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schiavon\Desktop\Paper\2026_Structured_GLT\Data\"/>
    </mc:Choice>
  </mc:AlternateContent>
  <xr:revisionPtr revIDLastSave="0" documentId="13_ncr:1_{E75949C8-576E-4747-8F37-CAC5F9A6AE8D}" xr6:coauthVersionLast="47" xr6:coauthVersionMax="47" xr10:uidLastSave="{00000000-0000-0000-0000-000000000000}"/>
  <bookViews>
    <workbookView xWindow="3120" yWindow="3120" windowWidth="21600" windowHeight="12525" activeTab="3" xr2:uid="{00000000-000D-0000-FFFF-FFFF00000000}"/>
  </bookViews>
  <sheets>
    <sheet name="ETFs" sheetId="1" r:id="rId1"/>
    <sheet name="ETF price" sheetId="2" r:id="rId2"/>
    <sheet name="ETF variations" sheetId="3" r:id="rId3"/>
    <sheet name="ETF R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8" i="4" l="1"/>
  <c r="O419" i="4"/>
  <c r="AD420" i="4"/>
  <c r="AD424" i="4"/>
  <c r="U429" i="4"/>
  <c r="X430" i="4"/>
  <c r="AD504" i="4"/>
  <c r="C752" i="4"/>
  <c r="AB752" i="4"/>
  <c r="C753" i="4"/>
  <c r="AB753" i="4"/>
  <c r="AB753" i="3"/>
  <c r="C753" i="3"/>
  <c r="AB752" i="3"/>
  <c r="C752" i="3"/>
  <c r="AF758" i="2"/>
  <c r="AF757" i="2"/>
  <c r="AF756" i="2"/>
  <c r="AG755" i="2"/>
  <c r="AF755" i="2"/>
  <c r="AE755" i="2"/>
  <c r="AD755" i="2"/>
  <c r="AB755" i="2"/>
  <c r="AA755" i="2"/>
  <c r="Y755" i="2"/>
  <c r="X755" i="2"/>
  <c r="W755" i="2"/>
  <c r="V755" i="2"/>
  <c r="U755" i="2"/>
  <c r="T755" i="2"/>
  <c r="S755" i="2"/>
  <c r="R755" i="2"/>
  <c r="Q755" i="2"/>
  <c r="O755" i="2"/>
  <c r="N755" i="2"/>
  <c r="M755" i="2"/>
  <c r="L755" i="2"/>
  <c r="K755" i="2"/>
  <c r="J755" i="2"/>
  <c r="I755" i="2"/>
  <c r="H755" i="2"/>
  <c r="G755" i="2"/>
  <c r="F755" i="2"/>
  <c r="E755" i="2"/>
  <c r="C755" i="2"/>
  <c r="B755" i="2"/>
  <c r="A755" i="2"/>
  <c r="AG754" i="2"/>
  <c r="AF754" i="2"/>
  <c r="AE754" i="2"/>
  <c r="AD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C754" i="2"/>
  <c r="B754" i="2"/>
  <c r="A754" i="2"/>
  <c r="AG753" i="2"/>
  <c r="AF753" i="2"/>
  <c r="AE753" i="2"/>
  <c r="AD753" i="2"/>
  <c r="AB753" i="2"/>
  <c r="AA753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C753" i="2"/>
  <c r="B753" i="2"/>
  <c r="A753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AG723" i="2"/>
  <c r="AF723" i="2"/>
  <c r="AE723" i="2"/>
  <c r="AD723" i="2"/>
  <c r="AC723" i="2"/>
  <c r="AB723" i="2"/>
  <c r="AA723" i="2"/>
  <c r="Z723" i="2"/>
  <c r="Y723" i="2"/>
  <c r="X723" i="2"/>
  <c r="W723" i="2"/>
  <c r="V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AG692" i="2"/>
  <c r="AF692" i="2"/>
  <c r="AE692" i="2"/>
  <c r="AD692" i="2"/>
  <c r="AC692" i="2"/>
  <c r="AB692" i="2"/>
  <c r="AA692" i="2"/>
  <c r="Z692" i="2"/>
  <c r="Y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AG687" i="2"/>
  <c r="AF687" i="2"/>
  <c r="AE687" i="2"/>
  <c r="AD687" i="2"/>
  <c r="AC687" i="2"/>
  <c r="AB687" i="2"/>
  <c r="AA687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U685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AG679" i="2"/>
  <c r="AF679" i="2"/>
  <c r="AE679" i="2"/>
  <c r="AD679" i="2"/>
  <c r="AC679" i="2"/>
  <c r="AB679" i="2"/>
  <c r="AA679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AG672" i="2"/>
  <c r="AF672" i="2"/>
  <c r="AE672" i="2"/>
  <c r="AD672" i="2"/>
  <c r="AC672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AG506" i="2"/>
  <c r="AF506" i="2"/>
  <c r="AE506" i="2"/>
  <c r="AD504" i="3" s="1"/>
  <c r="AD506" i="2"/>
  <c r="AC506" i="2"/>
  <c r="AB506" i="2"/>
  <c r="AA506" i="2"/>
  <c r="Z506" i="2"/>
  <c r="Y506" i="2"/>
  <c r="X504" i="3" s="1"/>
  <c r="X504" i="4" s="1"/>
  <c r="X506" i="2"/>
  <c r="W506" i="2"/>
  <c r="V506" i="2"/>
  <c r="U506" i="2"/>
  <c r="T506" i="2"/>
  <c r="S506" i="2"/>
  <c r="R506" i="2"/>
  <c r="Q506" i="2"/>
  <c r="P506" i="2"/>
  <c r="O506" i="2"/>
  <c r="N506" i="2"/>
  <c r="M506" i="2"/>
  <c r="L504" i="3" s="1"/>
  <c r="L504" i="4" s="1"/>
  <c r="L506" i="2"/>
  <c r="K506" i="2"/>
  <c r="J506" i="2"/>
  <c r="I506" i="2"/>
  <c r="H506" i="2"/>
  <c r="G506" i="2"/>
  <c r="F506" i="2"/>
  <c r="E506" i="2"/>
  <c r="D506" i="2"/>
  <c r="C506" i="2"/>
  <c r="B506" i="2"/>
  <c r="A506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3" i="3" s="1"/>
  <c r="U503" i="4" s="1"/>
  <c r="U505" i="2"/>
  <c r="T505" i="2"/>
  <c r="S505" i="2"/>
  <c r="R505" i="2"/>
  <c r="Q505" i="2"/>
  <c r="P505" i="2"/>
  <c r="O505" i="2"/>
  <c r="N505" i="2"/>
  <c r="M505" i="2"/>
  <c r="L505" i="2"/>
  <c r="K505" i="2"/>
  <c r="J505" i="2"/>
  <c r="I503" i="3" s="1"/>
  <c r="I503" i="4" s="1"/>
  <c r="I505" i="2"/>
  <c r="H505" i="2"/>
  <c r="G505" i="2"/>
  <c r="F505" i="2"/>
  <c r="E505" i="2"/>
  <c r="D505" i="2"/>
  <c r="C505" i="2"/>
  <c r="B505" i="2"/>
  <c r="A505" i="2"/>
  <c r="AG504" i="2"/>
  <c r="AF504" i="2"/>
  <c r="AE504" i="2"/>
  <c r="AD502" i="3" s="1"/>
  <c r="AD502" i="4" s="1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2" i="3" s="1"/>
  <c r="R502" i="4" s="1"/>
  <c r="R504" i="2"/>
  <c r="Q504" i="2"/>
  <c r="P504" i="2"/>
  <c r="O504" i="2"/>
  <c r="N504" i="2"/>
  <c r="M504" i="2"/>
  <c r="L504" i="2"/>
  <c r="K504" i="2"/>
  <c r="J504" i="2"/>
  <c r="I504" i="2"/>
  <c r="H504" i="2"/>
  <c r="G504" i="2"/>
  <c r="F502" i="3" s="1"/>
  <c r="F502" i="4" s="1"/>
  <c r="F504" i="2"/>
  <c r="E504" i="2"/>
  <c r="D504" i="2"/>
  <c r="C504" i="2"/>
  <c r="B504" i="2"/>
  <c r="A504" i="2"/>
  <c r="AG503" i="2"/>
  <c r="AF503" i="2"/>
  <c r="AE503" i="2"/>
  <c r="AD503" i="2"/>
  <c r="AC503" i="2"/>
  <c r="AB503" i="2"/>
  <c r="AA501" i="3" s="1"/>
  <c r="AA501" i="4" s="1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1" i="3" s="1"/>
  <c r="O501" i="4" s="1"/>
  <c r="O503" i="2"/>
  <c r="N503" i="2"/>
  <c r="M503" i="2"/>
  <c r="L503" i="2"/>
  <c r="K503" i="2"/>
  <c r="J503" i="2"/>
  <c r="I503" i="2"/>
  <c r="H503" i="2"/>
  <c r="G503" i="2"/>
  <c r="F503" i="2"/>
  <c r="E503" i="2"/>
  <c r="D503" i="2"/>
  <c r="C501" i="3" s="1"/>
  <c r="C501" i="4" s="1"/>
  <c r="C503" i="2"/>
  <c r="B503" i="2"/>
  <c r="A503" i="2"/>
  <c r="AG502" i="2"/>
  <c r="AF502" i="2"/>
  <c r="AE502" i="2"/>
  <c r="AD500" i="3" s="1"/>
  <c r="AD500" i="4" s="1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0" i="3" s="1"/>
  <c r="L500" i="4" s="1"/>
  <c r="L502" i="2"/>
  <c r="K502" i="2"/>
  <c r="J502" i="2"/>
  <c r="I502" i="2"/>
  <c r="H502" i="2"/>
  <c r="G502" i="2"/>
  <c r="F502" i="2"/>
  <c r="E502" i="2"/>
  <c r="D502" i="2"/>
  <c r="C502" i="2"/>
  <c r="B502" i="2"/>
  <c r="A502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AG500" i="2"/>
  <c r="AF500" i="2"/>
  <c r="AE500" i="2"/>
  <c r="AD498" i="3" s="1"/>
  <c r="AD498" i="4" s="1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AG498" i="2"/>
  <c r="AF498" i="2"/>
  <c r="AE498" i="2"/>
  <c r="AD496" i="3" s="1"/>
  <c r="AD496" i="4" s="1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AG496" i="2"/>
  <c r="AF496" i="2"/>
  <c r="AE496" i="2"/>
  <c r="AD494" i="3" s="1"/>
  <c r="AD494" i="4" s="1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4" i="3" s="1"/>
  <c r="F494" i="4" s="1"/>
  <c r="F496" i="2"/>
  <c r="E496" i="2"/>
  <c r="D496" i="2"/>
  <c r="C496" i="2"/>
  <c r="B496" i="2"/>
  <c r="A496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3" i="3" s="1"/>
  <c r="C493" i="4" s="1"/>
  <c r="C495" i="2"/>
  <c r="B495" i="2"/>
  <c r="A495" i="2"/>
  <c r="AG494" i="2"/>
  <c r="AF494" i="2"/>
  <c r="AE494" i="2"/>
  <c r="AD494" i="2"/>
  <c r="AC494" i="2"/>
  <c r="AB494" i="2"/>
  <c r="AA494" i="2"/>
  <c r="Z494" i="2"/>
  <c r="Y494" i="2"/>
  <c r="X492" i="3" s="1"/>
  <c r="X492" i="4" s="1"/>
  <c r="X494" i="2"/>
  <c r="W494" i="2"/>
  <c r="V494" i="2"/>
  <c r="U494" i="2"/>
  <c r="T494" i="2"/>
  <c r="S494" i="2"/>
  <c r="R494" i="2"/>
  <c r="Q494" i="2"/>
  <c r="P494" i="2"/>
  <c r="O494" i="2"/>
  <c r="N494" i="2"/>
  <c r="M494" i="2"/>
  <c r="L492" i="3" s="1"/>
  <c r="L492" i="4" s="1"/>
  <c r="L494" i="2"/>
  <c r="K494" i="2"/>
  <c r="J494" i="2"/>
  <c r="I494" i="2"/>
  <c r="H494" i="2"/>
  <c r="G494" i="2"/>
  <c r="F494" i="2"/>
  <c r="E494" i="2"/>
  <c r="D494" i="2"/>
  <c r="C494" i="2"/>
  <c r="B494" i="2"/>
  <c r="A494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1" i="3" s="1"/>
  <c r="U491" i="4" s="1"/>
  <c r="U493" i="2"/>
  <c r="T493" i="2"/>
  <c r="S493" i="2"/>
  <c r="R493" i="2"/>
  <c r="Q493" i="2"/>
  <c r="P493" i="2"/>
  <c r="O493" i="2"/>
  <c r="N493" i="2"/>
  <c r="M493" i="2"/>
  <c r="L493" i="2"/>
  <c r="K493" i="2"/>
  <c r="J493" i="2"/>
  <c r="I491" i="3" s="1"/>
  <c r="I491" i="4" s="1"/>
  <c r="I493" i="2"/>
  <c r="H493" i="2"/>
  <c r="G493" i="2"/>
  <c r="F493" i="2"/>
  <c r="E493" i="2"/>
  <c r="D493" i="2"/>
  <c r="C493" i="2"/>
  <c r="B493" i="2"/>
  <c r="A493" i="2"/>
  <c r="AG492" i="2"/>
  <c r="AF492" i="2"/>
  <c r="AE492" i="2"/>
  <c r="AD490" i="3" s="1"/>
  <c r="AD490" i="4" s="1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0" i="3" s="1"/>
  <c r="R490" i="4" s="1"/>
  <c r="R492" i="2"/>
  <c r="Q492" i="2"/>
  <c r="P492" i="2"/>
  <c r="O492" i="2"/>
  <c r="N492" i="2"/>
  <c r="M492" i="2"/>
  <c r="L492" i="2"/>
  <c r="K492" i="2"/>
  <c r="J492" i="2"/>
  <c r="I492" i="2"/>
  <c r="H492" i="2"/>
  <c r="G492" i="2"/>
  <c r="F490" i="3" s="1"/>
  <c r="F490" i="4" s="1"/>
  <c r="F492" i="2"/>
  <c r="E492" i="2"/>
  <c r="D492" i="2"/>
  <c r="C492" i="2"/>
  <c r="B492" i="2"/>
  <c r="A492" i="2"/>
  <c r="AG491" i="2"/>
  <c r="AF491" i="2"/>
  <c r="AE491" i="2"/>
  <c r="AD491" i="2"/>
  <c r="AC491" i="2"/>
  <c r="AB491" i="2"/>
  <c r="AA489" i="3" s="1"/>
  <c r="AA489" i="4" s="1"/>
  <c r="AA491" i="2"/>
  <c r="Z491" i="2"/>
  <c r="Y491" i="2"/>
  <c r="X491" i="2"/>
  <c r="W491" i="2"/>
  <c r="V491" i="2"/>
  <c r="U491" i="2"/>
  <c r="T491" i="2"/>
  <c r="S491" i="2"/>
  <c r="R491" i="2"/>
  <c r="Q491" i="2"/>
  <c r="P491" i="2"/>
  <c r="O489" i="3" s="1"/>
  <c r="O489" i="4" s="1"/>
  <c r="O491" i="2"/>
  <c r="N491" i="2"/>
  <c r="M491" i="2"/>
  <c r="L491" i="2"/>
  <c r="K491" i="2"/>
  <c r="J491" i="2"/>
  <c r="I491" i="2"/>
  <c r="H491" i="2"/>
  <c r="G491" i="2"/>
  <c r="F491" i="2"/>
  <c r="E491" i="2"/>
  <c r="D491" i="2"/>
  <c r="C489" i="3" s="1"/>
  <c r="C489" i="4" s="1"/>
  <c r="C491" i="2"/>
  <c r="B491" i="2"/>
  <c r="A491" i="2"/>
  <c r="AG490" i="2"/>
  <c r="AF490" i="2"/>
  <c r="AE490" i="2"/>
  <c r="AD490" i="2"/>
  <c r="AC490" i="2"/>
  <c r="AB490" i="2"/>
  <c r="AA490" i="2"/>
  <c r="Z490" i="2"/>
  <c r="Y490" i="2"/>
  <c r="X488" i="3" s="1"/>
  <c r="X488" i="4" s="1"/>
  <c r="X490" i="2"/>
  <c r="W490" i="2"/>
  <c r="V490" i="2"/>
  <c r="U490" i="2"/>
  <c r="T490" i="2"/>
  <c r="S490" i="2"/>
  <c r="R490" i="2"/>
  <c r="Q490" i="2"/>
  <c r="P490" i="2"/>
  <c r="O490" i="2"/>
  <c r="N490" i="2"/>
  <c r="M490" i="2"/>
  <c r="L488" i="3" s="1"/>
  <c r="L488" i="4" s="1"/>
  <c r="L490" i="2"/>
  <c r="K490" i="2"/>
  <c r="J490" i="2"/>
  <c r="I490" i="2"/>
  <c r="H490" i="2"/>
  <c r="G490" i="2"/>
  <c r="F490" i="2"/>
  <c r="E490" i="2"/>
  <c r="D490" i="2"/>
  <c r="C490" i="2"/>
  <c r="B490" i="2"/>
  <c r="A490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AG488" i="2"/>
  <c r="AF488" i="2"/>
  <c r="AE488" i="2"/>
  <c r="AD486" i="3" s="1"/>
  <c r="AD486" i="4" s="1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AG486" i="2"/>
  <c r="AF486" i="2"/>
  <c r="AE486" i="2"/>
  <c r="AD484" i="3" s="1"/>
  <c r="AD484" i="4" s="1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AG484" i="2"/>
  <c r="AF484" i="2"/>
  <c r="AE484" i="2"/>
  <c r="AD482" i="3" s="1"/>
  <c r="AD482" i="4" s="1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AG480" i="2"/>
  <c r="AF480" i="2"/>
  <c r="AE480" i="2"/>
  <c r="AD478" i="3" s="1"/>
  <c r="AD478" i="4" s="1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AG478" i="2"/>
  <c r="AF478" i="2"/>
  <c r="AE478" i="2"/>
  <c r="AD476" i="3" s="1"/>
  <c r="AD476" i="4" s="1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AG476" i="2"/>
  <c r="AF476" i="2"/>
  <c r="AE476" i="2"/>
  <c r="AD474" i="3" s="1"/>
  <c r="AD474" i="4" s="1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AG472" i="2"/>
  <c r="AF472" i="2"/>
  <c r="AE472" i="2"/>
  <c r="AD470" i="3" s="1"/>
  <c r="AD470" i="4" s="1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AG470" i="2"/>
  <c r="AF470" i="2"/>
  <c r="AE470" i="2"/>
  <c r="AD470" i="2"/>
  <c r="AC470" i="2"/>
  <c r="AB470" i="2"/>
  <c r="AA470" i="2"/>
  <c r="Z470" i="2"/>
  <c r="Y470" i="2"/>
  <c r="X468" i="3" s="1"/>
  <c r="X468" i="4" s="1"/>
  <c r="X470" i="2"/>
  <c r="W470" i="2"/>
  <c r="V470" i="2"/>
  <c r="U470" i="2"/>
  <c r="T470" i="2"/>
  <c r="S470" i="2"/>
  <c r="R470" i="2"/>
  <c r="Q470" i="2"/>
  <c r="P470" i="2"/>
  <c r="O470" i="2"/>
  <c r="N470" i="2"/>
  <c r="M470" i="2"/>
  <c r="L468" i="3" s="1"/>
  <c r="L468" i="4" s="1"/>
  <c r="L470" i="2"/>
  <c r="K470" i="2"/>
  <c r="J470" i="2"/>
  <c r="I470" i="2"/>
  <c r="H470" i="2"/>
  <c r="G470" i="2"/>
  <c r="F470" i="2"/>
  <c r="E470" i="2"/>
  <c r="D470" i="2"/>
  <c r="C470" i="2"/>
  <c r="B470" i="2"/>
  <c r="A470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7" i="3" s="1"/>
  <c r="U467" i="4" s="1"/>
  <c r="U469" i="2"/>
  <c r="T469" i="2"/>
  <c r="S469" i="2"/>
  <c r="R469" i="2"/>
  <c r="Q469" i="2"/>
  <c r="P469" i="2"/>
  <c r="O469" i="2"/>
  <c r="N469" i="2"/>
  <c r="M469" i="2"/>
  <c r="L469" i="2"/>
  <c r="K469" i="2"/>
  <c r="J469" i="2"/>
  <c r="I467" i="3" s="1"/>
  <c r="I467" i="4" s="1"/>
  <c r="I469" i="2"/>
  <c r="H469" i="2"/>
  <c r="G469" i="2"/>
  <c r="F469" i="2"/>
  <c r="E469" i="2"/>
  <c r="D469" i="2"/>
  <c r="C469" i="2"/>
  <c r="B469" i="2"/>
  <c r="A469" i="2"/>
  <c r="AG468" i="2"/>
  <c r="AF468" i="2"/>
  <c r="AE468" i="2"/>
  <c r="AD466" i="3" s="1"/>
  <c r="AD466" i="4" s="1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6" i="3" s="1"/>
  <c r="R466" i="4" s="1"/>
  <c r="R468" i="2"/>
  <c r="Q468" i="2"/>
  <c r="P468" i="2"/>
  <c r="O468" i="2"/>
  <c r="N468" i="2"/>
  <c r="M468" i="2"/>
  <c r="L468" i="2"/>
  <c r="K468" i="2"/>
  <c r="J468" i="2"/>
  <c r="I468" i="2"/>
  <c r="H468" i="2"/>
  <c r="G468" i="2"/>
  <c r="F466" i="3" s="1"/>
  <c r="F466" i="4" s="1"/>
  <c r="F468" i="2"/>
  <c r="E468" i="2"/>
  <c r="D468" i="2"/>
  <c r="C468" i="2"/>
  <c r="B468" i="2"/>
  <c r="A468" i="2"/>
  <c r="AG467" i="2"/>
  <c r="AF467" i="2"/>
  <c r="AE467" i="2"/>
  <c r="AD467" i="2"/>
  <c r="AC467" i="2"/>
  <c r="AB467" i="2"/>
  <c r="AA465" i="3" s="1"/>
  <c r="AA465" i="4" s="1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5" i="3" s="1"/>
  <c r="O465" i="4" s="1"/>
  <c r="O467" i="2"/>
  <c r="N467" i="2"/>
  <c r="M467" i="2"/>
  <c r="L467" i="2"/>
  <c r="K467" i="2"/>
  <c r="J467" i="2"/>
  <c r="I467" i="2"/>
  <c r="H467" i="2"/>
  <c r="G467" i="2"/>
  <c r="F467" i="2"/>
  <c r="E467" i="2"/>
  <c r="D467" i="2"/>
  <c r="C465" i="3" s="1"/>
  <c r="C465" i="4" s="1"/>
  <c r="C467" i="2"/>
  <c r="B467" i="2"/>
  <c r="A467" i="2"/>
  <c r="AG466" i="2"/>
  <c r="AF466" i="2"/>
  <c r="AE466" i="2"/>
  <c r="AD464" i="3" s="1"/>
  <c r="AD464" i="4" s="1"/>
  <c r="AD466" i="2"/>
  <c r="AC466" i="2"/>
  <c r="AB466" i="2"/>
  <c r="AA466" i="2"/>
  <c r="Z466" i="2"/>
  <c r="Y466" i="2"/>
  <c r="X464" i="3" s="1"/>
  <c r="X464" i="4" s="1"/>
  <c r="X466" i="2"/>
  <c r="W466" i="2"/>
  <c r="V466" i="2"/>
  <c r="U466" i="2"/>
  <c r="T466" i="2"/>
  <c r="S466" i="2"/>
  <c r="R466" i="2"/>
  <c r="Q466" i="2"/>
  <c r="P466" i="2"/>
  <c r="O466" i="2"/>
  <c r="N466" i="2"/>
  <c r="M466" i="2"/>
  <c r="L464" i="3" s="1"/>
  <c r="L464" i="4" s="1"/>
  <c r="L466" i="2"/>
  <c r="K466" i="2"/>
  <c r="J466" i="2"/>
  <c r="I466" i="2"/>
  <c r="H466" i="2"/>
  <c r="G466" i="2"/>
  <c r="F466" i="2"/>
  <c r="E466" i="2"/>
  <c r="D466" i="2"/>
  <c r="C466" i="2"/>
  <c r="B466" i="2"/>
  <c r="A466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3" i="3" s="1"/>
  <c r="U463" i="4" s="1"/>
  <c r="U465" i="2"/>
  <c r="T465" i="2"/>
  <c r="S465" i="2"/>
  <c r="R465" i="2"/>
  <c r="Q465" i="2"/>
  <c r="P465" i="2"/>
  <c r="O465" i="2"/>
  <c r="N465" i="2"/>
  <c r="M465" i="2"/>
  <c r="L465" i="2"/>
  <c r="K465" i="2"/>
  <c r="J465" i="2"/>
  <c r="I463" i="3" s="1"/>
  <c r="I463" i="4" s="1"/>
  <c r="I465" i="2"/>
  <c r="H465" i="2"/>
  <c r="G465" i="2"/>
  <c r="F465" i="2"/>
  <c r="E465" i="2"/>
  <c r="D465" i="2"/>
  <c r="C465" i="2"/>
  <c r="B465" i="2"/>
  <c r="A465" i="2"/>
  <c r="AG464" i="2"/>
  <c r="AF464" i="2"/>
  <c r="AE464" i="2"/>
  <c r="AD462" i="3" s="1"/>
  <c r="AD462" i="4" s="1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2" i="3" s="1"/>
  <c r="R462" i="4" s="1"/>
  <c r="R464" i="2"/>
  <c r="Q464" i="2"/>
  <c r="P464" i="2"/>
  <c r="O464" i="2"/>
  <c r="N464" i="2"/>
  <c r="M464" i="2"/>
  <c r="L464" i="2"/>
  <c r="K464" i="2"/>
  <c r="J464" i="2"/>
  <c r="I464" i="2"/>
  <c r="H464" i="2"/>
  <c r="G464" i="2"/>
  <c r="F462" i="3" s="1"/>
  <c r="F462" i="4" s="1"/>
  <c r="F464" i="2"/>
  <c r="E464" i="2"/>
  <c r="D464" i="2"/>
  <c r="C464" i="2"/>
  <c r="B464" i="2"/>
  <c r="A464" i="2"/>
  <c r="AG463" i="2"/>
  <c r="AF463" i="2"/>
  <c r="AE463" i="2"/>
  <c r="AD463" i="2"/>
  <c r="AC463" i="2"/>
  <c r="AB463" i="2"/>
  <c r="AA461" i="3" s="1"/>
  <c r="AA461" i="4" s="1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1" i="3" s="1"/>
  <c r="O461" i="4" s="1"/>
  <c r="O463" i="2"/>
  <c r="N463" i="2"/>
  <c r="M463" i="2"/>
  <c r="L463" i="2"/>
  <c r="K463" i="2"/>
  <c r="J463" i="2"/>
  <c r="I463" i="2"/>
  <c r="H463" i="2"/>
  <c r="G463" i="2"/>
  <c r="F463" i="2"/>
  <c r="E463" i="2"/>
  <c r="D463" i="2"/>
  <c r="C461" i="3" s="1"/>
  <c r="C461" i="4" s="1"/>
  <c r="C463" i="2"/>
  <c r="B463" i="2"/>
  <c r="A463" i="2"/>
  <c r="AG462" i="2"/>
  <c r="AF462" i="2"/>
  <c r="AE462" i="2"/>
  <c r="AD460" i="3" s="1"/>
  <c r="AD460" i="4" s="1"/>
  <c r="AD462" i="2"/>
  <c r="AC462" i="2"/>
  <c r="AB462" i="2"/>
  <c r="AA462" i="2"/>
  <c r="Z462" i="2"/>
  <c r="Y462" i="2"/>
  <c r="X460" i="3" s="1"/>
  <c r="X460" i="4" s="1"/>
  <c r="X462" i="2"/>
  <c r="W462" i="2"/>
  <c r="V462" i="2"/>
  <c r="U462" i="2"/>
  <c r="T462" i="2"/>
  <c r="S462" i="2"/>
  <c r="R462" i="2"/>
  <c r="Q462" i="2"/>
  <c r="P462" i="2"/>
  <c r="O462" i="2"/>
  <c r="N462" i="2"/>
  <c r="M462" i="2"/>
  <c r="L460" i="3" s="1"/>
  <c r="L460" i="4" s="1"/>
  <c r="L462" i="2"/>
  <c r="K462" i="2"/>
  <c r="J462" i="2"/>
  <c r="I462" i="2"/>
  <c r="H462" i="2"/>
  <c r="G462" i="2"/>
  <c r="F462" i="2"/>
  <c r="E462" i="2"/>
  <c r="D462" i="2"/>
  <c r="C462" i="2"/>
  <c r="B462" i="2"/>
  <c r="A462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59" i="3" s="1"/>
  <c r="U459" i="4" s="1"/>
  <c r="U461" i="2"/>
  <c r="T461" i="2"/>
  <c r="S461" i="2"/>
  <c r="R461" i="2"/>
  <c r="Q461" i="2"/>
  <c r="P461" i="2"/>
  <c r="O461" i="2"/>
  <c r="N461" i="2"/>
  <c r="M461" i="2"/>
  <c r="L461" i="2"/>
  <c r="K461" i="2"/>
  <c r="J461" i="2"/>
  <c r="I459" i="3" s="1"/>
  <c r="I459" i="4" s="1"/>
  <c r="I461" i="2"/>
  <c r="H461" i="2"/>
  <c r="G461" i="2"/>
  <c r="F461" i="2"/>
  <c r="E461" i="2"/>
  <c r="D461" i="2"/>
  <c r="C461" i="2"/>
  <c r="B461" i="2"/>
  <c r="A461" i="2"/>
  <c r="AG460" i="2"/>
  <c r="AF460" i="2"/>
  <c r="AE460" i="2"/>
  <c r="AD458" i="3" s="1"/>
  <c r="AD458" i="4" s="1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58" i="3" s="1"/>
  <c r="R458" i="4" s="1"/>
  <c r="R460" i="2"/>
  <c r="Q460" i="2"/>
  <c r="P460" i="2"/>
  <c r="O460" i="2"/>
  <c r="N460" i="2"/>
  <c r="M460" i="2"/>
  <c r="L460" i="2"/>
  <c r="K460" i="2"/>
  <c r="J460" i="2"/>
  <c r="I460" i="2"/>
  <c r="H460" i="2"/>
  <c r="G460" i="2"/>
  <c r="F458" i="3" s="1"/>
  <c r="F458" i="4" s="1"/>
  <c r="F460" i="2"/>
  <c r="E460" i="2"/>
  <c r="D460" i="2"/>
  <c r="C460" i="2"/>
  <c r="B460" i="2"/>
  <c r="A460" i="2"/>
  <c r="AG459" i="2"/>
  <c r="AF459" i="2"/>
  <c r="AE459" i="2"/>
  <c r="AD459" i="2"/>
  <c r="AC459" i="2"/>
  <c r="AB459" i="2"/>
  <c r="AA457" i="3" s="1"/>
  <c r="AA457" i="4" s="1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7" i="3" s="1"/>
  <c r="O457" i="4" s="1"/>
  <c r="O459" i="2"/>
  <c r="N459" i="2"/>
  <c r="M459" i="2"/>
  <c r="L459" i="2"/>
  <c r="K459" i="2"/>
  <c r="J459" i="2"/>
  <c r="I459" i="2"/>
  <c r="H459" i="2"/>
  <c r="G459" i="2"/>
  <c r="F459" i="2"/>
  <c r="E459" i="2"/>
  <c r="D459" i="2"/>
  <c r="C457" i="3" s="1"/>
  <c r="C457" i="4" s="1"/>
  <c r="C459" i="2"/>
  <c r="B459" i="2"/>
  <c r="A459" i="2"/>
  <c r="AG458" i="2"/>
  <c r="AF458" i="2"/>
  <c r="AE458" i="2"/>
  <c r="AD458" i="2"/>
  <c r="AC458" i="2"/>
  <c r="AB458" i="2"/>
  <c r="AA458" i="2"/>
  <c r="Z458" i="2"/>
  <c r="Y458" i="2"/>
  <c r="X456" i="3" s="1"/>
  <c r="X456" i="4" s="1"/>
  <c r="X458" i="2"/>
  <c r="W458" i="2"/>
  <c r="V458" i="2"/>
  <c r="U458" i="2"/>
  <c r="T458" i="2"/>
  <c r="S458" i="2"/>
  <c r="R458" i="2"/>
  <c r="Q458" i="2"/>
  <c r="P458" i="2"/>
  <c r="O458" i="2"/>
  <c r="N458" i="2"/>
  <c r="M458" i="2"/>
  <c r="L456" i="3" s="1"/>
  <c r="L456" i="4" s="1"/>
  <c r="L458" i="2"/>
  <c r="K458" i="2"/>
  <c r="J458" i="2"/>
  <c r="I458" i="2"/>
  <c r="H458" i="2"/>
  <c r="G458" i="2"/>
  <c r="F458" i="2"/>
  <c r="E458" i="2"/>
  <c r="D458" i="2"/>
  <c r="C458" i="2"/>
  <c r="B458" i="2"/>
  <c r="A458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5" i="3" s="1"/>
  <c r="U455" i="4" s="1"/>
  <c r="U457" i="2"/>
  <c r="T457" i="2"/>
  <c r="S457" i="2"/>
  <c r="R457" i="2"/>
  <c r="Q457" i="2"/>
  <c r="P457" i="2"/>
  <c r="O457" i="2"/>
  <c r="N457" i="2"/>
  <c r="M457" i="2"/>
  <c r="L457" i="2"/>
  <c r="K457" i="2"/>
  <c r="J457" i="2"/>
  <c r="I455" i="3" s="1"/>
  <c r="I455" i="4" s="1"/>
  <c r="I457" i="2"/>
  <c r="H457" i="2"/>
  <c r="G457" i="2"/>
  <c r="F457" i="2"/>
  <c r="E457" i="2"/>
  <c r="D457" i="2"/>
  <c r="C457" i="2"/>
  <c r="B457" i="2"/>
  <c r="A457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4" i="3" s="1"/>
  <c r="R454" i="4" s="1"/>
  <c r="R456" i="2"/>
  <c r="Q456" i="2"/>
  <c r="P456" i="2"/>
  <c r="O456" i="2"/>
  <c r="N456" i="2"/>
  <c r="M456" i="2"/>
  <c r="L456" i="2"/>
  <c r="K456" i="2"/>
  <c r="J456" i="2"/>
  <c r="I456" i="2"/>
  <c r="H456" i="2"/>
  <c r="G456" i="2"/>
  <c r="F454" i="3" s="1"/>
  <c r="F454" i="4" s="1"/>
  <c r="F456" i="2"/>
  <c r="E456" i="2"/>
  <c r="D456" i="2"/>
  <c r="C456" i="2"/>
  <c r="B456" i="2"/>
  <c r="A456" i="2"/>
  <c r="AG455" i="2"/>
  <c r="AF455" i="2"/>
  <c r="AE455" i="2"/>
  <c r="AD455" i="2"/>
  <c r="AC455" i="2"/>
  <c r="AB455" i="2"/>
  <c r="AA453" i="3" s="1"/>
  <c r="AA453" i="4" s="1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3" i="3" s="1"/>
  <c r="O453" i="4" s="1"/>
  <c r="O455" i="2"/>
  <c r="N455" i="2"/>
  <c r="M455" i="2"/>
  <c r="L455" i="2"/>
  <c r="K455" i="2"/>
  <c r="J455" i="2"/>
  <c r="I455" i="2"/>
  <c r="H455" i="2"/>
  <c r="G455" i="2"/>
  <c r="F455" i="2"/>
  <c r="E455" i="2"/>
  <c r="D455" i="2"/>
  <c r="C453" i="3" s="1"/>
  <c r="C453" i="4" s="1"/>
  <c r="C455" i="2"/>
  <c r="B455" i="2"/>
  <c r="A455" i="2"/>
  <c r="AG454" i="2"/>
  <c r="AF454" i="2"/>
  <c r="AE454" i="2"/>
  <c r="AD452" i="3" s="1"/>
  <c r="AD452" i="4" s="1"/>
  <c r="AD454" i="2"/>
  <c r="AC454" i="2"/>
  <c r="AB454" i="2"/>
  <c r="AA454" i="2"/>
  <c r="Z454" i="2"/>
  <c r="Y454" i="2"/>
  <c r="X452" i="3" s="1"/>
  <c r="X452" i="4" s="1"/>
  <c r="X454" i="2"/>
  <c r="W454" i="2"/>
  <c r="V454" i="2"/>
  <c r="U454" i="2"/>
  <c r="T454" i="2"/>
  <c r="S454" i="2"/>
  <c r="R454" i="2"/>
  <c r="Q454" i="2"/>
  <c r="P454" i="2"/>
  <c r="O454" i="2"/>
  <c r="N454" i="2"/>
  <c r="M454" i="2"/>
  <c r="L452" i="3" s="1"/>
  <c r="L452" i="4" s="1"/>
  <c r="L454" i="2"/>
  <c r="K454" i="2"/>
  <c r="J454" i="2"/>
  <c r="I454" i="2"/>
  <c r="H454" i="2"/>
  <c r="G454" i="2"/>
  <c r="F454" i="2"/>
  <c r="E454" i="2"/>
  <c r="D454" i="2"/>
  <c r="C454" i="2"/>
  <c r="B454" i="2"/>
  <c r="A454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1" i="3" s="1"/>
  <c r="U451" i="4" s="1"/>
  <c r="U453" i="2"/>
  <c r="T453" i="2"/>
  <c r="S453" i="2"/>
  <c r="R453" i="2"/>
  <c r="Q453" i="2"/>
  <c r="P453" i="2"/>
  <c r="O453" i="2"/>
  <c r="N453" i="2"/>
  <c r="M453" i="2"/>
  <c r="L453" i="2"/>
  <c r="K453" i="2"/>
  <c r="J453" i="2"/>
  <c r="I451" i="3" s="1"/>
  <c r="I451" i="4" s="1"/>
  <c r="I453" i="2"/>
  <c r="H453" i="2"/>
  <c r="G453" i="2"/>
  <c r="F453" i="2"/>
  <c r="E453" i="2"/>
  <c r="D453" i="2"/>
  <c r="C453" i="2"/>
  <c r="B453" i="2"/>
  <c r="A453" i="2"/>
  <c r="AG452" i="2"/>
  <c r="AF452" i="2"/>
  <c r="AE452" i="2"/>
  <c r="AD450" i="3" s="1"/>
  <c r="AD450" i="4" s="1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0" i="3" s="1"/>
  <c r="R450" i="4" s="1"/>
  <c r="R452" i="2"/>
  <c r="Q452" i="2"/>
  <c r="P452" i="2"/>
  <c r="O452" i="2"/>
  <c r="N452" i="2"/>
  <c r="M452" i="2"/>
  <c r="L452" i="2"/>
  <c r="K452" i="2"/>
  <c r="J452" i="2"/>
  <c r="I452" i="2"/>
  <c r="H452" i="2"/>
  <c r="G452" i="2"/>
  <c r="F450" i="3" s="1"/>
  <c r="F450" i="4" s="1"/>
  <c r="F452" i="2"/>
  <c r="E452" i="2"/>
  <c r="D452" i="2"/>
  <c r="C452" i="2"/>
  <c r="B452" i="2"/>
  <c r="A452" i="2"/>
  <c r="AG451" i="2"/>
  <c r="AF451" i="2"/>
  <c r="AE451" i="2"/>
  <c r="AD451" i="2"/>
  <c r="AC451" i="2"/>
  <c r="AB451" i="2"/>
  <c r="AA449" i="3" s="1"/>
  <c r="AA449" i="4" s="1"/>
  <c r="AA451" i="2"/>
  <c r="Z451" i="2"/>
  <c r="Y451" i="2"/>
  <c r="X451" i="2"/>
  <c r="W451" i="2"/>
  <c r="V451" i="2"/>
  <c r="U451" i="2"/>
  <c r="T451" i="2"/>
  <c r="S451" i="2"/>
  <c r="R451" i="2"/>
  <c r="Q451" i="2"/>
  <c r="P451" i="2"/>
  <c r="O449" i="3" s="1"/>
  <c r="O449" i="4" s="1"/>
  <c r="O451" i="2"/>
  <c r="N451" i="2"/>
  <c r="M451" i="2"/>
  <c r="L451" i="2"/>
  <c r="K451" i="2"/>
  <c r="J451" i="2"/>
  <c r="I451" i="2"/>
  <c r="H451" i="2"/>
  <c r="G451" i="2"/>
  <c r="F451" i="2"/>
  <c r="E451" i="2"/>
  <c r="D451" i="2"/>
  <c r="C449" i="3" s="1"/>
  <c r="C449" i="4" s="1"/>
  <c r="C451" i="2"/>
  <c r="B451" i="2"/>
  <c r="A451" i="2"/>
  <c r="AG450" i="2"/>
  <c r="AF450" i="2"/>
  <c r="AE450" i="2"/>
  <c r="AD450" i="2"/>
  <c r="AC450" i="2"/>
  <c r="AB450" i="2"/>
  <c r="AA450" i="2"/>
  <c r="Z450" i="2"/>
  <c r="Y450" i="2"/>
  <c r="X448" i="3" s="1"/>
  <c r="X448" i="4" s="1"/>
  <c r="X450" i="2"/>
  <c r="W450" i="2"/>
  <c r="V450" i="2"/>
  <c r="U450" i="2"/>
  <c r="T450" i="2"/>
  <c r="S450" i="2"/>
  <c r="R450" i="2"/>
  <c r="Q450" i="2"/>
  <c r="P450" i="2"/>
  <c r="O450" i="2"/>
  <c r="N450" i="2"/>
  <c r="M450" i="2"/>
  <c r="L448" i="3" s="1"/>
  <c r="L448" i="4" s="1"/>
  <c r="L450" i="2"/>
  <c r="K450" i="2"/>
  <c r="J450" i="2"/>
  <c r="I450" i="2"/>
  <c r="H450" i="2"/>
  <c r="G450" i="2"/>
  <c r="F450" i="2"/>
  <c r="E450" i="2"/>
  <c r="D450" i="2"/>
  <c r="C450" i="2"/>
  <c r="B450" i="2"/>
  <c r="A450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7" i="3" s="1"/>
  <c r="U447" i="4" s="1"/>
  <c r="U449" i="2"/>
  <c r="T449" i="2"/>
  <c r="S449" i="2"/>
  <c r="R449" i="2"/>
  <c r="Q449" i="2"/>
  <c r="P449" i="2"/>
  <c r="O449" i="2"/>
  <c r="N449" i="2"/>
  <c r="M449" i="2"/>
  <c r="L449" i="2"/>
  <c r="K449" i="2"/>
  <c r="J449" i="2"/>
  <c r="I447" i="3" s="1"/>
  <c r="I447" i="4" s="1"/>
  <c r="I449" i="2"/>
  <c r="H449" i="2"/>
  <c r="G449" i="2"/>
  <c r="F449" i="2"/>
  <c r="E449" i="2"/>
  <c r="D449" i="2"/>
  <c r="C449" i="2"/>
  <c r="B449" i="2"/>
  <c r="A449" i="2"/>
  <c r="AG448" i="2"/>
  <c r="AF448" i="2"/>
  <c r="AE448" i="2"/>
  <c r="AD446" i="3" s="1"/>
  <c r="AD446" i="4" s="1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6" i="3" s="1"/>
  <c r="R446" i="4" s="1"/>
  <c r="R448" i="2"/>
  <c r="Q448" i="2"/>
  <c r="P448" i="2"/>
  <c r="O448" i="2"/>
  <c r="N448" i="2"/>
  <c r="M448" i="2"/>
  <c r="L448" i="2"/>
  <c r="K448" i="2"/>
  <c r="J448" i="2"/>
  <c r="I448" i="2"/>
  <c r="H448" i="2"/>
  <c r="G448" i="2"/>
  <c r="F446" i="3" s="1"/>
  <c r="F446" i="4" s="1"/>
  <c r="F448" i="2"/>
  <c r="E448" i="2"/>
  <c r="D448" i="2"/>
  <c r="C448" i="2"/>
  <c r="B448" i="2"/>
  <c r="A448" i="2"/>
  <c r="AG447" i="2"/>
  <c r="AF447" i="2"/>
  <c r="AE447" i="2"/>
  <c r="AD447" i="2"/>
  <c r="AC447" i="2"/>
  <c r="AB447" i="2"/>
  <c r="AA445" i="3" s="1"/>
  <c r="AA445" i="4" s="1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5" i="3" s="1"/>
  <c r="O445" i="4" s="1"/>
  <c r="O447" i="2"/>
  <c r="N447" i="2"/>
  <c r="M447" i="2"/>
  <c r="L447" i="2"/>
  <c r="K447" i="2"/>
  <c r="J447" i="2"/>
  <c r="I447" i="2"/>
  <c r="H447" i="2"/>
  <c r="G447" i="2"/>
  <c r="F447" i="2"/>
  <c r="E447" i="2"/>
  <c r="D447" i="2"/>
  <c r="C445" i="3" s="1"/>
  <c r="C445" i="4" s="1"/>
  <c r="C447" i="2"/>
  <c r="B447" i="2"/>
  <c r="A447" i="2"/>
  <c r="AG446" i="2"/>
  <c r="AF446" i="2"/>
  <c r="AE446" i="2"/>
  <c r="AD446" i="2"/>
  <c r="AC446" i="2"/>
  <c r="AB446" i="2"/>
  <c r="AA446" i="2"/>
  <c r="Z446" i="2"/>
  <c r="Y446" i="2"/>
  <c r="X444" i="3" s="1"/>
  <c r="X444" i="4" s="1"/>
  <c r="X446" i="2"/>
  <c r="W446" i="2"/>
  <c r="V446" i="2"/>
  <c r="U446" i="2"/>
  <c r="T446" i="2"/>
  <c r="S446" i="2"/>
  <c r="R446" i="2"/>
  <c r="Q446" i="2"/>
  <c r="P446" i="2"/>
  <c r="O446" i="2"/>
  <c r="N446" i="2"/>
  <c r="M446" i="2"/>
  <c r="L444" i="3" s="1"/>
  <c r="L444" i="4" s="1"/>
  <c r="L446" i="2"/>
  <c r="K446" i="2"/>
  <c r="J446" i="2"/>
  <c r="I446" i="2"/>
  <c r="H446" i="2"/>
  <c r="G446" i="2"/>
  <c r="F446" i="2"/>
  <c r="E446" i="2"/>
  <c r="D446" i="2"/>
  <c r="C446" i="2"/>
  <c r="B446" i="2"/>
  <c r="A446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3" i="3" s="1"/>
  <c r="U443" i="4" s="1"/>
  <c r="U445" i="2"/>
  <c r="T445" i="2"/>
  <c r="S445" i="2"/>
  <c r="R445" i="2"/>
  <c r="Q445" i="2"/>
  <c r="P445" i="2"/>
  <c r="O445" i="2"/>
  <c r="N445" i="2"/>
  <c r="M445" i="2"/>
  <c r="L445" i="2"/>
  <c r="K445" i="2"/>
  <c r="J445" i="2"/>
  <c r="I443" i="3" s="1"/>
  <c r="I443" i="4" s="1"/>
  <c r="I445" i="2"/>
  <c r="H445" i="2"/>
  <c r="G445" i="2"/>
  <c r="F445" i="2"/>
  <c r="E445" i="2"/>
  <c r="D445" i="2"/>
  <c r="C445" i="2"/>
  <c r="B445" i="2"/>
  <c r="A445" i="2"/>
  <c r="AG444" i="2"/>
  <c r="AF444" i="2"/>
  <c r="AE444" i="2"/>
  <c r="AD442" i="3" s="1"/>
  <c r="AD442" i="4" s="1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2" i="3" s="1"/>
  <c r="R442" i="4" s="1"/>
  <c r="R444" i="2"/>
  <c r="Q444" i="2"/>
  <c r="P444" i="2"/>
  <c r="O444" i="2"/>
  <c r="N444" i="2"/>
  <c r="M444" i="2"/>
  <c r="L444" i="2"/>
  <c r="K444" i="2"/>
  <c r="J444" i="2"/>
  <c r="I444" i="2"/>
  <c r="H444" i="2"/>
  <c r="G444" i="2"/>
  <c r="F442" i="3" s="1"/>
  <c r="F442" i="4" s="1"/>
  <c r="F444" i="2"/>
  <c r="E444" i="2"/>
  <c r="D444" i="2"/>
  <c r="C444" i="2"/>
  <c r="B444" i="2"/>
  <c r="A444" i="2"/>
  <c r="AG443" i="2"/>
  <c r="AF443" i="2"/>
  <c r="AE443" i="2"/>
  <c r="AD443" i="2"/>
  <c r="AC443" i="2"/>
  <c r="AB443" i="2"/>
  <c r="AA441" i="3" s="1"/>
  <c r="AA441" i="4" s="1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1" i="3" s="1"/>
  <c r="O441" i="4" s="1"/>
  <c r="O443" i="2"/>
  <c r="N443" i="2"/>
  <c r="M443" i="2"/>
  <c r="L443" i="2"/>
  <c r="K443" i="2"/>
  <c r="J443" i="2"/>
  <c r="I443" i="2"/>
  <c r="H443" i="2"/>
  <c r="G443" i="2"/>
  <c r="F443" i="2"/>
  <c r="E443" i="2"/>
  <c r="D443" i="2"/>
  <c r="C441" i="3" s="1"/>
  <c r="C441" i="4" s="1"/>
  <c r="C443" i="2"/>
  <c r="B443" i="2"/>
  <c r="A443" i="2"/>
  <c r="AG442" i="2"/>
  <c r="AF442" i="2"/>
  <c r="AE442" i="2"/>
  <c r="AD440" i="3" s="1"/>
  <c r="AD440" i="4" s="1"/>
  <c r="AD442" i="2"/>
  <c r="AC442" i="2"/>
  <c r="AB442" i="2"/>
  <c r="AA442" i="2"/>
  <c r="Z442" i="2"/>
  <c r="Y442" i="2"/>
  <c r="X440" i="3" s="1"/>
  <c r="X440" i="4" s="1"/>
  <c r="X442" i="2"/>
  <c r="W442" i="2"/>
  <c r="V442" i="2"/>
  <c r="U442" i="2"/>
  <c r="T442" i="2"/>
  <c r="S442" i="2"/>
  <c r="R442" i="2"/>
  <c r="Q442" i="2"/>
  <c r="P442" i="2"/>
  <c r="O442" i="2"/>
  <c r="N442" i="2"/>
  <c r="M442" i="2"/>
  <c r="L440" i="3" s="1"/>
  <c r="L440" i="4" s="1"/>
  <c r="L442" i="2"/>
  <c r="K442" i="2"/>
  <c r="J442" i="2"/>
  <c r="I442" i="2"/>
  <c r="H442" i="2"/>
  <c r="G442" i="2"/>
  <c r="F442" i="2"/>
  <c r="E442" i="2"/>
  <c r="D442" i="2"/>
  <c r="C442" i="2"/>
  <c r="B442" i="2"/>
  <c r="A442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39" i="3" s="1"/>
  <c r="U439" i="4" s="1"/>
  <c r="U441" i="2"/>
  <c r="T441" i="2"/>
  <c r="S441" i="2"/>
  <c r="R441" i="2"/>
  <c r="Q441" i="2"/>
  <c r="P441" i="2"/>
  <c r="O441" i="2"/>
  <c r="N441" i="2"/>
  <c r="M441" i="2"/>
  <c r="L441" i="2"/>
  <c r="K441" i="2"/>
  <c r="J441" i="2"/>
  <c r="I439" i="3" s="1"/>
  <c r="I439" i="4" s="1"/>
  <c r="I441" i="2"/>
  <c r="H441" i="2"/>
  <c r="G441" i="2"/>
  <c r="F441" i="2"/>
  <c r="E441" i="2"/>
  <c r="D441" i="2"/>
  <c r="C441" i="2"/>
  <c r="B441" i="2"/>
  <c r="A441" i="2"/>
  <c r="AG440" i="2"/>
  <c r="AF440" i="2"/>
  <c r="AE440" i="2"/>
  <c r="AD438" i="3" s="1"/>
  <c r="AD438" i="4" s="1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38" i="3" s="1"/>
  <c r="R438" i="4" s="1"/>
  <c r="R440" i="2"/>
  <c r="Q440" i="2"/>
  <c r="P440" i="2"/>
  <c r="O440" i="2"/>
  <c r="N440" i="2"/>
  <c r="M440" i="2"/>
  <c r="L440" i="2"/>
  <c r="K440" i="2"/>
  <c r="J440" i="2"/>
  <c r="I440" i="2"/>
  <c r="H440" i="2"/>
  <c r="G440" i="2"/>
  <c r="F438" i="3" s="1"/>
  <c r="F438" i="4" s="1"/>
  <c r="F440" i="2"/>
  <c r="E440" i="2"/>
  <c r="D440" i="2"/>
  <c r="C440" i="2"/>
  <c r="B440" i="2"/>
  <c r="A440" i="2"/>
  <c r="AG439" i="2"/>
  <c r="AF439" i="2"/>
  <c r="AE439" i="2"/>
  <c r="AD439" i="2"/>
  <c r="AC439" i="2"/>
  <c r="AB439" i="2"/>
  <c r="AA437" i="3" s="1"/>
  <c r="AA437" i="4" s="1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7" i="3" s="1"/>
  <c r="O437" i="4" s="1"/>
  <c r="O439" i="2"/>
  <c r="N439" i="2"/>
  <c r="M439" i="2"/>
  <c r="L439" i="2"/>
  <c r="K439" i="2"/>
  <c r="J439" i="2"/>
  <c r="I439" i="2"/>
  <c r="H439" i="2"/>
  <c r="G439" i="2"/>
  <c r="F439" i="2"/>
  <c r="E439" i="2"/>
  <c r="D439" i="2"/>
  <c r="C437" i="3" s="1"/>
  <c r="C437" i="4" s="1"/>
  <c r="C439" i="2"/>
  <c r="B439" i="2"/>
  <c r="A439" i="2"/>
  <c r="AG438" i="2"/>
  <c r="AF438" i="2"/>
  <c r="AE438" i="2"/>
  <c r="AD436" i="3" s="1"/>
  <c r="AD436" i="4" s="1"/>
  <c r="AD438" i="2"/>
  <c r="AC438" i="2"/>
  <c r="AB438" i="2"/>
  <c r="AA438" i="2"/>
  <c r="Z438" i="2"/>
  <c r="Y438" i="2"/>
  <c r="X436" i="3" s="1"/>
  <c r="X436" i="4" s="1"/>
  <c r="X438" i="2"/>
  <c r="W438" i="2"/>
  <c r="V438" i="2"/>
  <c r="U438" i="2"/>
  <c r="T438" i="2"/>
  <c r="S438" i="2"/>
  <c r="R436" i="3" s="1"/>
  <c r="R436" i="4" s="1"/>
  <c r="R438" i="2"/>
  <c r="Q438" i="2"/>
  <c r="P438" i="2"/>
  <c r="O438" i="2"/>
  <c r="N438" i="2"/>
  <c r="M438" i="2"/>
  <c r="L436" i="3" s="1"/>
  <c r="L436" i="4" s="1"/>
  <c r="L438" i="2"/>
  <c r="K438" i="2"/>
  <c r="J438" i="2"/>
  <c r="I438" i="2"/>
  <c r="H438" i="2"/>
  <c r="G438" i="2"/>
  <c r="F436" i="3" s="1"/>
  <c r="F436" i="4" s="1"/>
  <c r="F438" i="2"/>
  <c r="E438" i="2"/>
  <c r="D438" i="2"/>
  <c r="C438" i="2"/>
  <c r="B438" i="2"/>
  <c r="A438" i="2"/>
  <c r="AG437" i="2"/>
  <c r="AF437" i="2"/>
  <c r="AE437" i="2"/>
  <c r="AD437" i="2"/>
  <c r="AC437" i="2"/>
  <c r="AB437" i="2"/>
  <c r="AA435" i="3" s="1"/>
  <c r="AA435" i="4" s="1"/>
  <c r="AA437" i="2"/>
  <c r="Z437" i="2"/>
  <c r="Y437" i="2"/>
  <c r="X437" i="2"/>
  <c r="W437" i="2"/>
  <c r="V437" i="2"/>
  <c r="U435" i="3" s="1"/>
  <c r="U435" i="4" s="1"/>
  <c r="U437" i="2"/>
  <c r="T437" i="2"/>
  <c r="S437" i="2"/>
  <c r="R437" i="2"/>
  <c r="Q437" i="2"/>
  <c r="P437" i="2"/>
  <c r="O435" i="3" s="1"/>
  <c r="O435" i="4" s="1"/>
  <c r="O437" i="2"/>
  <c r="N437" i="2"/>
  <c r="M437" i="2"/>
  <c r="L437" i="2"/>
  <c r="K437" i="2"/>
  <c r="J437" i="2"/>
  <c r="I435" i="3" s="1"/>
  <c r="I435" i="4" s="1"/>
  <c r="I437" i="2"/>
  <c r="H437" i="2"/>
  <c r="G437" i="2"/>
  <c r="F437" i="2"/>
  <c r="E437" i="2"/>
  <c r="D437" i="2"/>
  <c r="C435" i="3" s="1"/>
  <c r="C435" i="4" s="1"/>
  <c r="C437" i="2"/>
  <c r="B437" i="2"/>
  <c r="A437" i="2"/>
  <c r="AG436" i="2"/>
  <c r="AF436" i="2"/>
  <c r="AE436" i="2"/>
  <c r="AD434" i="3" s="1"/>
  <c r="AD434" i="4" s="1"/>
  <c r="AD436" i="2"/>
  <c r="AC436" i="2"/>
  <c r="AB436" i="2"/>
  <c r="AA436" i="2"/>
  <c r="Z436" i="2"/>
  <c r="Y436" i="2"/>
  <c r="X434" i="3" s="1"/>
  <c r="X434" i="4" s="1"/>
  <c r="X436" i="2"/>
  <c r="W436" i="2"/>
  <c r="V436" i="2"/>
  <c r="U436" i="2"/>
  <c r="T436" i="2"/>
  <c r="S436" i="2"/>
  <c r="R434" i="3" s="1"/>
  <c r="R434" i="4" s="1"/>
  <c r="R436" i="2"/>
  <c r="Q436" i="2"/>
  <c r="P436" i="2"/>
  <c r="O436" i="2"/>
  <c r="N436" i="2"/>
  <c r="M436" i="2"/>
  <c r="L434" i="3" s="1"/>
  <c r="L434" i="4" s="1"/>
  <c r="L436" i="2"/>
  <c r="K436" i="2"/>
  <c r="J436" i="2"/>
  <c r="I436" i="2"/>
  <c r="H436" i="2"/>
  <c r="G436" i="2"/>
  <c r="F434" i="3" s="1"/>
  <c r="F434" i="4" s="1"/>
  <c r="F436" i="2"/>
  <c r="E436" i="2"/>
  <c r="D436" i="2"/>
  <c r="C436" i="2"/>
  <c r="B436" i="2"/>
  <c r="A436" i="2"/>
  <c r="AG435" i="2"/>
  <c r="AF435" i="2"/>
  <c r="AE435" i="2"/>
  <c r="AD435" i="2"/>
  <c r="AC435" i="2"/>
  <c r="AB435" i="2"/>
  <c r="AA433" i="3" s="1"/>
  <c r="AA433" i="4" s="1"/>
  <c r="AA435" i="2"/>
  <c r="Z435" i="2"/>
  <c r="Y435" i="2"/>
  <c r="X435" i="2"/>
  <c r="W435" i="2"/>
  <c r="V435" i="2"/>
  <c r="U433" i="3" s="1"/>
  <c r="U433" i="4" s="1"/>
  <c r="U435" i="2"/>
  <c r="T435" i="2"/>
  <c r="S435" i="2"/>
  <c r="R435" i="2"/>
  <c r="Q435" i="2"/>
  <c r="P435" i="2"/>
  <c r="O433" i="3" s="1"/>
  <c r="O433" i="4" s="1"/>
  <c r="O435" i="2"/>
  <c r="N435" i="2"/>
  <c r="M435" i="2"/>
  <c r="L435" i="2"/>
  <c r="K435" i="2"/>
  <c r="J435" i="2"/>
  <c r="I433" i="3" s="1"/>
  <c r="I433" i="4" s="1"/>
  <c r="I435" i="2"/>
  <c r="H435" i="2"/>
  <c r="G435" i="2"/>
  <c r="F435" i="2"/>
  <c r="E435" i="2"/>
  <c r="D435" i="2"/>
  <c r="C433" i="3" s="1"/>
  <c r="C433" i="4" s="1"/>
  <c r="C435" i="2"/>
  <c r="B435" i="2"/>
  <c r="A435" i="2"/>
  <c r="AG434" i="2"/>
  <c r="AF434" i="2"/>
  <c r="AE434" i="2"/>
  <c r="AD432" i="3" s="1"/>
  <c r="AD432" i="4" s="1"/>
  <c r="AD434" i="2"/>
  <c r="AC434" i="2"/>
  <c r="AB434" i="2"/>
  <c r="AA434" i="2"/>
  <c r="Z434" i="2"/>
  <c r="Y434" i="2"/>
  <c r="X432" i="3" s="1"/>
  <c r="X432" i="4" s="1"/>
  <c r="X434" i="2"/>
  <c r="W434" i="2"/>
  <c r="V434" i="2"/>
  <c r="U434" i="2"/>
  <c r="T434" i="2"/>
  <c r="S434" i="2"/>
  <c r="R432" i="3" s="1"/>
  <c r="R432" i="4" s="1"/>
  <c r="R434" i="2"/>
  <c r="Q434" i="2"/>
  <c r="P434" i="2"/>
  <c r="O434" i="2"/>
  <c r="N434" i="2"/>
  <c r="M434" i="2"/>
  <c r="L432" i="3" s="1"/>
  <c r="L432" i="4" s="1"/>
  <c r="L434" i="2"/>
  <c r="K434" i="2"/>
  <c r="J434" i="2"/>
  <c r="I434" i="2"/>
  <c r="H434" i="2"/>
  <c r="G434" i="2"/>
  <c r="F432" i="3" s="1"/>
  <c r="F432" i="4" s="1"/>
  <c r="F434" i="2"/>
  <c r="E434" i="2"/>
  <c r="D434" i="2"/>
  <c r="C434" i="2"/>
  <c r="B434" i="2"/>
  <c r="A434" i="2"/>
  <c r="AG433" i="2"/>
  <c r="AF433" i="2"/>
  <c r="AE433" i="2"/>
  <c r="AD433" i="2"/>
  <c r="AC433" i="2"/>
  <c r="AB433" i="2"/>
  <c r="AA431" i="3" s="1"/>
  <c r="AA431" i="4" s="1"/>
  <c r="AA433" i="2"/>
  <c r="Z433" i="2"/>
  <c r="Y433" i="2"/>
  <c r="X433" i="2"/>
  <c r="W433" i="2"/>
  <c r="V433" i="2"/>
  <c r="U431" i="3" s="1"/>
  <c r="U431" i="4" s="1"/>
  <c r="U433" i="2"/>
  <c r="T433" i="2"/>
  <c r="S433" i="2"/>
  <c r="R433" i="2"/>
  <c r="Q433" i="2"/>
  <c r="P433" i="2"/>
  <c r="O431" i="3" s="1"/>
  <c r="O431" i="4" s="1"/>
  <c r="O433" i="2"/>
  <c r="N433" i="2"/>
  <c r="M433" i="2"/>
  <c r="L433" i="2"/>
  <c r="K433" i="2"/>
  <c r="J433" i="2"/>
  <c r="I431" i="3" s="1"/>
  <c r="I431" i="4" s="1"/>
  <c r="I433" i="2"/>
  <c r="H433" i="2"/>
  <c r="G433" i="2"/>
  <c r="F433" i="2"/>
  <c r="E433" i="2"/>
  <c r="D433" i="2"/>
  <c r="C431" i="3" s="1"/>
  <c r="C431" i="4" s="1"/>
  <c r="C433" i="2"/>
  <c r="B433" i="2"/>
  <c r="A433" i="2"/>
  <c r="AG432" i="2"/>
  <c r="AF432" i="2"/>
  <c r="AE432" i="2"/>
  <c r="AD430" i="3" s="1"/>
  <c r="AD430" i="4" s="1"/>
  <c r="AD432" i="2"/>
  <c r="AC432" i="2"/>
  <c r="AB432" i="2"/>
  <c r="AA432" i="2"/>
  <c r="Z432" i="2"/>
  <c r="Y432" i="2"/>
  <c r="X430" i="3" s="1"/>
  <c r="X432" i="2"/>
  <c r="W432" i="2"/>
  <c r="V432" i="2"/>
  <c r="U432" i="2"/>
  <c r="T432" i="2"/>
  <c r="S432" i="2"/>
  <c r="R430" i="3" s="1"/>
  <c r="R430" i="4" s="1"/>
  <c r="R432" i="2"/>
  <c r="Q432" i="2"/>
  <c r="P432" i="2"/>
  <c r="O432" i="2"/>
  <c r="N432" i="2"/>
  <c r="M432" i="2"/>
  <c r="L430" i="3" s="1"/>
  <c r="L430" i="4" s="1"/>
  <c r="L432" i="2"/>
  <c r="K432" i="2"/>
  <c r="J432" i="2"/>
  <c r="I432" i="2"/>
  <c r="H432" i="2"/>
  <c r="G432" i="2"/>
  <c r="F430" i="3" s="1"/>
  <c r="F430" i="4" s="1"/>
  <c r="F432" i="2"/>
  <c r="E432" i="2"/>
  <c r="D432" i="2"/>
  <c r="C432" i="2"/>
  <c r="B432" i="2"/>
  <c r="A432" i="2"/>
  <c r="AG431" i="2"/>
  <c r="AF431" i="2"/>
  <c r="AE431" i="2"/>
  <c r="AD431" i="2"/>
  <c r="AC431" i="2"/>
  <c r="AB431" i="2"/>
  <c r="AA429" i="3" s="1"/>
  <c r="AA429" i="4" s="1"/>
  <c r="AA431" i="2"/>
  <c r="Z431" i="2"/>
  <c r="Y431" i="2"/>
  <c r="X431" i="2"/>
  <c r="W431" i="2"/>
  <c r="V431" i="2"/>
  <c r="U429" i="3" s="1"/>
  <c r="U431" i="2"/>
  <c r="T431" i="2"/>
  <c r="S431" i="2"/>
  <c r="R431" i="2"/>
  <c r="Q431" i="2"/>
  <c r="P431" i="2"/>
  <c r="O429" i="3" s="1"/>
  <c r="O429" i="4" s="1"/>
  <c r="O431" i="2"/>
  <c r="N431" i="2"/>
  <c r="M431" i="2"/>
  <c r="L431" i="2"/>
  <c r="K431" i="2"/>
  <c r="J431" i="2"/>
  <c r="I429" i="3" s="1"/>
  <c r="I429" i="4" s="1"/>
  <c r="I431" i="2"/>
  <c r="H431" i="2"/>
  <c r="G431" i="2"/>
  <c r="F431" i="2"/>
  <c r="E431" i="2"/>
  <c r="D431" i="2"/>
  <c r="C429" i="3" s="1"/>
  <c r="C429" i="4" s="1"/>
  <c r="C431" i="2"/>
  <c r="B431" i="2"/>
  <c r="A431" i="2"/>
  <c r="AG430" i="2"/>
  <c r="AF430" i="2"/>
  <c r="AE430" i="2"/>
  <c r="AD428" i="3" s="1"/>
  <c r="AD428" i="4" s="1"/>
  <c r="AD430" i="2"/>
  <c r="AC430" i="2"/>
  <c r="AB430" i="2"/>
  <c r="AA430" i="2"/>
  <c r="Z430" i="2"/>
  <c r="Y430" i="2"/>
  <c r="X428" i="3" s="1"/>
  <c r="X428" i="4" s="1"/>
  <c r="X430" i="2"/>
  <c r="W430" i="2"/>
  <c r="V430" i="2"/>
  <c r="U430" i="2"/>
  <c r="T430" i="2"/>
  <c r="S430" i="2"/>
  <c r="R428" i="3" s="1"/>
  <c r="R428" i="4" s="1"/>
  <c r="R430" i="2"/>
  <c r="Q430" i="2"/>
  <c r="P430" i="2"/>
  <c r="O430" i="2"/>
  <c r="N430" i="2"/>
  <c r="M430" i="2"/>
  <c r="L428" i="3" s="1"/>
  <c r="L428" i="4" s="1"/>
  <c r="L430" i="2"/>
  <c r="K430" i="2"/>
  <c r="J430" i="2"/>
  <c r="I430" i="2"/>
  <c r="H430" i="2"/>
  <c r="G430" i="2"/>
  <c r="F428" i="3" s="1"/>
  <c r="F428" i="4" s="1"/>
  <c r="F430" i="2"/>
  <c r="E430" i="2"/>
  <c r="D430" i="2"/>
  <c r="C430" i="2"/>
  <c r="B430" i="2"/>
  <c r="A430" i="2"/>
  <c r="AG429" i="2"/>
  <c r="AF429" i="2"/>
  <c r="AE429" i="2"/>
  <c r="AD429" i="2"/>
  <c r="AC429" i="2"/>
  <c r="AB429" i="2"/>
  <c r="AA427" i="3" s="1"/>
  <c r="AA427" i="4" s="1"/>
  <c r="AA429" i="2"/>
  <c r="Z429" i="2"/>
  <c r="Y429" i="2"/>
  <c r="X429" i="2"/>
  <c r="W429" i="2"/>
  <c r="V429" i="2"/>
  <c r="U427" i="3" s="1"/>
  <c r="U427" i="4" s="1"/>
  <c r="U429" i="2"/>
  <c r="T429" i="2"/>
  <c r="S429" i="2"/>
  <c r="R429" i="2"/>
  <c r="Q429" i="2"/>
  <c r="P429" i="2"/>
  <c r="O427" i="3" s="1"/>
  <c r="O427" i="4" s="1"/>
  <c r="O429" i="2"/>
  <c r="N429" i="2"/>
  <c r="M429" i="2"/>
  <c r="L429" i="2"/>
  <c r="K429" i="2"/>
  <c r="J429" i="2"/>
  <c r="I427" i="3" s="1"/>
  <c r="I427" i="4" s="1"/>
  <c r="I429" i="2"/>
  <c r="H429" i="2"/>
  <c r="G429" i="2"/>
  <c r="F429" i="2"/>
  <c r="E429" i="2"/>
  <c r="D429" i="2"/>
  <c r="C427" i="3" s="1"/>
  <c r="C427" i="4" s="1"/>
  <c r="C429" i="2"/>
  <c r="B429" i="2"/>
  <c r="A429" i="2"/>
  <c r="AG428" i="2"/>
  <c r="AF428" i="2"/>
  <c r="AE428" i="2"/>
  <c r="AD426" i="3" s="1"/>
  <c r="AD426" i="4" s="1"/>
  <c r="AD428" i="2"/>
  <c r="AC428" i="2"/>
  <c r="AB428" i="2"/>
  <c r="AA428" i="2"/>
  <c r="Z428" i="2"/>
  <c r="Y428" i="2"/>
  <c r="X426" i="3" s="1"/>
  <c r="X426" i="4" s="1"/>
  <c r="X428" i="2"/>
  <c r="W428" i="2"/>
  <c r="V428" i="2"/>
  <c r="U428" i="2"/>
  <c r="T428" i="2"/>
  <c r="S428" i="2"/>
  <c r="R426" i="3" s="1"/>
  <c r="R426" i="4" s="1"/>
  <c r="R428" i="2"/>
  <c r="Q428" i="2"/>
  <c r="P428" i="2"/>
  <c r="O428" i="2"/>
  <c r="N428" i="2"/>
  <c r="M428" i="2"/>
  <c r="L426" i="3" s="1"/>
  <c r="L426" i="4" s="1"/>
  <c r="L428" i="2"/>
  <c r="K428" i="2"/>
  <c r="J428" i="2"/>
  <c r="I428" i="2"/>
  <c r="H428" i="2"/>
  <c r="G428" i="2"/>
  <c r="F426" i="3" s="1"/>
  <c r="F426" i="4" s="1"/>
  <c r="F428" i="2"/>
  <c r="E428" i="2"/>
  <c r="D428" i="2"/>
  <c r="C428" i="2"/>
  <c r="B428" i="2"/>
  <c r="A428" i="2"/>
  <c r="AG427" i="2"/>
  <c r="AF427" i="2"/>
  <c r="AE427" i="2"/>
  <c r="AD427" i="2"/>
  <c r="AC427" i="2"/>
  <c r="AB427" i="2"/>
  <c r="AA425" i="3" s="1"/>
  <c r="AA425" i="4" s="1"/>
  <c r="AA427" i="2"/>
  <c r="Z427" i="2"/>
  <c r="Y427" i="2"/>
  <c r="X427" i="2"/>
  <c r="W427" i="2"/>
  <c r="V427" i="2"/>
  <c r="U425" i="3" s="1"/>
  <c r="U425" i="4" s="1"/>
  <c r="U427" i="2"/>
  <c r="T427" i="2"/>
  <c r="S427" i="2"/>
  <c r="R427" i="2"/>
  <c r="Q427" i="2"/>
  <c r="P427" i="2"/>
  <c r="O425" i="3" s="1"/>
  <c r="O425" i="4" s="1"/>
  <c r="O427" i="2"/>
  <c r="N427" i="2"/>
  <c r="M427" i="2"/>
  <c r="L427" i="2"/>
  <c r="K427" i="2"/>
  <c r="J427" i="2"/>
  <c r="I425" i="3" s="1"/>
  <c r="I425" i="4" s="1"/>
  <c r="I427" i="2"/>
  <c r="H427" i="2"/>
  <c r="G427" i="2"/>
  <c r="F427" i="2"/>
  <c r="E427" i="2"/>
  <c r="D427" i="2"/>
  <c r="C425" i="3" s="1"/>
  <c r="C425" i="4" s="1"/>
  <c r="C427" i="2"/>
  <c r="B427" i="2"/>
  <c r="A427" i="2"/>
  <c r="AG426" i="2"/>
  <c r="AF426" i="2"/>
  <c r="AE426" i="2"/>
  <c r="AD424" i="3" s="1"/>
  <c r="AD426" i="2"/>
  <c r="AC426" i="2"/>
  <c r="AB426" i="2"/>
  <c r="AA426" i="2"/>
  <c r="Z426" i="2"/>
  <c r="Y426" i="2"/>
  <c r="X424" i="3" s="1"/>
  <c r="X424" i="4" s="1"/>
  <c r="X426" i="2"/>
  <c r="W426" i="2"/>
  <c r="V426" i="2"/>
  <c r="U426" i="2"/>
  <c r="T426" i="2"/>
  <c r="S426" i="2"/>
  <c r="R424" i="3" s="1"/>
  <c r="R424" i="4" s="1"/>
  <c r="R426" i="2"/>
  <c r="Q426" i="2"/>
  <c r="P426" i="2"/>
  <c r="O426" i="2"/>
  <c r="N426" i="2"/>
  <c r="M426" i="2"/>
  <c r="L424" i="3" s="1"/>
  <c r="L424" i="4" s="1"/>
  <c r="L426" i="2"/>
  <c r="K426" i="2"/>
  <c r="J426" i="2"/>
  <c r="I426" i="2"/>
  <c r="H426" i="2"/>
  <c r="G426" i="2"/>
  <c r="F424" i="3" s="1"/>
  <c r="F424" i="4" s="1"/>
  <c r="F426" i="2"/>
  <c r="E426" i="2"/>
  <c r="D426" i="2"/>
  <c r="C426" i="2"/>
  <c r="B426" i="2"/>
  <c r="A426" i="2"/>
  <c r="AG425" i="2"/>
  <c r="AF425" i="2"/>
  <c r="AE425" i="2"/>
  <c r="AD425" i="2"/>
  <c r="AC425" i="2"/>
  <c r="AB425" i="2"/>
  <c r="AA423" i="3" s="1"/>
  <c r="AA423" i="4" s="1"/>
  <c r="AA425" i="2"/>
  <c r="Z425" i="2"/>
  <c r="Y425" i="2"/>
  <c r="X425" i="2"/>
  <c r="W425" i="2"/>
  <c r="V425" i="2"/>
  <c r="U423" i="3" s="1"/>
  <c r="U423" i="4" s="1"/>
  <c r="U425" i="2"/>
  <c r="T425" i="2"/>
  <c r="S425" i="2"/>
  <c r="R425" i="2"/>
  <c r="Q425" i="2"/>
  <c r="P425" i="2"/>
  <c r="O423" i="3" s="1"/>
  <c r="O423" i="4" s="1"/>
  <c r="O425" i="2"/>
  <c r="N425" i="2"/>
  <c r="M425" i="2"/>
  <c r="L425" i="2"/>
  <c r="K425" i="2"/>
  <c r="J425" i="2"/>
  <c r="I423" i="3" s="1"/>
  <c r="I423" i="4" s="1"/>
  <c r="I425" i="2"/>
  <c r="H425" i="2"/>
  <c r="G425" i="2"/>
  <c r="F425" i="2"/>
  <c r="E425" i="2"/>
  <c r="D425" i="2"/>
  <c r="C423" i="3" s="1"/>
  <c r="C423" i="4" s="1"/>
  <c r="C425" i="2"/>
  <c r="B425" i="2"/>
  <c r="A425" i="2"/>
  <c r="AG424" i="2"/>
  <c r="AF424" i="2"/>
  <c r="AE424" i="2"/>
  <c r="AD422" i="3" s="1"/>
  <c r="AD422" i="4" s="1"/>
  <c r="AD424" i="2"/>
  <c r="AC424" i="2"/>
  <c r="AB424" i="2"/>
  <c r="AA424" i="2"/>
  <c r="Z424" i="2"/>
  <c r="Y424" i="2"/>
  <c r="X422" i="3" s="1"/>
  <c r="X422" i="4" s="1"/>
  <c r="X424" i="2"/>
  <c r="W424" i="2"/>
  <c r="V424" i="2"/>
  <c r="U424" i="2"/>
  <c r="T424" i="2"/>
  <c r="S424" i="2"/>
  <c r="R422" i="3" s="1"/>
  <c r="R422" i="4" s="1"/>
  <c r="R424" i="2"/>
  <c r="Q424" i="2"/>
  <c r="P424" i="2"/>
  <c r="O424" i="2"/>
  <c r="N424" i="2"/>
  <c r="M424" i="2"/>
  <c r="L422" i="3" s="1"/>
  <c r="L422" i="4" s="1"/>
  <c r="L424" i="2"/>
  <c r="K424" i="2"/>
  <c r="J424" i="2"/>
  <c r="I424" i="2"/>
  <c r="H424" i="2"/>
  <c r="G424" i="2"/>
  <c r="F422" i="3" s="1"/>
  <c r="F422" i="4" s="1"/>
  <c r="F424" i="2"/>
  <c r="E424" i="2"/>
  <c r="D424" i="2"/>
  <c r="C424" i="2"/>
  <c r="B424" i="2"/>
  <c r="A424" i="2"/>
  <c r="AG423" i="2"/>
  <c r="AF423" i="2"/>
  <c r="AE423" i="2"/>
  <c r="AD423" i="2"/>
  <c r="AC423" i="2"/>
  <c r="AB423" i="2"/>
  <c r="AA421" i="3" s="1"/>
  <c r="AA421" i="4" s="1"/>
  <c r="AA423" i="2"/>
  <c r="Z423" i="2"/>
  <c r="Y423" i="2"/>
  <c r="X423" i="2"/>
  <c r="W423" i="2"/>
  <c r="V423" i="2"/>
  <c r="U421" i="3" s="1"/>
  <c r="U421" i="4" s="1"/>
  <c r="U423" i="2"/>
  <c r="T423" i="2"/>
  <c r="S423" i="2"/>
  <c r="R423" i="2"/>
  <c r="Q423" i="2"/>
  <c r="P423" i="2"/>
  <c r="O421" i="3" s="1"/>
  <c r="O421" i="4" s="1"/>
  <c r="O423" i="2"/>
  <c r="N423" i="2"/>
  <c r="M423" i="2"/>
  <c r="L423" i="2"/>
  <c r="K423" i="2"/>
  <c r="J423" i="2"/>
  <c r="I421" i="3" s="1"/>
  <c r="I421" i="4" s="1"/>
  <c r="I423" i="2"/>
  <c r="H423" i="2"/>
  <c r="G423" i="2"/>
  <c r="F423" i="2"/>
  <c r="E423" i="2"/>
  <c r="D423" i="2"/>
  <c r="C421" i="3" s="1"/>
  <c r="C421" i="4" s="1"/>
  <c r="C423" i="2"/>
  <c r="B423" i="2"/>
  <c r="A423" i="2"/>
  <c r="AG422" i="2"/>
  <c r="AF422" i="2"/>
  <c r="AE422" i="2"/>
  <c r="AD420" i="3" s="1"/>
  <c r="AD422" i="2"/>
  <c r="AC422" i="2"/>
  <c r="AB422" i="2"/>
  <c r="AA422" i="2"/>
  <c r="Z422" i="2"/>
  <c r="Y422" i="2"/>
  <c r="X420" i="3" s="1"/>
  <c r="X420" i="4" s="1"/>
  <c r="X422" i="2"/>
  <c r="W422" i="2"/>
  <c r="V422" i="2"/>
  <c r="U422" i="2"/>
  <c r="T422" i="2"/>
  <c r="S422" i="2"/>
  <c r="R420" i="3" s="1"/>
  <c r="R420" i="4" s="1"/>
  <c r="R422" i="2"/>
  <c r="Q422" i="2"/>
  <c r="P422" i="2"/>
  <c r="O422" i="2"/>
  <c r="N422" i="2"/>
  <c r="M422" i="2"/>
  <c r="L420" i="3" s="1"/>
  <c r="L420" i="4" s="1"/>
  <c r="L422" i="2"/>
  <c r="K422" i="2"/>
  <c r="J422" i="2"/>
  <c r="I422" i="2"/>
  <c r="H422" i="2"/>
  <c r="G422" i="2"/>
  <c r="F420" i="3" s="1"/>
  <c r="F420" i="4" s="1"/>
  <c r="F422" i="2"/>
  <c r="E422" i="2"/>
  <c r="D422" i="2"/>
  <c r="C422" i="2"/>
  <c r="B422" i="2"/>
  <c r="A422" i="2"/>
  <c r="AG421" i="2"/>
  <c r="AF421" i="2"/>
  <c r="AE421" i="2"/>
  <c r="AD421" i="2"/>
  <c r="AC421" i="2"/>
  <c r="AB421" i="2"/>
  <c r="AA419" i="3" s="1"/>
  <c r="AA419" i="4" s="1"/>
  <c r="AA421" i="2"/>
  <c r="Z421" i="2"/>
  <c r="Y421" i="2"/>
  <c r="X421" i="2"/>
  <c r="W421" i="2"/>
  <c r="V421" i="2"/>
  <c r="U419" i="3" s="1"/>
  <c r="U419" i="4" s="1"/>
  <c r="U421" i="2"/>
  <c r="T421" i="2"/>
  <c r="S421" i="2"/>
  <c r="R421" i="2"/>
  <c r="Q421" i="2"/>
  <c r="P421" i="2"/>
  <c r="O419" i="3" s="1"/>
  <c r="O421" i="2"/>
  <c r="N421" i="2"/>
  <c r="M421" i="2"/>
  <c r="L421" i="2"/>
  <c r="K421" i="2"/>
  <c r="J421" i="2"/>
  <c r="I419" i="3" s="1"/>
  <c r="I419" i="4" s="1"/>
  <c r="I421" i="2"/>
  <c r="H421" i="2"/>
  <c r="G421" i="2"/>
  <c r="F421" i="2"/>
  <c r="E421" i="2"/>
  <c r="D421" i="2"/>
  <c r="C419" i="3" s="1"/>
  <c r="C419" i="4" s="1"/>
  <c r="C421" i="2"/>
  <c r="B421" i="2"/>
  <c r="A421" i="2"/>
  <c r="AG420" i="2"/>
  <c r="AF420" i="2"/>
  <c r="AE420" i="2"/>
  <c r="AD418" i="3" s="1"/>
  <c r="AD418" i="4" s="1"/>
  <c r="AD420" i="2"/>
  <c r="AC420" i="2"/>
  <c r="AB420" i="2"/>
  <c r="AA420" i="2"/>
  <c r="Z420" i="2"/>
  <c r="Y420" i="2"/>
  <c r="X418" i="3" s="1"/>
  <c r="X418" i="4" s="1"/>
  <c r="X420" i="2"/>
  <c r="W420" i="2"/>
  <c r="V420" i="2"/>
  <c r="U420" i="2"/>
  <c r="T420" i="2"/>
  <c r="S420" i="2"/>
  <c r="R418" i="3" s="1"/>
  <c r="R418" i="4" s="1"/>
  <c r="R420" i="2"/>
  <c r="Q420" i="2"/>
  <c r="P420" i="2"/>
  <c r="O420" i="2"/>
  <c r="N420" i="2"/>
  <c r="M420" i="2"/>
  <c r="L418" i="3" s="1"/>
  <c r="L420" i="2"/>
  <c r="K420" i="2"/>
  <c r="J420" i="2"/>
  <c r="I420" i="2"/>
  <c r="H420" i="2"/>
  <c r="G420" i="2"/>
  <c r="F418" i="3" s="1"/>
  <c r="F418" i="4" s="1"/>
  <c r="F420" i="2"/>
  <c r="E420" i="2"/>
  <c r="D420" i="2"/>
  <c r="C420" i="2"/>
  <c r="B420" i="2"/>
  <c r="A420" i="2"/>
  <c r="AG419" i="2"/>
  <c r="AF419" i="2"/>
  <c r="AE419" i="2"/>
  <c r="AD419" i="2"/>
  <c r="AC419" i="2"/>
  <c r="AB419" i="2"/>
  <c r="AA417" i="3" s="1"/>
  <c r="AA417" i="4" s="1"/>
  <c r="AA419" i="2"/>
  <c r="Z419" i="2"/>
  <c r="Y419" i="2"/>
  <c r="X419" i="2"/>
  <c r="W419" i="2"/>
  <c r="V419" i="2"/>
  <c r="U417" i="3" s="1"/>
  <c r="U417" i="4" s="1"/>
  <c r="U419" i="2"/>
  <c r="T419" i="2"/>
  <c r="S419" i="2"/>
  <c r="R419" i="2"/>
  <c r="Q419" i="2"/>
  <c r="P419" i="2"/>
  <c r="O417" i="3" s="1"/>
  <c r="O417" i="4" s="1"/>
  <c r="O419" i="2"/>
  <c r="N419" i="2"/>
  <c r="M419" i="2"/>
  <c r="L419" i="2"/>
  <c r="K419" i="2"/>
  <c r="J419" i="2"/>
  <c r="I417" i="3" s="1"/>
  <c r="I417" i="4" s="1"/>
  <c r="I419" i="2"/>
  <c r="H419" i="2"/>
  <c r="G419" i="2"/>
  <c r="F419" i="2"/>
  <c r="E419" i="2"/>
  <c r="D419" i="2"/>
  <c r="C417" i="3" s="1"/>
  <c r="C417" i="4" s="1"/>
  <c r="C419" i="2"/>
  <c r="B419" i="2"/>
  <c r="A419" i="2"/>
  <c r="AG418" i="2"/>
  <c r="AF418" i="2"/>
  <c r="AE418" i="2"/>
  <c r="AD416" i="3" s="1"/>
  <c r="AD416" i="4" s="1"/>
  <c r="AD418" i="2"/>
  <c r="AC418" i="2"/>
  <c r="AB418" i="2"/>
  <c r="AA418" i="2"/>
  <c r="Z418" i="2"/>
  <c r="Y418" i="2"/>
  <c r="X416" i="3" s="1"/>
  <c r="X416" i="4" s="1"/>
  <c r="X418" i="2"/>
  <c r="W418" i="2"/>
  <c r="V418" i="2"/>
  <c r="U418" i="2"/>
  <c r="T418" i="2"/>
  <c r="S418" i="2"/>
  <c r="R416" i="3" s="1"/>
  <c r="R416" i="4" s="1"/>
  <c r="R418" i="2"/>
  <c r="Q418" i="2"/>
  <c r="P418" i="2"/>
  <c r="O418" i="2"/>
  <c r="N418" i="2"/>
  <c r="M418" i="2"/>
  <c r="L416" i="3" s="1"/>
  <c r="L416" i="4" s="1"/>
  <c r="L418" i="2"/>
  <c r="K418" i="2"/>
  <c r="J418" i="2"/>
  <c r="I418" i="2"/>
  <c r="H418" i="2"/>
  <c r="G418" i="2"/>
  <c r="F416" i="3" s="1"/>
  <c r="F416" i="4" s="1"/>
  <c r="F418" i="2"/>
  <c r="E418" i="2"/>
  <c r="D418" i="2"/>
  <c r="C418" i="2"/>
  <c r="B418" i="2"/>
  <c r="A418" i="2"/>
  <c r="AG417" i="2"/>
  <c r="AF417" i="2"/>
  <c r="AE417" i="2"/>
  <c r="AD417" i="2"/>
  <c r="AC417" i="2"/>
  <c r="AB417" i="2"/>
  <c r="AA415" i="3" s="1"/>
  <c r="AA415" i="4" s="1"/>
  <c r="AA417" i="2"/>
  <c r="Z417" i="2"/>
  <c r="Y417" i="2"/>
  <c r="X417" i="2"/>
  <c r="W417" i="2"/>
  <c r="V417" i="2"/>
  <c r="U415" i="3" s="1"/>
  <c r="U415" i="4" s="1"/>
  <c r="U417" i="2"/>
  <c r="T417" i="2"/>
  <c r="S417" i="2"/>
  <c r="R417" i="2"/>
  <c r="Q417" i="2"/>
  <c r="P417" i="2"/>
  <c r="O415" i="3" s="1"/>
  <c r="O415" i="4" s="1"/>
  <c r="O417" i="2"/>
  <c r="N417" i="2"/>
  <c r="M417" i="2"/>
  <c r="L417" i="2"/>
  <c r="K417" i="2"/>
  <c r="J417" i="2"/>
  <c r="I415" i="3" s="1"/>
  <c r="I415" i="4" s="1"/>
  <c r="I417" i="2"/>
  <c r="H417" i="2"/>
  <c r="G417" i="2"/>
  <c r="F417" i="2"/>
  <c r="E417" i="2"/>
  <c r="D417" i="2"/>
  <c r="C415" i="3" s="1"/>
  <c r="C415" i="4" s="1"/>
  <c r="C417" i="2"/>
  <c r="B417" i="2"/>
  <c r="A417" i="2"/>
  <c r="AG416" i="2"/>
  <c r="AF416" i="2"/>
  <c r="AE416" i="2"/>
  <c r="AD414" i="3" s="1"/>
  <c r="AD414" i="4" s="1"/>
  <c r="AD416" i="2"/>
  <c r="AC416" i="2"/>
  <c r="AB416" i="2"/>
  <c r="AA416" i="2"/>
  <c r="Z416" i="2"/>
  <c r="Y416" i="2"/>
  <c r="X414" i="3" s="1"/>
  <c r="X414" i="4" s="1"/>
  <c r="X416" i="2"/>
  <c r="W416" i="2"/>
  <c r="V416" i="2"/>
  <c r="U416" i="2"/>
  <c r="T416" i="2"/>
  <c r="S416" i="2"/>
  <c r="R414" i="3" s="1"/>
  <c r="R414" i="4" s="1"/>
  <c r="R416" i="2"/>
  <c r="Q416" i="2"/>
  <c r="P416" i="2"/>
  <c r="O416" i="2"/>
  <c r="N416" i="2"/>
  <c r="M416" i="2"/>
  <c r="L414" i="3" s="1"/>
  <c r="L414" i="4" s="1"/>
  <c r="L416" i="2"/>
  <c r="K416" i="2"/>
  <c r="J416" i="2"/>
  <c r="I416" i="2"/>
  <c r="H416" i="2"/>
  <c r="G416" i="2"/>
  <c r="F414" i="3" s="1"/>
  <c r="F414" i="4" s="1"/>
  <c r="F416" i="2"/>
  <c r="E416" i="2"/>
  <c r="D416" i="2"/>
  <c r="C416" i="2"/>
  <c r="B416" i="2"/>
  <c r="A416" i="2"/>
  <c r="AG415" i="2"/>
  <c r="AF415" i="2"/>
  <c r="AE415" i="2"/>
  <c r="AD415" i="2"/>
  <c r="AC415" i="2"/>
  <c r="AB415" i="2"/>
  <c r="AA413" i="3" s="1"/>
  <c r="AA413" i="4" s="1"/>
  <c r="AA415" i="2"/>
  <c r="Z415" i="2"/>
  <c r="Y415" i="2"/>
  <c r="X415" i="2"/>
  <c r="W415" i="2"/>
  <c r="V415" i="2"/>
  <c r="U413" i="3" s="1"/>
  <c r="U413" i="4" s="1"/>
  <c r="U415" i="2"/>
  <c r="T415" i="2"/>
  <c r="S415" i="2"/>
  <c r="R415" i="2"/>
  <c r="Q415" i="2"/>
  <c r="P415" i="2"/>
  <c r="O413" i="3" s="1"/>
  <c r="O413" i="4" s="1"/>
  <c r="O415" i="2"/>
  <c r="N415" i="2"/>
  <c r="M415" i="2"/>
  <c r="L415" i="2"/>
  <c r="K415" i="2"/>
  <c r="J415" i="2"/>
  <c r="I413" i="3" s="1"/>
  <c r="I413" i="4" s="1"/>
  <c r="I415" i="2"/>
  <c r="H415" i="2"/>
  <c r="G415" i="2"/>
  <c r="F415" i="2"/>
  <c r="E415" i="2"/>
  <c r="D415" i="2"/>
  <c r="C413" i="3" s="1"/>
  <c r="C413" i="4" s="1"/>
  <c r="C415" i="2"/>
  <c r="B415" i="2"/>
  <c r="A415" i="2"/>
  <c r="AG414" i="2"/>
  <c r="AF414" i="2"/>
  <c r="AE414" i="2"/>
  <c r="AD412" i="3" s="1"/>
  <c r="AD412" i="4" s="1"/>
  <c r="AD414" i="2"/>
  <c r="AC414" i="2"/>
  <c r="AB414" i="2"/>
  <c r="AA414" i="2"/>
  <c r="Z414" i="2"/>
  <c r="Y414" i="2"/>
  <c r="X412" i="3" s="1"/>
  <c r="X412" i="4" s="1"/>
  <c r="X414" i="2"/>
  <c r="W414" i="2"/>
  <c r="V414" i="2"/>
  <c r="U414" i="2"/>
  <c r="T414" i="2"/>
  <c r="S414" i="2"/>
  <c r="R412" i="3" s="1"/>
  <c r="R412" i="4" s="1"/>
  <c r="R414" i="2"/>
  <c r="Q414" i="2"/>
  <c r="P414" i="2"/>
  <c r="O414" i="2"/>
  <c r="N414" i="2"/>
  <c r="M414" i="2"/>
  <c r="L412" i="3" s="1"/>
  <c r="L412" i="4" s="1"/>
  <c r="L414" i="2"/>
  <c r="K414" i="2"/>
  <c r="J414" i="2"/>
  <c r="I414" i="2"/>
  <c r="H414" i="2"/>
  <c r="G414" i="2"/>
  <c r="F412" i="3" s="1"/>
  <c r="F412" i="4" s="1"/>
  <c r="F414" i="2"/>
  <c r="E414" i="2"/>
  <c r="D414" i="2"/>
  <c r="C414" i="2"/>
  <c r="B414" i="2"/>
  <c r="A414" i="2"/>
  <c r="AG413" i="2"/>
  <c r="AF413" i="2"/>
  <c r="AE413" i="2"/>
  <c r="AD413" i="2"/>
  <c r="AC413" i="2"/>
  <c r="AB413" i="2"/>
  <c r="AA411" i="3" s="1"/>
  <c r="AA411" i="4" s="1"/>
  <c r="AA413" i="2"/>
  <c r="Z413" i="2"/>
  <c r="Y413" i="2"/>
  <c r="X413" i="2"/>
  <c r="W413" i="2"/>
  <c r="V413" i="2"/>
  <c r="U411" i="3" s="1"/>
  <c r="U411" i="4" s="1"/>
  <c r="U413" i="2"/>
  <c r="T413" i="2"/>
  <c r="S413" i="2"/>
  <c r="R413" i="2"/>
  <c r="Q413" i="2"/>
  <c r="P413" i="2"/>
  <c r="O411" i="3" s="1"/>
  <c r="O411" i="4" s="1"/>
  <c r="O413" i="2"/>
  <c r="N413" i="2"/>
  <c r="M413" i="2"/>
  <c r="L413" i="2"/>
  <c r="K413" i="2"/>
  <c r="J413" i="2"/>
  <c r="I411" i="3" s="1"/>
  <c r="I411" i="4" s="1"/>
  <c r="I413" i="2"/>
  <c r="H413" i="2"/>
  <c r="G413" i="2"/>
  <c r="F413" i="2"/>
  <c r="E413" i="2"/>
  <c r="D413" i="2"/>
  <c r="C411" i="3" s="1"/>
  <c r="C411" i="4" s="1"/>
  <c r="C413" i="2"/>
  <c r="B413" i="2"/>
  <c r="A413" i="2"/>
  <c r="AG412" i="2"/>
  <c r="AF412" i="2"/>
  <c r="AE412" i="2"/>
  <c r="AD410" i="3" s="1"/>
  <c r="AD410" i="4" s="1"/>
  <c r="AD412" i="2"/>
  <c r="AC412" i="2"/>
  <c r="AB412" i="2"/>
  <c r="AA412" i="2"/>
  <c r="Z412" i="2"/>
  <c r="Y412" i="2"/>
  <c r="X410" i="3" s="1"/>
  <c r="X410" i="4" s="1"/>
  <c r="X412" i="2"/>
  <c r="W412" i="2"/>
  <c r="V412" i="2"/>
  <c r="U412" i="2"/>
  <c r="T412" i="2"/>
  <c r="S412" i="2"/>
  <c r="R410" i="3" s="1"/>
  <c r="R410" i="4" s="1"/>
  <c r="R412" i="2"/>
  <c r="Q412" i="2"/>
  <c r="P412" i="2"/>
  <c r="O412" i="2"/>
  <c r="N412" i="2"/>
  <c r="M412" i="2"/>
  <c r="L410" i="3" s="1"/>
  <c r="L410" i="4" s="1"/>
  <c r="L412" i="2"/>
  <c r="K412" i="2"/>
  <c r="J412" i="2"/>
  <c r="I412" i="2"/>
  <c r="H412" i="2"/>
  <c r="G412" i="2"/>
  <c r="F410" i="3" s="1"/>
  <c r="F410" i="4" s="1"/>
  <c r="F412" i="2"/>
  <c r="E412" i="2"/>
  <c r="D412" i="2"/>
  <c r="C412" i="2"/>
  <c r="B412" i="2"/>
  <c r="A412" i="2"/>
  <c r="AG411" i="2"/>
  <c r="AF411" i="2"/>
  <c r="AE411" i="2"/>
  <c r="AD411" i="2"/>
  <c r="AC411" i="2"/>
  <c r="AB411" i="2"/>
  <c r="AA409" i="3" s="1"/>
  <c r="AA409" i="4" s="1"/>
  <c r="AA411" i="2"/>
  <c r="Z411" i="2"/>
  <c r="Y411" i="2"/>
  <c r="X411" i="2"/>
  <c r="W411" i="2"/>
  <c r="V411" i="2"/>
  <c r="U409" i="3" s="1"/>
  <c r="U409" i="4" s="1"/>
  <c r="U411" i="2"/>
  <c r="T411" i="2"/>
  <c r="S411" i="2"/>
  <c r="R411" i="2"/>
  <c r="Q411" i="2"/>
  <c r="P411" i="2"/>
  <c r="O409" i="3" s="1"/>
  <c r="O409" i="4" s="1"/>
  <c r="O411" i="2"/>
  <c r="N411" i="2"/>
  <c r="M411" i="2"/>
  <c r="L411" i="2"/>
  <c r="K411" i="2"/>
  <c r="J411" i="2"/>
  <c r="I409" i="3" s="1"/>
  <c r="I409" i="4" s="1"/>
  <c r="I411" i="2"/>
  <c r="H411" i="2"/>
  <c r="G411" i="2"/>
  <c r="F411" i="2"/>
  <c r="E411" i="2"/>
  <c r="D411" i="2"/>
  <c r="C409" i="3" s="1"/>
  <c r="C409" i="4" s="1"/>
  <c r="C411" i="2"/>
  <c r="B411" i="2"/>
  <c r="A411" i="2"/>
  <c r="AG410" i="2"/>
  <c r="AF410" i="2"/>
  <c r="AE410" i="2"/>
  <c r="AD408" i="3" s="1"/>
  <c r="AD408" i="4" s="1"/>
  <c r="AD410" i="2"/>
  <c r="AC410" i="2"/>
  <c r="AB410" i="2"/>
  <c r="AA410" i="2"/>
  <c r="Z410" i="2"/>
  <c r="Y410" i="2"/>
  <c r="X408" i="3" s="1"/>
  <c r="X408" i="4" s="1"/>
  <c r="X410" i="2"/>
  <c r="W410" i="2"/>
  <c r="V410" i="2"/>
  <c r="U410" i="2"/>
  <c r="T410" i="2"/>
  <c r="S410" i="2"/>
  <c r="R408" i="3" s="1"/>
  <c r="R408" i="4" s="1"/>
  <c r="R410" i="2"/>
  <c r="Q410" i="2"/>
  <c r="P410" i="2"/>
  <c r="O410" i="2"/>
  <c r="N410" i="2"/>
  <c r="M410" i="2"/>
  <c r="L408" i="3" s="1"/>
  <c r="L408" i="4" s="1"/>
  <c r="L410" i="2"/>
  <c r="K410" i="2"/>
  <c r="J410" i="2"/>
  <c r="I410" i="2"/>
  <c r="H410" i="2"/>
  <c r="G410" i="2"/>
  <c r="F408" i="3" s="1"/>
  <c r="F408" i="4" s="1"/>
  <c r="F410" i="2"/>
  <c r="E410" i="2"/>
  <c r="D410" i="2"/>
  <c r="C410" i="2"/>
  <c r="B410" i="2"/>
  <c r="A410" i="2"/>
  <c r="AG409" i="2"/>
  <c r="AF409" i="2"/>
  <c r="AE409" i="2"/>
  <c r="AD409" i="2"/>
  <c r="AC409" i="2"/>
  <c r="AB409" i="2"/>
  <c r="AA407" i="3" s="1"/>
  <c r="AA407" i="4" s="1"/>
  <c r="AA409" i="2"/>
  <c r="Z409" i="2"/>
  <c r="Y409" i="2"/>
  <c r="X409" i="2"/>
  <c r="W409" i="2"/>
  <c r="V409" i="2"/>
  <c r="U407" i="3" s="1"/>
  <c r="U407" i="4" s="1"/>
  <c r="U409" i="2"/>
  <c r="T409" i="2"/>
  <c r="S409" i="2"/>
  <c r="R409" i="2"/>
  <c r="Q409" i="2"/>
  <c r="P409" i="2"/>
  <c r="O407" i="3" s="1"/>
  <c r="O407" i="4" s="1"/>
  <c r="O409" i="2"/>
  <c r="N409" i="2"/>
  <c r="M409" i="2"/>
  <c r="L409" i="2"/>
  <c r="K409" i="2"/>
  <c r="J409" i="2"/>
  <c r="I407" i="3" s="1"/>
  <c r="I407" i="4" s="1"/>
  <c r="I409" i="2"/>
  <c r="H409" i="2"/>
  <c r="G409" i="2"/>
  <c r="F409" i="2"/>
  <c r="E409" i="2"/>
  <c r="D409" i="2"/>
  <c r="C407" i="3" s="1"/>
  <c r="C407" i="4" s="1"/>
  <c r="C409" i="2"/>
  <c r="B409" i="2"/>
  <c r="A409" i="2"/>
  <c r="AG408" i="2"/>
  <c r="AF408" i="2"/>
  <c r="AE408" i="2"/>
  <c r="AD406" i="3" s="1"/>
  <c r="AD406" i="4" s="1"/>
  <c r="AD408" i="2"/>
  <c r="AC408" i="2"/>
  <c r="AB408" i="2"/>
  <c r="AA408" i="2"/>
  <c r="Z408" i="2"/>
  <c r="Y408" i="2"/>
  <c r="X406" i="3" s="1"/>
  <c r="X406" i="4" s="1"/>
  <c r="X408" i="2"/>
  <c r="W408" i="2"/>
  <c r="V408" i="2"/>
  <c r="U408" i="2"/>
  <c r="T408" i="2"/>
  <c r="S408" i="2"/>
  <c r="R406" i="3" s="1"/>
  <c r="R406" i="4" s="1"/>
  <c r="R408" i="2"/>
  <c r="Q408" i="2"/>
  <c r="P408" i="2"/>
  <c r="O408" i="2"/>
  <c r="N408" i="2"/>
  <c r="M408" i="2"/>
  <c r="L406" i="3" s="1"/>
  <c r="L406" i="4" s="1"/>
  <c r="L408" i="2"/>
  <c r="K408" i="2"/>
  <c r="J408" i="2"/>
  <c r="I408" i="2"/>
  <c r="H408" i="2"/>
  <c r="G408" i="2"/>
  <c r="F406" i="3" s="1"/>
  <c r="F406" i="4" s="1"/>
  <c r="F408" i="2"/>
  <c r="E408" i="2"/>
  <c r="D408" i="2"/>
  <c r="C408" i="2"/>
  <c r="B408" i="2"/>
  <c r="A408" i="2"/>
  <c r="AG407" i="2"/>
  <c r="AF407" i="2"/>
  <c r="AE407" i="2"/>
  <c r="AD407" i="2"/>
  <c r="AC407" i="2"/>
  <c r="AB407" i="2"/>
  <c r="AA405" i="3" s="1"/>
  <c r="AA405" i="4" s="1"/>
  <c r="AA407" i="2"/>
  <c r="Z407" i="2"/>
  <c r="Y407" i="2"/>
  <c r="X407" i="2"/>
  <c r="W407" i="2"/>
  <c r="V407" i="2"/>
  <c r="U405" i="3" s="1"/>
  <c r="U405" i="4" s="1"/>
  <c r="U407" i="2"/>
  <c r="T407" i="2"/>
  <c r="S407" i="2"/>
  <c r="R407" i="2"/>
  <c r="Q407" i="2"/>
  <c r="P407" i="2"/>
  <c r="O405" i="3" s="1"/>
  <c r="O405" i="4" s="1"/>
  <c r="O407" i="2"/>
  <c r="N407" i="2"/>
  <c r="M407" i="2"/>
  <c r="L407" i="2"/>
  <c r="K407" i="2"/>
  <c r="J407" i="2"/>
  <c r="I405" i="3" s="1"/>
  <c r="I405" i="4" s="1"/>
  <c r="I407" i="2"/>
  <c r="H407" i="2"/>
  <c r="G407" i="2"/>
  <c r="F407" i="2"/>
  <c r="E407" i="2"/>
  <c r="D407" i="2"/>
  <c r="C405" i="3" s="1"/>
  <c r="C405" i="4" s="1"/>
  <c r="C407" i="2"/>
  <c r="B407" i="2"/>
  <c r="A407" i="2"/>
  <c r="AG406" i="2"/>
  <c r="AF406" i="2"/>
  <c r="AE406" i="2"/>
  <c r="AD404" i="3" s="1"/>
  <c r="AD404" i="4" s="1"/>
  <c r="AD406" i="2"/>
  <c r="AC406" i="2"/>
  <c r="AB406" i="2"/>
  <c r="AA406" i="2"/>
  <c r="Z406" i="2"/>
  <c r="Y406" i="2"/>
  <c r="X404" i="3" s="1"/>
  <c r="X404" i="4" s="1"/>
  <c r="X406" i="2"/>
  <c r="W406" i="2"/>
  <c r="V406" i="2"/>
  <c r="U406" i="2"/>
  <c r="T406" i="2"/>
  <c r="S406" i="2"/>
  <c r="R404" i="3" s="1"/>
  <c r="R404" i="4" s="1"/>
  <c r="R406" i="2"/>
  <c r="Q406" i="2"/>
  <c r="P406" i="2"/>
  <c r="O406" i="2"/>
  <c r="N406" i="2"/>
  <c r="M406" i="2"/>
  <c r="L404" i="3" s="1"/>
  <c r="L404" i="4" s="1"/>
  <c r="L406" i="2"/>
  <c r="K406" i="2"/>
  <c r="J406" i="2"/>
  <c r="I406" i="2"/>
  <c r="H406" i="2"/>
  <c r="G406" i="2"/>
  <c r="F404" i="3" s="1"/>
  <c r="F404" i="4" s="1"/>
  <c r="F406" i="2"/>
  <c r="E406" i="2"/>
  <c r="D406" i="2"/>
  <c r="C406" i="2"/>
  <c r="B406" i="2"/>
  <c r="A406" i="2"/>
  <c r="AG405" i="2"/>
  <c r="AF405" i="2"/>
  <c r="AE405" i="2"/>
  <c r="AD405" i="2"/>
  <c r="AC405" i="2"/>
  <c r="AB405" i="2"/>
  <c r="AA403" i="3" s="1"/>
  <c r="AA403" i="4" s="1"/>
  <c r="AA405" i="2"/>
  <c r="Z405" i="2"/>
  <c r="Y405" i="2"/>
  <c r="X405" i="2"/>
  <c r="W405" i="2"/>
  <c r="V405" i="2"/>
  <c r="U403" i="3" s="1"/>
  <c r="U403" i="4" s="1"/>
  <c r="U405" i="2"/>
  <c r="T405" i="2"/>
  <c r="S405" i="2"/>
  <c r="R405" i="2"/>
  <c r="Q405" i="2"/>
  <c r="P405" i="2"/>
  <c r="O403" i="3" s="1"/>
  <c r="O403" i="4" s="1"/>
  <c r="O405" i="2"/>
  <c r="N405" i="2"/>
  <c r="M405" i="2"/>
  <c r="L405" i="2"/>
  <c r="K405" i="2"/>
  <c r="J405" i="2"/>
  <c r="I403" i="3" s="1"/>
  <c r="I403" i="4" s="1"/>
  <c r="I405" i="2"/>
  <c r="H405" i="2"/>
  <c r="G405" i="2"/>
  <c r="F405" i="2"/>
  <c r="E405" i="2"/>
  <c r="D405" i="2"/>
  <c r="C403" i="3" s="1"/>
  <c r="C403" i="4" s="1"/>
  <c r="C405" i="2"/>
  <c r="B405" i="2"/>
  <c r="A405" i="2"/>
  <c r="AG404" i="2"/>
  <c r="AF404" i="2"/>
  <c r="AE404" i="2"/>
  <c r="AD402" i="3" s="1"/>
  <c r="AD402" i="4" s="1"/>
  <c r="AD404" i="2"/>
  <c r="AC404" i="2"/>
  <c r="AB404" i="2"/>
  <c r="AA404" i="2"/>
  <c r="Z404" i="2"/>
  <c r="Y404" i="2"/>
  <c r="X402" i="3" s="1"/>
  <c r="X402" i="4" s="1"/>
  <c r="X404" i="2"/>
  <c r="W404" i="2"/>
  <c r="V404" i="2"/>
  <c r="U404" i="2"/>
  <c r="T404" i="2"/>
  <c r="S404" i="2"/>
  <c r="R402" i="3" s="1"/>
  <c r="R402" i="4" s="1"/>
  <c r="R404" i="2"/>
  <c r="Q404" i="2"/>
  <c r="P404" i="2"/>
  <c r="O404" i="2"/>
  <c r="N404" i="2"/>
  <c r="M404" i="2"/>
  <c r="L402" i="3" s="1"/>
  <c r="L402" i="4" s="1"/>
  <c r="L404" i="2"/>
  <c r="K404" i="2"/>
  <c r="J404" i="2"/>
  <c r="I404" i="2"/>
  <c r="H404" i="2"/>
  <c r="G404" i="2"/>
  <c r="F402" i="3" s="1"/>
  <c r="F402" i="4" s="1"/>
  <c r="F404" i="2"/>
  <c r="E404" i="2"/>
  <c r="D404" i="2"/>
  <c r="C404" i="2"/>
  <c r="B404" i="2"/>
  <c r="A404" i="2"/>
  <c r="AG403" i="2"/>
  <c r="AF403" i="2"/>
  <c r="AE403" i="2"/>
  <c r="AD403" i="2"/>
  <c r="AC403" i="2"/>
  <c r="AB403" i="2"/>
  <c r="AA401" i="3" s="1"/>
  <c r="AA401" i="4" s="1"/>
  <c r="AA403" i="2"/>
  <c r="Z403" i="2"/>
  <c r="Y403" i="2"/>
  <c r="X403" i="2"/>
  <c r="W403" i="2"/>
  <c r="V403" i="2"/>
  <c r="U401" i="3" s="1"/>
  <c r="U401" i="4" s="1"/>
  <c r="U403" i="2"/>
  <c r="T403" i="2"/>
  <c r="S403" i="2"/>
  <c r="R403" i="2"/>
  <c r="Q403" i="2"/>
  <c r="P403" i="2"/>
  <c r="O401" i="3" s="1"/>
  <c r="O401" i="4" s="1"/>
  <c r="O403" i="2"/>
  <c r="N403" i="2"/>
  <c r="M403" i="2"/>
  <c r="L403" i="2"/>
  <c r="K403" i="2"/>
  <c r="J403" i="2"/>
  <c r="I401" i="3" s="1"/>
  <c r="I401" i="4" s="1"/>
  <c r="I403" i="2"/>
  <c r="H403" i="2"/>
  <c r="G403" i="2"/>
  <c r="F403" i="2"/>
  <c r="E403" i="2"/>
  <c r="D403" i="2"/>
  <c r="C401" i="3" s="1"/>
  <c r="C401" i="4" s="1"/>
  <c r="C403" i="2"/>
  <c r="B403" i="2"/>
  <c r="A403" i="2"/>
  <c r="AG402" i="2"/>
  <c r="AF402" i="2"/>
  <c r="AE402" i="2"/>
  <c r="AD400" i="3" s="1"/>
  <c r="AD400" i="4" s="1"/>
  <c r="AD402" i="2"/>
  <c r="AC402" i="2"/>
  <c r="AB402" i="2"/>
  <c r="AA402" i="2"/>
  <c r="Z402" i="2"/>
  <c r="Y402" i="2"/>
  <c r="X400" i="3" s="1"/>
  <c r="X400" i="4" s="1"/>
  <c r="X402" i="2"/>
  <c r="W402" i="2"/>
  <c r="V402" i="2"/>
  <c r="U402" i="2"/>
  <c r="T402" i="2"/>
  <c r="S402" i="2"/>
  <c r="R400" i="3" s="1"/>
  <c r="R400" i="4" s="1"/>
  <c r="R402" i="2"/>
  <c r="Q402" i="2"/>
  <c r="P402" i="2"/>
  <c r="O402" i="2"/>
  <c r="N402" i="2"/>
  <c r="M402" i="2"/>
  <c r="L400" i="3" s="1"/>
  <c r="L400" i="4" s="1"/>
  <c r="L402" i="2"/>
  <c r="K402" i="2"/>
  <c r="J402" i="2"/>
  <c r="I402" i="2"/>
  <c r="H402" i="2"/>
  <c r="G402" i="2"/>
  <c r="F400" i="3" s="1"/>
  <c r="F400" i="4" s="1"/>
  <c r="F402" i="2"/>
  <c r="E402" i="2"/>
  <c r="D402" i="2"/>
  <c r="C402" i="2"/>
  <c r="B402" i="2"/>
  <c r="A402" i="2"/>
  <c r="AG401" i="2"/>
  <c r="AF401" i="2"/>
  <c r="AE401" i="2"/>
  <c r="AD401" i="2"/>
  <c r="AC401" i="2"/>
  <c r="AB401" i="2"/>
  <c r="AA399" i="3" s="1"/>
  <c r="AA399" i="4" s="1"/>
  <c r="AA401" i="2"/>
  <c r="Z401" i="2"/>
  <c r="Y401" i="2"/>
  <c r="X401" i="2"/>
  <c r="W401" i="2"/>
  <c r="V401" i="2"/>
  <c r="U399" i="3" s="1"/>
  <c r="U399" i="4" s="1"/>
  <c r="U401" i="2"/>
  <c r="T401" i="2"/>
  <c r="S401" i="2"/>
  <c r="R401" i="2"/>
  <c r="Q401" i="2"/>
  <c r="P401" i="2"/>
  <c r="O399" i="3" s="1"/>
  <c r="O399" i="4" s="1"/>
  <c r="O401" i="2"/>
  <c r="N401" i="2"/>
  <c r="M401" i="2"/>
  <c r="L401" i="2"/>
  <c r="K401" i="2"/>
  <c r="J401" i="2"/>
  <c r="I399" i="3" s="1"/>
  <c r="I399" i="4" s="1"/>
  <c r="I401" i="2"/>
  <c r="H401" i="2"/>
  <c r="G401" i="2"/>
  <c r="F401" i="2"/>
  <c r="E401" i="2"/>
  <c r="D401" i="2"/>
  <c r="C399" i="3" s="1"/>
  <c r="C399" i="4" s="1"/>
  <c r="C401" i="2"/>
  <c r="B401" i="2"/>
  <c r="A401" i="2"/>
  <c r="AG400" i="2"/>
  <c r="AF400" i="2"/>
  <c r="AE400" i="2"/>
  <c r="AD398" i="3" s="1"/>
  <c r="AD398" i="4" s="1"/>
  <c r="AD400" i="2"/>
  <c r="AC400" i="2"/>
  <c r="AB400" i="2"/>
  <c r="AA400" i="2"/>
  <c r="Z400" i="2"/>
  <c r="Y400" i="2"/>
  <c r="X398" i="3" s="1"/>
  <c r="X398" i="4" s="1"/>
  <c r="X400" i="2"/>
  <c r="W400" i="2"/>
  <c r="V400" i="2"/>
  <c r="U400" i="2"/>
  <c r="T400" i="2"/>
  <c r="S400" i="2"/>
  <c r="R398" i="3" s="1"/>
  <c r="R398" i="4" s="1"/>
  <c r="R400" i="2"/>
  <c r="Q400" i="2"/>
  <c r="P400" i="2"/>
  <c r="O400" i="2"/>
  <c r="N400" i="2"/>
  <c r="M400" i="2"/>
  <c r="L398" i="3" s="1"/>
  <c r="L398" i="4" s="1"/>
  <c r="L400" i="2"/>
  <c r="K400" i="2"/>
  <c r="J400" i="2"/>
  <c r="I400" i="2"/>
  <c r="H400" i="2"/>
  <c r="G400" i="2"/>
  <c r="F398" i="3" s="1"/>
  <c r="F398" i="4" s="1"/>
  <c r="F400" i="2"/>
  <c r="E400" i="2"/>
  <c r="D400" i="2"/>
  <c r="C400" i="2"/>
  <c r="B400" i="2"/>
  <c r="A400" i="2"/>
  <c r="AG399" i="2"/>
  <c r="AF399" i="2"/>
  <c r="AE399" i="2"/>
  <c r="AD399" i="2"/>
  <c r="AC399" i="2"/>
  <c r="AB399" i="2"/>
  <c r="AA397" i="3" s="1"/>
  <c r="AA397" i="4" s="1"/>
  <c r="AA399" i="2"/>
  <c r="Z399" i="2"/>
  <c r="Y399" i="2"/>
  <c r="X399" i="2"/>
  <c r="W399" i="2"/>
  <c r="V399" i="2"/>
  <c r="U397" i="3" s="1"/>
  <c r="U397" i="4" s="1"/>
  <c r="U399" i="2"/>
  <c r="T399" i="2"/>
  <c r="S399" i="2"/>
  <c r="R399" i="2"/>
  <c r="Q399" i="2"/>
  <c r="P399" i="2"/>
  <c r="O397" i="3" s="1"/>
  <c r="O397" i="4" s="1"/>
  <c r="O399" i="2"/>
  <c r="N399" i="2"/>
  <c r="M399" i="2"/>
  <c r="L399" i="2"/>
  <c r="K399" i="2"/>
  <c r="J399" i="2"/>
  <c r="I397" i="3" s="1"/>
  <c r="I397" i="4" s="1"/>
  <c r="I399" i="2"/>
  <c r="H399" i="2"/>
  <c r="G399" i="2"/>
  <c r="F399" i="2"/>
  <c r="E399" i="2"/>
  <c r="D399" i="2"/>
  <c r="C397" i="3" s="1"/>
  <c r="C397" i="4" s="1"/>
  <c r="C399" i="2"/>
  <c r="B399" i="2"/>
  <c r="A399" i="2"/>
  <c r="AG398" i="2"/>
  <c r="AF398" i="2"/>
  <c r="AE398" i="2"/>
  <c r="AD396" i="3" s="1"/>
  <c r="AD396" i="4" s="1"/>
  <c r="AD398" i="2"/>
  <c r="AC398" i="2"/>
  <c r="AB398" i="2"/>
  <c r="AA398" i="2"/>
  <c r="Z398" i="2"/>
  <c r="Y398" i="2"/>
  <c r="X396" i="3" s="1"/>
  <c r="X396" i="4" s="1"/>
  <c r="X398" i="2"/>
  <c r="W398" i="2"/>
  <c r="V398" i="2"/>
  <c r="U398" i="2"/>
  <c r="T398" i="2"/>
  <c r="S398" i="2"/>
  <c r="R396" i="3" s="1"/>
  <c r="R396" i="4" s="1"/>
  <c r="R398" i="2"/>
  <c r="Q398" i="2"/>
  <c r="P398" i="2"/>
  <c r="O398" i="2"/>
  <c r="N398" i="2"/>
  <c r="M398" i="2"/>
  <c r="L396" i="3" s="1"/>
  <c r="L396" i="4" s="1"/>
  <c r="L398" i="2"/>
  <c r="K398" i="2"/>
  <c r="J398" i="2"/>
  <c r="I398" i="2"/>
  <c r="H398" i="2"/>
  <c r="G398" i="2"/>
  <c r="F396" i="3" s="1"/>
  <c r="F396" i="4" s="1"/>
  <c r="F398" i="2"/>
  <c r="E398" i="2"/>
  <c r="D398" i="2"/>
  <c r="C398" i="2"/>
  <c r="B398" i="2"/>
  <c r="A398" i="2"/>
  <c r="AG397" i="2"/>
  <c r="AF397" i="2"/>
  <c r="AE397" i="2"/>
  <c r="AD397" i="2"/>
  <c r="AC397" i="2"/>
  <c r="AB397" i="2"/>
  <c r="AA395" i="3" s="1"/>
  <c r="AA395" i="4" s="1"/>
  <c r="AA397" i="2"/>
  <c r="Z397" i="2"/>
  <c r="Y397" i="2"/>
  <c r="X397" i="2"/>
  <c r="W397" i="2"/>
  <c r="V397" i="2"/>
  <c r="U395" i="3" s="1"/>
  <c r="U395" i="4" s="1"/>
  <c r="U397" i="2"/>
  <c r="T397" i="2"/>
  <c r="S397" i="2"/>
  <c r="R397" i="2"/>
  <c r="Q397" i="2"/>
  <c r="P397" i="2"/>
  <c r="O395" i="3" s="1"/>
  <c r="O395" i="4" s="1"/>
  <c r="O397" i="2"/>
  <c r="N397" i="2"/>
  <c r="M397" i="2"/>
  <c r="L397" i="2"/>
  <c r="K397" i="2"/>
  <c r="J397" i="2"/>
  <c r="I395" i="3" s="1"/>
  <c r="I395" i="4" s="1"/>
  <c r="I397" i="2"/>
  <c r="H397" i="2"/>
  <c r="G397" i="2"/>
  <c r="F397" i="2"/>
  <c r="E397" i="2"/>
  <c r="D397" i="2"/>
  <c r="C395" i="3" s="1"/>
  <c r="C395" i="4" s="1"/>
  <c r="C397" i="2"/>
  <c r="B397" i="2"/>
  <c r="A397" i="2"/>
  <c r="AG396" i="2"/>
  <c r="AF396" i="2"/>
  <c r="AE396" i="2"/>
  <c r="AD396" i="2"/>
  <c r="AC396" i="2"/>
  <c r="AB396" i="2"/>
  <c r="AA396" i="2"/>
  <c r="Z396" i="2"/>
  <c r="Y396" i="2"/>
  <c r="X394" i="3" s="1"/>
  <c r="X394" i="4" s="1"/>
  <c r="X396" i="2"/>
  <c r="W396" i="2"/>
  <c r="V396" i="2"/>
  <c r="U396" i="2"/>
  <c r="T396" i="2"/>
  <c r="S396" i="2"/>
  <c r="R394" i="3" s="1"/>
  <c r="R394" i="4" s="1"/>
  <c r="R396" i="2"/>
  <c r="Q396" i="2"/>
  <c r="P396" i="2"/>
  <c r="O396" i="2"/>
  <c r="N396" i="2"/>
  <c r="M396" i="2"/>
  <c r="L394" i="3" s="1"/>
  <c r="L394" i="4" s="1"/>
  <c r="L396" i="2"/>
  <c r="K396" i="2"/>
  <c r="J396" i="2"/>
  <c r="I396" i="2"/>
  <c r="H396" i="2"/>
  <c r="G396" i="2"/>
  <c r="F394" i="3" s="1"/>
  <c r="F394" i="4" s="1"/>
  <c r="F396" i="2"/>
  <c r="E396" i="2"/>
  <c r="D396" i="2"/>
  <c r="C396" i="2"/>
  <c r="B396" i="2"/>
  <c r="A396" i="2"/>
  <c r="AG395" i="2"/>
  <c r="AF395" i="2"/>
  <c r="AE395" i="2"/>
  <c r="AD395" i="2"/>
  <c r="AC395" i="2"/>
  <c r="AB395" i="2"/>
  <c r="AA393" i="3" s="1"/>
  <c r="AA393" i="4" s="1"/>
  <c r="AA395" i="2"/>
  <c r="Z395" i="2"/>
  <c r="Y395" i="2"/>
  <c r="X395" i="2"/>
  <c r="W395" i="2"/>
  <c r="V395" i="2"/>
  <c r="U393" i="3" s="1"/>
  <c r="U393" i="4" s="1"/>
  <c r="U395" i="2"/>
  <c r="T395" i="2"/>
  <c r="S395" i="2"/>
  <c r="R395" i="2"/>
  <c r="Q395" i="2"/>
  <c r="P395" i="2"/>
  <c r="O393" i="3" s="1"/>
  <c r="O393" i="4" s="1"/>
  <c r="O395" i="2"/>
  <c r="N395" i="2"/>
  <c r="M395" i="2"/>
  <c r="L395" i="2"/>
  <c r="K395" i="2"/>
  <c r="J395" i="2"/>
  <c r="I393" i="3" s="1"/>
  <c r="I393" i="4" s="1"/>
  <c r="I395" i="2"/>
  <c r="H395" i="2"/>
  <c r="G395" i="2"/>
  <c r="F395" i="2"/>
  <c r="E395" i="2"/>
  <c r="D395" i="2"/>
  <c r="C393" i="3" s="1"/>
  <c r="C393" i="4" s="1"/>
  <c r="C395" i="2"/>
  <c r="B395" i="2"/>
  <c r="A395" i="2"/>
  <c r="AG394" i="2"/>
  <c r="AF394" i="2"/>
  <c r="AE394" i="2"/>
  <c r="AD392" i="3" s="1"/>
  <c r="AD392" i="4" s="1"/>
  <c r="AD394" i="2"/>
  <c r="AC394" i="2"/>
  <c r="AB394" i="2"/>
  <c r="AA394" i="2"/>
  <c r="Z394" i="2"/>
  <c r="Y394" i="2"/>
  <c r="X392" i="3" s="1"/>
  <c r="X392" i="4" s="1"/>
  <c r="X394" i="2"/>
  <c r="W394" i="2"/>
  <c r="V394" i="2"/>
  <c r="U394" i="2"/>
  <c r="T394" i="2"/>
  <c r="S394" i="2"/>
  <c r="R392" i="3" s="1"/>
  <c r="R392" i="4" s="1"/>
  <c r="R394" i="2"/>
  <c r="Q394" i="2"/>
  <c r="P394" i="2"/>
  <c r="O394" i="2"/>
  <c r="N394" i="2"/>
  <c r="M394" i="2"/>
  <c r="L392" i="3" s="1"/>
  <c r="L392" i="4" s="1"/>
  <c r="L394" i="2"/>
  <c r="K394" i="2"/>
  <c r="J394" i="2"/>
  <c r="I394" i="2"/>
  <c r="H394" i="2"/>
  <c r="G394" i="2"/>
  <c r="F392" i="3" s="1"/>
  <c r="F392" i="4" s="1"/>
  <c r="F394" i="2"/>
  <c r="E394" i="2"/>
  <c r="D394" i="2"/>
  <c r="C394" i="2"/>
  <c r="B394" i="2"/>
  <c r="A394" i="2"/>
  <c r="AG393" i="2"/>
  <c r="AF393" i="2"/>
  <c r="AE393" i="2"/>
  <c r="AD393" i="2"/>
  <c r="AC393" i="2"/>
  <c r="AB393" i="2"/>
  <c r="AA391" i="3" s="1"/>
  <c r="AA391" i="4" s="1"/>
  <c r="AA393" i="2"/>
  <c r="Z393" i="2"/>
  <c r="Y393" i="2"/>
  <c r="X393" i="2"/>
  <c r="W393" i="2"/>
  <c r="V393" i="2"/>
  <c r="U391" i="3" s="1"/>
  <c r="U391" i="4" s="1"/>
  <c r="U393" i="2"/>
  <c r="T393" i="2"/>
  <c r="S393" i="2"/>
  <c r="R393" i="2"/>
  <c r="Q393" i="2"/>
  <c r="P393" i="2"/>
  <c r="O391" i="3" s="1"/>
  <c r="O391" i="4" s="1"/>
  <c r="O393" i="2"/>
  <c r="N393" i="2"/>
  <c r="M393" i="2"/>
  <c r="L393" i="2"/>
  <c r="K393" i="2"/>
  <c r="J393" i="2"/>
  <c r="I391" i="3" s="1"/>
  <c r="I391" i="4" s="1"/>
  <c r="I393" i="2"/>
  <c r="H393" i="2"/>
  <c r="G393" i="2"/>
  <c r="F393" i="2"/>
  <c r="E393" i="2"/>
  <c r="D393" i="2"/>
  <c r="C391" i="3" s="1"/>
  <c r="C391" i="4" s="1"/>
  <c r="C393" i="2"/>
  <c r="B393" i="2"/>
  <c r="A393" i="2"/>
  <c r="AG392" i="2"/>
  <c r="AF392" i="2"/>
  <c r="AE392" i="2"/>
  <c r="AD390" i="3" s="1"/>
  <c r="AD390" i="4" s="1"/>
  <c r="AD392" i="2"/>
  <c r="AC392" i="2"/>
  <c r="AB392" i="2"/>
  <c r="AA392" i="2"/>
  <c r="Z392" i="2"/>
  <c r="Y392" i="2"/>
  <c r="X390" i="3" s="1"/>
  <c r="X390" i="4" s="1"/>
  <c r="X392" i="2"/>
  <c r="W392" i="2"/>
  <c r="V392" i="2"/>
  <c r="U392" i="2"/>
  <c r="T392" i="2"/>
  <c r="S392" i="2"/>
  <c r="R390" i="3" s="1"/>
  <c r="R390" i="4" s="1"/>
  <c r="R392" i="2"/>
  <c r="Q392" i="2"/>
  <c r="P392" i="2"/>
  <c r="O392" i="2"/>
  <c r="N392" i="2"/>
  <c r="M392" i="2"/>
  <c r="L390" i="3" s="1"/>
  <c r="L390" i="4" s="1"/>
  <c r="L392" i="2"/>
  <c r="K392" i="2"/>
  <c r="J392" i="2"/>
  <c r="I392" i="2"/>
  <c r="H392" i="2"/>
  <c r="G392" i="2"/>
  <c r="F390" i="3" s="1"/>
  <c r="F390" i="4" s="1"/>
  <c r="F392" i="2"/>
  <c r="E392" i="2"/>
  <c r="D392" i="2"/>
  <c r="C392" i="2"/>
  <c r="B392" i="2"/>
  <c r="A392" i="2"/>
  <c r="AG391" i="2"/>
  <c r="AF391" i="2"/>
  <c r="AE391" i="2"/>
  <c r="AD391" i="2"/>
  <c r="AC391" i="2"/>
  <c r="AB391" i="2"/>
  <c r="AA389" i="3" s="1"/>
  <c r="AA389" i="4" s="1"/>
  <c r="AA391" i="2"/>
  <c r="Z391" i="2"/>
  <c r="Y391" i="2"/>
  <c r="X391" i="2"/>
  <c r="W391" i="2"/>
  <c r="V391" i="2"/>
  <c r="U389" i="3" s="1"/>
  <c r="U389" i="4" s="1"/>
  <c r="U391" i="2"/>
  <c r="T391" i="2"/>
  <c r="S391" i="2"/>
  <c r="R391" i="2"/>
  <c r="Q391" i="2"/>
  <c r="P391" i="2"/>
  <c r="O389" i="3" s="1"/>
  <c r="O389" i="4" s="1"/>
  <c r="O391" i="2"/>
  <c r="N391" i="2"/>
  <c r="M391" i="2"/>
  <c r="L391" i="2"/>
  <c r="K391" i="2"/>
  <c r="J391" i="2"/>
  <c r="I389" i="3" s="1"/>
  <c r="I389" i="4" s="1"/>
  <c r="I391" i="2"/>
  <c r="H391" i="2"/>
  <c r="G391" i="2"/>
  <c r="F391" i="2"/>
  <c r="E391" i="2"/>
  <c r="D391" i="2"/>
  <c r="C389" i="3" s="1"/>
  <c r="C389" i="4" s="1"/>
  <c r="C391" i="2"/>
  <c r="B391" i="2"/>
  <c r="A391" i="2"/>
  <c r="AG390" i="2"/>
  <c r="AF390" i="2"/>
  <c r="AE390" i="2"/>
  <c r="AD388" i="3" s="1"/>
  <c r="AD388" i="4" s="1"/>
  <c r="AD390" i="2"/>
  <c r="AC390" i="2"/>
  <c r="AB390" i="2"/>
  <c r="AA390" i="2"/>
  <c r="Z390" i="2"/>
  <c r="Y390" i="2"/>
  <c r="X388" i="3" s="1"/>
  <c r="X388" i="4" s="1"/>
  <c r="X390" i="2"/>
  <c r="W390" i="2"/>
  <c r="V390" i="2"/>
  <c r="U390" i="2"/>
  <c r="T390" i="2"/>
  <c r="S390" i="2"/>
  <c r="R388" i="3" s="1"/>
  <c r="R388" i="4" s="1"/>
  <c r="R390" i="2"/>
  <c r="Q390" i="2"/>
  <c r="P390" i="2"/>
  <c r="O390" i="2"/>
  <c r="N390" i="2"/>
  <c r="M390" i="2"/>
  <c r="L388" i="3" s="1"/>
  <c r="L388" i="4" s="1"/>
  <c r="L390" i="2"/>
  <c r="K390" i="2"/>
  <c r="J390" i="2"/>
  <c r="I390" i="2"/>
  <c r="H390" i="2"/>
  <c r="G390" i="2"/>
  <c r="F388" i="3" s="1"/>
  <c r="F388" i="4" s="1"/>
  <c r="F390" i="2"/>
  <c r="E390" i="2"/>
  <c r="D390" i="2"/>
  <c r="C390" i="2"/>
  <c r="B390" i="2"/>
  <c r="A390" i="2"/>
  <c r="AG389" i="2"/>
  <c r="AF389" i="2"/>
  <c r="AE389" i="2"/>
  <c r="AD389" i="2"/>
  <c r="AC389" i="2"/>
  <c r="AB389" i="2"/>
  <c r="AA387" i="3" s="1"/>
  <c r="AA387" i="4" s="1"/>
  <c r="AA389" i="2"/>
  <c r="Z389" i="2"/>
  <c r="Y389" i="2"/>
  <c r="X389" i="2"/>
  <c r="W389" i="2"/>
  <c r="V389" i="2"/>
  <c r="U387" i="3" s="1"/>
  <c r="U387" i="4" s="1"/>
  <c r="U389" i="2"/>
  <c r="T389" i="2"/>
  <c r="S389" i="2"/>
  <c r="R389" i="2"/>
  <c r="Q389" i="2"/>
  <c r="P389" i="2"/>
  <c r="O387" i="3" s="1"/>
  <c r="O387" i="4" s="1"/>
  <c r="O389" i="2"/>
  <c r="N389" i="2"/>
  <c r="M389" i="2"/>
  <c r="L389" i="2"/>
  <c r="K389" i="2"/>
  <c r="J389" i="2"/>
  <c r="I387" i="3" s="1"/>
  <c r="I387" i="4" s="1"/>
  <c r="I389" i="2"/>
  <c r="H389" i="2"/>
  <c r="G389" i="2"/>
  <c r="F389" i="2"/>
  <c r="E389" i="2"/>
  <c r="D389" i="2"/>
  <c r="C387" i="3" s="1"/>
  <c r="C387" i="4" s="1"/>
  <c r="C389" i="2"/>
  <c r="B389" i="2"/>
  <c r="A389" i="2"/>
  <c r="AG388" i="2"/>
  <c r="AF388" i="2"/>
  <c r="AE388" i="2"/>
  <c r="AD386" i="3" s="1"/>
  <c r="AD386" i="4" s="1"/>
  <c r="AD388" i="2"/>
  <c r="AC388" i="2"/>
  <c r="AB388" i="2"/>
  <c r="AA388" i="2"/>
  <c r="Z388" i="2"/>
  <c r="Y388" i="2"/>
  <c r="X386" i="3" s="1"/>
  <c r="X386" i="4" s="1"/>
  <c r="X388" i="2"/>
  <c r="W388" i="2"/>
  <c r="V388" i="2"/>
  <c r="U388" i="2"/>
  <c r="T388" i="2"/>
  <c r="S388" i="2"/>
  <c r="R386" i="3" s="1"/>
  <c r="R386" i="4" s="1"/>
  <c r="R388" i="2"/>
  <c r="Q388" i="2"/>
  <c r="P388" i="2"/>
  <c r="O388" i="2"/>
  <c r="N388" i="2"/>
  <c r="M388" i="2"/>
  <c r="L386" i="3" s="1"/>
  <c r="L386" i="4" s="1"/>
  <c r="L388" i="2"/>
  <c r="K388" i="2"/>
  <c r="J388" i="2"/>
  <c r="I388" i="2"/>
  <c r="H388" i="2"/>
  <c r="G388" i="2"/>
  <c r="F386" i="3" s="1"/>
  <c r="F386" i="4" s="1"/>
  <c r="F388" i="2"/>
  <c r="E388" i="2"/>
  <c r="D388" i="2"/>
  <c r="C388" i="2"/>
  <c r="B388" i="2"/>
  <c r="A388" i="2"/>
  <c r="AG387" i="2"/>
  <c r="AF387" i="2"/>
  <c r="AE387" i="2"/>
  <c r="AD387" i="2"/>
  <c r="AC387" i="2"/>
  <c r="AB387" i="2"/>
  <c r="AA385" i="3" s="1"/>
  <c r="AA385" i="4" s="1"/>
  <c r="AA387" i="2"/>
  <c r="Z387" i="2"/>
  <c r="Y387" i="2"/>
  <c r="X387" i="2"/>
  <c r="W387" i="2"/>
  <c r="V387" i="2"/>
  <c r="U385" i="3" s="1"/>
  <c r="U385" i="4" s="1"/>
  <c r="U387" i="2"/>
  <c r="T387" i="2"/>
  <c r="S387" i="2"/>
  <c r="R387" i="2"/>
  <c r="Q387" i="2"/>
  <c r="P387" i="2"/>
  <c r="O385" i="3" s="1"/>
  <c r="O385" i="4" s="1"/>
  <c r="O387" i="2"/>
  <c r="N387" i="2"/>
  <c r="M387" i="2"/>
  <c r="L387" i="2"/>
  <c r="K387" i="2"/>
  <c r="J387" i="2"/>
  <c r="I385" i="3" s="1"/>
  <c r="I385" i="4" s="1"/>
  <c r="I387" i="2"/>
  <c r="H387" i="2"/>
  <c r="G387" i="2"/>
  <c r="F387" i="2"/>
  <c r="E387" i="2"/>
  <c r="D387" i="2"/>
  <c r="C385" i="3" s="1"/>
  <c r="C385" i="4" s="1"/>
  <c r="C387" i="2"/>
  <c r="B387" i="2"/>
  <c r="A387" i="2"/>
  <c r="AG386" i="2"/>
  <c r="AF386" i="2"/>
  <c r="AE386" i="2"/>
  <c r="AD384" i="3" s="1"/>
  <c r="AD384" i="4" s="1"/>
  <c r="AD386" i="2"/>
  <c r="AC386" i="2"/>
  <c r="AB386" i="2"/>
  <c r="AA386" i="2"/>
  <c r="Z386" i="2"/>
  <c r="Y386" i="2"/>
  <c r="X384" i="3" s="1"/>
  <c r="X384" i="4" s="1"/>
  <c r="X386" i="2"/>
  <c r="W386" i="2"/>
  <c r="V386" i="2"/>
  <c r="U386" i="2"/>
  <c r="T386" i="2"/>
  <c r="S386" i="2"/>
  <c r="R384" i="3" s="1"/>
  <c r="R384" i="4" s="1"/>
  <c r="R386" i="2"/>
  <c r="Q386" i="2"/>
  <c r="P386" i="2"/>
  <c r="O386" i="2"/>
  <c r="N386" i="2"/>
  <c r="M386" i="2"/>
  <c r="L384" i="3" s="1"/>
  <c r="L384" i="4" s="1"/>
  <c r="L386" i="2"/>
  <c r="K386" i="2"/>
  <c r="J386" i="2"/>
  <c r="I386" i="2"/>
  <c r="H386" i="2"/>
  <c r="G386" i="2"/>
  <c r="F384" i="3" s="1"/>
  <c r="F384" i="4" s="1"/>
  <c r="F386" i="2"/>
  <c r="E386" i="2"/>
  <c r="D386" i="2"/>
  <c r="C386" i="2"/>
  <c r="B386" i="2"/>
  <c r="A386" i="2"/>
  <c r="AG385" i="2"/>
  <c r="AF385" i="2"/>
  <c r="AE385" i="2"/>
  <c r="AD385" i="2"/>
  <c r="AC385" i="2"/>
  <c r="AB385" i="2"/>
  <c r="AA383" i="3" s="1"/>
  <c r="AA383" i="4" s="1"/>
  <c r="AA385" i="2"/>
  <c r="Z385" i="2"/>
  <c r="Y385" i="2"/>
  <c r="X385" i="2"/>
  <c r="W385" i="2"/>
  <c r="V385" i="2"/>
  <c r="U383" i="3" s="1"/>
  <c r="U383" i="4" s="1"/>
  <c r="U385" i="2"/>
  <c r="T385" i="2"/>
  <c r="S385" i="2"/>
  <c r="R385" i="2"/>
  <c r="Q385" i="2"/>
  <c r="P385" i="2"/>
  <c r="O383" i="3" s="1"/>
  <c r="O383" i="4" s="1"/>
  <c r="O385" i="2"/>
  <c r="N385" i="2"/>
  <c r="M385" i="2"/>
  <c r="L385" i="2"/>
  <c r="K385" i="2"/>
  <c r="J385" i="2"/>
  <c r="I383" i="3" s="1"/>
  <c r="I383" i="4" s="1"/>
  <c r="I385" i="2"/>
  <c r="H385" i="2"/>
  <c r="G385" i="2"/>
  <c r="F385" i="2"/>
  <c r="E385" i="2"/>
  <c r="D385" i="2"/>
  <c r="C383" i="3" s="1"/>
  <c r="C383" i="4" s="1"/>
  <c r="C385" i="2"/>
  <c r="B385" i="2"/>
  <c r="A385" i="2"/>
  <c r="AG384" i="2"/>
  <c r="AF384" i="2"/>
  <c r="AE384" i="2"/>
  <c r="AD382" i="3" s="1"/>
  <c r="AD382" i="4" s="1"/>
  <c r="AD384" i="2"/>
  <c r="AC384" i="2"/>
  <c r="AB384" i="2"/>
  <c r="AA384" i="2"/>
  <c r="Z384" i="2"/>
  <c r="Y384" i="2"/>
  <c r="X382" i="3" s="1"/>
  <c r="X382" i="4" s="1"/>
  <c r="X384" i="2"/>
  <c r="W384" i="2"/>
  <c r="V384" i="2"/>
  <c r="U384" i="2"/>
  <c r="T384" i="2"/>
  <c r="S384" i="2"/>
  <c r="R382" i="3" s="1"/>
  <c r="R382" i="4" s="1"/>
  <c r="R384" i="2"/>
  <c r="Q384" i="2"/>
  <c r="P384" i="2"/>
  <c r="O384" i="2"/>
  <c r="N384" i="2"/>
  <c r="M384" i="2"/>
  <c r="L382" i="3" s="1"/>
  <c r="L382" i="4" s="1"/>
  <c r="L384" i="2"/>
  <c r="K384" i="2"/>
  <c r="J384" i="2"/>
  <c r="I384" i="2"/>
  <c r="H384" i="2"/>
  <c r="G384" i="2"/>
  <c r="F382" i="3" s="1"/>
  <c r="F382" i="4" s="1"/>
  <c r="F384" i="2"/>
  <c r="E384" i="2"/>
  <c r="D384" i="2"/>
  <c r="C384" i="2"/>
  <c r="B384" i="2"/>
  <c r="A384" i="2"/>
  <c r="AG383" i="2"/>
  <c r="AF383" i="2"/>
  <c r="AE383" i="2"/>
  <c r="AD383" i="2"/>
  <c r="AC383" i="2"/>
  <c r="AB383" i="2"/>
  <c r="AA381" i="3" s="1"/>
  <c r="AA381" i="4" s="1"/>
  <c r="AA383" i="2"/>
  <c r="Z383" i="2"/>
  <c r="Y383" i="2"/>
  <c r="X383" i="2"/>
  <c r="W383" i="2"/>
  <c r="V383" i="2"/>
  <c r="U381" i="3" s="1"/>
  <c r="U381" i="4" s="1"/>
  <c r="U383" i="2"/>
  <c r="T383" i="2"/>
  <c r="S383" i="2"/>
  <c r="R383" i="2"/>
  <c r="Q383" i="2"/>
  <c r="P383" i="2"/>
  <c r="O381" i="3" s="1"/>
  <c r="O381" i="4" s="1"/>
  <c r="O383" i="2"/>
  <c r="N383" i="2"/>
  <c r="M383" i="2"/>
  <c r="L383" i="2"/>
  <c r="K383" i="2"/>
  <c r="J383" i="2"/>
  <c r="I381" i="3" s="1"/>
  <c r="I381" i="4" s="1"/>
  <c r="I383" i="2"/>
  <c r="H383" i="2"/>
  <c r="G383" i="2"/>
  <c r="F383" i="2"/>
  <c r="E383" i="2"/>
  <c r="D383" i="2"/>
  <c r="C381" i="3" s="1"/>
  <c r="C381" i="4" s="1"/>
  <c r="C383" i="2"/>
  <c r="B383" i="2"/>
  <c r="A383" i="2"/>
  <c r="AG382" i="2"/>
  <c r="AF382" i="2"/>
  <c r="AE382" i="2"/>
  <c r="AD380" i="3" s="1"/>
  <c r="AD380" i="4" s="1"/>
  <c r="AD382" i="2"/>
  <c r="AC382" i="2"/>
  <c r="AB382" i="2"/>
  <c r="AA382" i="2"/>
  <c r="Z382" i="2"/>
  <c r="Y382" i="2"/>
  <c r="X380" i="3" s="1"/>
  <c r="X380" i="4" s="1"/>
  <c r="X382" i="2"/>
  <c r="W382" i="2"/>
  <c r="V382" i="2"/>
  <c r="U382" i="2"/>
  <c r="T382" i="2"/>
  <c r="S382" i="2"/>
  <c r="R380" i="3" s="1"/>
  <c r="R380" i="4" s="1"/>
  <c r="R382" i="2"/>
  <c r="Q382" i="2"/>
  <c r="P382" i="2"/>
  <c r="O382" i="2"/>
  <c r="N382" i="2"/>
  <c r="M382" i="2"/>
  <c r="L380" i="3" s="1"/>
  <c r="L380" i="4" s="1"/>
  <c r="L382" i="2"/>
  <c r="K382" i="2"/>
  <c r="J382" i="2"/>
  <c r="I382" i="2"/>
  <c r="H382" i="2"/>
  <c r="G382" i="2"/>
  <c r="F380" i="3" s="1"/>
  <c r="F380" i="4" s="1"/>
  <c r="F382" i="2"/>
  <c r="E382" i="2"/>
  <c r="D382" i="2"/>
  <c r="C382" i="2"/>
  <c r="B382" i="2"/>
  <c r="A382" i="2"/>
  <c r="AG381" i="2"/>
  <c r="AF381" i="2"/>
  <c r="AE381" i="2"/>
  <c r="AD381" i="2"/>
  <c r="AC381" i="2"/>
  <c r="AB381" i="2"/>
  <c r="AA379" i="3" s="1"/>
  <c r="AA379" i="4" s="1"/>
  <c r="AA381" i="2"/>
  <c r="Z381" i="2"/>
  <c r="Y381" i="2"/>
  <c r="X381" i="2"/>
  <c r="W381" i="2"/>
  <c r="V381" i="2"/>
  <c r="U379" i="3" s="1"/>
  <c r="U379" i="4" s="1"/>
  <c r="U381" i="2"/>
  <c r="T381" i="2"/>
  <c r="S381" i="2"/>
  <c r="R381" i="2"/>
  <c r="Q381" i="2"/>
  <c r="P381" i="2"/>
  <c r="O379" i="3" s="1"/>
  <c r="O379" i="4" s="1"/>
  <c r="O381" i="2"/>
  <c r="N381" i="2"/>
  <c r="M381" i="2"/>
  <c r="L381" i="2"/>
  <c r="K381" i="2"/>
  <c r="J381" i="2"/>
  <c r="I379" i="3" s="1"/>
  <c r="I379" i="4" s="1"/>
  <c r="I381" i="2"/>
  <c r="H381" i="2"/>
  <c r="G381" i="2"/>
  <c r="F381" i="2"/>
  <c r="E381" i="2"/>
  <c r="D381" i="2"/>
  <c r="C379" i="3" s="1"/>
  <c r="C379" i="4" s="1"/>
  <c r="C381" i="2"/>
  <c r="B381" i="2"/>
  <c r="A381" i="2"/>
  <c r="AG380" i="2"/>
  <c r="AF380" i="2"/>
  <c r="AE380" i="2"/>
  <c r="AD378" i="3" s="1"/>
  <c r="AD378" i="4" s="1"/>
  <c r="AD380" i="2"/>
  <c r="AC380" i="2"/>
  <c r="AB380" i="2"/>
  <c r="AA380" i="2"/>
  <c r="Z380" i="2"/>
  <c r="Y380" i="2"/>
  <c r="X378" i="3" s="1"/>
  <c r="X378" i="4" s="1"/>
  <c r="X380" i="2"/>
  <c r="W380" i="2"/>
  <c r="V380" i="2"/>
  <c r="U380" i="2"/>
  <c r="T380" i="2"/>
  <c r="S380" i="2"/>
  <c r="R378" i="3" s="1"/>
  <c r="R378" i="4" s="1"/>
  <c r="R380" i="2"/>
  <c r="Q380" i="2"/>
  <c r="P380" i="2"/>
  <c r="O380" i="2"/>
  <c r="N380" i="2"/>
  <c r="M380" i="2"/>
  <c r="L378" i="3" s="1"/>
  <c r="L378" i="4" s="1"/>
  <c r="L380" i="2"/>
  <c r="K380" i="2"/>
  <c r="J380" i="2"/>
  <c r="I380" i="2"/>
  <c r="H380" i="2"/>
  <c r="G380" i="2"/>
  <c r="F378" i="3" s="1"/>
  <c r="F378" i="4" s="1"/>
  <c r="F380" i="2"/>
  <c r="E380" i="2"/>
  <c r="D380" i="2"/>
  <c r="C380" i="2"/>
  <c r="B380" i="2"/>
  <c r="A380" i="2"/>
  <c r="AG379" i="2"/>
  <c r="AF379" i="2"/>
  <c r="AE379" i="2"/>
  <c r="AD379" i="2"/>
  <c r="AC379" i="2"/>
  <c r="AB379" i="2"/>
  <c r="AA377" i="3" s="1"/>
  <c r="AA377" i="4" s="1"/>
  <c r="AA379" i="2"/>
  <c r="Z379" i="2"/>
  <c r="Y379" i="2"/>
  <c r="X379" i="2"/>
  <c r="W379" i="2"/>
  <c r="V379" i="2"/>
  <c r="U377" i="3" s="1"/>
  <c r="U377" i="4" s="1"/>
  <c r="U379" i="2"/>
  <c r="T379" i="2"/>
  <c r="S379" i="2"/>
  <c r="R379" i="2"/>
  <c r="Q379" i="2"/>
  <c r="P379" i="2"/>
  <c r="O377" i="3" s="1"/>
  <c r="O377" i="4" s="1"/>
  <c r="O379" i="2"/>
  <c r="N379" i="2"/>
  <c r="M379" i="2"/>
  <c r="L379" i="2"/>
  <c r="K379" i="2"/>
  <c r="J379" i="2"/>
  <c r="I377" i="3" s="1"/>
  <c r="I377" i="4" s="1"/>
  <c r="I379" i="2"/>
  <c r="H379" i="2"/>
  <c r="G379" i="2"/>
  <c r="F379" i="2"/>
  <c r="E379" i="2"/>
  <c r="D379" i="2"/>
  <c r="C377" i="3" s="1"/>
  <c r="C377" i="4" s="1"/>
  <c r="C379" i="2"/>
  <c r="B379" i="2"/>
  <c r="A379" i="2"/>
  <c r="AG378" i="2"/>
  <c r="AF378" i="2"/>
  <c r="AE378" i="2"/>
  <c r="AD376" i="3" s="1"/>
  <c r="AD376" i="4" s="1"/>
  <c r="AD378" i="2"/>
  <c r="AC378" i="2"/>
  <c r="AB378" i="2"/>
  <c r="AA378" i="2"/>
  <c r="Z378" i="2"/>
  <c r="Y378" i="2"/>
  <c r="X376" i="3" s="1"/>
  <c r="X376" i="4" s="1"/>
  <c r="X378" i="2"/>
  <c r="W378" i="2"/>
  <c r="V378" i="2"/>
  <c r="U378" i="2"/>
  <c r="T378" i="2"/>
  <c r="S378" i="2"/>
  <c r="R376" i="3" s="1"/>
  <c r="R376" i="4" s="1"/>
  <c r="R378" i="2"/>
  <c r="Q378" i="2"/>
  <c r="P378" i="2"/>
  <c r="O378" i="2"/>
  <c r="N378" i="2"/>
  <c r="M378" i="2"/>
  <c r="L376" i="3" s="1"/>
  <c r="L376" i="4" s="1"/>
  <c r="L378" i="2"/>
  <c r="K378" i="2"/>
  <c r="J378" i="2"/>
  <c r="I378" i="2"/>
  <c r="H378" i="2"/>
  <c r="G378" i="2"/>
  <c r="F376" i="3" s="1"/>
  <c r="F376" i="4" s="1"/>
  <c r="F378" i="2"/>
  <c r="E378" i="2"/>
  <c r="D378" i="2"/>
  <c r="C378" i="2"/>
  <c r="B378" i="2"/>
  <c r="A378" i="2"/>
  <c r="AG377" i="2"/>
  <c r="AF377" i="2"/>
  <c r="AE377" i="2"/>
  <c r="AD377" i="2"/>
  <c r="AC377" i="2"/>
  <c r="AB377" i="2"/>
  <c r="AA375" i="3" s="1"/>
  <c r="AA375" i="4" s="1"/>
  <c r="AA377" i="2"/>
  <c r="Z377" i="2"/>
  <c r="Y377" i="2"/>
  <c r="X377" i="2"/>
  <c r="W377" i="2"/>
  <c r="V377" i="2"/>
  <c r="U375" i="3" s="1"/>
  <c r="U375" i="4" s="1"/>
  <c r="U377" i="2"/>
  <c r="T377" i="2"/>
  <c r="S377" i="2"/>
  <c r="R377" i="2"/>
  <c r="Q377" i="2"/>
  <c r="P377" i="2"/>
  <c r="O375" i="3" s="1"/>
  <c r="O375" i="4" s="1"/>
  <c r="O377" i="2"/>
  <c r="N377" i="2"/>
  <c r="M377" i="2"/>
  <c r="L377" i="2"/>
  <c r="K377" i="2"/>
  <c r="J377" i="2"/>
  <c r="I375" i="3" s="1"/>
  <c r="I375" i="4" s="1"/>
  <c r="I377" i="2"/>
  <c r="H377" i="2"/>
  <c r="G377" i="2"/>
  <c r="F377" i="2"/>
  <c r="E377" i="2"/>
  <c r="D377" i="2"/>
  <c r="C375" i="3" s="1"/>
  <c r="C375" i="4" s="1"/>
  <c r="C377" i="2"/>
  <c r="B377" i="2"/>
  <c r="A377" i="2"/>
  <c r="AG376" i="2"/>
  <c r="AF376" i="2"/>
  <c r="AE376" i="2"/>
  <c r="AD374" i="3" s="1"/>
  <c r="AD374" i="4" s="1"/>
  <c r="AD376" i="2"/>
  <c r="AC376" i="2"/>
  <c r="AB376" i="2"/>
  <c r="AA376" i="2"/>
  <c r="Z376" i="2"/>
  <c r="Y376" i="2"/>
  <c r="X374" i="3" s="1"/>
  <c r="X374" i="4" s="1"/>
  <c r="X376" i="2"/>
  <c r="W376" i="2"/>
  <c r="V376" i="2"/>
  <c r="U376" i="2"/>
  <c r="T376" i="2"/>
  <c r="S376" i="2"/>
  <c r="R374" i="3" s="1"/>
  <c r="R374" i="4" s="1"/>
  <c r="R376" i="2"/>
  <c r="Q376" i="2"/>
  <c r="P376" i="2"/>
  <c r="O376" i="2"/>
  <c r="N376" i="2"/>
  <c r="M376" i="2"/>
  <c r="L374" i="3" s="1"/>
  <c r="L374" i="4" s="1"/>
  <c r="L376" i="2"/>
  <c r="K376" i="2"/>
  <c r="J376" i="2"/>
  <c r="I376" i="2"/>
  <c r="H376" i="2"/>
  <c r="G376" i="2"/>
  <c r="F374" i="3" s="1"/>
  <c r="F374" i="4" s="1"/>
  <c r="F376" i="2"/>
  <c r="E376" i="2"/>
  <c r="D376" i="2"/>
  <c r="C376" i="2"/>
  <c r="B376" i="2"/>
  <c r="A376" i="2"/>
  <c r="AG375" i="2"/>
  <c r="AF375" i="2"/>
  <c r="AE375" i="2"/>
  <c r="AD375" i="2"/>
  <c r="AC375" i="2"/>
  <c r="AB375" i="2"/>
  <c r="AA373" i="3" s="1"/>
  <c r="AA373" i="4" s="1"/>
  <c r="AA375" i="2"/>
  <c r="Z375" i="2"/>
  <c r="Y375" i="2"/>
  <c r="X375" i="2"/>
  <c r="W375" i="2"/>
  <c r="V375" i="2"/>
  <c r="U373" i="3" s="1"/>
  <c r="U373" i="4" s="1"/>
  <c r="U375" i="2"/>
  <c r="T375" i="2"/>
  <c r="S375" i="2"/>
  <c r="R375" i="2"/>
  <c r="Q375" i="2"/>
  <c r="P375" i="2"/>
  <c r="O373" i="3" s="1"/>
  <c r="O373" i="4" s="1"/>
  <c r="O375" i="2"/>
  <c r="N375" i="2"/>
  <c r="M375" i="2"/>
  <c r="L375" i="2"/>
  <c r="K375" i="2"/>
  <c r="J375" i="2"/>
  <c r="I373" i="3" s="1"/>
  <c r="I373" i="4" s="1"/>
  <c r="I375" i="2"/>
  <c r="H375" i="2"/>
  <c r="G375" i="2"/>
  <c r="F375" i="2"/>
  <c r="E375" i="2"/>
  <c r="D375" i="2"/>
  <c r="C373" i="3" s="1"/>
  <c r="C373" i="4" s="1"/>
  <c r="C375" i="2"/>
  <c r="B375" i="2"/>
  <c r="A375" i="2"/>
  <c r="AG374" i="2"/>
  <c r="AF374" i="2"/>
  <c r="AE374" i="2"/>
  <c r="AD372" i="3" s="1"/>
  <c r="AD372" i="4" s="1"/>
  <c r="AD374" i="2"/>
  <c r="AC374" i="2"/>
  <c r="AB374" i="2"/>
  <c r="AA374" i="2"/>
  <c r="Z374" i="2"/>
  <c r="Y374" i="2"/>
  <c r="X372" i="3" s="1"/>
  <c r="X372" i="4" s="1"/>
  <c r="X374" i="2"/>
  <c r="W374" i="2"/>
  <c r="V374" i="2"/>
  <c r="U374" i="2"/>
  <c r="T374" i="2"/>
  <c r="S374" i="2"/>
  <c r="R372" i="3" s="1"/>
  <c r="R372" i="4" s="1"/>
  <c r="R374" i="2"/>
  <c r="Q374" i="2"/>
  <c r="P374" i="2"/>
  <c r="O374" i="2"/>
  <c r="N374" i="2"/>
  <c r="M374" i="2"/>
  <c r="L372" i="3" s="1"/>
  <c r="L372" i="4" s="1"/>
  <c r="L374" i="2"/>
  <c r="K374" i="2"/>
  <c r="J374" i="2"/>
  <c r="I374" i="2"/>
  <c r="H374" i="2"/>
  <c r="G374" i="2"/>
  <c r="F372" i="3" s="1"/>
  <c r="F372" i="4" s="1"/>
  <c r="F374" i="2"/>
  <c r="E374" i="2"/>
  <c r="D374" i="2"/>
  <c r="C374" i="2"/>
  <c r="B374" i="2"/>
  <c r="A374" i="2"/>
  <c r="AG373" i="2"/>
  <c r="AF373" i="2"/>
  <c r="AE373" i="2"/>
  <c r="AD373" i="2"/>
  <c r="AC373" i="2"/>
  <c r="AB373" i="2"/>
  <c r="AA371" i="3" s="1"/>
  <c r="AA371" i="4" s="1"/>
  <c r="AA373" i="2"/>
  <c r="Z373" i="2"/>
  <c r="Y373" i="2"/>
  <c r="X373" i="2"/>
  <c r="W373" i="2"/>
  <c r="V373" i="2"/>
  <c r="U371" i="3" s="1"/>
  <c r="U371" i="4" s="1"/>
  <c r="U373" i="2"/>
  <c r="T373" i="2"/>
  <c r="S373" i="2"/>
  <c r="R373" i="2"/>
  <c r="Q373" i="2"/>
  <c r="P373" i="2"/>
  <c r="O371" i="3" s="1"/>
  <c r="O371" i="4" s="1"/>
  <c r="O373" i="2"/>
  <c r="N373" i="2"/>
  <c r="M373" i="2"/>
  <c r="L373" i="2"/>
  <c r="K373" i="2"/>
  <c r="J373" i="2"/>
  <c r="I371" i="3" s="1"/>
  <c r="I371" i="4" s="1"/>
  <c r="I373" i="2"/>
  <c r="H373" i="2"/>
  <c r="G373" i="2"/>
  <c r="F373" i="2"/>
  <c r="E373" i="2"/>
  <c r="D373" i="2"/>
  <c r="C371" i="3" s="1"/>
  <c r="C371" i="4" s="1"/>
  <c r="C373" i="2"/>
  <c r="B373" i="2"/>
  <c r="A373" i="2"/>
  <c r="AG372" i="2"/>
  <c r="AF372" i="2"/>
  <c r="AE372" i="2"/>
  <c r="AD370" i="3" s="1"/>
  <c r="AD370" i="4" s="1"/>
  <c r="AD372" i="2"/>
  <c r="AC372" i="2"/>
  <c r="AB372" i="2"/>
  <c r="AA372" i="2"/>
  <c r="Z372" i="2"/>
  <c r="Y372" i="2"/>
  <c r="X370" i="3" s="1"/>
  <c r="X370" i="4" s="1"/>
  <c r="X372" i="2"/>
  <c r="W372" i="2"/>
  <c r="V372" i="2"/>
  <c r="U372" i="2"/>
  <c r="T372" i="2"/>
  <c r="S372" i="2"/>
  <c r="R370" i="3" s="1"/>
  <c r="R370" i="4" s="1"/>
  <c r="R372" i="2"/>
  <c r="Q372" i="2"/>
  <c r="P372" i="2"/>
  <c r="O372" i="2"/>
  <c r="N372" i="2"/>
  <c r="M372" i="2"/>
  <c r="L370" i="3" s="1"/>
  <c r="L370" i="4" s="1"/>
  <c r="L372" i="2"/>
  <c r="K372" i="2"/>
  <c r="J372" i="2"/>
  <c r="I372" i="2"/>
  <c r="H372" i="2"/>
  <c r="G372" i="2"/>
  <c r="F370" i="3" s="1"/>
  <c r="F370" i="4" s="1"/>
  <c r="F372" i="2"/>
  <c r="E372" i="2"/>
  <c r="D372" i="2"/>
  <c r="C372" i="2"/>
  <c r="B372" i="2"/>
  <c r="A372" i="2"/>
  <c r="AG371" i="2"/>
  <c r="AF371" i="2"/>
  <c r="AE371" i="2"/>
  <c r="AD371" i="2"/>
  <c r="AC371" i="2"/>
  <c r="AB371" i="2"/>
  <c r="AA369" i="3" s="1"/>
  <c r="AA369" i="4" s="1"/>
  <c r="AA371" i="2"/>
  <c r="Z371" i="2"/>
  <c r="Y371" i="2"/>
  <c r="X371" i="2"/>
  <c r="W371" i="2"/>
  <c r="V371" i="2"/>
  <c r="U369" i="3" s="1"/>
  <c r="U369" i="4" s="1"/>
  <c r="U371" i="2"/>
  <c r="T371" i="2"/>
  <c r="S371" i="2"/>
  <c r="R371" i="2"/>
  <c r="Q371" i="2"/>
  <c r="P371" i="2"/>
  <c r="O369" i="3" s="1"/>
  <c r="O369" i="4" s="1"/>
  <c r="O371" i="2"/>
  <c r="N371" i="2"/>
  <c r="M371" i="2"/>
  <c r="L371" i="2"/>
  <c r="K371" i="2"/>
  <c r="J371" i="2"/>
  <c r="I369" i="3" s="1"/>
  <c r="I369" i="4" s="1"/>
  <c r="I371" i="2"/>
  <c r="H371" i="2"/>
  <c r="G371" i="2"/>
  <c r="F371" i="2"/>
  <c r="E371" i="2"/>
  <c r="D371" i="2"/>
  <c r="C369" i="3" s="1"/>
  <c r="C369" i="4" s="1"/>
  <c r="C371" i="2"/>
  <c r="B371" i="2"/>
  <c r="A371" i="2"/>
  <c r="AG370" i="2"/>
  <c r="AF370" i="2"/>
  <c r="AE370" i="2"/>
  <c r="AD368" i="3" s="1"/>
  <c r="AD368" i="4" s="1"/>
  <c r="AD370" i="2"/>
  <c r="AC370" i="2"/>
  <c r="AB370" i="2"/>
  <c r="AA370" i="2"/>
  <c r="Z370" i="2"/>
  <c r="Y370" i="2"/>
  <c r="X368" i="3" s="1"/>
  <c r="X368" i="4" s="1"/>
  <c r="X370" i="2"/>
  <c r="W370" i="2"/>
  <c r="V370" i="2"/>
  <c r="U370" i="2"/>
  <c r="T370" i="2"/>
  <c r="S370" i="2"/>
  <c r="R368" i="3" s="1"/>
  <c r="R368" i="4" s="1"/>
  <c r="R370" i="2"/>
  <c r="Q370" i="2"/>
  <c r="P370" i="2"/>
  <c r="O370" i="2"/>
  <c r="N370" i="2"/>
  <c r="M370" i="2"/>
  <c r="L368" i="3" s="1"/>
  <c r="L368" i="4" s="1"/>
  <c r="L370" i="2"/>
  <c r="K370" i="2"/>
  <c r="J370" i="2"/>
  <c r="I370" i="2"/>
  <c r="H370" i="2"/>
  <c r="G370" i="2"/>
  <c r="F368" i="3" s="1"/>
  <c r="F368" i="4" s="1"/>
  <c r="F370" i="2"/>
  <c r="E370" i="2"/>
  <c r="D370" i="2"/>
  <c r="C370" i="2"/>
  <c r="B370" i="2"/>
  <c r="A370" i="2"/>
  <c r="AG369" i="2"/>
  <c r="AF369" i="2"/>
  <c r="AE369" i="2"/>
  <c r="AD369" i="2"/>
  <c r="AC369" i="2"/>
  <c r="AB369" i="2"/>
  <c r="AA367" i="3" s="1"/>
  <c r="AA367" i="4" s="1"/>
  <c r="AA369" i="2"/>
  <c r="Z369" i="2"/>
  <c r="Y369" i="2"/>
  <c r="X369" i="2"/>
  <c r="W369" i="2"/>
  <c r="V369" i="2"/>
  <c r="U367" i="3" s="1"/>
  <c r="U367" i="4" s="1"/>
  <c r="U369" i="2"/>
  <c r="T369" i="2"/>
  <c r="S369" i="2"/>
  <c r="R369" i="2"/>
  <c r="Q369" i="2"/>
  <c r="P369" i="2"/>
  <c r="O367" i="3" s="1"/>
  <c r="O367" i="4" s="1"/>
  <c r="O369" i="2"/>
  <c r="N369" i="2"/>
  <c r="M369" i="2"/>
  <c r="L369" i="2"/>
  <c r="K369" i="2"/>
  <c r="J369" i="2"/>
  <c r="I367" i="3" s="1"/>
  <c r="I367" i="4" s="1"/>
  <c r="I369" i="2"/>
  <c r="H369" i="2"/>
  <c r="G369" i="2"/>
  <c r="F369" i="2"/>
  <c r="E369" i="2"/>
  <c r="D369" i="2"/>
  <c r="C367" i="3" s="1"/>
  <c r="C367" i="4" s="1"/>
  <c r="C369" i="2"/>
  <c r="B369" i="2"/>
  <c r="A369" i="2"/>
  <c r="AG368" i="2"/>
  <c r="AF368" i="2"/>
  <c r="AE368" i="2"/>
  <c r="AD368" i="2"/>
  <c r="AC368" i="2"/>
  <c r="AB368" i="2"/>
  <c r="AA368" i="2"/>
  <c r="Z368" i="2"/>
  <c r="Y368" i="2"/>
  <c r="X366" i="3" s="1"/>
  <c r="X366" i="4" s="1"/>
  <c r="X368" i="2"/>
  <c r="W368" i="2"/>
  <c r="V368" i="2"/>
  <c r="U368" i="2"/>
  <c r="T368" i="2"/>
  <c r="S368" i="2"/>
  <c r="R366" i="3" s="1"/>
  <c r="R366" i="4" s="1"/>
  <c r="R368" i="2"/>
  <c r="Q368" i="2"/>
  <c r="P368" i="2"/>
  <c r="O368" i="2"/>
  <c r="N368" i="2"/>
  <c r="M368" i="2"/>
  <c r="L366" i="3" s="1"/>
  <c r="L366" i="4" s="1"/>
  <c r="L368" i="2"/>
  <c r="K368" i="2"/>
  <c r="J368" i="2"/>
  <c r="I368" i="2"/>
  <c r="H368" i="2"/>
  <c r="G368" i="2"/>
  <c r="F366" i="3" s="1"/>
  <c r="F366" i="4" s="1"/>
  <c r="F368" i="2"/>
  <c r="E368" i="2"/>
  <c r="D368" i="2"/>
  <c r="C368" i="2"/>
  <c r="B368" i="2"/>
  <c r="A368" i="2"/>
  <c r="AG367" i="2"/>
  <c r="AF367" i="2"/>
  <c r="AE367" i="2"/>
  <c r="AD367" i="2"/>
  <c r="AC367" i="2"/>
  <c r="AB367" i="2"/>
  <c r="AA365" i="3" s="1"/>
  <c r="AA365" i="4" s="1"/>
  <c r="AA367" i="2"/>
  <c r="Z367" i="2"/>
  <c r="Y367" i="2"/>
  <c r="X367" i="2"/>
  <c r="W367" i="2"/>
  <c r="V367" i="2"/>
  <c r="U365" i="3" s="1"/>
  <c r="U365" i="4" s="1"/>
  <c r="U367" i="2"/>
  <c r="T367" i="2"/>
  <c r="S367" i="2"/>
  <c r="R367" i="2"/>
  <c r="Q367" i="2"/>
  <c r="P367" i="2"/>
  <c r="O365" i="3" s="1"/>
  <c r="O365" i="4" s="1"/>
  <c r="O367" i="2"/>
  <c r="N367" i="2"/>
  <c r="M367" i="2"/>
  <c r="L367" i="2"/>
  <c r="K367" i="2"/>
  <c r="J367" i="2"/>
  <c r="I365" i="3" s="1"/>
  <c r="I365" i="4" s="1"/>
  <c r="I367" i="2"/>
  <c r="H367" i="2"/>
  <c r="G367" i="2"/>
  <c r="F367" i="2"/>
  <c r="E367" i="2"/>
  <c r="D367" i="2"/>
  <c r="C365" i="3" s="1"/>
  <c r="C365" i="4" s="1"/>
  <c r="C367" i="2"/>
  <c r="B367" i="2"/>
  <c r="A367" i="2"/>
  <c r="AG366" i="2"/>
  <c r="AF366" i="2"/>
  <c r="AE366" i="2"/>
  <c r="AD364" i="3" s="1"/>
  <c r="AD364" i="4" s="1"/>
  <c r="AD366" i="2"/>
  <c r="AC366" i="2"/>
  <c r="AB366" i="2"/>
  <c r="AA366" i="2"/>
  <c r="Z366" i="2"/>
  <c r="Y366" i="2"/>
  <c r="X364" i="3" s="1"/>
  <c r="X364" i="4" s="1"/>
  <c r="X366" i="2"/>
  <c r="W366" i="2"/>
  <c r="V366" i="2"/>
  <c r="U366" i="2"/>
  <c r="T366" i="2"/>
  <c r="S366" i="2"/>
  <c r="R364" i="3" s="1"/>
  <c r="R364" i="4" s="1"/>
  <c r="R366" i="2"/>
  <c r="Q366" i="2"/>
  <c r="P366" i="2"/>
  <c r="O366" i="2"/>
  <c r="N366" i="2"/>
  <c r="M366" i="2"/>
  <c r="L364" i="3" s="1"/>
  <c r="L364" i="4" s="1"/>
  <c r="L366" i="2"/>
  <c r="K366" i="2"/>
  <c r="J366" i="2"/>
  <c r="I366" i="2"/>
  <c r="H366" i="2"/>
  <c r="G366" i="2"/>
  <c r="F364" i="3" s="1"/>
  <c r="F364" i="4" s="1"/>
  <c r="F366" i="2"/>
  <c r="E366" i="2"/>
  <c r="D366" i="2"/>
  <c r="C366" i="2"/>
  <c r="B366" i="2"/>
  <c r="A366" i="2"/>
  <c r="AG365" i="2"/>
  <c r="AF365" i="2"/>
  <c r="AE365" i="2"/>
  <c r="AD365" i="2"/>
  <c r="AC365" i="2"/>
  <c r="AB365" i="2"/>
  <c r="AA363" i="3" s="1"/>
  <c r="AA363" i="4" s="1"/>
  <c r="AA365" i="2"/>
  <c r="Z365" i="2"/>
  <c r="Y365" i="2"/>
  <c r="X365" i="2"/>
  <c r="W365" i="2"/>
  <c r="V365" i="2"/>
  <c r="U363" i="3" s="1"/>
  <c r="U363" i="4" s="1"/>
  <c r="U365" i="2"/>
  <c r="T365" i="2"/>
  <c r="S365" i="2"/>
  <c r="R365" i="2"/>
  <c r="Q365" i="2"/>
  <c r="P365" i="2"/>
  <c r="O363" i="3" s="1"/>
  <c r="O363" i="4" s="1"/>
  <c r="O365" i="2"/>
  <c r="N365" i="2"/>
  <c r="M365" i="2"/>
  <c r="L365" i="2"/>
  <c r="K365" i="2"/>
  <c r="J365" i="2"/>
  <c r="I363" i="3" s="1"/>
  <c r="I363" i="4" s="1"/>
  <c r="I365" i="2"/>
  <c r="H365" i="2"/>
  <c r="G365" i="2"/>
  <c r="F365" i="2"/>
  <c r="E365" i="2"/>
  <c r="D365" i="2"/>
  <c r="C363" i="3" s="1"/>
  <c r="C363" i="4" s="1"/>
  <c r="C365" i="2"/>
  <c r="B365" i="2"/>
  <c r="A365" i="2"/>
  <c r="AG364" i="2"/>
  <c r="AF364" i="2"/>
  <c r="AE364" i="2"/>
  <c r="AD362" i="3" s="1"/>
  <c r="AD362" i="4" s="1"/>
  <c r="AD364" i="2"/>
  <c r="AC364" i="2"/>
  <c r="AB364" i="2"/>
  <c r="AA364" i="2"/>
  <c r="Z364" i="2"/>
  <c r="Y364" i="2"/>
  <c r="X362" i="3" s="1"/>
  <c r="X362" i="4" s="1"/>
  <c r="X364" i="2"/>
  <c r="W364" i="2"/>
  <c r="V364" i="2"/>
  <c r="U364" i="2"/>
  <c r="T364" i="2"/>
  <c r="S364" i="2"/>
  <c r="R362" i="3" s="1"/>
  <c r="R362" i="4" s="1"/>
  <c r="R364" i="2"/>
  <c r="Q364" i="2"/>
  <c r="P364" i="2"/>
  <c r="O364" i="2"/>
  <c r="N364" i="2"/>
  <c r="M364" i="2"/>
  <c r="L362" i="3" s="1"/>
  <c r="L362" i="4" s="1"/>
  <c r="L364" i="2"/>
  <c r="K364" i="2"/>
  <c r="J364" i="2"/>
  <c r="I364" i="2"/>
  <c r="H364" i="2"/>
  <c r="G364" i="2"/>
  <c r="F362" i="3" s="1"/>
  <c r="F362" i="4" s="1"/>
  <c r="F364" i="2"/>
  <c r="E364" i="2"/>
  <c r="D364" i="2"/>
  <c r="C364" i="2"/>
  <c r="B364" i="2"/>
  <c r="A364" i="2"/>
  <c r="AG363" i="2"/>
  <c r="AF363" i="2"/>
  <c r="AE363" i="2"/>
  <c r="AD363" i="2"/>
  <c r="AC363" i="2"/>
  <c r="AB363" i="2"/>
  <c r="AA361" i="3" s="1"/>
  <c r="AA361" i="4" s="1"/>
  <c r="AA363" i="2"/>
  <c r="Z363" i="2"/>
  <c r="Y363" i="2"/>
  <c r="X363" i="2"/>
  <c r="W363" i="2"/>
  <c r="V363" i="2"/>
  <c r="U361" i="3" s="1"/>
  <c r="U361" i="4" s="1"/>
  <c r="U363" i="2"/>
  <c r="T363" i="2"/>
  <c r="S363" i="2"/>
  <c r="R363" i="2"/>
  <c r="Q363" i="2"/>
  <c r="P363" i="2"/>
  <c r="O361" i="3" s="1"/>
  <c r="O361" i="4" s="1"/>
  <c r="O363" i="2"/>
  <c r="N363" i="2"/>
  <c r="M363" i="2"/>
  <c r="L363" i="2"/>
  <c r="K363" i="2"/>
  <c r="J363" i="2"/>
  <c r="I361" i="3" s="1"/>
  <c r="I361" i="4" s="1"/>
  <c r="I363" i="2"/>
  <c r="H363" i="2"/>
  <c r="G363" i="2"/>
  <c r="F363" i="2"/>
  <c r="E363" i="2"/>
  <c r="D363" i="2"/>
  <c r="C361" i="3" s="1"/>
  <c r="C361" i="4" s="1"/>
  <c r="C363" i="2"/>
  <c r="B363" i="2"/>
  <c r="A363" i="2"/>
  <c r="AG362" i="2"/>
  <c r="AF362" i="2"/>
  <c r="AE362" i="2"/>
  <c r="AD360" i="3" s="1"/>
  <c r="AD360" i="4" s="1"/>
  <c r="AD362" i="2"/>
  <c r="AC362" i="2"/>
  <c r="AB362" i="2"/>
  <c r="AA362" i="2"/>
  <c r="Z362" i="2"/>
  <c r="Y362" i="2"/>
  <c r="X360" i="3" s="1"/>
  <c r="X360" i="4" s="1"/>
  <c r="X362" i="2"/>
  <c r="W362" i="2"/>
  <c r="V362" i="2"/>
  <c r="U362" i="2"/>
  <c r="T362" i="2"/>
  <c r="S362" i="2"/>
  <c r="R360" i="3" s="1"/>
  <c r="R360" i="4" s="1"/>
  <c r="R362" i="2"/>
  <c r="Q362" i="2"/>
  <c r="P362" i="2"/>
  <c r="O362" i="2"/>
  <c r="N362" i="2"/>
  <c r="M362" i="2"/>
  <c r="L360" i="3" s="1"/>
  <c r="L360" i="4" s="1"/>
  <c r="L362" i="2"/>
  <c r="K362" i="2"/>
  <c r="J362" i="2"/>
  <c r="I362" i="2"/>
  <c r="H362" i="2"/>
  <c r="G362" i="2"/>
  <c r="F360" i="3" s="1"/>
  <c r="F360" i="4" s="1"/>
  <c r="F362" i="2"/>
  <c r="E362" i="2"/>
  <c r="D362" i="2"/>
  <c r="C362" i="2"/>
  <c r="B362" i="2"/>
  <c r="A362" i="2"/>
  <c r="AG361" i="2"/>
  <c r="AF361" i="2"/>
  <c r="AE361" i="2"/>
  <c r="AD361" i="2"/>
  <c r="AC361" i="2"/>
  <c r="AB361" i="2"/>
  <c r="AA359" i="3" s="1"/>
  <c r="AA359" i="4" s="1"/>
  <c r="AA361" i="2"/>
  <c r="Z361" i="2"/>
  <c r="Y361" i="2"/>
  <c r="X361" i="2"/>
  <c r="W361" i="2"/>
  <c r="V361" i="2"/>
  <c r="U359" i="3" s="1"/>
  <c r="U359" i="4" s="1"/>
  <c r="U361" i="2"/>
  <c r="T361" i="2"/>
  <c r="S361" i="2"/>
  <c r="R361" i="2"/>
  <c r="Q361" i="2"/>
  <c r="P361" i="2"/>
  <c r="O359" i="3" s="1"/>
  <c r="O359" i="4" s="1"/>
  <c r="O361" i="2"/>
  <c r="N361" i="2"/>
  <c r="M361" i="2"/>
  <c r="L361" i="2"/>
  <c r="K361" i="2"/>
  <c r="J361" i="2"/>
  <c r="I359" i="3" s="1"/>
  <c r="I359" i="4" s="1"/>
  <c r="I361" i="2"/>
  <c r="H361" i="2"/>
  <c r="G361" i="2"/>
  <c r="F361" i="2"/>
  <c r="E361" i="2"/>
  <c r="D361" i="2"/>
  <c r="C359" i="3" s="1"/>
  <c r="C359" i="4" s="1"/>
  <c r="C361" i="2"/>
  <c r="B361" i="2"/>
  <c r="A361" i="2"/>
  <c r="AG360" i="2"/>
  <c r="AF360" i="2"/>
  <c r="AE360" i="2"/>
  <c r="AD358" i="3" s="1"/>
  <c r="AD358" i="4" s="1"/>
  <c r="AD360" i="2"/>
  <c r="AC360" i="2"/>
  <c r="AB360" i="2"/>
  <c r="AA360" i="2"/>
  <c r="Z360" i="2"/>
  <c r="Y360" i="2"/>
  <c r="X358" i="3" s="1"/>
  <c r="X358" i="4" s="1"/>
  <c r="X360" i="2"/>
  <c r="W360" i="2"/>
  <c r="V360" i="2"/>
  <c r="U360" i="2"/>
  <c r="T360" i="2"/>
  <c r="S360" i="2"/>
  <c r="R358" i="3" s="1"/>
  <c r="R358" i="4" s="1"/>
  <c r="R360" i="2"/>
  <c r="Q360" i="2"/>
  <c r="P360" i="2"/>
  <c r="O360" i="2"/>
  <c r="N360" i="2"/>
  <c r="M360" i="2"/>
  <c r="L358" i="3" s="1"/>
  <c r="L358" i="4" s="1"/>
  <c r="L360" i="2"/>
  <c r="K360" i="2"/>
  <c r="J360" i="2"/>
  <c r="I360" i="2"/>
  <c r="H360" i="2"/>
  <c r="G360" i="2"/>
  <c r="F358" i="3" s="1"/>
  <c r="F358" i="4" s="1"/>
  <c r="F360" i="2"/>
  <c r="E360" i="2"/>
  <c r="D360" i="2"/>
  <c r="C360" i="2"/>
  <c r="B360" i="2"/>
  <c r="A360" i="2"/>
  <c r="AG359" i="2"/>
  <c r="AF359" i="2"/>
  <c r="AE359" i="2"/>
  <c r="AD359" i="2"/>
  <c r="AC359" i="2"/>
  <c r="AB359" i="2"/>
  <c r="AA357" i="3" s="1"/>
  <c r="AA357" i="4" s="1"/>
  <c r="AA359" i="2"/>
  <c r="Z359" i="2"/>
  <c r="Y359" i="2"/>
  <c r="X359" i="2"/>
  <c r="W359" i="2"/>
  <c r="V359" i="2"/>
  <c r="U357" i="3" s="1"/>
  <c r="U357" i="4" s="1"/>
  <c r="U359" i="2"/>
  <c r="T359" i="2"/>
  <c r="S359" i="2"/>
  <c r="R359" i="2"/>
  <c r="Q359" i="2"/>
  <c r="P359" i="2"/>
  <c r="O357" i="3" s="1"/>
  <c r="O357" i="4" s="1"/>
  <c r="O359" i="2"/>
  <c r="N359" i="2"/>
  <c r="M359" i="2"/>
  <c r="L359" i="2"/>
  <c r="K359" i="2"/>
  <c r="J359" i="2"/>
  <c r="I357" i="3" s="1"/>
  <c r="I357" i="4" s="1"/>
  <c r="I359" i="2"/>
  <c r="H359" i="2"/>
  <c r="G359" i="2"/>
  <c r="F359" i="2"/>
  <c r="E359" i="2"/>
  <c r="D359" i="2"/>
  <c r="C357" i="3" s="1"/>
  <c r="C357" i="4" s="1"/>
  <c r="C359" i="2"/>
  <c r="B359" i="2"/>
  <c r="A359" i="2"/>
  <c r="AG358" i="2"/>
  <c r="AF358" i="2"/>
  <c r="AE358" i="2"/>
  <c r="AD356" i="3" s="1"/>
  <c r="AD356" i="4" s="1"/>
  <c r="AD358" i="2"/>
  <c r="AC358" i="2"/>
  <c r="AB358" i="2"/>
  <c r="AA358" i="2"/>
  <c r="Z358" i="2"/>
  <c r="Y358" i="2"/>
  <c r="X356" i="3" s="1"/>
  <c r="X356" i="4" s="1"/>
  <c r="X358" i="2"/>
  <c r="W358" i="2"/>
  <c r="V358" i="2"/>
  <c r="U358" i="2"/>
  <c r="T358" i="2"/>
  <c r="S358" i="2"/>
  <c r="R356" i="3" s="1"/>
  <c r="R356" i="4" s="1"/>
  <c r="R358" i="2"/>
  <c r="Q358" i="2"/>
  <c r="P358" i="2"/>
  <c r="O358" i="2"/>
  <c r="N358" i="2"/>
  <c r="M358" i="2"/>
  <c r="L356" i="3" s="1"/>
  <c r="L356" i="4" s="1"/>
  <c r="L358" i="2"/>
  <c r="K358" i="2"/>
  <c r="J358" i="2"/>
  <c r="I358" i="2"/>
  <c r="H358" i="2"/>
  <c r="G358" i="2"/>
  <c r="F356" i="3" s="1"/>
  <c r="F356" i="4" s="1"/>
  <c r="F358" i="2"/>
  <c r="E358" i="2"/>
  <c r="D358" i="2"/>
  <c r="C358" i="2"/>
  <c r="B358" i="2"/>
  <c r="A358" i="2"/>
  <c r="AG357" i="2"/>
  <c r="AF357" i="2"/>
  <c r="AE357" i="2"/>
  <c r="AD357" i="2"/>
  <c r="AC357" i="2"/>
  <c r="AB357" i="2"/>
  <c r="AA355" i="3" s="1"/>
  <c r="AA355" i="4" s="1"/>
  <c r="AA357" i="2"/>
  <c r="Z357" i="2"/>
  <c r="Y357" i="2"/>
  <c r="X357" i="2"/>
  <c r="W357" i="2"/>
  <c r="V357" i="2"/>
  <c r="U355" i="3" s="1"/>
  <c r="U355" i="4" s="1"/>
  <c r="U357" i="2"/>
  <c r="T357" i="2"/>
  <c r="S357" i="2"/>
  <c r="R357" i="2"/>
  <c r="Q357" i="2"/>
  <c r="P357" i="2"/>
  <c r="O355" i="3" s="1"/>
  <c r="O355" i="4" s="1"/>
  <c r="O357" i="2"/>
  <c r="N357" i="2"/>
  <c r="M357" i="2"/>
  <c r="L357" i="2"/>
  <c r="K357" i="2"/>
  <c r="J357" i="2"/>
  <c r="I355" i="3" s="1"/>
  <c r="I355" i="4" s="1"/>
  <c r="I357" i="2"/>
  <c r="H357" i="2"/>
  <c r="G357" i="2"/>
  <c r="F357" i="2"/>
  <c r="E357" i="2"/>
  <c r="D357" i="2"/>
  <c r="C355" i="3" s="1"/>
  <c r="C355" i="4" s="1"/>
  <c r="C357" i="2"/>
  <c r="B357" i="2"/>
  <c r="A357" i="2"/>
  <c r="AG356" i="2"/>
  <c r="AF356" i="2"/>
  <c r="AE356" i="2"/>
  <c r="AD354" i="3" s="1"/>
  <c r="AD354" i="4" s="1"/>
  <c r="AD356" i="2"/>
  <c r="AC356" i="2"/>
  <c r="AB356" i="2"/>
  <c r="AA356" i="2"/>
  <c r="Z356" i="2"/>
  <c r="Y356" i="2"/>
  <c r="X354" i="3" s="1"/>
  <c r="X354" i="4" s="1"/>
  <c r="X356" i="2"/>
  <c r="W356" i="2"/>
  <c r="V356" i="2"/>
  <c r="U356" i="2"/>
  <c r="T356" i="2"/>
  <c r="S356" i="2"/>
  <c r="R354" i="3" s="1"/>
  <c r="R354" i="4" s="1"/>
  <c r="R356" i="2"/>
  <c r="Q356" i="2"/>
  <c r="P356" i="2"/>
  <c r="O356" i="2"/>
  <c r="N356" i="2"/>
  <c r="M356" i="2"/>
  <c r="L354" i="3" s="1"/>
  <c r="L354" i="4" s="1"/>
  <c r="L356" i="2"/>
  <c r="K356" i="2"/>
  <c r="J356" i="2"/>
  <c r="I356" i="2"/>
  <c r="H356" i="2"/>
  <c r="G356" i="2"/>
  <c r="F354" i="3" s="1"/>
  <c r="F354" i="4" s="1"/>
  <c r="F356" i="2"/>
  <c r="E356" i="2"/>
  <c r="D356" i="2"/>
  <c r="C356" i="2"/>
  <c r="B356" i="2"/>
  <c r="A356" i="2"/>
  <c r="AG355" i="2"/>
  <c r="AF355" i="2"/>
  <c r="AE355" i="2"/>
  <c r="AD355" i="2"/>
  <c r="AC355" i="2"/>
  <c r="AB355" i="2"/>
  <c r="AA353" i="3" s="1"/>
  <c r="AA353" i="4" s="1"/>
  <c r="AA355" i="2"/>
  <c r="Z355" i="2"/>
  <c r="Y355" i="2"/>
  <c r="X355" i="2"/>
  <c r="W355" i="2"/>
  <c r="V355" i="2"/>
  <c r="U353" i="3" s="1"/>
  <c r="U353" i="4" s="1"/>
  <c r="U355" i="2"/>
  <c r="T355" i="2"/>
  <c r="S355" i="2"/>
  <c r="R355" i="2"/>
  <c r="Q355" i="2"/>
  <c r="P355" i="2"/>
  <c r="O353" i="3" s="1"/>
  <c r="O353" i="4" s="1"/>
  <c r="O355" i="2"/>
  <c r="N355" i="2"/>
  <c r="M355" i="2"/>
  <c r="L355" i="2"/>
  <c r="K355" i="2"/>
  <c r="J355" i="2"/>
  <c r="I353" i="3" s="1"/>
  <c r="I353" i="4" s="1"/>
  <c r="I355" i="2"/>
  <c r="H355" i="2"/>
  <c r="G355" i="2"/>
  <c r="F355" i="2"/>
  <c r="E355" i="2"/>
  <c r="D355" i="2"/>
  <c r="C353" i="3" s="1"/>
  <c r="C353" i="4" s="1"/>
  <c r="C355" i="2"/>
  <c r="B355" i="2"/>
  <c r="A355" i="2"/>
  <c r="AG354" i="2"/>
  <c r="AF354" i="2"/>
  <c r="AE354" i="2"/>
  <c r="AD352" i="3" s="1"/>
  <c r="AD352" i="4" s="1"/>
  <c r="AD354" i="2"/>
  <c r="AC354" i="2"/>
  <c r="AB354" i="2"/>
  <c r="AA354" i="2"/>
  <c r="Z354" i="2"/>
  <c r="Y354" i="2"/>
  <c r="X352" i="3" s="1"/>
  <c r="X352" i="4" s="1"/>
  <c r="X354" i="2"/>
  <c r="W354" i="2"/>
  <c r="V354" i="2"/>
  <c r="U354" i="2"/>
  <c r="T354" i="2"/>
  <c r="S354" i="2"/>
  <c r="R352" i="3" s="1"/>
  <c r="R352" i="4" s="1"/>
  <c r="R354" i="2"/>
  <c r="Q354" i="2"/>
  <c r="P354" i="2"/>
  <c r="O354" i="2"/>
  <c r="N354" i="2"/>
  <c r="M354" i="2"/>
  <c r="L352" i="3" s="1"/>
  <c r="L352" i="4" s="1"/>
  <c r="L354" i="2"/>
  <c r="K354" i="2"/>
  <c r="J354" i="2"/>
  <c r="I354" i="2"/>
  <c r="H354" i="2"/>
  <c r="G354" i="2"/>
  <c r="F352" i="3" s="1"/>
  <c r="F352" i="4" s="1"/>
  <c r="F354" i="2"/>
  <c r="E354" i="2"/>
  <c r="D354" i="2"/>
  <c r="C354" i="2"/>
  <c r="B354" i="2"/>
  <c r="A354" i="2"/>
  <c r="AG353" i="2"/>
  <c r="AF353" i="2"/>
  <c r="AE353" i="2"/>
  <c r="AD353" i="2"/>
  <c r="AC353" i="2"/>
  <c r="AB353" i="2"/>
  <c r="AA351" i="3" s="1"/>
  <c r="AA351" i="4" s="1"/>
  <c r="AA353" i="2"/>
  <c r="Z353" i="2"/>
  <c r="Y353" i="2"/>
  <c r="X353" i="2"/>
  <c r="W353" i="2"/>
  <c r="V353" i="2"/>
  <c r="U351" i="3" s="1"/>
  <c r="U351" i="4" s="1"/>
  <c r="U353" i="2"/>
  <c r="T353" i="2"/>
  <c r="S353" i="2"/>
  <c r="R353" i="2"/>
  <c r="Q353" i="2"/>
  <c r="P353" i="2"/>
  <c r="O351" i="3" s="1"/>
  <c r="O351" i="4" s="1"/>
  <c r="O353" i="2"/>
  <c r="N353" i="2"/>
  <c r="M353" i="2"/>
  <c r="L353" i="2"/>
  <c r="K353" i="2"/>
  <c r="J353" i="2"/>
  <c r="I351" i="3" s="1"/>
  <c r="I351" i="4" s="1"/>
  <c r="I353" i="2"/>
  <c r="H353" i="2"/>
  <c r="G353" i="2"/>
  <c r="F353" i="2"/>
  <c r="E353" i="2"/>
  <c r="D353" i="2"/>
  <c r="C351" i="3" s="1"/>
  <c r="C351" i="4" s="1"/>
  <c r="C353" i="2"/>
  <c r="B353" i="2"/>
  <c r="A353" i="2"/>
  <c r="AG352" i="2"/>
  <c r="AF352" i="2"/>
  <c r="AE352" i="2"/>
  <c r="AD350" i="3" s="1"/>
  <c r="AD350" i="4" s="1"/>
  <c r="AD352" i="2"/>
  <c r="AC352" i="2"/>
  <c r="AB352" i="2"/>
  <c r="AA352" i="2"/>
  <c r="Z352" i="2"/>
  <c r="Y352" i="2"/>
  <c r="X350" i="3" s="1"/>
  <c r="X350" i="4" s="1"/>
  <c r="X352" i="2"/>
  <c r="W352" i="2"/>
  <c r="V352" i="2"/>
  <c r="U352" i="2"/>
  <c r="T352" i="2"/>
  <c r="S352" i="2"/>
  <c r="R350" i="3" s="1"/>
  <c r="R350" i="4" s="1"/>
  <c r="R352" i="2"/>
  <c r="Q352" i="2"/>
  <c r="P352" i="2"/>
  <c r="O352" i="2"/>
  <c r="N352" i="2"/>
  <c r="M352" i="2"/>
  <c r="L350" i="3" s="1"/>
  <c r="L350" i="4" s="1"/>
  <c r="L352" i="2"/>
  <c r="K352" i="2"/>
  <c r="J352" i="2"/>
  <c r="I352" i="2"/>
  <c r="H352" i="2"/>
  <c r="G352" i="2"/>
  <c r="F350" i="3" s="1"/>
  <c r="F350" i="4" s="1"/>
  <c r="F352" i="2"/>
  <c r="E352" i="2"/>
  <c r="D352" i="2"/>
  <c r="C352" i="2"/>
  <c r="B352" i="2"/>
  <c r="A352" i="2"/>
  <c r="AG351" i="2"/>
  <c r="AF351" i="2"/>
  <c r="AE351" i="2"/>
  <c r="AD351" i="2"/>
  <c r="AC351" i="2"/>
  <c r="AB351" i="2"/>
  <c r="AA349" i="3" s="1"/>
  <c r="AA349" i="4" s="1"/>
  <c r="AA351" i="2"/>
  <c r="Z351" i="2"/>
  <c r="Y351" i="2"/>
  <c r="X351" i="2"/>
  <c r="W351" i="2"/>
  <c r="V351" i="2"/>
  <c r="U349" i="3" s="1"/>
  <c r="U349" i="4" s="1"/>
  <c r="U351" i="2"/>
  <c r="T351" i="2"/>
  <c r="S351" i="2"/>
  <c r="R351" i="2"/>
  <c r="Q351" i="2"/>
  <c r="P351" i="2"/>
  <c r="O349" i="3" s="1"/>
  <c r="O349" i="4" s="1"/>
  <c r="O351" i="2"/>
  <c r="N351" i="2"/>
  <c r="M351" i="2"/>
  <c r="L351" i="2"/>
  <c r="K351" i="2"/>
  <c r="J351" i="2"/>
  <c r="I349" i="3" s="1"/>
  <c r="I349" i="4" s="1"/>
  <c r="I351" i="2"/>
  <c r="H351" i="2"/>
  <c r="G351" i="2"/>
  <c r="F351" i="2"/>
  <c r="E351" i="2"/>
  <c r="D351" i="2"/>
  <c r="C349" i="3" s="1"/>
  <c r="C349" i="4" s="1"/>
  <c r="C351" i="2"/>
  <c r="B351" i="2"/>
  <c r="A351" i="2"/>
  <c r="AG350" i="2"/>
  <c r="AF350" i="2"/>
  <c r="AE350" i="2"/>
  <c r="AD348" i="3" s="1"/>
  <c r="AD348" i="4" s="1"/>
  <c r="AD350" i="2"/>
  <c r="AC350" i="2"/>
  <c r="AB350" i="2"/>
  <c r="AA350" i="2"/>
  <c r="Z350" i="2"/>
  <c r="Y350" i="2"/>
  <c r="X348" i="3" s="1"/>
  <c r="X348" i="4" s="1"/>
  <c r="X350" i="2"/>
  <c r="W350" i="2"/>
  <c r="V350" i="2"/>
  <c r="U350" i="2"/>
  <c r="T350" i="2"/>
  <c r="S350" i="2"/>
  <c r="R348" i="3" s="1"/>
  <c r="R348" i="4" s="1"/>
  <c r="R350" i="2"/>
  <c r="Q350" i="2"/>
  <c r="P350" i="2"/>
  <c r="O350" i="2"/>
  <c r="N350" i="2"/>
  <c r="M350" i="2"/>
  <c r="L348" i="3" s="1"/>
  <c r="L348" i="4" s="1"/>
  <c r="L350" i="2"/>
  <c r="K350" i="2"/>
  <c r="J350" i="2"/>
  <c r="I350" i="2"/>
  <c r="H350" i="2"/>
  <c r="G350" i="2"/>
  <c r="F348" i="3" s="1"/>
  <c r="F348" i="4" s="1"/>
  <c r="F350" i="2"/>
  <c r="E350" i="2"/>
  <c r="D350" i="2"/>
  <c r="C350" i="2"/>
  <c r="B350" i="2"/>
  <c r="A350" i="2"/>
  <c r="AG349" i="2"/>
  <c r="AF349" i="2"/>
  <c r="AE349" i="2"/>
  <c r="AD349" i="2"/>
  <c r="AC349" i="2"/>
  <c r="AB349" i="2"/>
  <c r="AA347" i="3" s="1"/>
  <c r="AA347" i="4" s="1"/>
  <c r="AA349" i="2"/>
  <c r="Z349" i="2"/>
  <c r="Y349" i="2"/>
  <c r="X349" i="2"/>
  <c r="W349" i="2"/>
  <c r="V349" i="2"/>
  <c r="U347" i="3" s="1"/>
  <c r="U347" i="4" s="1"/>
  <c r="U349" i="2"/>
  <c r="T349" i="2"/>
  <c r="S349" i="2"/>
  <c r="R349" i="2"/>
  <c r="Q349" i="2"/>
  <c r="P349" i="2"/>
  <c r="O347" i="3" s="1"/>
  <c r="O347" i="4" s="1"/>
  <c r="O349" i="2"/>
  <c r="N349" i="2"/>
  <c r="M349" i="2"/>
  <c r="L349" i="2"/>
  <c r="K349" i="2"/>
  <c r="J349" i="2"/>
  <c r="I347" i="3" s="1"/>
  <c r="I347" i="4" s="1"/>
  <c r="I349" i="2"/>
  <c r="H349" i="2"/>
  <c r="G349" i="2"/>
  <c r="F349" i="2"/>
  <c r="E349" i="2"/>
  <c r="D349" i="2"/>
  <c r="C347" i="3" s="1"/>
  <c r="C347" i="4" s="1"/>
  <c r="C349" i="2"/>
  <c r="B349" i="2"/>
  <c r="A349" i="2"/>
  <c r="AG348" i="2"/>
  <c r="AF348" i="2"/>
  <c r="AE348" i="2"/>
  <c r="AD346" i="3" s="1"/>
  <c r="AD346" i="4" s="1"/>
  <c r="AD348" i="2"/>
  <c r="AC348" i="2"/>
  <c r="AB348" i="2"/>
  <c r="AA348" i="2"/>
  <c r="Z348" i="2"/>
  <c r="Y348" i="2"/>
  <c r="X346" i="3" s="1"/>
  <c r="X346" i="4" s="1"/>
  <c r="X348" i="2"/>
  <c r="W348" i="2"/>
  <c r="V348" i="2"/>
  <c r="U348" i="2"/>
  <c r="T348" i="2"/>
  <c r="S348" i="2"/>
  <c r="R346" i="3" s="1"/>
  <c r="R346" i="4" s="1"/>
  <c r="R348" i="2"/>
  <c r="Q348" i="2"/>
  <c r="P348" i="2"/>
  <c r="O348" i="2"/>
  <c r="N348" i="2"/>
  <c r="M348" i="2"/>
  <c r="L346" i="3" s="1"/>
  <c r="L346" i="4" s="1"/>
  <c r="L348" i="2"/>
  <c r="K348" i="2"/>
  <c r="J348" i="2"/>
  <c r="I348" i="2"/>
  <c r="H348" i="2"/>
  <c r="G348" i="2"/>
  <c r="F346" i="3" s="1"/>
  <c r="F346" i="4" s="1"/>
  <c r="F348" i="2"/>
  <c r="E348" i="2"/>
  <c r="D348" i="2"/>
  <c r="C348" i="2"/>
  <c r="B348" i="2"/>
  <c r="A348" i="2"/>
  <c r="AG347" i="2"/>
  <c r="AF347" i="2"/>
  <c r="AE347" i="2"/>
  <c r="AD347" i="2"/>
  <c r="AC347" i="2"/>
  <c r="AB347" i="2"/>
  <c r="AA345" i="3" s="1"/>
  <c r="AA345" i="4" s="1"/>
  <c r="AA347" i="2"/>
  <c r="Z347" i="2"/>
  <c r="Y347" i="2"/>
  <c r="X347" i="2"/>
  <c r="W347" i="2"/>
  <c r="V347" i="2"/>
  <c r="U345" i="3" s="1"/>
  <c r="U345" i="4" s="1"/>
  <c r="U347" i="2"/>
  <c r="T347" i="2"/>
  <c r="S347" i="2"/>
  <c r="R347" i="2"/>
  <c r="Q347" i="2"/>
  <c r="P347" i="2"/>
  <c r="O345" i="3" s="1"/>
  <c r="O345" i="4" s="1"/>
  <c r="O347" i="2"/>
  <c r="N347" i="2"/>
  <c r="M347" i="2"/>
  <c r="L347" i="2"/>
  <c r="K347" i="2"/>
  <c r="J347" i="2"/>
  <c r="I345" i="3" s="1"/>
  <c r="I345" i="4" s="1"/>
  <c r="I347" i="2"/>
  <c r="H347" i="2"/>
  <c r="G347" i="2"/>
  <c r="F347" i="2"/>
  <c r="E347" i="2"/>
  <c r="D347" i="2"/>
  <c r="C345" i="3" s="1"/>
  <c r="C345" i="4" s="1"/>
  <c r="C347" i="2"/>
  <c r="B347" i="2"/>
  <c r="A347" i="2"/>
  <c r="AG346" i="2"/>
  <c r="AF346" i="2"/>
  <c r="AE346" i="2"/>
  <c r="AD344" i="3" s="1"/>
  <c r="AD344" i="4" s="1"/>
  <c r="AD346" i="2"/>
  <c r="AC346" i="2"/>
  <c r="AB346" i="2"/>
  <c r="AA346" i="2"/>
  <c r="Z346" i="2"/>
  <c r="Y346" i="2"/>
  <c r="X344" i="3" s="1"/>
  <c r="X344" i="4" s="1"/>
  <c r="X346" i="2"/>
  <c r="W346" i="2"/>
  <c r="V346" i="2"/>
  <c r="U346" i="2"/>
  <c r="T346" i="2"/>
  <c r="S346" i="2"/>
  <c r="R344" i="3" s="1"/>
  <c r="R344" i="4" s="1"/>
  <c r="R346" i="2"/>
  <c r="Q346" i="2"/>
  <c r="P346" i="2"/>
  <c r="O346" i="2"/>
  <c r="N346" i="2"/>
  <c r="M344" i="3" s="1"/>
  <c r="M344" i="4" s="1"/>
  <c r="M346" i="2"/>
  <c r="L344" i="3" s="1"/>
  <c r="L344" i="4" s="1"/>
  <c r="L346" i="2"/>
  <c r="K346" i="2"/>
  <c r="J346" i="2"/>
  <c r="I346" i="2"/>
  <c r="H346" i="2"/>
  <c r="G346" i="2"/>
  <c r="F344" i="3" s="1"/>
  <c r="F344" i="4" s="1"/>
  <c r="F346" i="2"/>
  <c r="E346" i="2"/>
  <c r="D346" i="2"/>
  <c r="C346" i="2"/>
  <c r="B346" i="2"/>
  <c r="A344" i="3" s="1"/>
  <c r="A344" i="4" s="1"/>
  <c r="A346" i="2"/>
  <c r="AG345" i="2"/>
  <c r="AF345" i="2"/>
  <c r="AE345" i="2"/>
  <c r="AD345" i="2"/>
  <c r="AC345" i="2"/>
  <c r="AB345" i="2"/>
  <c r="AA343" i="3" s="1"/>
  <c r="AA343" i="4" s="1"/>
  <c r="AA345" i="2"/>
  <c r="Z345" i="2"/>
  <c r="Y345" i="2"/>
  <c r="X345" i="2"/>
  <c r="W345" i="2"/>
  <c r="V343" i="3" s="1"/>
  <c r="V343" i="4" s="1"/>
  <c r="V345" i="2"/>
  <c r="U343" i="3" s="1"/>
  <c r="U343" i="4" s="1"/>
  <c r="U345" i="2"/>
  <c r="T345" i="2"/>
  <c r="S345" i="2"/>
  <c r="R345" i="2"/>
  <c r="Q345" i="2"/>
  <c r="P345" i="2"/>
  <c r="O343" i="3" s="1"/>
  <c r="O343" i="4" s="1"/>
  <c r="O345" i="2"/>
  <c r="N345" i="2"/>
  <c r="M345" i="2"/>
  <c r="L345" i="2"/>
  <c r="K345" i="2"/>
  <c r="J343" i="3" s="1"/>
  <c r="J343" i="4" s="1"/>
  <c r="J345" i="2"/>
  <c r="I343" i="3" s="1"/>
  <c r="I343" i="4" s="1"/>
  <c r="I345" i="2"/>
  <c r="H345" i="2"/>
  <c r="G345" i="2"/>
  <c r="F345" i="2"/>
  <c r="E345" i="2"/>
  <c r="D345" i="2"/>
  <c r="C343" i="3" s="1"/>
  <c r="C343" i="4" s="1"/>
  <c r="C345" i="2"/>
  <c r="B345" i="2"/>
  <c r="A345" i="2"/>
  <c r="AG344" i="2"/>
  <c r="AF344" i="2"/>
  <c r="AE342" i="3" s="1"/>
  <c r="AE342" i="4" s="1"/>
  <c r="AE344" i="2"/>
  <c r="AD342" i="3" s="1"/>
  <c r="AD342" i="4" s="1"/>
  <c r="AD344" i="2"/>
  <c r="AC344" i="2"/>
  <c r="AB344" i="2"/>
  <c r="AA344" i="2"/>
  <c r="Z344" i="2"/>
  <c r="Y344" i="2"/>
  <c r="X342" i="3" s="1"/>
  <c r="X342" i="4" s="1"/>
  <c r="X344" i="2"/>
  <c r="W344" i="2"/>
  <c r="V344" i="2"/>
  <c r="U344" i="2"/>
  <c r="T344" i="2"/>
  <c r="S342" i="3" s="1"/>
  <c r="S342" i="4" s="1"/>
  <c r="S344" i="2"/>
  <c r="R342" i="3" s="1"/>
  <c r="R342" i="4" s="1"/>
  <c r="R344" i="2"/>
  <c r="Q344" i="2"/>
  <c r="P344" i="2"/>
  <c r="O344" i="2"/>
  <c r="N344" i="2"/>
  <c r="M344" i="2"/>
  <c r="L342" i="3" s="1"/>
  <c r="L342" i="4" s="1"/>
  <c r="L344" i="2"/>
  <c r="K344" i="2"/>
  <c r="J344" i="2"/>
  <c r="I344" i="2"/>
  <c r="H344" i="2"/>
  <c r="G342" i="3" s="1"/>
  <c r="G342" i="4" s="1"/>
  <c r="G344" i="2"/>
  <c r="F342" i="3" s="1"/>
  <c r="F342" i="4" s="1"/>
  <c r="F344" i="2"/>
  <c r="E344" i="2"/>
  <c r="D344" i="2"/>
  <c r="C344" i="2"/>
  <c r="B344" i="2"/>
  <c r="A344" i="2"/>
  <c r="AG343" i="2"/>
  <c r="AF343" i="2"/>
  <c r="AE343" i="2"/>
  <c r="AD343" i="2"/>
  <c r="AC343" i="2"/>
  <c r="AB341" i="3" s="1"/>
  <c r="AB341" i="4" s="1"/>
  <c r="AB343" i="2"/>
  <c r="AA341" i="3" s="1"/>
  <c r="AA341" i="4" s="1"/>
  <c r="AA343" i="2"/>
  <c r="Z343" i="2"/>
  <c r="Y343" i="2"/>
  <c r="X343" i="2"/>
  <c r="W343" i="2"/>
  <c r="V343" i="2"/>
  <c r="U341" i="3" s="1"/>
  <c r="U341" i="4" s="1"/>
  <c r="U343" i="2"/>
  <c r="T343" i="2"/>
  <c r="S343" i="2"/>
  <c r="R343" i="2"/>
  <c r="Q343" i="2"/>
  <c r="P341" i="3" s="1"/>
  <c r="P341" i="4" s="1"/>
  <c r="P343" i="2"/>
  <c r="O341" i="3" s="1"/>
  <c r="O341" i="4" s="1"/>
  <c r="O343" i="2"/>
  <c r="N343" i="2"/>
  <c r="M343" i="2"/>
  <c r="L343" i="2"/>
  <c r="K343" i="2"/>
  <c r="J343" i="2"/>
  <c r="I341" i="3" s="1"/>
  <c r="I341" i="4" s="1"/>
  <c r="I343" i="2"/>
  <c r="H343" i="2"/>
  <c r="G343" i="2"/>
  <c r="F343" i="2"/>
  <c r="E343" i="2"/>
  <c r="D341" i="3" s="1"/>
  <c r="D341" i="4" s="1"/>
  <c r="D343" i="2"/>
  <c r="C341" i="3" s="1"/>
  <c r="C341" i="4" s="1"/>
  <c r="C343" i="2"/>
  <c r="B343" i="2"/>
  <c r="A343" i="2"/>
  <c r="AG342" i="2"/>
  <c r="AF342" i="2"/>
  <c r="AE342" i="2"/>
  <c r="AD340" i="3" s="1"/>
  <c r="AD340" i="4" s="1"/>
  <c r="AD342" i="2"/>
  <c r="AC342" i="2"/>
  <c r="AB342" i="2"/>
  <c r="AA342" i="2"/>
  <c r="Z342" i="2"/>
  <c r="Y340" i="3" s="1"/>
  <c r="Y340" i="4" s="1"/>
  <c r="Y342" i="2"/>
  <c r="X340" i="3" s="1"/>
  <c r="X340" i="4" s="1"/>
  <c r="X342" i="2"/>
  <c r="W342" i="2"/>
  <c r="V342" i="2"/>
  <c r="U342" i="2"/>
  <c r="T342" i="2"/>
  <c r="S342" i="2"/>
  <c r="R340" i="3" s="1"/>
  <c r="R340" i="4" s="1"/>
  <c r="R342" i="2"/>
  <c r="Q342" i="2"/>
  <c r="P342" i="2"/>
  <c r="O342" i="2"/>
  <c r="N342" i="2"/>
  <c r="M340" i="3" s="1"/>
  <c r="M340" i="4" s="1"/>
  <c r="M342" i="2"/>
  <c r="L340" i="3" s="1"/>
  <c r="L340" i="4" s="1"/>
  <c r="L342" i="2"/>
  <c r="K342" i="2"/>
  <c r="J342" i="2"/>
  <c r="I342" i="2"/>
  <c r="H342" i="2"/>
  <c r="G342" i="2"/>
  <c r="F340" i="3" s="1"/>
  <c r="F340" i="4" s="1"/>
  <c r="F342" i="2"/>
  <c r="E342" i="2"/>
  <c r="D342" i="2"/>
  <c r="C342" i="2"/>
  <c r="B342" i="2"/>
  <c r="A340" i="3" s="1"/>
  <c r="A340" i="4" s="1"/>
  <c r="A342" i="2"/>
  <c r="AG341" i="2"/>
  <c r="AF341" i="2"/>
  <c r="AE341" i="2"/>
  <c r="AD341" i="2"/>
  <c r="AC341" i="2"/>
  <c r="AB341" i="2"/>
  <c r="AA339" i="3" s="1"/>
  <c r="AA339" i="4" s="1"/>
  <c r="AA341" i="2"/>
  <c r="Z341" i="2"/>
  <c r="Y341" i="2"/>
  <c r="X341" i="2"/>
  <c r="W341" i="2"/>
  <c r="V339" i="3" s="1"/>
  <c r="V339" i="4" s="1"/>
  <c r="V341" i="2"/>
  <c r="U339" i="3" s="1"/>
  <c r="U339" i="4" s="1"/>
  <c r="U341" i="2"/>
  <c r="T341" i="2"/>
  <c r="S341" i="2"/>
  <c r="R341" i="2"/>
  <c r="Q341" i="2"/>
  <c r="P341" i="2"/>
  <c r="O339" i="3" s="1"/>
  <c r="O339" i="4" s="1"/>
  <c r="O341" i="2"/>
  <c r="N341" i="2"/>
  <c r="M341" i="2"/>
  <c r="L341" i="2"/>
  <c r="K341" i="2"/>
  <c r="J339" i="3" s="1"/>
  <c r="J339" i="4" s="1"/>
  <c r="J341" i="2"/>
  <c r="I339" i="3" s="1"/>
  <c r="I339" i="4" s="1"/>
  <c r="I341" i="2"/>
  <c r="H341" i="2"/>
  <c r="G341" i="2"/>
  <c r="F341" i="2"/>
  <c r="E341" i="2"/>
  <c r="D341" i="2"/>
  <c r="C339" i="3" s="1"/>
  <c r="C339" i="4" s="1"/>
  <c r="C341" i="2"/>
  <c r="B341" i="2"/>
  <c r="A341" i="2"/>
  <c r="AG340" i="2"/>
  <c r="AF340" i="2"/>
  <c r="AE338" i="3" s="1"/>
  <c r="AE338" i="4" s="1"/>
  <c r="AE340" i="2"/>
  <c r="AD338" i="3" s="1"/>
  <c r="AD338" i="4" s="1"/>
  <c r="AD340" i="2"/>
  <c r="AC340" i="2"/>
  <c r="AB340" i="2"/>
  <c r="AA340" i="2"/>
  <c r="Z340" i="2"/>
  <c r="Y340" i="2"/>
  <c r="X338" i="3" s="1"/>
  <c r="X338" i="4" s="1"/>
  <c r="X340" i="2"/>
  <c r="W340" i="2"/>
  <c r="V340" i="2"/>
  <c r="U340" i="2"/>
  <c r="T340" i="2"/>
  <c r="S338" i="3" s="1"/>
  <c r="S338" i="4" s="1"/>
  <c r="S340" i="2"/>
  <c r="R338" i="3" s="1"/>
  <c r="R338" i="4" s="1"/>
  <c r="R340" i="2"/>
  <c r="Q340" i="2"/>
  <c r="P340" i="2"/>
  <c r="O340" i="2"/>
  <c r="N340" i="2"/>
  <c r="M340" i="2"/>
  <c r="L338" i="3" s="1"/>
  <c r="L338" i="4" s="1"/>
  <c r="L340" i="2"/>
  <c r="K340" i="2"/>
  <c r="J340" i="2"/>
  <c r="I340" i="2"/>
  <c r="H340" i="2"/>
  <c r="G338" i="3" s="1"/>
  <c r="G338" i="4" s="1"/>
  <c r="G340" i="2"/>
  <c r="F338" i="3" s="1"/>
  <c r="F338" i="4" s="1"/>
  <c r="F340" i="2"/>
  <c r="E340" i="2"/>
  <c r="D340" i="2"/>
  <c r="C340" i="2"/>
  <c r="B340" i="2"/>
  <c r="A340" i="2"/>
  <c r="AG339" i="2"/>
  <c r="AF339" i="2"/>
  <c r="AE339" i="2"/>
  <c r="AD339" i="2"/>
  <c r="AC339" i="2"/>
  <c r="AB337" i="3" s="1"/>
  <c r="AB337" i="4" s="1"/>
  <c r="AB339" i="2"/>
  <c r="AA337" i="3" s="1"/>
  <c r="AA337" i="4" s="1"/>
  <c r="AA339" i="2"/>
  <c r="Z339" i="2"/>
  <c r="Y339" i="2"/>
  <c r="X339" i="2"/>
  <c r="W339" i="2"/>
  <c r="V339" i="2"/>
  <c r="U337" i="3" s="1"/>
  <c r="U337" i="4" s="1"/>
  <c r="U339" i="2"/>
  <c r="T339" i="2"/>
  <c r="S339" i="2"/>
  <c r="R339" i="2"/>
  <c r="Q339" i="2"/>
  <c r="P337" i="3" s="1"/>
  <c r="P337" i="4" s="1"/>
  <c r="P339" i="2"/>
  <c r="O337" i="3" s="1"/>
  <c r="O337" i="4" s="1"/>
  <c r="O339" i="2"/>
  <c r="N339" i="2"/>
  <c r="M339" i="2"/>
  <c r="L339" i="2"/>
  <c r="K339" i="2"/>
  <c r="J339" i="2"/>
  <c r="I337" i="3" s="1"/>
  <c r="I337" i="4" s="1"/>
  <c r="I339" i="2"/>
  <c r="H339" i="2"/>
  <c r="G339" i="2"/>
  <c r="F339" i="2"/>
  <c r="E339" i="2"/>
  <c r="D337" i="3" s="1"/>
  <c r="D337" i="4" s="1"/>
  <c r="D339" i="2"/>
  <c r="C337" i="3" s="1"/>
  <c r="C337" i="4" s="1"/>
  <c r="C339" i="2"/>
  <c r="B339" i="2"/>
  <c r="A339" i="2"/>
  <c r="AG338" i="2"/>
  <c r="AF338" i="2"/>
  <c r="AE338" i="2"/>
  <c r="AD336" i="3" s="1"/>
  <c r="AD336" i="4" s="1"/>
  <c r="AD338" i="2"/>
  <c r="AC338" i="2"/>
  <c r="AB338" i="2"/>
  <c r="AA338" i="2"/>
  <c r="Z338" i="2"/>
  <c r="Y336" i="3" s="1"/>
  <c r="Y336" i="4" s="1"/>
  <c r="Y338" i="2"/>
  <c r="X336" i="3" s="1"/>
  <c r="X336" i="4" s="1"/>
  <c r="X338" i="2"/>
  <c r="W338" i="2"/>
  <c r="V338" i="2"/>
  <c r="U338" i="2"/>
  <c r="T338" i="2"/>
  <c r="S338" i="2"/>
  <c r="R336" i="3" s="1"/>
  <c r="R336" i="4" s="1"/>
  <c r="R338" i="2"/>
  <c r="Q338" i="2"/>
  <c r="P338" i="2"/>
  <c r="O338" i="2"/>
  <c r="N338" i="2"/>
  <c r="M336" i="3" s="1"/>
  <c r="M336" i="4" s="1"/>
  <c r="M338" i="2"/>
  <c r="L336" i="3" s="1"/>
  <c r="L336" i="4" s="1"/>
  <c r="L338" i="2"/>
  <c r="K338" i="2"/>
  <c r="J338" i="2"/>
  <c r="I338" i="2"/>
  <c r="H338" i="2"/>
  <c r="G338" i="2"/>
  <c r="F336" i="3" s="1"/>
  <c r="F336" i="4" s="1"/>
  <c r="F338" i="2"/>
  <c r="E338" i="2"/>
  <c r="D338" i="2"/>
  <c r="C338" i="2"/>
  <c r="B338" i="2"/>
  <c r="A336" i="3" s="1"/>
  <c r="A336" i="4" s="1"/>
  <c r="A338" i="2"/>
  <c r="AG337" i="2"/>
  <c r="AF337" i="2"/>
  <c r="AE337" i="2"/>
  <c r="AD337" i="2"/>
  <c r="AC337" i="2"/>
  <c r="AB337" i="2"/>
  <c r="AA335" i="3" s="1"/>
  <c r="AA335" i="4" s="1"/>
  <c r="AA337" i="2"/>
  <c r="Z337" i="2"/>
  <c r="Y337" i="2"/>
  <c r="X337" i="2"/>
  <c r="W337" i="2"/>
  <c r="V335" i="3" s="1"/>
  <c r="V335" i="4" s="1"/>
  <c r="V337" i="2"/>
  <c r="U335" i="3" s="1"/>
  <c r="U335" i="4" s="1"/>
  <c r="U337" i="2"/>
  <c r="T337" i="2"/>
  <c r="S337" i="2"/>
  <c r="R337" i="2"/>
  <c r="Q337" i="2"/>
  <c r="P337" i="2"/>
  <c r="O335" i="3" s="1"/>
  <c r="O335" i="4" s="1"/>
  <c r="O337" i="2"/>
  <c r="N337" i="2"/>
  <c r="M337" i="2"/>
  <c r="L337" i="2"/>
  <c r="K337" i="2"/>
  <c r="J335" i="3" s="1"/>
  <c r="J335" i="4" s="1"/>
  <c r="J337" i="2"/>
  <c r="I335" i="3" s="1"/>
  <c r="I335" i="4" s="1"/>
  <c r="I337" i="2"/>
  <c r="H337" i="2"/>
  <c r="G337" i="2"/>
  <c r="F337" i="2"/>
  <c r="E337" i="2"/>
  <c r="D337" i="2"/>
  <c r="C335" i="3" s="1"/>
  <c r="C335" i="4" s="1"/>
  <c r="C337" i="2"/>
  <c r="B337" i="2"/>
  <c r="A337" i="2"/>
  <c r="AG336" i="2"/>
  <c r="AF336" i="2"/>
  <c r="AE334" i="3" s="1"/>
  <c r="AE334" i="4" s="1"/>
  <c r="AE336" i="2"/>
  <c r="AD334" i="3" s="1"/>
  <c r="AD334" i="4" s="1"/>
  <c r="AD336" i="2"/>
  <c r="AC336" i="2"/>
  <c r="AB336" i="2"/>
  <c r="AA336" i="2"/>
  <c r="Z336" i="2"/>
  <c r="Y336" i="2"/>
  <c r="X334" i="3" s="1"/>
  <c r="X334" i="4" s="1"/>
  <c r="X336" i="2"/>
  <c r="W336" i="2"/>
  <c r="V336" i="2"/>
  <c r="U336" i="2"/>
  <c r="T336" i="2"/>
  <c r="S334" i="3" s="1"/>
  <c r="S334" i="4" s="1"/>
  <c r="S336" i="2"/>
  <c r="R334" i="3" s="1"/>
  <c r="R334" i="4" s="1"/>
  <c r="R336" i="2"/>
  <c r="Q336" i="2"/>
  <c r="P336" i="2"/>
  <c r="O336" i="2"/>
  <c r="N336" i="2"/>
  <c r="M336" i="2"/>
  <c r="L334" i="3" s="1"/>
  <c r="L334" i="4" s="1"/>
  <c r="L336" i="2"/>
  <c r="K336" i="2"/>
  <c r="J336" i="2"/>
  <c r="I336" i="2"/>
  <c r="H336" i="2"/>
  <c r="G334" i="3" s="1"/>
  <c r="G334" i="4" s="1"/>
  <c r="G336" i="2"/>
  <c r="F334" i="3" s="1"/>
  <c r="F334" i="4" s="1"/>
  <c r="F336" i="2"/>
  <c r="E336" i="2"/>
  <c r="D336" i="2"/>
  <c r="C336" i="2"/>
  <c r="B336" i="2"/>
  <c r="A336" i="2"/>
  <c r="AG335" i="2"/>
  <c r="AF335" i="2"/>
  <c r="AE335" i="2"/>
  <c r="AD335" i="2"/>
  <c r="AC335" i="2"/>
  <c r="AB333" i="3" s="1"/>
  <c r="AB333" i="4" s="1"/>
  <c r="AB335" i="2"/>
  <c r="AA333" i="3" s="1"/>
  <c r="AA333" i="4" s="1"/>
  <c r="AA335" i="2"/>
  <c r="Z335" i="2"/>
  <c r="Y335" i="2"/>
  <c r="X335" i="2"/>
  <c r="W335" i="2"/>
  <c r="V335" i="2"/>
  <c r="U333" i="3" s="1"/>
  <c r="U333" i="4" s="1"/>
  <c r="U335" i="2"/>
  <c r="T335" i="2"/>
  <c r="S335" i="2"/>
  <c r="R335" i="2"/>
  <c r="Q335" i="2"/>
  <c r="P333" i="3" s="1"/>
  <c r="P333" i="4" s="1"/>
  <c r="P335" i="2"/>
  <c r="O333" i="3" s="1"/>
  <c r="O333" i="4" s="1"/>
  <c r="O335" i="2"/>
  <c r="N335" i="2"/>
  <c r="M335" i="2"/>
  <c r="L335" i="2"/>
  <c r="K335" i="2"/>
  <c r="J335" i="2"/>
  <c r="I333" i="3" s="1"/>
  <c r="I333" i="4" s="1"/>
  <c r="I335" i="2"/>
  <c r="H335" i="2"/>
  <c r="G335" i="2"/>
  <c r="F335" i="2"/>
  <c r="E335" i="2"/>
  <c r="D333" i="3" s="1"/>
  <c r="D333" i="4" s="1"/>
  <c r="D335" i="2"/>
  <c r="C333" i="3" s="1"/>
  <c r="C333" i="4" s="1"/>
  <c r="C335" i="2"/>
  <c r="B335" i="2"/>
  <c r="A335" i="2"/>
  <c r="AG334" i="2"/>
  <c r="AF334" i="2"/>
  <c r="AE334" i="2"/>
  <c r="AD332" i="3" s="1"/>
  <c r="AD332" i="4" s="1"/>
  <c r="AD334" i="2"/>
  <c r="AC334" i="2"/>
  <c r="AB334" i="2"/>
  <c r="AA334" i="2"/>
  <c r="Z334" i="2"/>
  <c r="Y332" i="3" s="1"/>
  <c r="Y332" i="4" s="1"/>
  <c r="Y334" i="2"/>
  <c r="X332" i="3" s="1"/>
  <c r="X332" i="4" s="1"/>
  <c r="X334" i="2"/>
  <c r="W334" i="2"/>
  <c r="V334" i="2"/>
  <c r="U334" i="2"/>
  <c r="T334" i="2"/>
  <c r="S334" i="2"/>
  <c r="R332" i="3" s="1"/>
  <c r="R332" i="4" s="1"/>
  <c r="R334" i="2"/>
  <c r="Q334" i="2"/>
  <c r="P334" i="2"/>
  <c r="O334" i="2"/>
  <c r="N334" i="2"/>
  <c r="M332" i="3" s="1"/>
  <c r="M332" i="4" s="1"/>
  <c r="M334" i="2"/>
  <c r="L332" i="3" s="1"/>
  <c r="L332" i="4" s="1"/>
  <c r="L334" i="2"/>
  <c r="K334" i="2"/>
  <c r="J334" i="2"/>
  <c r="I334" i="2"/>
  <c r="H334" i="2"/>
  <c r="G334" i="2"/>
  <c r="F332" i="3" s="1"/>
  <c r="F332" i="4" s="1"/>
  <c r="F334" i="2"/>
  <c r="E334" i="2"/>
  <c r="D334" i="2"/>
  <c r="C334" i="2"/>
  <c r="B334" i="2"/>
  <c r="A332" i="3" s="1"/>
  <c r="A332" i="4" s="1"/>
  <c r="A334" i="2"/>
  <c r="AG333" i="2"/>
  <c r="AF333" i="2"/>
  <c r="AE333" i="2"/>
  <c r="AD333" i="2"/>
  <c r="AC333" i="2"/>
  <c r="AB333" i="2"/>
  <c r="AA331" i="3" s="1"/>
  <c r="AA331" i="4" s="1"/>
  <c r="AA333" i="2"/>
  <c r="Z333" i="2"/>
  <c r="Y333" i="2"/>
  <c r="X333" i="2"/>
  <c r="W333" i="2"/>
  <c r="V331" i="3" s="1"/>
  <c r="V331" i="4" s="1"/>
  <c r="V333" i="2"/>
  <c r="U331" i="3" s="1"/>
  <c r="U331" i="4" s="1"/>
  <c r="U333" i="2"/>
  <c r="T333" i="2"/>
  <c r="S333" i="2"/>
  <c r="R333" i="2"/>
  <c r="Q333" i="2"/>
  <c r="P333" i="2"/>
  <c r="O331" i="3" s="1"/>
  <c r="O331" i="4" s="1"/>
  <c r="O333" i="2"/>
  <c r="N333" i="2"/>
  <c r="M333" i="2"/>
  <c r="L333" i="2"/>
  <c r="K333" i="2"/>
  <c r="J331" i="3" s="1"/>
  <c r="J331" i="4" s="1"/>
  <c r="J333" i="2"/>
  <c r="I331" i="3" s="1"/>
  <c r="I331" i="4" s="1"/>
  <c r="I333" i="2"/>
  <c r="H333" i="2"/>
  <c r="G333" i="2"/>
  <c r="F333" i="2"/>
  <c r="E333" i="2"/>
  <c r="D333" i="2"/>
  <c r="C331" i="3" s="1"/>
  <c r="C331" i="4" s="1"/>
  <c r="C333" i="2"/>
  <c r="B333" i="2"/>
  <c r="A333" i="2"/>
  <c r="AG332" i="2"/>
  <c r="AF332" i="2"/>
  <c r="AE332" i="2"/>
  <c r="AD330" i="3" s="1"/>
  <c r="AD330" i="4" s="1"/>
  <c r="AD332" i="2"/>
  <c r="AC332" i="2"/>
  <c r="AB332" i="2"/>
  <c r="AA332" i="2"/>
  <c r="Z332" i="2"/>
  <c r="Y332" i="2"/>
  <c r="X330" i="3" s="1"/>
  <c r="X330" i="4" s="1"/>
  <c r="X332" i="2"/>
  <c r="W332" i="2"/>
  <c r="V332" i="2"/>
  <c r="U332" i="2"/>
  <c r="T332" i="2"/>
  <c r="S330" i="3" s="1"/>
  <c r="S330" i="4" s="1"/>
  <c r="S332" i="2"/>
  <c r="R330" i="3" s="1"/>
  <c r="R330" i="4" s="1"/>
  <c r="R332" i="2"/>
  <c r="Q332" i="2"/>
  <c r="P332" i="2"/>
  <c r="O332" i="2"/>
  <c r="N332" i="2"/>
  <c r="M332" i="2"/>
  <c r="L330" i="3" s="1"/>
  <c r="L330" i="4" s="1"/>
  <c r="L332" i="2"/>
  <c r="K332" i="2"/>
  <c r="J332" i="2"/>
  <c r="I332" i="2"/>
  <c r="H332" i="2"/>
  <c r="G330" i="3" s="1"/>
  <c r="G330" i="4" s="1"/>
  <c r="G332" i="2"/>
  <c r="F330" i="3" s="1"/>
  <c r="F330" i="4" s="1"/>
  <c r="F332" i="2"/>
  <c r="E332" i="2"/>
  <c r="D332" i="2"/>
  <c r="C332" i="2"/>
  <c r="B332" i="2"/>
  <c r="A332" i="2"/>
  <c r="AG331" i="2"/>
  <c r="AF331" i="2"/>
  <c r="AE331" i="2"/>
  <c r="AD331" i="2"/>
  <c r="AC331" i="2"/>
  <c r="AB329" i="3" s="1"/>
  <c r="AB329" i="4" s="1"/>
  <c r="AB331" i="2"/>
  <c r="AA329" i="3" s="1"/>
  <c r="AA329" i="4" s="1"/>
  <c r="AA331" i="2"/>
  <c r="Z331" i="2"/>
  <c r="Y331" i="2"/>
  <c r="X331" i="2"/>
  <c r="W331" i="2"/>
  <c r="V331" i="2"/>
  <c r="U329" i="3" s="1"/>
  <c r="U329" i="4" s="1"/>
  <c r="U331" i="2"/>
  <c r="T331" i="2"/>
  <c r="S331" i="2"/>
  <c r="R331" i="2"/>
  <c r="Q331" i="2"/>
  <c r="P329" i="3" s="1"/>
  <c r="P329" i="4" s="1"/>
  <c r="P331" i="2"/>
  <c r="O329" i="3" s="1"/>
  <c r="O329" i="4" s="1"/>
  <c r="O331" i="2"/>
  <c r="N331" i="2"/>
  <c r="M331" i="2"/>
  <c r="L331" i="2"/>
  <c r="K331" i="2"/>
  <c r="J331" i="2"/>
  <c r="I329" i="3" s="1"/>
  <c r="I329" i="4" s="1"/>
  <c r="I331" i="2"/>
  <c r="H331" i="2"/>
  <c r="G331" i="2"/>
  <c r="F331" i="2"/>
  <c r="E331" i="2"/>
  <c r="D329" i="3" s="1"/>
  <c r="D329" i="4" s="1"/>
  <c r="D331" i="2"/>
  <c r="C329" i="3" s="1"/>
  <c r="C329" i="4" s="1"/>
  <c r="C331" i="2"/>
  <c r="B331" i="2"/>
  <c r="A331" i="2"/>
  <c r="AG330" i="2"/>
  <c r="AF330" i="2"/>
  <c r="AE330" i="2"/>
  <c r="AD328" i="3" s="1"/>
  <c r="AD328" i="4" s="1"/>
  <c r="AD330" i="2"/>
  <c r="AC330" i="2"/>
  <c r="AB330" i="2"/>
  <c r="AA330" i="2"/>
  <c r="Z330" i="2"/>
  <c r="Y328" i="3" s="1"/>
  <c r="Y328" i="4" s="1"/>
  <c r="Y330" i="2"/>
  <c r="X328" i="3" s="1"/>
  <c r="X328" i="4" s="1"/>
  <c r="X330" i="2"/>
  <c r="W330" i="2"/>
  <c r="V330" i="2"/>
  <c r="U330" i="2"/>
  <c r="T330" i="2"/>
  <c r="S330" i="2"/>
  <c r="R328" i="3" s="1"/>
  <c r="R328" i="4" s="1"/>
  <c r="R330" i="2"/>
  <c r="Q330" i="2"/>
  <c r="P330" i="2"/>
  <c r="O330" i="2"/>
  <c r="N330" i="2"/>
  <c r="M328" i="3" s="1"/>
  <c r="M328" i="4" s="1"/>
  <c r="M330" i="2"/>
  <c r="L328" i="3" s="1"/>
  <c r="L328" i="4" s="1"/>
  <c r="L330" i="2"/>
  <c r="K330" i="2"/>
  <c r="J330" i="2"/>
  <c r="I330" i="2"/>
  <c r="H330" i="2"/>
  <c r="G330" i="2"/>
  <c r="F328" i="3" s="1"/>
  <c r="F328" i="4" s="1"/>
  <c r="F330" i="2"/>
  <c r="E330" i="2"/>
  <c r="D330" i="2"/>
  <c r="C330" i="2"/>
  <c r="B330" i="2"/>
  <c r="A328" i="3" s="1"/>
  <c r="A328" i="4" s="1"/>
  <c r="A330" i="2"/>
  <c r="AG329" i="2"/>
  <c r="AF329" i="2"/>
  <c r="AE329" i="2"/>
  <c r="AD329" i="2"/>
  <c r="AC329" i="2"/>
  <c r="AB329" i="2"/>
  <c r="AA327" i="3" s="1"/>
  <c r="AA327" i="4" s="1"/>
  <c r="AA329" i="2"/>
  <c r="Z329" i="2"/>
  <c r="Y329" i="2"/>
  <c r="X329" i="2"/>
  <c r="W329" i="2"/>
  <c r="V327" i="3" s="1"/>
  <c r="V327" i="4" s="1"/>
  <c r="V329" i="2"/>
  <c r="U327" i="3" s="1"/>
  <c r="U327" i="4" s="1"/>
  <c r="U329" i="2"/>
  <c r="T329" i="2"/>
  <c r="S329" i="2"/>
  <c r="R329" i="2"/>
  <c r="Q329" i="2"/>
  <c r="P329" i="2"/>
  <c r="O327" i="3" s="1"/>
  <c r="O327" i="4" s="1"/>
  <c r="O329" i="2"/>
  <c r="N329" i="2"/>
  <c r="M329" i="2"/>
  <c r="L329" i="2"/>
  <c r="K329" i="2"/>
  <c r="J327" i="3" s="1"/>
  <c r="J327" i="4" s="1"/>
  <c r="J329" i="2"/>
  <c r="I327" i="3" s="1"/>
  <c r="I327" i="4" s="1"/>
  <c r="I329" i="2"/>
  <c r="H329" i="2"/>
  <c r="G329" i="2"/>
  <c r="F329" i="2"/>
  <c r="E329" i="2"/>
  <c r="D329" i="2"/>
  <c r="C327" i="3" s="1"/>
  <c r="C327" i="4" s="1"/>
  <c r="C329" i="2"/>
  <c r="B329" i="2"/>
  <c r="A329" i="2"/>
  <c r="AG328" i="2"/>
  <c r="AF328" i="2"/>
  <c r="AE326" i="3" s="1"/>
  <c r="AE326" i="4" s="1"/>
  <c r="AE328" i="2"/>
  <c r="AD326" i="3" s="1"/>
  <c r="AD326" i="4" s="1"/>
  <c r="AD328" i="2"/>
  <c r="AC328" i="2"/>
  <c r="AB328" i="2"/>
  <c r="AA328" i="2"/>
  <c r="Z328" i="2"/>
  <c r="Y328" i="2"/>
  <c r="X326" i="3" s="1"/>
  <c r="X326" i="4" s="1"/>
  <c r="X328" i="2"/>
  <c r="W328" i="2"/>
  <c r="V328" i="2"/>
  <c r="U328" i="2"/>
  <c r="T328" i="2"/>
  <c r="S326" i="3" s="1"/>
  <c r="S326" i="4" s="1"/>
  <c r="S328" i="2"/>
  <c r="R326" i="3" s="1"/>
  <c r="R326" i="4" s="1"/>
  <c r="R328" i="2"/>
  <c r="Q328" i="2"/>
  <c r="P328" i="2"/>
  <c r="O328" i="2"/>
  <c r="N328" i="2"/>
  <c r="M328" i="2"/>
  <c r="L326" i="3" s="1"/>
  <c r="L326" i="4" s="1"/>
  <c r="L328" i="2"/>
  <c r="K328" i="2"/>
  <c r="J328" i="2"/>
  <c r="I328" i="2"/>
  <c r="H328" i="2"/>
  <c r="G326" i="3" s="1"/>
  <c r="G326" i="4" s="1"/>
  <c r="G328" i="2"/>
  <c r="F326" i="3" s="1"/>
  <c r="F326" i="4" s="1"/>
  <c r="F328" i="2"/>
  <c r="E328" i="2"/>
  <c r="D328" i="2"/>
  <c r="C328" i="2"/>
  <c r="B328" i="2"/>
  <c r="A328" i="2"/>
  <c r="AG327" i="2"/>
  <c r="AF327" i="2"/>
  <c r="AE327" i="2"/>
  <c r="AD327" i="2"/>
  <c r="AC327" i="2"/>
  <c r="AB325" i="3" s="1"/>
  <c r="AB325" i="4" s="1"/>
  <c r="AB327" i="2"/>
  <c r="AA325" i="3" s="1"/>
  <c r="AA325" i="4" s="1"/>
  <c r="AA327" i="2"/>
  <c r="Z327" i="2"/>
  <c r="Y327" i="2"/>
  <c r="X327" i="2"/>
  <c r="W327" i="2"/>
  <c r="V327" i="2"/>
  <c r="U325" i="3" s="1"/>
  <c r="U325" i="4" s="1"/>
  <c r="U327" i="2"/>
  <c r="T327" i="2"/>
  <c r="S327" i="2"/>
  <c r="R327" i="2"/>
  <c r="Q327" i="2"/>
  <c r="P325" i="3" s="1"/>
  <c r="P325" i="4" s="1"/>
  <c r="P327" i="2"/>
  <c r="O325" i="3" s="1"/>
  <c r="O325" i="4" s="1"/>
  <c r="O327" i="2"/>
  <c r="N327" i="2"/>
  <c r="M327" i="2"/>
  <c r="L327" i="2"/>
  <c r="K327" i="2"/>
  <c r="J327" i="2"/>
  <c r="I325" i="3" s="1"/>
  <c r="I325" i="4" s="1"/>
  <c r="I327" i="2"/>
  <c r="H327" i="2"/>
  <c r="G327" i="2"/>
  <c r="F327" i="2"/>
  <c r="E327" i="2"/>
  <c r="D325" i="3" s="1"/>
  <c r="D325" i="4" s="1"/>
  <c r="D327" i="2"/>
  <c r="C325" i="3" s="1"/>
  <c r="C325" i="4" s="1"/>
  <c r="C327" i="2"/>
  <c r="B327" i="2"/>
  <c r="A327" i="2"/>
  <c r="AG326" i="2"/>
  <c r="AF326" i="2"/>
  <c r="AE326" i="2"/>
  <c r="AD324" i="3" s="1"/>
  <c r="AD324" i="4" s="1"/>
  <c r="AD326" i="2"/>
  <c r="AC326" i="2"/>
  <c r="AB326" i="2"/>
  <c r="AA326" i="2"/>
  <c r="Z326" i="2"/>
  <c r="Y324" i="3" s="1"/>
  <c r="Y324" i="4" s="1"/>
  <c r="Y326" i="2"/>
  <c r="X324" i="3" s="1"/>
  <c r="X324" i="4" s="1"/>
  <c r="X326" i="2"/>
  <c r="W326" i="2"/>
  <c r="V326" i="2"/>
  <c r="U326" i="2"/>
  <c r="T326" i="2"/>
  <c r="S326" i="2"/>
  <c r="R324" i="3" s="1"/>
  <c r="R324" i="4" s="1"/>
  <c r="R326" i="2"/>
  <c r="Q326" i="2"/>
  <c r="P326" i="2"/>
  <c r="O326" i="2"/>
  <c r="N326" i="2"/>
  <c r="M324" i="3" s="1"/>
  <c r="M324" i="4" s="1"/>
  <c r="M326" i="2"/>
  <c r="L324" i="3" s="1"/>
  <c r="L324" i="4" s="1"/>
  <c r="L326" i="2"/>
  <c r="K326" i="2"/>
  <c r="J326" i="2"/>
  <c r="I326" i="2"/>
  <c r="H326" i="2"/>
  <c r="G326" i="2"/>
  <c r="F324" i="3" s="1"/>
  <c r="F324" i="4" s="1"/>
  <c r="F326" i="2"/>
  <c r="E326" i="2"/>
  <c r="D326" i="2"/>
  <c r="C326" i="2"/>
  <c r="B326" i="2"/>
  <c r="A324" i="3" s="1"/>
  <c r="A324" i="4" s="1"/>
  <c r="A326" i="2"/>
  <c r="AG325" i="2"/>
  <c r="AF325" i="2"/>
  <c r="AE325" i="2"/>
  <c r="AD325" i="2"/>
  <c r="AC325" i="2"/>
  <c r="AB325" i="2"/>
  <c r="AA323" i="3" s="1"/>
  <c r="AA323" i="4" s="1"/>
  <c r="AA325" i="2"/>
  <c r="Z325" i="2"/>
  <c r="Y325" i="2"/>
  <c r="X325" i="2"/>
  <c r="W325" i="2"/>
  <c r="V323" i="3" s="1"/>
  <c r="V323" i="4" s="1"/>
  <c r="V325" i="2"/>
  <c r="U323" i="3" s="1"/>
  <c r="U323" i="4" s="1"/>
  <c r="U325" i="2"/>
  <c r="T325" i="2"/>
  <c r="S325" i="2"/>
  <c r="R325" i="2"/>
  <c r="Q325" i="2"/>
  <c r="P325" i="2"/>
  <c r="O323" i="3" s="1"/>
  <c r="O323" i="4" s="1"/>
  <c r="O325" i="2"/>
  <c r="N325" i="2"/>
  <c r="M325" i="2"/>
  <c r="L325" i="2"/>
  <c r="K325" i="2"/>
  <c r="J323" i="3" s="1"/>
  <c r="J323" i="4" s="1"/>
  <c r="J325" i="2"/>
  <c r="I323" i="3" s="1"/>
  <c r="I323" i="4" s="1"/>
  <c r="I325" i="2"/>
  <c r="H325" i="2"/>
  <c r="G325" i="2"/>
  <c r="F325" i="2"/>
  <c r="E325" i="2"/>
  <c r="D325" i="2"/>
  <c r="C323" i="3" s="1"/>
  <c r="C323" i="4" s="1"/>
  <c r="C325" i="2"/>
  <c r="B325" i="2"/>
  <c r="A325" i="2"/>
  <c r="AG324" i="2"/>
  <c r="AF324" i="2"/>
  <c r="AE324" i="2"/>
  <c r="AD322" i="3" s="1"/>
  <c r="AD322" i="4" s="1"/>
  <c r="AD324" i="2"/>
  <c r="AC324" i="2"/>
  <c r="AB324" i="2"/>
  <c r="AA324" i="2"/>
  <c r="Z324" i="2"/>
  <c r="Y324" i="2"/>
  <c r="X322" i="3" s="1"/>
  <c r="X322" i="4" s="1"/>
  <c r="X324" i="2"/>
  <c r="W324" i="2"/>
  <c r="V324" i="2"/>
  <c r="U324" i="2"/>
  <c r="T324" i="2"/>
  <c r="S322" i="3" s="1"/>
  <c r="S322" i="4" s="1"/>
  <c r="S324" i="2"/>
  <c r="R322" i="3" s="1"/>
  <c r="R322" i="4" s="1"/>
  <c r="R324" i="2"/>
  <c r="Q324" i="2"/>
  <c r="P324" i="2"/>
  <c r="O324" i="2"/>
  <c r="N324" i="2"/>
  <c r="M324" i="2"/>
  <c r="L322" i="3" s="1"/>
  <c r="L322" i="4" s="1"/>
  <c r="L324" i="2"/>
  <c r="K324" i="2"/>
  <c r="J324" i="2"/>
  <c r="I324" i="2"/>
  <c r="H324" i="2"/>
  <c r="G322" i="3" s="1"/>
  <c r="G322" i="4" s="1"/>
  <c r="G324" i="2"/>
  <c r="F322" i="3" s="1"/>
  <c r="F322" i="4" s="1"/>
  <c r="F324" i="2"/>
  <c r="E324" i="2"/>
  <c r="D324" i="2"/>
  <c r="C324" i="2"/>
  <c r="B324" i="2"/>
  <c r="A324" i="2"/>
  <c r="AG323" i="2"/>
  <c r="AF323" i="2"/>
  <c r="AE323" i="2"/>
  <c r="AD323" i="2"/>
  <c r="AC323" i="2"/>
  <c r="AB321" i="3" s="1"/>
  <c r="AB321" i="4" s="1"/>
  <c r="AB323" i="2"/>
  <c r="AA321" i="3" s="1"/>
  <c r="AA321" i="4" s="1"/>
  <c r="AA323" i="2"/>
  <c r="Z323" i="2"/>
  <c r="Y323" i="2"/>
  <c r="X323" i="2"/>
  <c r="W323" i="2"/>
  <c r="V323" i="2"/>
  <c r="U321" i="3" s="1"/>
  <c r="U321" i="4" s="1"/>
  <c r="U323" i="2"/>
  <c r="T323" i="2"/>
  <c r="S323" i="2"/>
  <c r="R323" i="2"/>
  <c r="Q323" i="2"/>
  <c r="P321" i="3" s="1"/>
  <c r="P321" i="4" s="1"/>
  <c r="P323" i="2"/>
  <c r="O321" i="3" s="1"/>
  <c r="O321" i="4" s="1"/>
  <c r="O323" i="2"/>
  <c r="N323" i="2"/>
  <c r="M323" i="2"/>
  <c r="L323" i="2"/>
  <c r="K323" i="2"/>
  <c r="J323" i="2"/>
  <c r="I321" i="3" s="1"/>
  <c r="I321" i="4" s="1"/>
  <c r="I323" i="2"/>
  <c r="H323" i="2"/>
  <c r="G323" i="2"/>
  <c r="F323" i="2"/>
  <c r="E323" i="2"/>
  <c r="D321" i="3" s="1"/>
  <c r="D321" i="4" s="1"/>
  <c r="D323" i="2"/>
  <c r="C321" i="3" s="1"/>
  <c r="C321" i="4" s="1"/>
  <c r="C323" i="2"/>
  <c r="B323" i="2"/>
  <c r="A323" i="2"/>
  <c r="AG322" i="2"/>
  <c r="AF322" i="2"/>
  <c r="AE322" i="2"/>
  <c r="AD320" i="3" s="1"/>
  <c r="AD320" i="4" s="1"/>
  <c r="AD322" i="2"/>
  <c r="AC322" i="2"/>
  <c r="AB322" i="2"/>
  <c r="AA322" i="2"/>
  <c r="Z322" i="2"/>
  <c r="Y320" i="3" s="1"/>
  <c r="Y320" i="4" s="1"/>
  <c r="Y322" i="2"/>
  <c r="X320" i="3" s="1"/>
  <c r="X320" i="4" s="1"/>
  <c r="X322" i="2"/>
  <c r="W322" i="2"/>
  <c r="V322" i="2"/>
  <c r="U322" i="2"/>
  <c r="T322" i="2"/>
  <c r="S322" i="2"/>
  <c r="R320" i="3" s="1"/>
  <c r="R320" i="4" s="1"/>
  <c r="R322" i="2"/>
  <c r="Q322" i="2"/>
  <c r="P322" i="2"/>
  <c r="O322" i="2"/>
  <c r="N322" i="2"/>
  <c r="M320" i="3" s="1"/>
  <c r="M320" i="4" s="1"/>
  <c r="M322" i="2"/>
  <c r="L320" i="3" s="1"/>
  <c r="L320" i="4" s="1"/>
  <c r="L322" i="2"/>
  <c r="K322" i="2"/>
  <c r="J322" i="2"/>
  <c r="I322" i="2"/>
  <c r="H322" i="2"/>
  <c r="G322" i="2"/>
  <c r="F320" i="3" s="1"/>
  <c r="F320" i="4" s="1"/>
  <c r="F322" i="2"/>
  <c r="E322" i="2"/>
  <c r="D322" i="2"/>
  <c r="C322" i="2"/>
  <c r="B322" i="2"/>
  <c r="A320" i="3" s="1"/>
  <c r="A320" i="4" s="1"/>
  <c r="A322" i="2"/>
  <c r="AG321" i="2"/>
  <c r="AF321" i="2"/>
  <c r="AE321" i="2"/>
  <c r="AD321" i="2"/>
  <c r="AC321" i="2"/>
  <c r="AB321" i="2"/>
  <c r="AA319" i="3" s="1"/>
  <c r="AA319" i="4" s="1"/>
  <c r="AA321" i="2"/>
  <c r="Z321" i="2"/>
  <c r="Y321" i="2"/>
  <c r="X321" i="2"/>
  <c r="W321" i="2"/>
  <c r="V319" i="3" s="1"/>
  <c r="V319" i="4" s="1"/>
  <c r="V321" i="2"/>
  <c r="U319" i="3" s="1"/>
  <c r="U319" i="4" s="1"/>
  <c r="U321" i="2"/>
  <c r="T321" i="2"/>
  <c r="S321" i="2"/>
  <c r="R321" i="2"/>
  <c r="Q321" i="2"/>
  <c r="P321" i="2"/>
  <c r="O319" i="3" s="1"/>
  <c r="O319" i="4" s="1"/>
  <c r="O321" i="2"/>
  <c r="N321" i="2"/>
  <c r="M321" i="2"/>
  <c r="L321" i="2"/>
  <c r="K321" i="2"/>
  <c r="J319" i="3" s="1"/>
  <c r="J319" i="4" s="1"/>
  <c r="J321" i="2"/>
  <c r="I319" i="3" s="1"/>
  <c r="I319" i="4" s="1"/>
  <c r="I321" i="2"/>
  <c r="H321" i="2"/>
  <c r="G321" i="2"/>
  <c r="F321" i="2"/>
  <c r="E321" i="2"/>
  <c r="D321" i="2"/>
  <c r="C319" i="3" s="1"/>
  <c r="C319" i="4" s="1"/>
  <c r="C321" i="2"/>
  <c r="B321" i="2"/>
  <c r="A321" i="2"/>
  <c r="AG320" i="2"/>
  <c r="AF320" i="2"/>
  <c r="AE318" i="3" s="1"/>
  <c r="AE318" i="4" s="1"/>
  <c r="AE320" i="2"/>
  <c r="AD318" i="3" s="1"/>
  <c r="AD318" i="4" s="1"/>
  <c r="AD320" i="2"/>
  <c r="AC320" i="2"/>
  <c r="AB320" i="2"/>
  <c r="AA320" i="2"/>
  <c r="Z320" i="2"/>
  <c r="Y320" i="2"/>
  <c r="X318" i="3" s="1"/>
  <c r="X318" i="4" s="1"/>
  <c r="X320" i="2"/>
  <c r="W320" i="2"/>
  <c r="V320" i="2"/>
  <c r="U320" i="2"/>
  <c r="T320" i="2"/>
  <c r="S318" i="3" s="1"/>
  <c r="S318" i="4" s="1"/>
  <c r="S320" i="2"/>
  <c r="R318" i="3" s="1"/>
  <c r="R318" i="4" s="1"/>
  <c r="R320" i="2"/>
  <c r="Q320" i="2"/>
  <c r="P320" i="2"/>
  <c r="O320" i="2"/>
  <c r="N320" i="2"/>
  <c r="M320" i="2"/>
  <c r="L318" i="3" s="1"/>
  <c r="L318" i="4" s="1"/>
  <c r="L320" i="2"/>
  <c r="K320" i="2"/>
  <c r="J320" i="2"/>
  <c r="I320" i="2"/>
  <c r="H320" i="2"/>
  <c r="G318" i="3" s="1"/>
  <c r="G318" i="4" s="1"/>
  <c r="G320" i="2"/>
  <c r="F318" i="3" s="1"/>
  <c r="F318" i="4" s="1"/>
  <c r="F320" i="2"/>
  <c r="E320" i="2"/>
  <c r="D320" i="2"/>
  <c r="C320" i="2"/>
  <c r="B320" i="2"/>
  <c r="A320" i="2"/>
  <c r="AG319" i="2"/>
  <c r="AF319" i="2"/>
  <c r="AE319" i="2"/>
  <c r="AD319" i="2"/>
  <c r="AC319" i="2"/>
  <c r="AB317" i="3" s="1"/>
  <c r="AB317" i="4" s="1"/>
  <c r="AB319" i="2"/>
  <c r="AA317" i="3" s="1"/>
  <c r="AA317" i="4" s="1"/>
  <c r="AA319" i="2"/>
  <c r="Z319" i="2"/>
  <c r="Y319" i="2"/>
  <c r="X319" i="2"/>
  <c r="W319" i="2"/>
  <c r="V319" i="2"/>
  <c r="U317" i="3" s="1"/>
  <c r="U317" i="4" s="1"/>
  <c r="U319" i="2"/>
  <c r="T319" i="2"/>
  <c r="S319" i="2"/>
  <c r="R319" i="2"/>
  <c r="Q319" i="2"/>
  <c r="P317" i="3" s="1"/>
  <c r="P317" i="4" s="1"/>
  <c r="P319" i="2"/>
  <c r="O317" i="3" s="1"/>
  <c r="O317" i="4" s="1"/>
  <c r="O319" i="2"/>
  <c r="N319" i="2"/>
  <c r="M319" i="2"/>
  <c r="L319" i="2"/>
  <c r="K319" i="2"/>
  <c r="J319" i="2"/>
  <c r="I317" i="3" s="1"/>
  <c r="I317" i="4" s="1"/>
  <c r="I319" i="2"/>
  <c r="H319" i="2"/>
  <c r="G319" i="2"/>
  <c r="F319" i="2"/>
  <c r="E319" i="2"/>
  <c r="D317" i="3" s="1"/>
  <c r="D317" i="4" s="1"/>
  <c r="D319" i="2"/>
  <c r="C317" i="3" s="1"/>
  <c r="C317" i="4" s="1"/>
  <c r="C319" i="2"/>
  <c r="B319" i="2"/>
  <c r="A319" i="2"/>
  <c r="AG318" i="2"/>
  <c r="AF318" i="2"/>
  <c r="AE318" i="2"/>
  <c r="AD316" i="3" s="1"/>
  <c r="AD316" i="4" s="1"/>
  <c r="AD318" i="2"/>
  <c r="AC318" i="2"/>
  <c r="AB318" i="2"/>
  <c r="AA318" i="2"/>
  <c r="Z318" i="2"/>
  <c r="Y316" i="3" s="1"/>
  <c r="Y316" i="4" s="1"/>
  <c r="Y318" i="2"/>
  <c r="X316" i="3" s="1"/>
  <c r="X316" i="4" s="1"/>
  <c r="X318" i="2"/>
  <c r="W318" i="2"/>
  <c r="V318" i="2"/>
  <c r="U318" i="2"/>
  <c r="T318" i="2"/>
  <c r="S318" i="2"/>
  <c r="R316" i="3" s="1"/>
  <c r="R316" i="4" s="1"/>
  <c r="R318" i="2"/>
  <c r="Q318" i="2"/>
  <c r="P318" i="2"/>
  <c r="O318" i="2"/>
  <c r="N318" i="2"/>
  <c r="M316" i="3" s="1"/>
  <c r="M316" i="4" s="1"/>
  <c r="M318" i="2"/>
  <c r="L316" i="3" s="1"/>
  <c r="L316" i="4" s="1"/>
  <c r="L318" i="2"/>
  <c r="K318" i="2"/>
  <c r="J318" i="2"/>
  <c r="I318" i="2"/>
  <c r="H318" i="2"/>
  <c r="G318" i="2"/>
  <c r="F316" i="3" s="1"/>
  <c r="F316" i="4" s="1"/>
  <c r="F318" i="2"/>
  <c r="E318" i="2"/>
  <c r="D318" i="2"/>
  <c r="C318" i="2"/>
  <c r="B318" i="2"/>
  <c r="A316" i="3" s="1"/>
  <c r="A316" i="4" s="1"/>
  <c r="A318" i="2"/>
  <c r="AG317" i="2"/>
  <c r="AF317" i="2"/>
  <c r="AE317" i="2"/>
  <c r="AD317" i="2"/>
  <c r="AC317" i="2"/>
  <c r="AB317" i="2"/>
  <c r="AA315" i="3" s="1"/>
  <c r="AA315" i="4" s="1"/>
  <c r="AA317" i="2"/>
  <c r="Z317" i="2"/>
  <c r="Y317" i="2"/>
  <c r="X317" i="2"/>
  <c r="W317" i="2"/>
  <c r="V315" i="3" s="1"/>
  <c r="V315" i="4" s="1"/>
  <c r="V317" i="2"/>
  <c r="U315" i="3" s="1"/>
  <c r="U315" i="4" s="1"/>
  <c r="U317" i="2"/>
  <c r="T317" i="2"/>
  <c r="S317" i="2"/>
  <c r="R317" i="2"/>
  <c r="Q317" i="2"/>
  <c r="P317" i="2"/>
  <c r="O315" i="3" s="1"/>
  <c r="O315" i="4" s="1"/>
  <c r="O317" i="2"/>
  <c r="N317" i="2"/>
  <c r="M317" i="2"/>
  <c r="L317" i="2"/>
  <c r="K317" i="2"/>
  <c r="J315" i="3" s="1"/>
  <c r="J315" i="4" s="1"/>
  <c r="J317" i="2"/>
  <c r="I315" i="3" s="1"/>
  <c r="I315" i="4" s="1"/>
  <c r="I317" i="2"/>
  <c r="H317" i="2"/>
  <c r="G317" i="2"/>
  <c r="F317" i="2"/>
  <c r="E317" i="2"/>
  <c r="D317" i="2"/>
  <c r="C315" i="3" s="1"/>
  <c r="C315" i="4" s="1"/>
  <c r="C317" i="2"/>
  <c r="B317" i="2"/>
  <c r="A317" i="2"/>
  <c r="AG316" i="2"/>
  <c r="AF316" i="2"/>
  <c r="AE314" i="3" s="1"/>
  <c r="AE314" i="4" s="1"/>
  <c r="AE316" i="2"/>
  <c r="AD314" i="3" s="1"/>
  <c r="AD314" i="4" s="1"/>
  <c r="AD316" i="2"/>
  <c r="AC316" i="2"/>
  <c r="AB316" i="2"/>
  <c r="AA316" i="2"/>
  <c r="Z316" i="2"/>
  <c r="Y316" i="2"/>
  <c r="X314" i="3" s="1"/>
  <c r="X314" i="4" s="1"/>
  <c r="X316" i="2"/>
  <c r="W316" i="2"/>
  <c r="V316" i="2"/>
  <c r="U316" i="2"/>
  <c r="T316" i="2"/>
  <c r="S314" i="3" s="1"/>
  <c r="S314" i="4" s="1"/>
  <c r="S316" i="2"/>
  <c r="R314" i="3" s="1"/>
  <c r="R314" i="4" s="1"/>
  <c r="R316" i="2"/>
  <c r="Q316" i="2"/>
  <c r="P316" i="2"/>
  <c r="O316" i="2"/>
  <c r="N316" i="2"/>
  <c r="M316" i="2"/>
  <c r="L314" i="3" s="1"/>
  <c r="L314" i="4" s="1"/>
  <c r="L316" i="2"/>
  <c r="K316" i="2"/>
  <c r="J316" i="2"/>
  <c r="I316" i="2"/>
  <c r="H316" i="2"/>
  <c r="G314" i="3" s="1"/>
  <c r="G314" i="4" s="1"/>
  <c r="G316" i="2"/>
  <c r="F314" i="3" s="1"/>
  <c r="F314" i="4" s="1"/>
  <c r="F316" i="2"/>
  <c r="E316" i="2"/>
  <c r="D316" i="2"/>
  <c r="C316" i="2"/>
  <c r="B316" i="2"/>
  <c r="A316" i="2"/>
  <c r="AG315" i="2"/>
  <c r="AF315" i="2"/>
  <c r="AE315" i="2"/>
  <c r="AD315" i="2"/>
  <c r="AC315" i="2"/>
  <c r="AB313" i="3" s="1"/>
  <c r="AB313" i="4" s="1"/>
  <c r="AB315" i="2"/>
  <c r="AA313" i="3" s="1"/>
  <c r="AA313" i="4" s="1"/>
  <c r="AA315" i="2"/>
  <c r="Z315" i="2"/>
  <c r="Y315" i="2"/>
  <c r="X315" i="2"/>
  <c r="W315" i="2"/>
  <c r="V315" i="2"/>
  <c r="U313" i="3" s="1"/>
  <c r="U313" i="4" s="1"/>
  <c r="U315" i="2"/>
  <c r="T315" i="2"/>
  <c r="S315" i="2"/>
  <c r="R315" i="2"/>
  <c r="Q315" i="2"/>
  <c r="P313" i="3" s="1"/>
  <c r="P313" i="4" s="1"/>
  <c r="P315" i="2"/>
  <c r="O313" i="3" s="1"/>
  <c r="O313" i="4" s="1"/>
  <c r="O315" i="2"/>
  <c r="N315" i="2"/>
  <c r="M315" i="2"/>
  <c r="L315" i="2"/>
  <c r="K315" i="2"/>
  <c r="J315" i="2"/>
  <c r="I315" i="2"/>
  <c r="H315" i="2"/>
  <c r="G315" i="2"/>
  <c r="F315" i="2"/>
  <c r="E315" i="2"/>
  <c r="D313" i="3" s="1"/>
  <c r="D313" i="4" s="1"/>
  <c r="D315" i="2"/>
  <c r="C313" i="3" s="1"/>
  <c r="C313" i="4" s="1"/>
  <c r="C315" i="2"/>
  <c r="B315" i="2"/>
  <c r="A315" i="2"/>
  <c r="AG314" i="2"/>
  <c r="AF314" i="2"/>
  <c r="AE314" i="2"/>
  <c r="AD312" i="3" s="1"/>
  <c r="AD312" i="4" s="1"/>
  <c r="AD314" i="2"/>
  <c r="AC314" i="2"/>
  <c r="AB314" i="2"/>
  <c r="AA314" i="2"/>
  <c r="Z314" i="2"/>
  <c r="Y312" i="3" s="1"/>
  <c r="Y312" i="4" s="1"/>
  <c r="Y314" i="2"/>
  <c r="X312" i="3" s="1"/>
  <c r="X312" i="4" s="1"/>
  <c r="X314" i="2"/>
  <c r="W314" i="2"/>
  <c r="V314" i="2"/>
  <c r="U314" i="2"/>
  <c r="T314" i="2"/>
  <c r="S314" i="2"/>
  <c r="R314" i="2"/>
  <c r="Q314" i="2"/>
  <c r="P314" i="2"/>
  <c r="O314" i="2"/>
  <c r="N314" i="2"/>
  <c r="M312" i="3" s="1"/>
  <c r="M312" i="4" s="1"/>
  <c r="M314" i="2"/>
  <c r="L312" i="3" s="1"/>
  <c r="L312" i="4" s="1"/>
  <c r="L314" i="2"/>
  <c r="K314" i="2"/>
  <c r="J314" i="2"/>
  <c r="I314" i="2"/>
  <c r="H314" i="2"/>
  <c r="G314" i="2"/>
  <c r="F314" i="2"/>
  <c r="E314" i="2"/>
  <c r="D314" i="2"/>
  <c r="C314" i="2"/>
  <c r="B314" i="2"/>
  <c r="A312" i="3" s="1"/>
  <c r="A312" i="4" s="1"/>
  <c r="A314" i="2"/>
  <c r="AG313" i="2"/>
  <c r="AF313" i="2"/>
  <c r="AE313" i="2"/>
  <c r="AD313" i="2"/>
  <c r="AC313" i="2"/>
  <c r="AB313" i="2"/>
  <c r="AA313" i="2"/>
  <c r="Z313" i="2"/>
  <c r="Y313" i="2"/>
  <c r="X313" i="2"/>
  <c r="W313" i="2"/>
  <c r="V311" i="3" s="1"/>
  <c r="V311" i="4" s="1"/>
  <c r="V313" i="2"/>
  <c r="U311" i="3" s="1"/>
  <c r="U311" i="4" s="1"/>
  <c r="U313" i="2"/>
  <c r="T313" i="2"/>
  <c r="S313" i="2"/>
  <c r="R313" i="2"/>
  <c r="Q313" i="2"/>
  <c r="P313" i="2"/>
  <c r="O313" i="2"/>
  <c r="N313" i="2"/>
  <c r="M313" i="2"/>
  <c r="L313" i="2"/>
  <c r="K313" i="2"/>
  <c r="J311" i="3" s="1"/>
  <c r="J311" i="4" s="1"/>
  <c r="J313" i="2"/>
  <c r="I311" i="3" s="1"/>
  <c r="I311" i="4" s="1"/>
  <c r="I313" i="2"/>
  <c r="H313" i="2"/>
  <c r="G313" i="2"/>
  <c r="F313" i="2"/>
  <c r="E313" i="2"/>
  <c r="D313" i="2"/>
  <c r="C313" i="2"/>
  <c r="B313" i="2"/>
  <c r="A313" i="2"/>
  <c r="AG312" i="2"/>
  <c r="AF312" i="2"/>
  <c r="AE312" i="2"/>
  <c r="AD310" i="3" s="1"/>
  <c r="AD310" i="4" s="1"/>
  <c r="AD312" i="2"/>
  <c r="AC312" i="2"/>
  <c r="AB312" i="2"/>
  <c r="AA312" i="2"/>
  <c r="Z312" i="2"/>
  <c r="Y312" i="2"/>
  <c r="X312" i="2"/>
  <c r="W312" i="2"/>
  <c r="V312" i="2"/>
  <c r="U312" i="2"/>
  <c r="T312" i="2"/>
  <c r="S310" i="3" s="1"/>
  <c r="S310" i="4" s="1"/>
  <c r="S312" i="2"/>
  <c r="R310" i="3" s="1"/>
  <c r="R310" i="4" s="1"/>
  <c r="R312" i="2"/>
  <c r="Q312" i="2"/>
  <c r="P312" i="2"/>
  <c r="O312" i="2"/>
  <c r="N312" i="2"/>
  <c r="M312" i="2"/>
  <c r="L312" i="2"/>
  <c r="K312" i="2"/>
  <c r="J312" i="2"/>
  <c r="I312" i="2"/>
  <c r="H312" i="2"/>
  <c r="G310" i="3" s="1"/>
  <c r="G310" i="4" s="1"/>
  <c r="G312" i="2"/>
  <c r="F310" i="3" s="1"/>
  <c r="F310" i="4" s="1"/>
  <c r="F312" i="2"/>
  <c r="E312" i="2"/>
  <c r="D312" i="2"/>
  <c r="C312" i="2"/>
  <c r="B312" i="2"/>
  <c r="A312" i="2"/>
  <c r="AG311" i="2"/>
  <c r="AF311" i="2"/>
  <c r="AE311" i="2"/>
  <c r="AD311" i="2"/>
  <c r="AC311" i="2"/>
  <c r="AB309" i="3" s="1"/>
  <c r="AB309" i="4" s="1"/>
  <c r="AB311" i="2"/>
  <c r="AA309" i="3" s="1"/>
  <c r="AA309" i="4" s="1"/>
  <c r="AA311" i="2"/>
  <c r="Z311" i="2"/>
  <c r="Y311" i="2"/>
  <c r="X311" i="2"/>
  <c r="W311" i="2"/>
  <c r="V311" i="2"/>
  <c r="U311" i="2"/>
  <c r="T311" i="2"/>
  <c r="S311" i="2"/>
  <c r="R311" i="2"/>
  <c r="Q311" i="2"/>
  <c r="P309" i="3" s="1"/>
  <c r="P309" i="4" s="1"/>
  <c r="P311" i="2"/>
  <c r="O309" i="3" s="1"/>
  <c r="O309" i="4" s="1"/>
  <c r="O311" i="2"/>
  <c r="N311" i="2"/>
  <c r="M311" i="2"/>
  <c r="L311" i="2"/>
  <c r="K311" i="2"/>
  <c r="J311" i="2"/>
  <c r="I311" i="2"/>
  <c r="H311" i="2"/>
  <c r="G311" i="2"/>
  <c r="F311" i="2"/>
  <c r="E311" i="2"/>
  <c r="D309" i="3" s="1"/>
  <c r="D309" i="4" s="1"/>
  <c r="D311" i="2"/>
  <c r="C309" i="3" s="1"/>
  <c r="C309" i="4" s="1"/>
  <c r="C311" i="2"/>
  <c r="B311" i="2"/>
  <c r="A311" i="2"/>
  <c r="AG310" i="2"/>
  <c r="AF310" i="2"/>
  <c r="AE310" i="2"/>
  <c r="AD308" i="3" s="1"/>
  <c r="AD308" i="4" s="1"/>
  <c r="AD310" i="2"/>
  <c r="AC310" i="2"/>
  <c r="AB310" i="2"/>
  <c r="AA310" i="2"/>
  <c r="Z310" i="2"/>
  <c r="Y308" i="3" s="1"/>
  <c r="Y308" i="4" s="1"/>
  <c r="Y310" i="2"/>
  <c r="X308" i="3" s="1"/>
  <c r="X308" i="4" s="1"/>
  <c r="X310" i="2"/>
  <c r="W310" i="2"/>
  <c r="V310" i="2"/>
  <c r="U310" i="2"/>
  <c r="T310" i="2"/>
  <c r="S310" i="2"/>
  <c r="R310" i="2"/>
  <c r="Q310" i="2"/>
  <c r="P310" i="2"/>
  <c r="O310" i="2"/>
  <c r="N310" i="2"/>
  <c r="M308" i="3" s="1"/>
  <c r="M308" i="4" s="1"/>
  <c r="M310" i="2"/>
  <c r="L308" i="3" s="1"/>
  <c r="L308" i="4" s="1"/>
  <c r="L310" i="2"/>
  <c r="K310" i="2"/>
  <c r="J310" i="2"/>
  <c r="I310" i="2"/>
  <c r="H310" i="2"/>
  <c r="G310" i="2"/>
  <c r="F310" i="2"/>
  <c r="E310" i="2"/>
  <c r="D310" i="2"/>
  <c r="C310" i="2"/>
  <c r="B310" i="2"/>
  <c r="A308" i="3" s="1"/>
  <c r="A308" i="4" s="1"/>
  <c r="A310" i="2"/>
  <c r="AG309" i="2"/>
  <c r="AF309" i="2"/>
  <c r="AE309" i="2"/>
  <c r="AD309" i="2"/>
  <c r="AC309" i="2"/>
  <c r="AB309" i="2"/>
  <c r="AA309" i="2"/>
  <c r="Z309" i="2"/>
  <c r="Y309" i="2"/>
  <c r="X309" i="2"/>
  <c r="W309" i="2"/>
  <c r="V307" i="3" s="1"/>
  <c r="V307" i="4" s="1"/>
  <c r="V309" i="2"/>
  <c r="U307" i="3" s="1"/>
  <c r="U307" i="4" s="1"/>
  <c r="U309" i="2"/>
  <c r="T309" i="2"/>
  <c r="S309" i="2"/>
  <c r="R309" i="2"/>
  <c r="Q309" i="2"/>
  <c r="P309" i="2"/>
  <c r="O309" i="2"/>
  <c r="N309" i="2"/>
  <c r="M309" i="2"/>
  <c r="L309" i="2"/>
  <c r="K309" i="2"/>
  <c r="J307" i="3" s="1"/>
  <c r="J307" i="4" s="1"/>
  <c r="J309" i="2"/>
  <c r="I307" i="3" s="1"/>
  <c r="I307" i="4" s="1"/>
  <c r="I309" i="2"/>
  <c r="H309" i="2"/>
  <c r="G309" i="2"/>
  <c r="F309" i="2"/>
  <c r="E309" i="2"/>
  <c r="D309" i="2"/>
  <c r="C309" i="2"/>
  <c r="B309" i="2"/>
  <c r="A309" i="2"/>
  <c r="AG308" i="2"/>
  <c r="AF308" i="2"/>
  <c r="AE306" i="3" s="1"/>
  <c r="AE306" i="4" s="1"/>
  <c r="AE308" i="2"/>
  <c r="AD306" i="3" s="1"/>
  <c r="AD306" i="4" s="1"/>
  <c r="AD308" i="2"/>
  <c r="AC308" i="2"/>
  <c r="AB308" i="2"/>
  <c r="AA308" i="2"/>
  <c r="Z308" i="2"/>
  <c r="Y308" i="2"/>
  <c r="X308" i="2"/>
  <c r="W308" i="2"/>
  <c r="V308" i="2"/>
  <c r="U308" i="2"/>
  <c r="T308" i="2"/>
  <c r="S306" i="3" s="1"/>
  <c r="S306" i="4" s="1"/>
  <c r="S308" i="2"/>
  <c r="R306" i="3" s="1"/>
  <c r="R306" i="4" s="1"/>
  <c r="R308" i="2"/>
  <c r="Q308" i="2"/>
  <c r="P308" i="2"/>
  <c r="O308" i="2"/>
  <c r="N308" i="2"/>
  <c r="M308" i="2"/>
  <c r="L308" i="2"/>
  <c r="K308" i="2"/>
  <c r="J308" i="2"/>
  <c r="I308" i="2"/>
  <c r="H308" i="2"/>
  <c r="G306" i="3" s="1"/>
  <c r="G306" i="4" s="1"/>
  <c r="G308" i="2"/>
  <c r="F306" i="3" s="1"/>
  <c r="F306" i="4" s="1"/>
  <c r="F308" i="2"/>
  <c r="E308" i="2"/>
  <c r="D308" i="2"/>
  <c r="C308" i="2"/>
  <c r="B308" i="2"/>
  <c r="A308" i="2"/>
  <c r="AG307" i="2"/>
  <c r="AF307" i="2"/>
  <c r="AE307" i="2"/>
  <c r="AD307" i="2"/>
  <c r="AC307" i="2"/>
  <c r="AB305" i="3" s="1"/>
  <c r="AB305" i="4" s="1"/>
  <c r="AB307" i="2"/>
  <c r="AA305" i="3" s="1"/>
  <c r="AA305" i="4" s="1"/>
  <c r="AA307" i="2"/>
  <c r="Z307" i="2"/>
  <c r="Y307" i="2"/>
  <c r="X307" i="2"/>
  <c r="W307" i="2"/>
  <c r="V307" i="2"/>
  <c r="U307" i="2"/>
  <c r="T307" i="2"/>
  <c r="S307" i="2"/>
  <c r="R307" i="2"/>
  <c r="Q307" i="2"/>
  <c r="P305" i="3" s="1"/>
  <c r="P305" i="4" s="1"/>
  <c r="P307" i="2"/>
  <c r="O305" i="3" s="1"/>
  <c r="O305" i="4" s="1"/>
  <c r="O307" i="2"/>
  <c r="N307" i="2"/>
  <c r="M307" i="2"/>
  <c r="L307" i="2"/>
  <c r="K307" i="2"/>
  <c r="J307" i="2"/>
  <c r="I307" i="2"/>
  <c r="H307" i="2"/>
  <c r="G307" i="2"/>
  <c r="F307" i="2"/>
  <c r="E307" i="2"/>
  <c r="D305" i="3" s="1"/>
  <c r="D305" i="4" s="1"/>
  <c r="D307" i="2"/>
  <c r="C305" i="3" s="1"/>
  <c r="C305" i="4" s="1"/>
  <c r="C307" i="2"/>
  <c r="B307" i="2"/>
  <c r="A307" i="2"/>
  <c r="AG306" i="2"/>
  <c r="AF306" i="2"/>
  <c r="AE306" i="2"/>
  <c r="AD304" i="3" s="1"/>
  <c r="AD304" i="4" s="1"/>
  <c r="AD306" i="2"/>
  <c r="AC306" i="2"/>
  <c r="AB306" i="2"/>
  <c r="AA306" i="2"/>
  <c r="Z306" i="2"/>
  <c r="Y304" i="3" s="1"/>
  <c r="Y304" i="4" s="1"/>
  <c r="Y306" i="2"/>
  <c r="X304" i="3" s="1"/>
  <c r="X304" i="4" s="1"/>
  <c r="X306" i="2"/>
  <c r="W306" i="2"/>
  <c r="V306" i="2"/>
  <c r="U306" i="2"/>
  <c r="T306" i="2"/>
  <c r="S306" i="2"/>
  <c r="R306" i="2"/>
  <c r="Q306" i="2"/>
  <c r="P306" i="2"/>
  <c r="O306" i="2"/>
  <c r="N306" i="2"/>
  <c r="M304" i="3" s="1"/>
  <c r="M304" i="4" s="1"/>
  <c r="M306" i="2"/>
  <c r="L304" i="3" s="1"/>
  <c r="L304" i="4" s="1"/>
  <c r="L306" i="2"/>
  <c r="K306" i="2"/>
  <c r="J306" i="2"/>
  <c r="I306" i="2"/>
  <c r="H306" i="2"/>
  <c r="G306" i="2"/>
  <c r="F306" i="2"/>
  <c r="E306" i="2"/>
  <c r="D306" i="2"/>
  <c r="C306" i="2"/>
  <c r="B306" i="2"/>
  <c r="A304" i="3" s="1"/>
  <c r="A304" i="4" s="1"/>
  <c r="A306" i="2"/>
  <c r="AG305" i="2"/>
  <c r="AF305" i="2"/>
  <c r="AE305" i="2"/>
  <c r="AD305" i="2"/>
  <c r="AC305" i="2"/>
  <c r="AB305" i="2"/>
  <c r="AA305" i="2"/>
  <c r="Z305" i="2"/>
  <c r="Y305" i="2"/>
  <c r="X305" i="2"/>
  <c r="W305" i="2"/>
  <c r="V303" i="3" s="1"/>
  <c r="V303" i="4" s="1"/>
  <c r="V305" i="2"/>
  <c r="U303" i="3" s="1"/>
  <c r="U303" i="4" s="1"/>
  <c r="U305" i="2"/>
  <c r="T305" i="2"/>
  <c r="S305" i="2"/>
  <c r="R305" i="2"/>
  <c r="Q305" i="2"/>
  <c r="P305" i="2"/>
  <c r="O305" i="2"/>
  <c r="N305" i="2"/>
  <c r="M305" i="2"/>
  <c r="L305" i="2"/>
  <c r="K305" i="2"/>
  <c r="J303" i="3" s="1"/>
  <c r="J303" i="4" s="1"/>
  <c r="J305" i="2"/>
  <c r="I303" i="3" s="1"/>
  <c r="I303" i="4" s="1"/>
  <c r="I305" i="2"/>
  <c r="H305" i="2"/>
  <c r="G305" i="2"/>
  <c r="F305" i="2"/>
  <c r="E305" i="2"/>
  <c r="D305" i="2"/>
  <c r="C305" i="2"/>
  <c r="B305" i="2"/>
  <c r="A305" i="2"/>
  <c r="AG304" i="2"/>
  <c r="AF304" i="2"/>
  <c r="AE302" i="3" s="1"/>
  <c r="AE302" i="4" s="1"/>
  <c r="AE304" i="2"/>
  <c r="AD302" i="3" s="1"/>
  <c r="AD302" i="4" s="1"/>
  <c r="AD304" i="2"/>
  <c r="AC304" i="2"/>
  <c r="AB304" i="2"/>
  <c r="AA304" i="2"/>
  <c r="Z304" i="2"/>
  <c r="Y304" i="2"/>
  <c r="X304" i="2"/>
  <c r="W304" i="2"/>
  <c r="V304" i="2"/>
  <c r="U304" i="2"/>
  <c r="T304" i="2"/>
  <c r="S302" i="3" s="1"/>
  <c r="S302" i="4" s="1"/>
  <c r="S304" i="2"/>
  <c r="R302" i="3" s="1"/>
  <c r="R302" i="4" s="1"/>
  <c r="R304" i="2"/>
  <c r="Q304" i="2"/>
  <c r="P304" i="2"/>
  <c r="O304" i="2"/>
  <c r="N304" i="2"/>
  <c r="M304" i="2"/>
  <c r="L304" i="2"/>
  <c r="K304" i="2"/>
  <c r="J304" i="2"/>
  <c r="I304" i="2"/>
  <c r="H304" i="2"/>
  <c r="G302" i="3" s="1"/>
  <c r="G302" i="4" s="1"/>
  <c r="G304" i="2"/>
  <c r="F302" i="3" s="1"/>
  <c r="F302" i="4" s="1"/>
  <c r="F304" i="2"/>
  <c r="E304" i="2"/>
  <c r="D304" i="2"/>
  <c r="C304" i="2"/>
  <c r="B304" i="2"/>
  <c r="A304" i="2"/>
  <c r="AG303" i="2"/>
  <c r="AF303" i="2"/>
  <c r="AE303" i="2"/>
  <c r="AD303" i="2"/>
  <c r="AC303" i="2"/>
  <c r="AB301" i="3" s="1"/>
  <c r="AB301" i="4" s="1"/>
  <c r="AB303" i="2"/>
  <c r="AA301" i="3" s="1"/>
  <c r="AA301" i="4" s="1"/>
  <c r="AA303" i="2"/>
  <c r="Z303" i="2"/>
  <c r="Y303" i="2"/>
  <c r="X303" i="2"/>
  <c r="W303" i="2"/>
  <c r="V303" i="2"/>
  <c r="U303" i="2"/>
  <c r="T303" i="2"/>
  <c r="S303" i="2"/>
  <c r="R303" i="2"/>
  <c r="Q303" i="2"/>
  <c r="P301" i="3" s="1"/>
  <c r="P301" i="4" s="1"/>
  <c r="P303" i="2"/>
  <c r="O301" i="3" s="1"/>
  <c r="O301" i="4" s="1"/>
  <c r="O303" i="2"/>
  <c r="N303" i="2"/>
  <c r="M303" i="2"/>
  <c r="L303" i="2"/>
  <c r="K303" i="2"/>
  <c r="J303" i="2"/>
  <c r="I303" i="2"/>
  <c r="H303" i="2"/>
  <c r="G303" i="2"/>
  <c r="F303" i="2"/>
  <c r="E303" i="2"/>
  <c r="D301" i="3" s="1"/>
  <c r="D301" i="4" s="1"/>
  <c r="D303" i="2"/>
  <c r="C301" i="3" s="1"/>
  <c r="C301" i="4" s="1"/>
  <c r="C303" i="2"/>
  <c r="B303" i="2"/>
  <c r="A303" i="2"/>
  <c r="AG302" i="2"/>
  <c r="AF302" i="2"/>
  <c r="AE302" i="2"/>
  <c r="AD302" i="2"/>
  <c r="AC302" i="2"/>
  <c r="AB302" i="2"/>
  <c r="AA302" i="2"/>
  <c r="Z302" i="2"/>
  <c r="Y300" i="3" s="1"/>
  <c r="Y300" i="4" s="1"/>
  <c r="Y302" i="2"/>
  <c r="X300" i="3" s="1"/>
  <c r="X300" i="4" s="1"/>
  <c r="X302" i="2"/>
  <c r="W302" i="2"/>
  <c r="V302" i="2"/>
  <c r="U302" i="2"/>
  <c r="T302" i="2"/>
  <c r="S302" i="2"/>
  <c r="R302" i="2"/>
  <c r="Q302" i="2"/>
  <c r="P302" i="2"/>
  <c r="O302" i="2"/>
  <c r="N302" i="2"/>
  <c r="M300" i="3" s="1"/>
  <c r="M300" i="4" s="1"/>
  <c r="M302" i="2"/>
  <c r="L300" i="3" s="1"/>
  <c r="L300" i="4" s="1"/>
  <c r="L302" i="2"/>
  <c r="K302" i="2"/>
  <c r="J302" i="2"/>
  <c r="I302" i="2"/>
  <c r="H302" i="2"/>
  <c r="G302" i="2"/>
  <c r="F302" i="2"/>
  <c r="E302" i="2"/>
  <c r="D302" i="2"/>
  <c r="C302" i="2"/>
  <c r="B302" i="2"/>
  <c r="A300" i="3" s="1"/>
  <c r="A300" i="4" s="1"/>
  <c r="A302" i="2"/>
  <c r="AG301" i="2"/>
  <c r="AF301" i="2"/>
  <c r="AE301" i="2"/>
  <c r="AD301" i="2"/>
  <c r="AC301" i="2"/>
  <c r="AB301" i="2"/>
  <c r="AA301" i="2"/>
  <c r="Z301" i="2"/>
  <c r="Y301" i="2"/>
  <c r="X301" i="2"/>
  <c r="W301" i="2"/>
  <c r="V299" i="3" s="1"/>
  <c r="V299" i="4" s="1"/>
  <c r="V301" i="2"/>
  <c r="U299" i="3" s="1"/>
  <c r="U299" i="4" s="1"/>
  <c r="U301" i="2"/>
  <c r="T301" i="2"/>
  <c r="S301" i="2"/>
  <c r="R301" i="2"/>
  <c r="Q301" i="2"/>
  <c r="P301" i="2"/>
  <c r="O301" i="2"/>
  <c r="N301" i="2"/>
  <c r="M301" i="2"/>
  <c r="L301" i="2"/>
  <c r="K301" i="2"/>
  <c r="J299" i="3" s="1"/>
  <c r="J299" i="4" s="1"/>
  <c r="J301" i="2"/>
  <c r="I299" i="3" s="1"/>
  <c r="I299" i="4" s="1"/>
  <c r="I301" i="2"/>
  <c r="H301" i="2"/>
  <c r="G301" i="2"/>
  <c r="F301" i="2"/>
  <c r="E301" i="2"/>
  <c r="D301" i="2"/>
  <c r="C301" i="2"/>
  <c r="B301" i="2"/>
  <c r="A301" i="2"/>
  <c r="AG300" i="2"/>
  <c r="AF300" i="2"/>
  <c r="AE300" i="2"/>
  <c r="AD298" i="3" s="1"/>
  <c r="AD298" i="4" s="1"/>
  <c r="AD300" i="2"/>
  <c r="AC300" i="2"/>
  <c r="AB300" i="2"/>
  <c r="AA300" i="2"/>
  <c r="Z300" i="2"/>
  <c r="Y300" i="2"/>
  <c r="X300" i="2"/>
  <c r="W300" i="2"/>
  <c r="V300" i="2"/>
  <c r="U300" i="2"/>
  <c r="T300" i="2"/>
  <c r="S298" i="3" s="1"/>
  <c r="S298" i="4" s="1"/>
  <c r="S300" i="2"/>
  <c r="R298" i="3" s="1"/>
  <c r="R298" i="4" s="1"/>
  <c r="R300" i="2"/>
  <c r="Q300" i="2"/>
  <c r="P300" i="2"/>
  <c r="O300" i="2"/>
  <c r="N300" i="2"/>
  <c r="M300" i="2"/>
  <c r="L300" i="2"/>
  <c r="K300" i="2"/>
  <c r="J300" i="2"/>
  <c r="I300" i="2"/>
  <c r="H300" i="2"/>
  <c r="G298" i="3" s="1"/>
  <c r="G298" i="4" s="1"/>
  <c r="G300" i="2"/>
  <c r="F298" i="3" s="1"/>
  <c r="F298" i="4" s="1"/>
  <c r="F300" i="2"/>
  <c r="E300" i="2"/>
  <c r="D300" i="2"/>
  <c r="C300" i="2"/>
  <c r="B300" i="2"/>
  <c r="A300" i="2"/>
  <c r="AG299" i="2"/>
  <c r="AF299" i="2"/>
  <c r="AE299" i="2"/>
  <c r="AD299" i="2"/>
  <c r="AC299" i="2"/>
  <c r="AB297" i="3" s="1"/>
  <c r="AB297" i="4" s="1"/>
  <c r="AB299" i="2"/>
  <c r="AA297" i="3" s="1"/>
  <c r="AA297" i="4" s="1"/>
  <c r="AA299" i="2"/>
  <c r="Z299" i="2"/>
  <c r="Y299" i="2"/>
  <c r="X299" i="2"/>
  <c r="W299" i="2"/>
  <c r="V299" i="2"/>
  <c r="U299" i="2"/>
  <c r="T299" i="2"/>
  <c r="S299" i="2"/>
  <c r="R299" i="2"/>
  <c r="Q299" i="2"/>
  <c r="P297" i="3" s="1"/>
  <c r="P297" i="4" s="1"/>
  <c r="P299" i="2"/>
  <c r="O297" i="3" s="1"/>
  <c r="O297" i="4" s="1"/>
  <c r="O299" i="2"/>
  <c r="N299" i="2"/>
  <c r="M299" i="2"/>
  <c r="L299" i="2"/>
  <c r="K299" i="2"/>
  <c r="J299" i="2"/>
  <c r="I299" i="2"/>
  <c r="H299" i="2"/>
  <c r="G299" i="2"/>
  <c r="F299" i="2"/>
  <c r="E299" i="2"/>
  <c r="D297" i="3" s="1"/>
  <c r="D297" i="4" s="1"/>
  <c r="D299" i="2"/>
  <c r="C297" i="3" s="1"/>
  <c r="C297" i="4" s="1"/>
  <c r="C299" i="2"/>
  <c r="B299" i="2"/>
  <c r="A299" i="2"/>
  <c r="AG298" i="2"/>
  <c r="AF298" i="2"/>
  <c r="AE298" i="2"/>
  <c r="AD298" i="2"/>
  <c r="AC298" i="2"/>
  <c r="AB298" i="2"/>
  <c r="AA298" i="2"/>
  <c r="Z298" i="2"/>
  <c r="Y296" i="3" s="1"/>
  <c r="Y296" i="4" s="1"/>
  <c r="Y298" i="2"/>
  <c r="X296" i="3" s="1"/>
  <c r="X296" i="4" s="1"/>
  <c r="X298" i="2"/>
  <c r="W298" i="2"/>
  <c r="V298" i="2"/>
  <c r="U298" i="2"/>
  <c r="T298" i="2"/>
  <c r="S298" i="2"/>
  <c r="R298" i="2"/>
  <c r="Q298" i="2"/>
  <c r="P298" i="2"/>
  <c r="O298" i="2"/>
  <c r="N298" i="2"/>
  <c r="M296" i="3" s="1"/>
  <c r="M296" i="4" s="1"/>
  <c r="M298" i="2"/>
  <c r="L296" i="3" s="1"/>
  <c r="L296" i="4" s="1"/>
  <c r="L298" i="2"/>
  <c r="K298" i="2"/>
  <c r="J298" i="2"/>
  <c r="I298" i="2"/>
  <c r="H298" i="2"/>
  <c r="G298" i="2"/>
  <c r="F298" i="2"/>
  <c r="E298" i="2"/>
  <c r="D298" i="2"/>
  <c r="C298" i="2"/>
  <c r="B298" i="2"/>
  <c r="A296" i="3" s="1"/>
  <c r="A296" i="4" s="1"/>
  <c r="A298" i="2"/>
  <c r="AG297" i="2"/>
  <c r="AF297" i="2"/>
  <c r="AE297" i="2"/>
  <c r="AD297" i="2"/>
  <c r="AC297" i="2"/>
  <c r="AB297" i="2"/>
  <c r="AA297" i="2"/>
  <c r="Z297" i="2"/>
  <c r="Y297" i="2"/>
  <c r="X297" i="2"/>
  <c r="W297" i="2"/>
  <c r="V295" i="3" s="1"/>
  <c r="V295" i="4" s="1"/>
  <c r="V297" i="2"/>
  <c r="U295" i="3" s="1"/>
  <c r="U295" i="4" s="1"/>
  <c r="U297" i="2"/>
  <c r="T297" i="2"/>
  <c r="S297" i="2"/>
  <c r="R297" i="2"/>
  <c r="Q297" i="2"/>
  <c r="P297" i="2"/>
  <c r="O297" i="2"/>
  <c r="N297" i="2"/>
  <c r="M297" i="2"/>
  <c r="L297" i="2"/>
  <c r="K297" i="2"/>
  <c r="J295" i="3" s="1"/>
  <c r="J295" i="4" s="1"/>
  <c r="J297" i="2"/>
  <c r="I295" i="3" s="1"/>
  <c r="I295" i="4" s="1"/>
  <c r="I297" i="2"/>
  <c r="H297" i="2"/>
  <c r="G297" i="2"/>
  <c r="F297" i="2"/>
  <c r="E297" i="2"/>
  <c r="D297" i="2"/>
  <c r="C297" i="2"/>
  <c r="B297" i="2"/>
  <c r="A297" i="2"/>
  <c r="AG296" i="2"/>
  <c r="AF296" i="2"/>
  <c r="AE296" i="2"/>
  <c r="AD294" i="3" s="1"/>
  <c r="AD294" i="4" s="1"/>
  <c r="AD296" i="2"/>
  <c r="AC296" i="2"/>
  <c r="AB296" i="2"/>
  <c r="AA296" i="2"/>
  <c r="Z296" i="2"/>
  <c r="Y296" i="2"/>
  <c r="X296" i="2"/>
  <c r="W296" i="2"/>
  <c r="V296" i="2"/>
  <c r="U296" i="2"/>
  <c r="T296" i="2"/>
  <c r="S294" i="3" s="1"/>
  <c r="S294" i="4" s="1"/>
  <c r="S296" i="2"/>
  <c r="R294" i="3" s="1"/>
  <c r="R294" i="4" s="1"/>
  <c r="R296" i="2"/>
  <c r="Q296" i="2"/>
  <c r="P296" i="2"/>
  <c r="O296" i="2"/>
  <c r="N296" i="2"/>
  <c r="M296" i="2"/>
  <c r="L296" i="2"/>
  <c r="K296" i="2"/>
  <c r="J296" i="2"/>
  <c r="I296" i="2"/>
  <c r="H296" i="2"/>
  <c r="G294" i="3" s="1"/>
  <c r="G294" i="4" s="1"/>
  <c r="G296" i="2"/>
  <c r="F294" i="3" s="1"/>
  <c r="F294" i="4" s="1"/>
  <c r="F296" i="2"/>
  <c r="E296" i="2"/>
  <c r="D296" i="2"/>
  <c r="C296" i="2"/>
  <c r="B296" i="2"/>
  <c r="A296" i="2"/>
  <c r="AG295" i="2"/>
  <c r="AF295" i="2"/>
  <c r="AE295" i="2"/>
  <c r="AD295" i="2"/>
  <c r="AC295" i="2"/>
  <c r="AB293" i="3" s="1"/>
  <c r="AB293" i="4" s="1"/>
  <c r="AB295" i="2"/>
  <c r="AA293" i="3" s="1"/>
  <c r="AA293" i="4" s="1"/>
  <c r="AA295" i="2"/>
  <c r="Z295" i="2"/>
  <c r="Y295" i="2"/>
  <c r="X295" i="2"/>
  <c r="W295" i="2"/>
  <c r="V295" i="2"/>
  <c r="U295" i="2"/>
  <c r="T295" i="2"/>
  <c r="S295" i="2"/>
  <c r="R295" i="2"/>
  <c r="Q295" i="2"/>
  <c r="P293" i="3" s="1"/>
  <c r="P293" i="4" s="1"/>
  <c r="P295" i="2"/>
  <c r="O293" i="3" s="1"/>
  <c r="O293" i="4" s="1"/>
  <c r="O295" i="2"/>
  <c r="N295" i="2"/>
  <c r="M295" i="2"/>
  <c r="L295" i="2"/>
  <c r="K295" i="2"/>
  <c r="J295" i="2"/>
  <c r="I295" i="2"/>
  <c r="H295" i="2"/>
  <c r="G295" i="2"/>
  <c r="F295" i="2"/>
  <c r="E295" i="2"/>
  <c r="D293" i="3" s="1"/>
  <c r="D293" i="4" s="1"/>
  <c r="D295" i="2"/>
  <c r="C293" i="3" s="1"/>
  <c r="C293" i="4" s="1"/>
  <c r="C295" i="2"/>
  <c r="B295" i="2"/>
  <c r="A295" i="2"/>
  <c r="AG294" i="2"/>
  <c r="AF294" i="2"/>
  <c r="AE294" i="2"/>
  <c r="AD294" i="2"/>
  <c r="AC294" i="2"/>
  <c r="AB294" i="2"/>
  <c r="AA294" i="2"/>
  <c r="Z294" i="2"/>
  <c r="Y292" i="3" s="1"/>
  <c r="Y292" i="4" s="1"/>
  <c r="Y294" i="2"/>
  <c r="X292" i="3" s="1"/>
  <c r="X292" i="4" s="1"/>
  <c r="X294" i="2"/>
  <c r="W294" i="2"/>
  <c r="V294" i="2"/>
  <c r="U294" i="2"/>
  <c r="T294" i="2"/>
  <c r="S294" i="2"/>
  <c r="R294" i="2"/>
  <c r="Q294" i="2"/>
  <c r="P294" i="2"/>
  <c r="O294" i="2"/>
  <c r="N294" i="2"/>
  <c r="M292" i="3" s="1"/>
  <c r="M292" i="4" s="1"/>
  <c r="M294" i="2"/>
  <c r="L292" i="3" s="1"/>
  <c r="L292" i="4" s="1"/>
  <c r="L294" i="2"/>
  <c r="K294" i="2"/>
  <c r="J294" i="2"/>
  <c r="I294" i="2"/>
  <c r="H294" i="2"/>
  <c r="G294" i="2"/>
  <c r="F294" i="2"/>
  <c r="E294" i="2"/>
  <c r="D294" i="2"/>
  <c r="C294" i="2"/>
  <c r="B294" i="2"/>
  <c r="A292" i="3" s="1"/>
  <c r="A292" i="4" s="1"/>
  <c r="A294" i="2"/>
  <c r="AG293" i="2"/>
  <c r="AF293" i="2"/>
  <c r="AE293" i="2"/>
  <c r="AD293" i="2"/>
  <c r="AC293" i="2"/>
  <c r="AB293" i="2"/>
  <c r="AA293" i="2"/>
  <c r="Z293" i="2"/>
  <c r="Y293" i="2"/>
  <c r="X293" i="2"/>
  <c r="W293" i="2"/>
  <c r="V291" i="3" s="1"/>
  <c r="V291" i="4" s="1"/>
  <c r="V293" i="2"/>
  <c r="U291" i="3" s="1"/>
  <c r="U291" i="4" s="1"/>
  <c r="U293" i="2"/>
  <c r="T293" i="2"/>
  <c r="S293" i="2"/>
  <c r="R293" i="2"/>
  <c r="Q293" i="2"/>
  <c r="P293" i="2"/>
  <c r="O293" i="2"/>
  <c r="N293" i="2"/>
  <c r="M293" i="2"/>
  <c r="L293" i="2"/>
  <c r="K293" i="2"/>
  <c r="J291" i="3" s="1"/>
  <c r="J291" i="4" s="1"/>
  <c r="J293" i="2"/>
  <c r="I291" i="3" s="1"/>
  <c r="I291" i="4" s="1"/>
  <c r="I293" i="2"/>
  <c r="H293" i="2"/>
  <c r="G293" i="2"/>
  <c r="F293" i="2"/>
  <c r="E293" i="2"/>
  <c r="D293" i="2"/>
  <c r="C293" i="2"/>
  <c r="B293" i="2"/>
  <c r="A293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0" i="3" s="1"/>
  <c r="S290" i="4" s="1"/>
  <c r="S292" i="2"/>
  <c r="R290" i="3" s="1"/>
  <c r="R290" i="4" s="1"/>
  <c r="R292" i="2"/>
  <c r="Q292" i="2"/>
  <c r="P292" i="2"/>
  <c r="O292" i="2"/>
  <c r="N292" i="2"/>
  <c r="M292" i="2"/>
  <c r="L292" i="2"/>
  <c r="K292" i="2"/>
  <c r="J292" i="2"/>
  <c r="I292" i="2"/>
  <c r="H292" i="2"/>
  <c r="G290" i="3" s="1"/>
  <c r="G290" i="4" s="1"/>
  <c r="G292" i="2"/>
  <c r="F290" i="3" s="1"/>
  <c r="F290" i="4" s="1"/>
  <c r="F292" i="2"/>
  <c r="E292" i="2"/>
  <c r="D292" i="2"/>
  <c r="C292" i="2"/>
  <c r="B292" i="2"/>
  <c r="A292" i="2"/>
  <c r="AG291" i="2"/>
  <c r="AF291" i="2"/>
  <c r="AE291" i="2"/>
  <c r="AD291" i="2"/>
  <c r="AC291" i="2"/>
  <c r="AB289" i="3" s="1"/>
  <c r="AB289" i="4" s="1"/>
  <c r="AB291" i="2"/>
  <c r="AA289" i="3" s="1"/>
  <c r="AA289" i="4" s="1"/>
  <c r="AA291" i="2"/>
  <c r="Z291" i="2"/>
  <c r="Y291" i="2"/>
  <c r="X291" i="2"/>
  <c r="W291" i="2"/>
  <c r="V291" i="2"/>
  <c r="U291" i="2"/>
  <c r="T291" i="2"/>
  <c r="S291" i="2"/>
  <c r="R291" i="2"/>
  <c r="Q291" i="2"/>
  <c r="P289" i="3" s="1"/>
  <c r="P289" i="4" s="1"/>
  <c r="P291" i="2"/>
  <c r="O289" i="3" s="1"/>
  <c r="O289" i="4" s="1"/>
  <c r="O291" i="2"/>
  <c r="N291" i="2"/>
  <c r="M291" i="2"/>
  <c r="L291" i="2"/>
  <c r="K291" i="2"/>
  <c r="J291" i="2"/>
  <c r="I291" i="2"/>
  <c r="H291" i="2"/>
  <c r="G291" i="2"/>
  <c r="F291" i="2"/>
  <c r="E291" i="2"/>
  <c r="D289" i="3" s="1"/>
  <c r="D289" i="4" s="1"/>
  <c r="D291" i="2"/>
  <c r="C289" i="3" s="1"/>
  <c r="C289" i="4" s="1"/>
  <c r="C291" i="2"/>
  <c r="B291" i="2"/>
  <c r="A291" i="2"/>
  <c r="AG290" i="2"/>
  <c r="AF290" i="2"/>
  <c r="AE290" i="2"/>
  <c r="AD290" i="2"/>
  <c r="AC290" i="2"/>
  <c r="AB290" i="2"/>
  <c r="AA290" i="2"/>
  <c r="Z290" i="2"/>
  <c r="Y288" i="3" s="1"/>
  <c r="Y288" i="4" s="1"/>
  <c r="Y290" i="2"/>
  <c r="X288" i="3" s="1"/>
  <c r="X288" i="4" s="1"/>
  <c r="X290" i="2"/>
  <c r="W290" i="2"/>
  <c r="V290" i="2"/>
  <c r="U290" i="2"/>
  <c r="T290" i="2"/>
  <c r="S290" i="2"/>
  <c r="R290" i="2"/>
  <c r="Q290" i="2"/>
  <c r="P290" i="2"/>
  <c r="O290" i="2"/>
  <c r="N290" i="2"/>
  <c r="M288" i="3" s="1"/>
  <c r="M288" i="4" s="1"/>
  <c r="M290" i="2"/>
  <c r="L288" i="3" s="1"/>
  <c r="L288" i="4" s="1"/>
  <c r="L290" i="2"/>
  <c r="K290" i="2"/>
  <c r="J290" i="2"/>
  <c r="I290" i="2"/>
  <c r="H290" i="2"/>
  <c r="G290" i="2"/>
  <c r="F290" i="2"/>
  <c r="E290" i="2"/>
  <c r="D290" i="2"/>
  <c r="C290" i="2"/>
  <c r="B290" i="2"/>
  <c r="A288" i="3" s="1"/>
  <c r="A288" i="4" s="1"/>
  <c r="A290" i="2"/>
  <c r="AG289" i="2"/>
  <c r="AF289" i="2"/>
  <c r="AE289" i="2"/>
  <c r="AD289" i="2"/>
  <c r="AC289" i="2"/>
  <c r="AB289" i="2"/>
  <c r="AA289" i="2"/>
  <c r="Z289" i="2"/>
  <c r="Y289" i="2"/>
  <c r="X289" i="2"/>
  <c r="W289" i="2"/>
  <c r="V287" i="3" s="1"/>
  <c r="V287" i="4" s="1"/>
  <c r="V289" i="2"/>
  <c r="U287" i="3" s="1"/>
  <c r="U287" i="4" s="1"/>
  <c r="U289" i="2"/>
  <c r="T289" i="2"/>
  <c r="S289" i="2"/>
  <c r="R289" i="2"/>
  <c r="Q289" i="2"/>
  <c r="P289" i="2"/>
  <c r="O289" i="2"/>
  <c r="N289" i="2"/>
  <c r="M289" i="2"/>
  <c r="L289" i="2"/>
  <c r="K289" i="2"/>
  <c r="J287" i="3" s="1"/>
  <c r="J287" i="4" s="1"/>
  <c r="J289" i="2"/>
  <c r="I287" i="3" s="1"/>
  <c r="I287" i="4" s="1"/>
  <c r="I289" i="2"/>
  <c r="H289" i="2"/>
  <c r="G289" i="2"/>
  <c r="F289" i="2"/>
  <c r="E289" i="2"/>
  <c r="D289" i="2"/>
  <c r="C289" i="2"/>
  <c r="B289" i="2"/>
  <c r="A289" i="2"/>
  <c r="AG288" i="2"/>
  <c r="AF288" i="2"/>
  <c r="AE286" i="3" s="1"/>
  <c r="AE286" i="4" s="1"/>
  <c r="AE288" i="2"/>
  <c r="AD286" i="3" s="1"/>
  <c r="AD286" i="4" s="1"/>
  <c r="AD288" i="2"/>
  <c r="AC288" i="2"/>
  <c r="AB288" i="2"/>
  <c r="AA288" i="2"/>
  <c r="Z288" i="2"/>
  <c r="Y288" i="2"/>
  <c r="X288" i="2"/>
  <c r="W288" i="2"/>
  <c r="V288" i="2"/>
  <c r="U288" i="2"/>
  <c r="T288" i="2"/>
  <c r="S286" i="3" s="1"/>
  <c r="S286" i="4" s="1"/>
  <c r="S288" i="2"/>
  <c r="R286" i="3" s="1"/>
  <c r="R286" i="4" s="1"/>
  <c r="R288" i="2"/>
  <c r="Q288" i="2"/>
  <c r="P288" i="2"/>
  <c r="O288" i="2"/>
  <c r="N288" i="2"/>
  <c r="M288" i="2"/>
  <c r="L288" i="2"/>
  <c r="K288" i="2"/>
  <c r="J288" i="2"/>
  <c r="I288" i="2"/>
  <c r="H288" i="2"/>
  <c r="G286" i="3" s="1"/>
  <c r="G286" i="4" s="1"/>
  <c r="G288" i="2"/>
  <c r="F286" i="3" s="1"/>
  <c r="F286" i="4" s="1"/>
  <c r="F288" i="2"/>
  <c r="E288" i="2"/>
  <c r="D288" i="2"/>
  <c r="C288" i="2"/>
  <c r="B288" i="2"/>
  <c r="A288" i="2"/>
  <c r="AG287" i="2"/>
  <c r="AF287" i="2"/>
  <c r="AE287" i="2"/>
  <c r="AD287" i="2"/>
  <c r="AC287" i="2"/>
  <c r="AB285" i="3" s="1"/>
  <c r="AB285" i="4" s="1"/>
  <c r="AB287" i="2"/>
  <c r="AA285" i="3" s="1"/>
  <c r="AA285" i="4" s="1"/>
  <c r="AA287" i="2"/>
  <c r="Z287" i="2"/>
  <c r="Y287" i="2"/>
  <c r="X287" i="2"/>
  <c r="W287" i="2"/>
  <c r="V287" i="2"/>
  <c r="U287" i="2"/>
  <c r="T287" i="2"/>
  <c r="S287" i="2"/>
  <c r="R287" i="2"/>
  <c r="Q287" i="2"/>
  <c r="P285" i="3" s="1"/>
  <c r="P285" i="4" s="1"/>
  <c r="P287" i="2"/>
  <c r="O285" i="3" s="1"/>
  <c r="O285" i="4" s="1"/>
  <c r="O287" i="2"/>
  <c r="N287" i="2"/>
  <c r="M287" i="2"/>
  <c r="L287" i="2"/>
  <c r="K287" i="2"/>
  <c r="J287" i="2"/>
  <c r="I287" i="2"/>
  <c r="H287" i="2"/>
  <c r="G287" i="2"/>
  <c r="F287" i="2"/>
  <c r="E287" i="2"/>
  <c r="D285" i="3" s="1"/>
  <c r="D285" i="4" s="1"/>
  <c r="D287" i="2"/>
  <c r="C285" i="3" s="1"/>
  <c r="C285" i="4" s="1"/>
  <c r="C287" i="2"/>
  <c r="B287" i="2"/>
  <c r="A287" i="2"/>
  <c r="AG286" i="2"/>
  <c r="AF286" i="2"/>
  <c r="AE286" i="2"/>
  <c r="AD286" i="2"/>
  <c r="AC286" i="2"/>
  <c r="AB286" i="2"/>
  <c r="AA286" i="2"/>
  <c r="Z286" i="2"/>
  <c r="Y284" i="3" s="1"/>
  <c r="Y284" i="4" s="1"/>
  <c r="Y286" i="2"/>
  <c r="X284" i="3" s="1"/>
  <c r="X284" i="4" s="1"/>
  <c r="X286" i="2"/>
  <c r="W286" i="2"/>
  <c r="V286" i="2"/>
  <c r="U286" i="2"/>
  <c r="T286" i="2"/>
  <c r="S286" i="2"/>
  <c r="R286" i="2"/>
  <c r="Q286" i="2"/>
  <c r="P286" i="2"/>
  <c r="O286" i="2"/>
  <c r="N286" i="2"/>
  <c r="M284" i="3" s="1"/>
  <c r="M284" i="4" s="1"/>
  <c r="M286" i="2"/>
  <c r="L284" i="3" s="1"/>
  <c r="L284" i="4" s="1"/>
  <c r="L286" i="2"/>
  <c r="K286" i="2"/>
  <c r="J286" i="2"/>
  <c r="I286" i="2"/>
  <c r="H286" i="2"/>
  <c r="G286" i="2"/>
  <c r="F286" i="2"/>
  <c r="E286" i="2"/>
  <c r="D286" i="2"/>
  <c r="C286" i="2"/>
  <c r="B286" i="2"/>
  <c r="A284" i="3" s="1"/>
  <c r="A284" i="4" s="1"/>
  <c r="A286" i="2"/>
  <c r="AG285" i="2"/>
  <c r="AF285" i="2"/>
  <c r="AE285" i="2"/>
  <c r="AD285" i="2"/>
  <c r="AC285" i="2"/>
  <c r="AB285" i="2"/>
  <c r="AA285" i="2"/>
  <c r="Z285" i="2"/>
  <c r="Y285" i="2"/>
  <c r="X285" i="2"/>
  <c r="W285" i="2"/>
  <c r="V283" i="3" s="1"/>
  <c r="V283" i="4" s="1"/>
  <c r="V285" i="2"/>
  <c r="U283" i="3" s="1"/>
  <c r="U283" i="4" s="1"/>
  <c r="U285" i="2"/>
  <c r="T285" i="2"/>
  <c r="S285" i="2"/>
  <c r="R285" i="2"/>
  <c r="Q285" i="2"/>
  <c r="P285" i="2"/>
  <c r="O285" i="2"/>
  <c r="N285" i="2"/>
  <c r="M285" i="2"/>
  <c r="L285" i="2"/>
  <c r="K285" i="2"/>
  <c r="J283" i="3" s="1"/>
  <c r="J283" i="4" s="1"/>
  <c r="J285" i="2"/>
  <c r="I283" i="3" s="1"/>
  <c r="I283" i="4" s="1"/>
  <c r="I285" i="2"/>
  <c r="H285" i="2"/>
  <c r="G285" i="2"/>
  <c r="F285" i="2"/>
  <c r="E285" i="2"/>
  <c r="D285" i="2"/>
  <c r="C285" i="2"/>
  <c r="B285" i="2"/>
  <c r="A285" i="2"/>
  <c r="AG284" i="2"/>
  <c r="AF284" i="2"/>
  <c r="AE282" i="3" s="1"/>
  <c r="AE282" i="4" s="1"/>
  <c r="AE284" i="2"/>
  <c r="AD282" i="3" s="1"/>
  <c r="AD282" i="4" s="1"/>
  <c r="AD284" i="2"/>
  <c r="AC284" i="2"/>
  <c r="AB284" i="2"/>
  <c r="AA284" i="2"/>
  <c r="Z284" i="2"/>
  <c r="Y284" i="2"/>
  <c r="X284" i="2"/>
  <c r="W284" i="2"/>
  <c r="V284" i="2"/>
  <c r="U284" i="2"/>
  <c r="T284" i="2"/>
  <c r="S282" i="3" s="1"/>
  <c r="S282" i="4" s="1"/>
  <c r="S284" i="2"/>
  <c r="R282" i="3" s="1"/>
  <c r="R282" i="4" s="1"/>
  <c r="R284" i="2"/>
  <c r="Q284" i="2"/>
  <c r="P284" i="2"/>
  <c r="O284" i="2"/>
  <c r="N284" i="2"/>
  <c r="M284" i="2"/>
  <c r="L284" i="2"/>
  <c r="K284" i="2"/>
  <c r="J284" i="2"/>
  <c r="I284" i="2"/>
  <c r="H284" i="2"/>
  <c r="G282" i="3" s="1"/>
  <c r="G282" i="4" s="1"/>
  <c r="G284" i="2"/>
  <c r="F282" i="3" s="1"/>
  <c r="F282" i="4" s="1"/>
  <c r="F284" i="2"/>
  <c r="E284" i="2"/>
  <c r="D284" i="2"/>
  <c r="C284" i="2"/>
  <c r="B284" i="2"/>
  <c r="A284" i="2"/>
  <c r="AG283" i="2"/>
  <c r="AF283" i="2"/>
  <c r="AE283" i="2"/>
  <c r="AD283" i="2"/>
  <c r="AC283" i="2"/>
  <c r="AB281" i="3" s="1"/>
  <c r="AB281" i="4" s="1"/>
  <c r="AB283" i="2"/>
  <c r="AA281" i="3" s="1"/>
  <c r="AA281" i="4" s="1"/>
  <c r="AA283" i="2"/>
  <c r="Z283" i="2"/>
  <c r="Y283" i="2"/>
  <c r="X283" i="2"/>
  <c r="W283" i="2"/>
  <c r="V283" i="2"/>
  <c r="U283" i="2"/>
  <c r="T283" i="2"/>
  <c r="S283" i="2"/>
  <c r="R283" i="2"/>
  <c r="Q283" i="2"/>
  <c r="P281" i="3" s="1"/>
  <c r="P281" i="4" s="1"/>
  <c r="P283" i="2"/>
  <c r="O281" i="3" s="1"/>
  <c r="O281" i="4" s="1"/>
  <c r="O283" i="2"/>
  <c r="N283" i="2"/>
  <c r="M283" i="2"/>
  <c r="L283" i="2"/>
  <c r="K283" i="2"/>
  <c r="J283" i="2"/>
  <c r="I283" i="2"/>
  <c r="H283" i="2"/>
  <c r="G283" i="2"/>
  <c r="F283" i="2"/>
  <c r="E283" i="2"/>
  <c r="D281" i="3" s="1"/>
  <c r="D281" i="4" s="1"/>
  <c r="D283" i="2"/>
  <c r="C281" i="3" s="1"/>
  <c r="C281" i="4" s="1"/>
  <c r="C283" i="2"/>
  <c r="B283" i="2"/>
  <c r="A283" i="2"/>
  <c r="AG282" i="2"/>
  <c r="AF282" i="2"/>
  <c r="AE282" i="2"/>
  <c r="AD282" i="2"/>
  <c r="AC282" i="2"/>
  <c r="AB282" i="2"/>
  <c r="AA282" i="2"/>
  <c r="Z282" i="2"/>
  <c r="Y280" i="3" s="1"/>
  <c r="Y280" i="4" s="1"/>
  <c r="Y282" i="2"/>
  <c r="X280" i="3" s="1"/>
  <c r="X280" i="4" s="1"/>
  <c r="X282" i="2"/>
  <c r="W282" i="2"/>
  <c r="V282" i="2"/>
  <c r="U282" i="2"/>
  <c r="T282" i="2"/>
  <c r="S282" i="2"/>
  <c r="R282" i="2"/>
  <c r="Q282" i="2"/>
  <c r="P282" i="2"/>
  <c r="O282" i="2"/>
  <c r="N282" i="2"/>
  <c r="M280" i="3" s="1"/>
  <c r="M280" i="4" s="1"/>
  <c r="M282" i="2"/>
  <c r="L280" i="3" s="1"/>
  <c r="L280" i="4" s="1"/>
  <c r="L282" i="2"/>
  <c r="K282" i="2"/>
  <c r="J282" i="2"/>
  <c r="I282" i="2"/>
  <c r="H282" i="2"/>
  <c r="G282" i="2"/>
  <c r="F282" i="2"/>
  <c r="E282" i="2"/>
  <c r="D282" i="2"/>
  <c r="C282" i="2"/>
  <c r="B282" i="2"/>
  <c r="A280" i="3" s="1"/>
  <c r="A280" i="4" s="1"/>
  <c r="A282" i="2"/>
  <c r="AG281" i="2"/>
  <c r="AF281" i="2"/>
  <c r="AE281" i="2"/>
  <c r="AD281" i="2"/>
  <c r="AC281" i="2"/>
  <c r="AB281" i="2"/>
  <c r="AA281" i="2"/>
  <c r="Z281" i="2"/>
  <c r="Y281" i="2"/>
  <c r="X281" i="2"/>
  <c r="W281" i="2"/>
  <c r="V279" i="3" s="1"/>
  <c r="V279" i="4" s="1"/>
  <c r="V281" i="2"/>
  <c r="U279" i="3" s="1"/>
  <c r="U279" i="4" s="1"/>
  <c r="U281" i="2"/>
  <c r="T281" i="2"/>
  <c r="S281" i="2"/>
  <c r="R281" i="2"/>
  <c r="Q281" i="2"/>
  <c r="P281" i="2"/>
  <c r="O281" i="2"/>
  <c r="N281" i="2"/>
  <c r="M281" i="2"/>
  <c r="L281" i="2"/>
  <c r="K281" i="2"/>
  <c r="J279" i="3" s="1"/>
  <c r="J279" i="4" s="1"/>
  <c r="J281" i="2"/>
  <c r="I279" i="3" s="1"/>
  <c r="I279" i="4" s="1"/>
  <c r="I281" i="2"/>
  <c r="H281" i="2"/>
  <c r="G281" i="2"/>
  <c r="F281" i="2"/>
  <c r="E281" i="2"/>
  <c r="D281" i="2"/>
  <c r="C281" i="2"/>
  <c r="B281" i="2"/>
  <c r="A281" i="2"/>
  <c r="AG280" i="2"/>
  <c r="AF280" i="2"/>
  <c r="AE278" i="3" s="1"/>
  <c r="AE278" i="4" s="1"/>
  <c r="AE280" i="2"/>
  <c r="AD278" i="3" s="1"/>
  <c r="AD278" i="4" s="1"/>
  <c r="AD280" i="2"/>
  <c r="AC280" i="2"/>
  <c r="AB280" i="2"/>
  <c r="AA280" i="2"/>
  <c r="Z280" i="2"/>
  <c r="Y280" i="2"/>
  <c r="X280" i="2"/>
  <c r="W280" i="2"/>
  <c r="V280" i="2"/>
  <c r="U280" i="2"/>
  <c r="T280" i="2"/>
  <c r="S278" i="3" s="1"/>
  <c r="S278" i="4" s="1"/>
  <c r="S280" i="2"/>
  <c r="R278" i="3" s="1"/>
  <c r="R278" i="4" s="1"/>
  <c r="R280" i="2"/>
  <c r="Q280" i="2"/>
  <c r="P280" i="2"/>
  <c r="O280" i="2"/>
  <c r="N280" i="2"/>
  <c r="M280" i="2"/>
  <c r="L280" i="2"/>
  <c r="K280" i="2"/>
  <c r="J280" i="2"/>
  <c r="I280" i="2"/>
  <c r="H280" i="2"/>
  <c r="G278" i="3" s="1"/>
  <c r="G278" i="4" s="1"/>
  <c r="G280" i="2"/>
  <c r="F278" i="3" s="1"/>
  <c r="F278" i="4" s="1"/>
  <c r="F280" i="2"/>
  <c r="E280" i="2"/>
  <c r="D280" i="2"/>
  <c r="C280" i="2"/>
  <c r="B280" i="2"/>
  <c r="A280" i="2"/>
  <c r="AG279" i="2"/>
  <c r="AF279" i="2"/>
  <c r="AE279" i="2"/>
  <c r="AD279" i="2"/>
  <c r="AC279" i="2"/>
  <c r="AB277" i="3" s="1"/>
  <c r="AB277" i="4" s="1"/>
  <c r="AB279" i="2"/>
  <c r="AA277" i="3" s="1"/>
  <c r="AA277" i="4" s="1"/>
  <c r="AA279" i="2"/>
  <c r="Z279" i="2"/>
  <c r="Y279" i="2"/>
  <c r="X279" i="2"/>
  <c r="W279" i="2"/>
  <c r="V279" i="2"/>
  <c r="U279" i="2"/>
  <c r="T279" i="2"/>
  <c r="S279" i="2"/>
  <c r="R279" i="2"/>
  <c r="Q279" i="2"/>
  <c r="P277" i="3" s="1"/>
  <c r="P277" i="4" s="1"/>
  <c r="P279" i="2"/>
  <c r="O277" i="3" s="1"/>
  <c r="O277" i="4" s="1"/>
  <c r="O279" i="2"/>
  <c r="N279" i="2"/>
  <c r="M279" i="2"/>
  <c r="L279" i="2"/>
  <c r="K279" i="2"/>
  <c r="J279" i="2"/>
  <c r="I279" i="2"/>
  <c r="H279" i="2"/>
  <c r="G279" i="2"/>
  <c r="F279" i="2"/>
  <c r="E279" i="2"/>
  <c r="D277" i="3" s="1"/>
  <c r="D277" i="4" s="1"/>
  <c r="D279" i="2"/>
  <c r="C277" i="3" s="1"/>
  <c r="C277" i="4" s="1"/>
  <c r="C279" i="2"/>
  <c r="B279" i="2"/>
  <c r="A279" i="2"/>
  <c r="AG278" i="2"/>
  <c r="AF278" i="2"/>
  <c r="AE278" i="2"/>
  <c r="AD278" i="2"/>
  <c r="AC278" i="2"/>
  <c r="AB278" i="2"/>
  <c r="AA278" i="2"/>
  <c r="Z278" i="2"/>
  <c r="Y276" i="3" s="1"/>
  <c r="Y276" i="4" s="1"/>
  <c r="Y278" i="2"/>
  <c r="X276" i="3" s="1"/>
  <c r="X276" i="4" s="1"/>
  <c r="X278" i="2"/>
  <c r="W278" i="2"/>
  <c r="V278" i="2"/>
  <c r="U278" i="2"/>
  <c r="T278" i="2"/>
  <c r="S278" i="2"/>
  <c r="R278" i="2"/>
  <c r="Q278" i="2"/>
  <c r="P278" i="2"/>
  <c r="O278" i="2"/>
  <c r="N278" i="2"/>
  <c r="M276" i="3" s="1"/>
  <c r="M276" i="4" s="1"/>
  <c r="M278" i="2"/>
  <c r="L276" i="3" s="1"/>
  <c r="L276" i="4" s="1"/>
  <c r="L278" i="2"/>
  <c r="K278" i="2"/>
  <c r="J278" i="2"/>
  <c r="I278" i="2"/>
  <c r="H278" i="2"/>
  <c r="G278" i="2"/>
  <c r="F278" i="2"/>
  <c r="E278" i="2"/>
  <c r="D278" i="2"/>
  <c r="C278" i="2"/>
  <c r="B278" i="2"/>
  <c r="A276" i="3" s="1"/>
  <c r="A276" i="4" s="1"/>
  <c r="A278" i="2"/>
  <c r="AG277" i="2"/>
  <c r="AF277" i="2"/>
  <c r="AE277" i="2"/>
  <c r="AD277" i="2"/>
  <c r="AC277" i="2"/>
  <c r="AB277" i="2"/>
  <c r="AA277" i="2"/>
  <c r="Z277" i="2"/>
  <c r="Y277" i="2"/>
  <c r="X277" i="2"/>
  <c r="W277" i="2"/>
  <c r="V275" i="3" s="1"/>
  <c r="V275" i="4" s="1"/>
  <c r="V277" i="2"/>
  <c r="U275" i="3" s="1"/>
  <c r="U275" i="4" s="1"/>
  <c r="U277" i="2"/>
  <c r="T277" i="2"/>
  <c r="S277" i="2"/>
  <c r="R277" i="2"/>
  <c r="Q277" i="2"/>
  <c r="P277" i="2"/>
  <c r="O277" i="2"/>
  <c r="N277" i="2"/>
  <c r="M277" i="2"/>
  <c r="L277" i="2"/>
  <c r="K277" i="2"/>
  <c r="J275" i="3" s="1"/>
  <c r="J275" i="4" s="1"/>
  <c r="J277" i="2"/>
  <c r="I275" i="3" s="1"/>
  <c r="I275" i="4" s="1"/>
  <c r="I277" i="2"/>
  <c r="H277" i="2"/>
  <c r="G277" i="2"/>
  <c r="F277" i="2"/>
  <c r="E277" i="2"/>
  <c r="D277" i="2"/>
  <c r="C277" i="2"/>
  <c r="B277" i="2"/>
  <c r="A277" i="2"/>
  <c r="AG276" i="2"/>
  <c r="AF276" i="2"/>
  <c r="AE276" i="2"/>
  <c r="AD274" i="3" s="1"/>
  <c r="AD274" i="4" s="1"/>
  <c r="AD276" i="2"/>
  <c r="AC276" i="2"/>
  <c r="AB276" i="2"/>
  <c r="AA276" i="2"/>
  <c r="Z276" i="2"/>
  <c r="Y276" i="2"/>
  <c r="X276" i="2"/>
  <c r="W276" i="2"/>
  <c r="V276" i="2"/>
  <c r="U276" i="2"/>
  <c r="T276" i="2"/>
  <c r="S274" i="3" s="1"/>
  <c r="S274" i="4" s="1"/>
  <c r="S276" i="2"/>
  <c r="R274" i="3" s="1"/>
  <c r="R274" i="4" s="1"/>
  <c r="R276" i="2"/>
  <c r="Q276" i="2"/>
  <c r="P276" i="2"/>
  <c r="O276" i="2"/>
  <c r="N276" i="2"/>
  <c r="M276" i="2"/>
  <c r="L276" i="2"/>
  <c r="K276" i="2"/>
  <c r="J276" i="2"/>
  <c r="I276" i="2"/>
  <c r="H276" i="2"/>
  <c r="G274" i="3" s="1"/>
  <c r="G274" i="4" s="1"/>
  <c r="G276" i="2"/>
  <c r="F274" i="3" s="1"/>
  <c r="F274" i="4" s="1"/>
  <c r="F276" i="2"/>
  <c r="E276" i="2"/>
  <c r="D276" i="2"/>
  <c r="C276" i="2"/>
  <c r="B276" i="2"/>
  <c r="A276" i="2"/>
  <c r="AG275" i="2"/>
  <c r="AF275" i="2"/>
  <c r="AE275" i="2"/>
  <c r="AD275" i="2"/>
  <c r="AC275" i="2"/>
  <c r="AB273" i="3" s="1"/>
  <c r="AB273" i="4" s="1"/>
  <c r="AB275" i="2"/>
  <c r="AA273" i="3" s="1"/>
  <c r="AA273" i="4" s="1"/>
  <c r="AA275" i="2"/>
  <c r="Z275" i="2"/>
  <c r="Y275" i="2"/>
  <c r="X275" i="2"/>
  <c r="W275" i="2"/>
  <c r="V275" i="2"/>
  <c r="U275" i="2"/>
  <c r="T275" i="2"/>
  <c r="S275" i="2"/>
  <c r="R275" i="2"/>
  <c r="Q275" i="2"/>
  <c r="P273" i="3" s="1"/>
  <c r="P273" i="4" s="1"/>
  <c r="P275" i="2"/>
  <c r="O273" i="3" s="1"/>
  <c r="O273" i="4" s="1"/>
  <c r="O275" i="2"/>
  <c r="N275" i="2"/>
  <c r="M275" i="2"/>
  <c r="L275" i="2"/>
  <c r="K275" i="2"/>
  <c r="J275" i="2"/>
  <c r="I275" i="2"/>
  <c r="H275" i="2"/>
  <c r="G275" i="2"/>
  <c r="F275" i="2"/>
  <c r="E275" i="2"/>
  <c r="D273" i="3" s="1"/>
  <c r="D273" i="4" s="1"/>
  <c r="D275" i="2"/>
  <c r="C273" i="3" s="1"/>
  <c r="C273" i="4" s="1"/>
  <c r="C275" i="2"/>
  <c r="B275" i="2"/>
  <c r="A275" i="2"/>
  <c r="AG274" i="2"/>
  <c r="AF274" i="2"/>
  <c r="AE274" i="2"/>
  <c r="AD274" i="2"/>
  <c r="AC274" i="2"/>
  <c r="AB274" i="2"/>
  <c r="AA274" i="2"/>
  <c r="Z274" i="2"/>
  <c r="Y272" i="3" s="1"/>
  <c r="Y272" i="4" s="1"/>
  <c r="Y274" i="2"/>
  <c r="X272" i="3" s="1"/>
  <c r="X272" i="4" s="1"/>
  <c r="X274" i="2"/>
  <c r="W274" i="2"/>
  <c r="V274" i="2"/>
  <c r="U274" i="2"/>
  <c r="T274" i="2"/>
  <c r="S274" i="2"/>
  <c r="R274" i="2"/>
  <c r="Q274" i="2"/>
  <c r="P274" i="2"/>
  <c r="O274" i="2"/>
  <c r="N274" i="2"/>
  <c r="M272" i="3" s="1"/>
  <c r="M272" i="4" s="1"/>
  <c r="M274" i="2"/>
  <c r="L272" i="3" s="1"/>
  <c r="L272" i="4" s="1"/>
  <c r="L274" i="2"/>
  <c r="K274" i="2"/>
  <c r="J274" i="2"/>
  <c r="I274" i="2"/>
  <c r="H274" i="2"/>
  <c r="G274" i="2"/>
  <c r="F274" i="2"/>
  <c r="E274" i="2"/>
  <c r="D274" i="2"/>
  <c r="C274" i="2"/>
  <c r="B274" i="2"/>
  <c r="A272" i="3" s="1"/>
  <c r="A272" i="4" s="1"/>
  <c r="A274" i="2"/>
  <c r="AG273" i="2"/>
  <c r="AF273" i="2"/>
  <c r="AE273" i="2"/>
  <c r="AD273" i="2"/>
  <c r="AC273" i="2"/>
  <c r="AB273" i="2"/>
  <c r="AA273" i="2"/>
  <c r="Z273" i="2"/>
  <c r="Y273" i="2"/>
  <c r="X273" i="2"/>
  <c r="W273" i="2"/>
  <c r="V271" i="3" s="1"/>
  <c r="V271" i="4" s="1"/>
  <c r="V273" i="2"/>
  <c r="U271" i="3" s="1"/>
  <c r="U271" i="4" s="1"/>
  <c r="U273" i="2"/>
  <c r="T273" i="2"/>
  <c r="S273" i="2"/>
  <c r="R273" i="2"/>
  <c r="Q273" i="2"/>
  <c r="P273" i="2"/>
  <c r="O273" i="2"/>
  <c r="N273" i="2"/>
  <c r="M273" i="2"/>
  <c r="L273" i="2"/>
  <c r="K273" i="2"/>
  <c r="J271" i="3" s="1"/>
  <c r="J271" i="4" s="1"/>
  <c r="J273" i="2"/>
  <c r="I271" i="3" s="1"/>
  <c r="I271" i="4" s="1"/>
  <c r="I273" i="2"/>
  <c r="H273" i="2"/>
  <c r="G273" i="2"/>
  <c r="F273" i="2"/>
  <c r="E273" i="2"/>
  <c r="D273" i="2"/>
  <c r="C273" i="2"/>
  <c r="B273" i="2"/>
  <c r="A273" i="2"/>
  <c r="AG272" i="2"/>
  <c r="AF272" i="2"/>
  <c r="AE272" i="2"/>
  <c r="AD270" i="3" s="1"/>
  <c r="AD270" i="4" s="1"/>
  <c r="AD272" i="2"/>
  <c r="AC272" i="2"/>
  <c r="AB272" i="2"/>
  <c r="AA272" i="2"/>
  <c r="Z272" i="2"/>
  <c r="Y272" i="2"/>
  <c r="X272" i="2"/>
  <c r="W272" i="2"/>
  <c r="V272" i="2"/>
  <c r="U272" i="2"/>
  <c r="T272" i="2"/>
  <c r="S270" i="3" s="1"/>
  <c r="S270" i="4" s="1"/>
  <c r="S272" i="2"/>
  <c r="R270" i="3" s="1"/>
  <c r="R270" i="4" s="1"/>
  <c r="R272" i="2"/>
  <c r="Q272" i="2"/>
  <c r="P272" i="2"/>
  <c r="O272" i="2"/>
  <c r="N272" i="2"/>
  <c r="M272" i="2"/>
  <c r="L272" i="2"/>
  <c r="K272" i="2"/>
  <c r="J272" i="2"/>
  <c r="I272" i="2"/>
  <c r="H272" i="2"/>
  <c r="G270" i="3" s="1"/>
  <c r="G270" i="4" s="1"/>
  <c r="G272" i="2"/>
  <c r="F270" i="3" s="1"/>
  <c r="F270" i="4" s="1"/>
  <c r="F272" i="2"/>
  <c r="E272" i="2"/>
  <c r="D272" i="2"/>
  <c r="C272" i="2"/>
  <c r="B272" i="2"/>
  <c r="A272" i="2"/>
  <c r="AG271" i="2"/>
  <c r="AF271" i="2"/>
  <c r="AE271" i="2"/>
  <c r="AD271" i="2"/>
  <c r="AC271" i="2"/>
  <c r="AB269" i="3" s="1"/>
  <c r="AB269" i="4" s="1"/>
  <c r="AB271" i="2"/>
  <c r="AA269" i="3" s="1"/>
  <c r="AA269" i="4" s="1"/>
  <c r="AA271" i="2"/>
  <c r="Z271" i="2"/>
  <c r="Y271" i="2"/>
  <c r="X271" i="2"/>
  <c r="W271" i="2"/>
  <c r="V271" i="2"/>
  <c r="U271" i="2"/>
  <c r="T271" i="2"/>
  <c r="S271" i="2"/>
  <c r="R271" i="2"/>
  <c r="Q271" i="2"/>
  <c r="P269" i="3" s="1"/>
  <c r="P269" i="4" s="1"/>
  <c r="P271" i="2"/>
  <c r="O269" i="3" s="1"/>
  <c r="O269" i="4" s="1"/>
  <c r="O271" i="2"/>
  <c r="N271" i="2"/>
  <c r="M271" i="2"/>
  <c r="L271" i="2"/>
  <c r="K271" i="2"/>
  <c r="J271" i="2"/>
  <c r="I271" i="2"/>
  <c r="H271" i="2"/>
  <c r="G271" i="2"/>
  <c r="F271" i="2"/>
  <c r="E271" i="2"/>
  <c r="D269" i="3" s="1"/>
  <c r="D269" i="4" s="1"/>
  <c r="D271" i="2"/>
  <c r="C269" i="3" s="1"/>
  <c r="C269" i="4" s="1"/>
  <c r="C271" i="2"/>
  <c r="B271" i="2"/>
  <c r="A271" i="2"/>
  <c r="AG270" i="2"/>
  <c r="AF270" i="2"/>
  <c r="AE270" i="2"/>
  <c r="AD270" i="2"/>
  <c r="AC270" i="2"/>
  <c r="AB270" i="2"/>
  <c r="AA270" i="2"/>
  <c r="Z270" i="2"/>
  <c r="Y268" i="3" s="1"/>
  <c r="Y268" i="4" s="1"/>
  <c r="Y270" i="2"/>
  <c r="X268" i="3" s="1"/>
  <c r="X268" i="4" s="1"/>
  <c r="X270" i="2"/>
  <c r="W270" i="2"/>
  <c r="V270" i="2"/>
  <c r="U270" i="2"/>
  <c r="T270" i="2"/>
  <c r="S270" i="2"/>
  <c r="R270" i="2"/>
  <c r="Q270" i="2"/>
  <c r="P270" i="2"/>
  <c r="O270" i="2"/>
  <c r="N270" i="2"/>
  <c r="M268" i="3" s="1"/>
  <c r="M268" i="4" s="1"/>
  <c r="M270" i="2"/>
  <c r="L268" i="3" s="1"/>
  <c r="L268" i="4" s="1"/>
  <c r="L270" i="2"/>
  <c r="K270" i="2"/>
  <c r="J270" i="2"/>
  <c r="I270" i="2"/>
  <c r="H270" i="2"/>
  <c r="G270" i="2"/>
  <c r="F270" i="2"/>
  <c r="E270" i="2"/>
  <c r="D270" i="2"/>
  <c r="C270" i="2"/>
  <c r="B270" i="2"/>
  <c r="A268" i="3" s="1"/>
  <c r="A268" i="4" s="1"/>
  <c r="A270" i="2"/>
  <c r="AG269" i="2"/>
  <c r="AF269" i="2"/>
  <c r="AE269" i="2"/>
  <c r="AD269" i="2"/>
  <c r="AC269" i="2"/>
  <c r="AB269" i="2"/>
  <c r="AA269" i="2"/>
  <c r="Z269" i="2"/>
  <c r="Y269" i="2"/>
  <c r="X269" i="2"/>
  <c r="W269" i="2"/>
  <c r="V267" i="3" s="1"/>
  <c r="V267" i="4" s="1"/>
  <c r="V269" i="2"/>
  <c r="U267" i="3" s="1"/>
  <c r="U267" i="4" s="1"/>
  <c r="U269" i="2"/>
  <c r="T269" i="2"/>
  <c r="S269" i="2"/>
  <c r="R269" i="2"/>
  <c r="Q269" i="2"/>
  <c r="P269" i="2"/>
  <c r="O269" i="2"/>
  <c r="N269" i="2"/>
  <c r="M269" i="2"/>
  <c r="L269" i="2"/>
  <c r="K269" i="2"/>
  <c r="J267" i="3" s="1"/>
  <c r="J267" i="4" s="1"/>
  <c r="J269" i="2"/>
  <c r="I267" i="3" s="1"/>
  <c r="I267" i="4" s="1"/>
  <c r="I269" i="2"/>
  <c r="H269" i="2"/>
  <c r="G269" i="2"/>
  <c r="F269" i="2"/>
  <c r="E269" i="2"/>
  <c r="D269" i="2"/>
  <c r="C269" i="2"/>
  <c r="B269" i="2"/>
  <c r="A269" i="2"/>
  <c r="AG268" i="2"/>
  <c r="AF268" i="2"/>
  <c r="AE268" i="2"/>
  <c r="AD266" i="3" s="1"/>
  <c r="AD266" i="4" s="1"/>
  <c r="AD268" i="2"/>
  <c r="AC268" i="2"/>
  <c r="AB268" i="2"/>
  <c r="AA268" i="2"/>
  <c r="Z268" i="2"/>
  <c r="Y268" i="2"/>
  <c r="X268" i="2"/>
  <c r="W268" i="2"/>
  <c r="V268" i="2"/>
  <c r="U268" i="2"/>
  <c r="T268" i="2"/>
  <c r="S266" i="3" s="1"/>
  <c r="S266" i="4" s="1"/>
  <c r="S268" i="2"/>
  <c r="R266" i="3" s="1"/>
  <c r="R266" i="4" s="1"/>
  <c r="R268" i="2"/>
  <c r="Q268" i="2"/>
  <c r="P268" i="2"/>
  <c r="O268" i="2"/>
  <c r="N268" i="2"/>
  <c r="M268" i="2"/>
  <c r="L268" i="2"/>
  <c r="K268" i="2"/>
  <c r="J268" i="2"/>
  <c r="I268" i="2"/>
  <c r="H268" i="2"/>
  <c r="G266" i="3" s="1"/>
  <c r="G266" i="4" s="1"/>
  <c r="G268" i="2"/>
  <c r="F266" i="3" s="1"/>
  <c r="F266" i="4" s="1"/>
  <c r="F268" i="2"/>
  <c r="E268" i="2"/>
  <c r="D268" i="2"/>
  <c r="C268" i="2"/>
  <c r="B268" i="2"/>
  <c r="A268" i="2"/>
  <c r="AG267" i="2"/>
  <c r="AF267" i="2"/>
  <c r="AE267" i="2"/>
  <c r="AD267" i="2"/>
  <c r="AC267" i="2"/>
  <c r="AB265" i="3" s="1"/>
  <c r="AB265" i="4" s="1"/>
  <c r="AB267" i="2"/>
  <c r="AA265" i="3" s="1"/>
  <c r="AA265" i="4" s="1"/>
  <c r="AA267" i="2"/>
  <c r="Z267" i="2"/>
  <c r="Y267" i="2"/>
  <c r="X267" i="2"/>
  <c r="W267" i="2"/>
  <c r="V267" i="2"/>
  <c r="U267" i="2"/>
  <c r="T267" i="2"/>
  <c r="S267" i="2"/>
  <c r="R267" i="2"/>
  <c r="Q267" i="2"/>
  <c r="P265" i="3" s="1"/>
  <c r="P265" i="4" s="1"/>
  <c r="P267" i="2"/>
  <c r="O265" i="3" s="1"/>
  <c r="O265" i="4" s="1"/>
  <c r="O267" i="2"/>
  <c r="N267" i="2"/>
  <c r="M267" i="2"/>
  <c r="L267" i="2"/>
  <c r="K267" i="2"/>
  <c r="J267" i="2"/>
  <c r="I267" i="2"/>
  <c r="H267" i="2"/>
  <c r="G267" i="2"/>
  <c r="F267" i="2"/>
  <c r="E267" i="2"/>
  <c r="D265" i="3" s="1"/>
  <c r="D265" i="4" s="1"/>
  <c r="D267" i="2"/>
  <c r="C265" i="3" s="1"/>
  <c r="C265" i="4" s="1"/>
  <c r="C267" i="2"/>
  <c r="B267" i="2"/>
  <c r="A267" i="2"/>
  <c r="AG266" i="2"/>
  <c r="AF266" i="2"/>
  <c r="AE266" i="2"/>
  <c r="AD266" i="2"/>
  <c r="AC266" i="2"/>
  <c r="AB266" i="2"/>
  <c r="AA266" i="2"/>
  <c r="Z266" i="2"/>
  <c r="Y264" i="3" s="1"/>
  <c r="Y264" i="4" s="1"/>
  <c r="Y266" i="2"/>
  <c r="X264" i="3" s="1"/>
  <c r="X264" i="4" s="1"/>
  <c r="X266" i="2"/>
  <c r="W266" i="2"/>
  <c r="V266" i="2"/>
  <c r="U266" i="2"/>
  <c r="T266" i="2"/>
  <c r="S266" i="2"/>
  <c r="R266" i="2"/>
  <c r="Q266" i="2"/>
  <c r="P266" i="2"/>
  <c r="O266" i="2"/>
  <c r="N266" i="2"/>
  <c r="M264" i="3" s="1"/>
  <c r="M264" i="4" s="1"/>
  <c r="M266" i="2"/>
  <c r="L264" i="3" s="1"/>
  <c r="L264" i="4" s="1"/>
  <c r="L266" i="2"/>
  <c r="K266" i="2"/>
  <c r="J266" i="2"/>
  <c r="I266" i="2"/>
  <c r="H266" i="2"/>
  <c r="G266" i="2"/>
  <c r="F266" i="2"/>
  <c r="E266" i="2"/>
  <c r="D266" i="2"/>
  <c r="C266" i="2"/>
  <c r="B266" i="2"/>
  <c r="A264" i="3" s="1"/>
  <c r="A264" i="4" s="1"/>
  <c r="A266" i="2"/>
  <c r="AG265" i="2"/>
  <c r="AF265" i="2"/>
  <c r="AE265" i="2"/>
  <c r="AD265" i="2"/>
  <c r="AC265" i="2"/>
  <c r="AB265" i="2"/>
  <c r="AA265" i="2"/>
  <c r="Z265" i="2"/>
  <c r="Y265" i="2"/>
  <c r="X265" i="2"/>
  <c r="W265" i="2"/>
  <c r="V263" i="3" s="1"/>
  <c r="V263" i="4" s="1"/>
  <c r="V265" i="2"/>
  <c r="U263" i="3" s="1"/>
  <c r="U263" i="4" s="1"/>
  <c r="U265" i="2"/>
  <c r="T265" i="2"/>
  <c r="S265" i="2"/>
  <c r="R265" i="2"/>
  <c r="Q265" i="2"/>
  <c r="P265" i="2"/>
  <c r="O265" i="2"/>
  <c r="N265" i="2"/>
  <c r="M265" i="2"/>
  <c r="L265" i="2"/>
  <c r="K265" i="2"/>
  <c r="J263" i="3" s="1"/>
  <c r="J263" i="4" s="1"/>
  <c r="J265" i="2"/>
  <c r="I263" i="3" s="1"/>
  <c r="I263" i="4" s="1"/>
  <c r="I265" i="2"/>
  <c r="H265" i="2"/>
  <c r="G265" i="2"/>
  <c r="F265" i="2"/>
  <c r="E265" i="2"/>
  <c r="D265" i="2"/>
  <c r="C265" i="2"/>
  <c r="B265" i="2"/>
  <c r="A265" i="2"/>
  <c r="AG264" i="2"/>
  <c r="AF264" i="2"/>
  <c r="AE262" i="3" s="1"/>
  <c r="AE262" i="4" s="1"/>
  <c r="AE264" i="2"/>
  <c r="AD262" i="3" s="1"/>
  <c r="AD262" i="4" s="1"/>
  <c r="AD264" i="2"/>
  <c r="AC264" i="2"/>
  <c r="AB264" i="2"/>
  <c r="AA264" i="2"/>
  <c r="Z264" i="2"/>
  <c r="Y264" i="2"/>
  <c r="X264" i="2"/>
  <c r="W264" i="2"/>
  <c r="V264" i="2"/>
  <c r="U264" i="2"/>
  <c r="T264" i="2"/>
  <c r="S262" i="3" s="1"/>
  <c r="S262" i="4" s="1"/>
  <c r="S264" i="2"/>
  <c r="R262" i="3" s="1"/>
  <c r="R262" i="4" s="1"/>
  <c r="R264" i="2"/>
  <c r="Q264" i="2"/>
  <c r="P264" i="2"/>
  <c r="O264" i="2"/>
  <c r="N264" i="2"/>
  <c r="M264" i="2"/>
  <c r="L264" i="2"/>
  <c r="K264" i="2"/>
  <c r="J264" i="2"/>
  <c r="I264" i="2"/>
  <c r="H264" i="2"/>
  <c r="G262" i="3" s="1"/>
  <c r="G262" i="4" s="1"/>
  <c r="G264" i="2"/>
  <c r="F262" i="3" s="1"/>
  <c r="F262" i="4" s="1"/>
  <c r="F264" i="2"/>
  <c r="E264" i="2"/>
  <c r="D264" i="2"/>
  <c r="C264" i="2"/>
  <c r="B264" i="2"/>
  <c r="A264" i="2"/>
  <c r="AG263" i="2"/>
  <c r="AF263" i="2"/>
  <c r="AE263" i="2"/>
  <c r="AD263" i="2"/>
  <c r="AC263" i="2"/>
  <c r="AB261" i="3" s="1"/>
  <c r="AB261" i="4" s="1"/>
  <c r="AB263" i="2"/>
  <c r="AA261" i="3" s="1"/>
  <c r="AA261" i="4" s="1"/>
  <c r="AA263" i="2"/>
  <c r="Z263" i="2"/>
  <c r="Y263" i="2"/>
  <c r="X263" i="2"/>
  <c r="W263" i="2"/>
  <c r="V263" i="2"/>
  <c r="U263" i="2"/>
  <c r="T263" i="2"/>
  <c r="S263" i="2"/>
  <c r="R263" i="2"/>
  <c r="Q263" i="2"/>
  <c r="P261" i="3" s="1"/>
  <c r="P261" i="4" s="1"/>
  <c r="P263" i="2"/>
  <c r="O261" i="3" s="1"/>
  <c r="O261" i="4" s="1"/>
  <c r="O263" i="2"/>
  <c r="N263" i="2"/>
  <c r="M263" i="2"/>
  <c r="L263" i="2"/>
  <c r="K263" i="2"/>
  <c r="J263" i="2"/>
  <c r="I263" i="2"/>
  <c r="H263" i="2"/>
  <c r="G263" i="2"/>
  <c r="F263" i="2"/>
  <c r="E263" i="2"/>
  <c r="D261" i="3" s="1"/>
  <c r="D261" i="4" s="1"/>
  <c r="D263" i="2"/>
  <c r="C261" i="3" s="1"/>
  <c r="C261" i="4" s="1"/>
  <c r="C263" i="2"/>
  <c r="B263" i="2"/>
  <c r="A263" i="2"/>
  <c r="AG262" i="2"/>
  <c r="AF262" i="2"/>
  <c r="AE262" i="2"/>
  <c r="AD262" i="2"/>
  <c r="AC262" i="2"/>
  <c r="AB262" i="2"/>
  <c r="AA262" i="2"/>
  <c r="Z262" i="2"/>
  <c r="Y260" i="3" s="1"/>
  <c r="Y260" i="4" s="1"/>
  <c r="Y262" i="2"/>
  <c r="X260" i="3" s="1"/>
  <c r="X260" i="4" s="1"/>
  <c r="X262" i="2"/>
  <c r="W262" i="2"/>
  <c r="V262" i="2"/>
  <c r="U262" i="2"/>
  <c r="T262" i="2"/>
  <c r="S262" i="2"/>
  <c r="R262" i="2"/>
  <c r="Q262" i="2"/>
  <c r="P262" i="2"/>
  <c r="O262" i="2"/>
  <c r="N262" i="2"/>
  <c r="M260" i="3" s="1"/>
  <c r="M260" i="4" s="1"/>
  <c r="M262" i="2"/>
  <c r="L260" i="3" s="1"/>
  <c r="L260" i="4" s="1"/>
  <c r="L262" i="2"/>
  <c r="K262" i="2"/>
  <c r="J262" i="2"/>
  <c r="I262" i="2"/>
  <c r="H262" i="2"/>
  <c r="G262" i="2"/>
  <c r="F262" i="2"/>
  <c r="E262" i="2"/>
  <c r="D262" i="2"/>
  <c r="C262" i="2"/>
  <c r="B262" i="2"/>
  <c r="A260" i="3" s="1"/>
  <c r="A260" i="4" s="1"/>
  <c r="A262" i="2"/>
  <c r="AG261" i="2"/>
  <c r="AF261" i="2"/>
  <c r="AE261" i="2"/>
  <c r="AD261" i="2"/>
  <c r="AC261" i="2"/>
  <c r="AB261" i="2"/>
  <c r="AA261" i="2"/>
  <c r="Z261" i="2"/>
  <c r="Y261" i="2"/>
  <c r="X261" i="2"/>
  <c r="W261" i="2"/>
  <c r="V259" i="3" s="1"/>
  <c r="V259" i="4" s="1"/>
  <c r="V261" i="2"/>
  <c r="U259" i="3" s="1"/>
  <c r="U259" i="4" s="1"/>
  <c r="U261" i="2"/>
  <c r="T261" i="2"/>
  <c r="S261" i="2"/>
  <c r="R261" i="2"/>
  <c r="Q261" i="2"/>
  <c r="P261" i="2"/>
  <c r="O261" i="2"/>
  <c r="N261" i="2"/>
  <c r="M261" i="2"/>
  <c r="L261" i="2"/>
  <c r="K261" i="2"/>
  <c r="J259" i="3" s="1"/>
  <c r="J259" i="4" s="1"/>
  <c r="J261" i="2"/>
  <c r="I259" i="3" s="1"/>
  <c r="I259" i="4" s="1"/>
  <c r="I261" i="2"/>
  <c r="H261" i="2"/>
  <c r="G261" i="2"/>
  <c r="F261" i="2"/>
  <c r="E261" i="2"/>
  <c r="D261" i="2"/>
  <c r="C261" i="2"/>
  <c r="B261" i="2"/>
  <c r="A261" i="2"/>
  <c r="AG260" i="2"/>
  <c r="AF260" i="2"/>
  <c r="AE258" i="3" s="1"/>
  <c r="AE258" i="4" s="1"/>
  <c r="AE260" i="2"/>
  <c r="AD258" i="3" s="1"/>
  <c r="AD258" i="4" s="1"/>
  <c r="AD260" i="2"/>
  <c r="AC260" i="2"/>
  <c r="AB260" i="2"/>
  <c r="AA260" i="2"/>
  <c r="Z260" i="2"/>
  <c r="Y260" i="2"/>
  <c r="X260" i="2"/>
  <c r="W260" i="2"/>
  <c r="V260" i="2"/>
  <c r="U260" i="2"/>
  <c r="T260" i="2"/>
  <c r="S258" i="3" s="1"/>
  <c r="S258" i="4" s="1"/>
  <c r="S260" i="2"/>
  <c r="R258" i="3" s="1"/>
  <c r="R258" i="4" s="1"/>
  <c r="R260" i="2"/>
  <c r="Q260" i="2"/>
  <c r="P260" i="2"/>
  <c r="O260" i="2"/>
  <c r="N260" i="2"/>
  <c r="M260" i="2"/>
  <c r="L260" i="2"/>
  <c r="K260" i="2"/>
  <c r="J260" i="2"/>
  <c r="I260" i="2"/>
  <c r="H260" i="2"/>
  <c r="G258" i="3" s="1"/>
  <c r="G258" i="4" s="1"/>
  <c r="G260" i="2"/>
  <c r="F258" i="3" s="1"/>
  <c r="F258" i="4" s="1"/>
  <c r="F260" i="2"/>
  <c r="E260" i="2"/>
  <c r="D260" i="2"/>
  <c r="C260" i="2"/>
  <c r="B260" i="2"/>
  <c r="A260" i="2"/>
  <c r="AG259" i="2"/>
  <c r="AF259" i="2"/>
  <c r="AE259" i="2"/>
  <c r="AD259" i="2"/>
  <c r="AC259" i="2"/>
  <c r="AB257" i="3" s="1"/>
  <c r="AB257" i="4" s="1"/>
  <c r="AB259" i="2"/>
  <c r="AA257" i="3" s="1"/>
  <c r="AA257" i="4" s="1"/>
  <c r="AA259" i="2"/>
  <c r="Z259" i="2"/>
  <c r="Y259" i="2"/>
  <c r="X259" i="2"/>
  <c r="W259" i="2"/>
  <c r="V259" i="2"/>
  <c r="U259" i="2"/>
  <c r="T259" i="2"/>
  <c r="S259" i="2"/>
  <c r="R259" i="2"/>
  <c r="Q259" i="2"/>
  <c r="P257" i="3" s="1"/>
  <c r="P257" i="4" s="1"/>
  <c r="P259" i="2"/>
  <c r="O257" i="3" s="1"/>
  <c r="O257" i="4" s="1"/>
  <c r="O259" i="2"/>
  <c r="N259" i="2"/>
  <c r="M259" i="2"/>
  <c r="L259" i="2"/>
  <c r="K259" i="2"/>
  <c r="J259" i="2"/>
  <c r="I259" i="2"/>
  <c r="H259" i="2"/>
  <c r="G259" i="2"/>
  <c r="F259" i="2"/>
  <c r="E259" i="2"/>
  <c r="D257" i="3" s="1"/>
  <c r="D257" i="4" s="1"/>
  <c r="D259" i="2"/>
  <c r="C257" i="3" s="1"/>
  <c r="C257" i="4" s="1"/>
  <c r="C259" i="2"/>
  <c r="B259" i="2"/>
  <c r="A259" i="2"/>
  <c r="AG258" i="2"/>
  <c r="AF258" i="2"/>
  <c r="AE258" i="2"/>
  <c r="AD258" i="2"/>
  <c r="AC258" i="2"/>
  <c r="AB258" i="2"/>
  <c r="AA258" i="2"/>
  <c r="Z258" i="2"/>
  <c r="Y256" i="3" s="1"/>
  <c r="Y256" i="4" s="1"/>
  <c r="Y258" i="2"/>
  <c r="X256" i="3" s="1"/>
  <c r="X256" i="4" s="1"/>
  <c r="X258" i="2"/>
  <c r="W258" i="2"/>
  <c r="V258" i="2"/>
  <c r="U258" i="2"/>
  <c r="T258" i="2"/>
  <c r="S258" i="2"/>
  <c r="R258" i="2"/>
  <c r="Q258" i="2"/>
  <c r="P258" i="2"/>
  <c r="O258" i="2"/>
  <c r="N258" i="2"/>
  <c r="M256" i="3" s="1"/>
  <c r="M256" i="4" s="1"/>
  <c r="M258" i="2"/>
  <c r="L256" i="3" s="1"/>
  <c r="L256" i="4" s="1"/>
  <c r="L258" i="2"/>
  <c r="K258" i="2"/>
  <c r="J258" i="2"/>
  <c r="I258" i="2"/>
  <c r="H258" i="2"/>
  <c r="G258" i="2"/>
  <c r="F258" i="2"/>
  <c r="E258" i="2"/>
  <c r="D258" i="2"/>
  <c r="C258" i="2"/>
  <c r="B258" i="2"/>
  <c r="A256" i="3" s="1"/>
  <c r="A256" i="4" s="1"/>
  <c r="A258" i="2"/>
  <c r="AG257" i="2"/>
  <c r="AF257" i="2"/>
  <c r="AE257" i="2"/>
  <c r="AD257" i="2"/>
  <c r="AC257" i="2"/>
  <c r="AB257" i="2"/>
  <c r="AA257" i="2"/>
  <c r="Z257" i="2"/>
  <c r="Y257" i="2"/>
  <c r="X257" i="2"/>
  <c r="W257" i="2"/>
  <c r="V255" i="3" s="1"/>
  <c r="V255" i="4" s="1"/>
  <c r="V257" i="2"/>
  <c r="U255" i="3" s="1"/>
  <c r="U255" i="4" s="1"/>
  <c r="U257" i="2"/>
  <c r="T257" i="2"/>
  <c r="S257" i="2"/>
  <c r="R257" i="2"/>
  <c r="Q257" i="2"/>
  <c r="P257" i="2"/>
  <c r="O257" i="2"/>
  <c r="N257" i="2"/>
  <c r="M257" i="2"/>
  <c r="L257" i="2"/>
  <c r="K257" i="2"/>
  <c r="J255" i="3" s="1"/>
  <c r="J255" i="4" s="1"/>
  <c r="J257" i="2"/>
  <c r="I255" i="3" s="1"/>
  <c r="I255" i="4" s="1"/>
  <c r="I257" i="2"/>
  <c r="H257" i="2"/>
  <c r="G257" i="2"/>
  <c r="F257" i="2"/>
  <c r="E257" i="2"/>
  <c r="D257" i="2"/>
  <c r="C257" i="2"/>
  <c r="B257" i="2"/>
  <c r="A257" i="2"/>
  <c r="AG256" i="2"/>
  <c r="AF256" i="2"/>
  <c r="AE254" i="3" s="1"/>
  <c r="AE254" i="4" s="1"/>
  <c r="AE256" i="2"/>
  <c r="AD254" i="3" s="1"/>
  <c r="AD254" i="4" s="1"/>
  <c r="AD256" i="2"/>
  <c r="AC256" i="2"/>
  <c r="AB256" i="2"/>
  <c r="AA256" i="2"/>
  <c r="Z256" i="2"/>
  <c r="Y256" i="2"/>
  <c r="X256" i="2"/>
  <c r="W256" i="2"/>
  <c r="V256" i="2"/>
  <c r="U256" i="2"/>
  <c r="T256" i="2"/>
  <c r="S254" i="3" s="1"/>
  <c r="S254" i="4" s="1"/>
  <c r="S256" i="2"/>
  <c r="R254" i="3" s="1"/>
  <c r="R254" i="4" s="1"/>
  <c r="R256" i="2"/>
  <c r="Q256" i="2"/>
  <c r="P256" i="2"/>
  <c r="O256" i="2"/>
  <c r="N256" i="2"/>
  <c r="M256" i="2"/>
  <c r="L256" i="2"/>
  <c r="K256" i="2"/>
  <c r="J256" i="2"/>
  <c r="I256" i="2"/>
  <c r="H256" i="2"/>
  <c r="G254" i="3" s="1"/>
  <c r="G254" i="4" s="1"/>
  <c r="G256" i="2"/>
  <c r="F254" i="3" s="1"/>
  <c r="F254" i="4" s="1"/>
  <c r="F256" i="2"/>
  <c r="E256" i="2"/>
  <c r="D256" i="2"/>
  <c r="C256" i="2"/>
  <c r="B256" i="2"/>
  <c r="A256" i="2"/>
  <c r="AG255" i="2"/>
  <c r="AF255" i="2"/>
  <c r="AE255" i="2"/>
  <c r="AD255" i="2"/>
  <c r="AC255" i="2"/>
  <c r="AB253" i="3" s="1"/>
  <c r="AB253" i="4" s="1"/>
  <c r="AB255" i="2"/>
  <c r="AA253" i="3" s="1"/>
  <c r="AA253" i="4" s="1"/>
  <c r="AA255" i="2"/>
  <c r="Z255" i="2"/>
  <c r="Y255" i="2"/>
  <c r="X255" i="2"/>
  <c r="W255" i="2"/>
  <c r="V255" i="2"/>
  <c r="U255" i="2"/>
  <c r="T255" i="2"/>
  <c r="S255" i="2"/>
  <c r="R255" i="2"/>
  <c r="Q255" i="2"/>
  <c r="P253" i="3" s="1"/>
  <c r="P253" i="4" s="1"/>
  <c r="P255" i="2"/>
  <c r="O253" i="3" s="1"/>
  <c r="O253" i="4" s="1"/>
  <c r="O255" i="2"/>
  <c r="N255" i="2"/>
  <c r="M255" i="2"/>
  <c r="L255" i="2"/>
  <c r="K255" i="2"/>
  <c r="J255" i="2"/>
  <c r="I255" i="2"/>
  <c r="H255" i="2"/>
  <c r="G255" i="2"/>
  <c r="F255" i="2"/>
  <c r="E255" i="2"/>
  <c r="D253" i="3" s="1"/>
  <c r="D253" i="4" s="1"/>
  <c r="D255" i="2"/>
  <c r="C253" i="3" s="1"/>
  <c r="C253" i="4" s="1"/>
  <c r="C255" i="2"/>
  <c r="B255" i="2"/>
  <c r="A255" i="2"/>
  <c r="AG254" i="2"/>
  <c r="AF254" i="2"/>
  <c r="AE254" i="2"/>
  <c r="AD254" i="2"/>
  <c r="AC254" i="2"/>
  <c r="AB254" i="2"/>
  <c r="AA254" i="2"/>
  <c r="Z254" i="2"/>
  <c r="Y252" i="3" s="1"/>
  <c r="Y252" i="4" s="1"/>
  <c r="Y254" i="2"/>
  <c r="X252" i="3" s="1"/>
  <c r="X252" i="4" s="1"/>
  <c r="X254" i="2"/>
  <c r="W254" i="2"/>
  <c r="V254" i="2"/>
  <c r="U254" i="2"/>
  <c r="T254" i="2"/>
  <c r="S254" i="2"/>
  <c r="R254" i="2"/>
  <c r="Q254" i="2"/>
  <c r="P254" i="2"/>
  <c r="O254" i="2"/>
  <c r="N254" i="2"/>
  <c r="M252" i="3" s="1"/>
  <c r="M252" i="4" s="1"/>
  <c r="M254" i="2"/>
  <c r="L252" i="3" s="1"/>
  <c r="L252" i="4" s="1"/>
  <c r="L254" i="2"/>
  <c r="K254" i="2"/>
  <c r="J254" i="2"/>
  <c r="I254" i="2"/>
  <c r="H254" i="2"/>
  <c r="G254" i="2"/>
  <c r="F254" i="2"/>
  <c r="E254" i="2"/>
  <c r="D254" i="2"/>
  <c r="C254" i="2"/>
  <c r="B254" i="2"/>
  <c r="A252" i="3" s="1"/>
  <c r="A252" i="4" s="1"/>
  <c r="A254" i="2"/>
  <c r="AG253" i="2"/>
  <c r="AF253" i="2"/>
  <c r="AE253" i="2"/>
  <c r="AD253" i="2"/>
  <c r="AC253" i="2"/>
  <c r="AB253" i="2"/>
  <c r="AA253" i="2"/>
  <c r="Z253" i="2"/>
  <c r="Y253" i="2"/>
  <c r="X253" i="2"/>
  <c r="W253" i="2"/>
  <c r="V251" i="3" s="1"/>
  <c r="V251" i="4" s="1"/>
  <c r="V253" i="2"/>
  <c r="U251" i="3" s="1"/>
  <c r="U251" i="4" s="1"/>
  <c r="U253" i="2"/>
  <c r="T253" i="2"/>
  <c r="S253" i="2"/>
  <c r="R253" i="2"/>
  <c r="Q253" i="2"/>
  <c r="P253" i="2"/>
  <c r="O253" i="2"/>
  <c r="N253" i="2"/>
  <c r="M253" i="2"/>
  <c r="L253" i="2"/>
  <c r="K253" i="2"/>
  <c r="J251" i="3" s="1"/>
  <c r="J251" i="4" s="1"/>
  <c r="J253" i="2"/>
  <c r="I251" i="3" s="1"/>
  <c r="I251" i="4" s="1"/>
  <c r="I253" i="2"/>
  <c r="H253" i="2"/>
  <c r="G253" i="2"/>
  <c r="F253" i="2"/>
  <c r="E253" i="2"/>
  <c r="D253" i="2"/>
  <c r="C253" i="2"/>
  <c r="B253" i="2"/>
  <c r="A253" i="2"/>
  <c r="AG252" i="2"/>
  <c r="AF252" i="2"/>
  <c r="AE250" i="3" s="1"/>
  <c r="AE250" i="4" s="1"/>
  <c r="AE252" i="2"/>
  <c r="AD250" i="3" s="1"/>
  <c r="AD250" i="4" s="1"/>
  <c r="AD252" i="2"/>
  <c r="AC252" i="2"/>
  <c r="AB252" i="2"/>
  <c r="AA252" i="2"/>
  <c r="Z252" i="2"/>
  <c r="Y252" i="2"/>
  <c r="X252" i="2"/>
  <c r="W252" i="2"/>
  <c r="V252" i="2"/>
  <c r="U252" i="2"/>
  <c r="T252" i="2"/>
  <c r="S250" i="3" s="1"/>
  <c r="S250" i="4" s="1"/>
  <c r="S252" i="2"/>
  <c r="R250" i="3" s="1"/>
  <c r="R250" i="4" s="1"/>
  <c r="R252" i="2"/>
  <c r="Q252" i="2"/>
  <c r="P252" i="2"/>
  <c r="O252" i="2"/>
  <c r="N252" i="2"/>
  <c r="M252" i="2"/>
  <c r="L252" i="2"/>
  <c r="K252" i="2"/>
  <c r="J252" i="2"/>
  <c r="I252" i="2"/>
  <c r="H252" i="2"/>
  <c r="G250" i="3" s="1"/>
  <c r="G250" i="4" s="1"/>
  <c r="G252" i="2"/>
  <c r="F250" i="3" s="1"/>
  <c r="F250" i="4" s="1"/>
  <c r="F252" i="2"/>
  <c r="E252" i="2"/>
  <c r="D252" i="2"/>
  <c r="C252" i="2"/>
  <c r="B252" i="2"/>
  <c r="A252" i="2"/>
  <c r="AG251" i="2"/>
  <c r="AF251" i="2"/>
  <c r="AE251" i="2"/>
  <c r="AD251" i="2"/>
  <c r="AC251" i="2"/>
  <c r="AB249" i="3" s="1"/>
  <c r="AB249" i="4" s="1"/>
  <c r="AB251" i="2"/>
  <c r="AA249" i="3" s="1"/>
  <c r="AA249" i="4" s="1"/>
  <c r="AA251" i="2"/>
  <c r="Z251" i="2"/>
  <c r="Y251" i="2"/>
  <c r="X251" i="2"/>
  <c r="W251" i="2"/>
  <c r="V251" i="2"/>
  <c r="U251" i="2"/>
  <c r="T251" i="2"/>
  <c r="S251" i="2"/>
  <c r="R251" i="2"/>
  <c r="Q251" i="2"/>
  <c r="P249" i="3" s="1"/>
  <c r="P249" i="4" s="1"/>
  <c r="P251" i="2"/>
  <c r="O249" i="3" s="1"/>
  <c r="O249" i="4" s="1"/>
  <c r="O251" i="2"/>
  <c r="N251" i="2"/>
  <c r="M251" i="2"/>
  <c r="L251" i="2"/>
  <c r="K251" i="2"/>
  <c r="J251" i="2"/>
  <c r="I251" i="2"/>
  <c r="H251" i="2"/>
  <c r="G251" i="2"/>
  <c r="F251" i="2"/>
  <c r="E251" i="2"/>
  <c r="D249" i="3" s="1"/>
  <c r="D249" i="4" s="1"/>
  <c r="D251" i="2"/>
  <c r="C249" i="3" s="1"/>
  <c r="C249" i="4" s="1"/>
  <c r="C251" i="2"/>
  <c r="B251" i="2"/>
  <c r="A251" i="2"/>
  <c r="AG250" i="2"/>
  <c r="AF250" i="2"/>
  <c r="AE250" i="2"/>
  <c r="AD250" i="2"/>
  <c r="AC250" i="2"/>
  <c r="AB250" i="2"/>
  <c r="AA250" i="2"/>
  <c r="Z250" i="2"/>
  <c r="Y248" i="3" s="1"/>
  <c r="Y248" i="4" s="1"/>
  <c r="Y250" i="2"/>
  <c r="X248" i="3" s="1"/>
  <c r="X248" i="4" s="1"/>
  <c r="X250" i="2"/>
  <c r="W250" i="2"/>
  <c r="V250" i="2"/>
  <c r="U250" i="2"/>
  <c r="T250" i="2"/>
  <c r="S250" i="2"/>
  <c r="R250" i="2"/>
  <c r="Q250" i="2"/>
  <c r="P250" i="2"/>
  <c r="O250" i="2"/>
  <c r="N250" i="2"/>
  <c r="M248" i="3" s="1"/>
  <c r="M248" i="4" s="1"/>
  <c r="M250" i="2"/>
  <c r="L248" i="3" s="1"/>
  <c r="L248" i="4" s="1"/>
  <c r="L250" i="2"/>
  <c r="K250" i="2"/>
  <c r="J250" i="2"/>
  <c r="I250" i="2"/>
  <c r="H250" i="2"/>
  <c r="G250" i="2"/>
  <c r="F250" i="2"/>
  <c r="E250" i="2"/>
  <c r="D250" i="2"/>
  <c r="C250" i="2"/>
  <c r="B250" i="2"/>
  <c r="A248" i="3" s="1"/>
  <c r="A248" i="4" s="1"/>
  <c r="A250" i="2"/>
  <c r="AG249" i="2"/>
  <c r="AF249" i="2"/>
  <c r="AE249" i="2"/>
  <c r="AD249" i="2"/>
  <c r="AC249" i="2"/>
  <c r="AB249" i="2"/>
  <c r="AA249" i="2"/>
  <c r="Z249" i="2"/>
  <c r="Y249" i="2"/>
  <c r="X249" i="2"/>
  <c r="W249" i="2"/>
  <c r="V247" i="3" s="1"/>
  <c r="V247" i="4" s="1"/>
  <c r="V249" i="2"/>
  <c r="U247" i="3" s="1"/>
  <c r="U247" i="4" s="1"/>
  <c r="U249" i="2"/>
  <c r="T249" i="2"/>
  <c r="S249" i="2"/>
  <c r="R249" i="2"/>
  <c r="Q249" i="2"/>
  <c r="P249" i="2"/>
  <c r="O249" i="2"/>
  <c r="N249" i="2"/>
  <c r="M249" i="2"/>
  <c r="L249" i="2"/>
  <c r="K249" i="2"/>
  <c r="J247" i="3" s="1"/>
  <c r="J247" i="4" s="1"/>
  <c r="J249" i="2"/>
  <c r="I247" i="3" s="1"/>
  <c r="I247" i="4" s="1"/>
  <c r="I249" i="2"/>
  <c r="H249" i="2"/>
  <c r="G249" i="2"/>
  <c r="F249" i="2"/>
  <c r="E249" i="2"/>
  <c r="D249" i="2"/>
  <c r="C249" i="2"/>
  <c r="B249" i="2"/>
  <c r="A249" i="2"/>
  <c r="AG248" i="2"/>
  <c r="AF248" i="2"/>
  <c r="AE246" i="3" s="1"/>
  <c r="AE246" i="4" s="1"/>
  <c r="AE248" i="2"/>
  <c r="AD246" i="3" s="1"/>
  <c r="AD246" i="4" s="1"/>
  <c r="AD248" i="2"/>
  <c r="AC248" i="2"/>
  <c r="AB248" i="2"/>
  <c r="AA248" i="2"/>
  <c r="Z248" i="2"/>
  <c r="Y248" i="2"/>
  <c r="X248" i="2"/>
  <c r="W248" i="2"/>
  <c r="V248" i="2"/>
  <c r="U248" i="2"/>
  <c r="T248" i="2"/>
  <c r="S246" i="3" s="1"/>
  <c r="S246" i="4" s="1"/>
  <c r="S248" i="2"/>
  <c r="R246" i="3" s="1"/>
  <c r="R246" i="4" s="1"/>
  <c r="R248" i="2"/>
  <c r="Q248" i="2"/>
  <c r="P248" i="2"/>
  <c r="O248" i="2"/>
  <c r="N248" i="2"/>
  <c r="M248" i="2"/>
  <c r="L248" i="2"/>
  <c r="K248" i="2"/>
  <c r="J248" i="2"/>
  <c r="I248" i="2"/>
  <c r="H248" i="2"/>
  <c r="G246" i="3" s="1"/>
  <c r="G246" i="4" s="1"/>
  <c r="G248" i="2"/>
  <c r="F246" i="3" s="1"/>
  <c r="F246" i="4" s="1"/>
  <c r="F248" i="2"/>
  <c r="E248" i="2"/>
  <c r="D248" i="2"/>
  <c r="C248" i="2"/>
  <c r="B248" i="2"/>
  <c r="A248" i="2"/>
  <c r="AG247" i="2"/>
  <c r="AF247" i="2"/>
  <c r="AE247" i="2"/>
  <c r="AD247" i="2"/>
  <c r="AC247" i="2"/>
  <c r="AB245" i="3" s="1"/>
  <c r="AB245" i="4" s="1"/>
  <c r="AB247" i="2"/>
  <c r="AA245" i="3" s="1"/>
  <c r="AA245" i="4" s="1"/>
  <c r="AA247" i="2"/>
  <c r="Z247" i="2"/>
  <c r="Y247" i="2"/>
  <c r="X247" i="2"/>
  <c r="W247" i="2"/>
  <c r="V247" i="2"/>
  <c r="U247" i="2"/>
  <c r="T247" i="2"/>
  <c r="S247" i="2"/>
  <c r="R247" i="2"/>
  <c r="Q247" i="2"/>
  <c r="P245" i="3" s="1"/>
  <c r="P245" i="4" s="1"/>
  <c r="P247" i="2"/>
  <c r="O245" i="3" s="1"/>
  <c r="O245" i="4" s="1"/>
  <c r="O247" i="2"/>
  <c r="N247" i="2"/>
  <c r="M247" i="2"/>
  <c r="L247" i="2"/>
  <c r="K247" i="2"/>
  <c r="J247" i="2"/>
  <c r="I247" i="2"/>
  <c r="H247" i="2"/>
  <c r="G247" i="2"/>
  <c r="F247" i="2"/>
  <c r="E247" i="2"/>
  <c r="D245" i="3" s="1"/>
  <c r="D245" i="4" s="1"/>
  <c r="D247" i="2"/>
  <c r="C245" i="3" s="1"/>
  <c r="C245" i="4" s="1"/>
  <c r="C247" i="2"/>
  <c r="B247" i="2"/>
  <c r="A247" i="2"/>
  <c r="AG246" i="2"/>
  <c r="AF246" i="2"/>
  <c r="AE246" i="2"/>
  <c r="AD246" i="2"/>
  <c r="AC246" i="2"/>
  <c r="AB246" i="2"/>
  <c r="AA246" i="2"/>
  <c r="Z246" i="2"/>
  <c r="Y244" i="3" s="1"/>
  <c r="Y244" i="4" s="1"/>
  <c r="Y246" i="2"/>
  <c r="X244" i="3" s="1"/>
  <c r="X244" i="4" s="1"/>
  <c r="X246" i="2"/>
  <c r="W246" i="2"/>
  <c r="V246" i="2"/>
  <c r="U246" i="2"/>
  <c r="T246" i="2"/>
  <c r="S246" i="2"/>
  <c r="R246" i="2"/>
  <c r="Q246" i="2"/>
  <c r="P246" i="2"/>
  <c r="O246" i="2"/>
  <c r="N246" i="2"/>
  <c r="M244" i="3" s="1"/>
  <c r="M244" i="4" s="1"/>
  <c r="M246" i="2"/>
  <c r="L244" i="3" s="1"/>
  <c r="L244" i="4" s="1"/>
  <c r="L246" i="2"/>
  <c r="K246" i="2"/>
  <c r="J246" i="2"/>
  <c r="I246" i="2"/>
  <c r="H246" i="2"/>
  <c r="G246" i="2"/>
  <c r="F246" i="2"/>
  <c r="E246" i="2"/>
  <c r="D246" i="2"/>
  <c r="C246" i="2"/>
  <c r="B246" i="2"/>
  <c r="A244" i="3" s="1"/>
  <c r="A244" i="4" s="1"/>
  <c r="A246" i="2"/>
  <c r="AG245" i="2"/>
  <c r="AF245" i="2"/>
  <c r="AE245" i="2"/>
  <c r="AD245" i="2"/>
  <c r="AC245" i="2"/>
  <c r="AB245" i="2"/>
  <c r="AA245" i="2"/>
  <c r="Z245" i="2"/>
  <c r="Y245" i="2"/>
  <c r="X245" i="2"/>
  <c r="W245" i="2"/>
  <c r="V243" i="3" s="1"/>
  <c r="V243" i="4" s="1"/>
  <c r="V245" i="2"/>
  <c r="U243" i="3" s="1"/>
  <c r="U243" i="4" s="1"/>
  <c r="U245" i="2"/>
  <c r="T245" i="2"/>
  <c r="S245" i="2"/>
  <c r="R245" i="2"/>
  <c r="Q245" i="2"/>
  <c r="P245" i="2"/>
  <c r="O245" i="2"/>
  <c r="N245" i="2"/>
  <c r="M245" i="2"/>
  <c r="L245" i="2"/>
  <c r="K245" i="2"/>
  <c r="J243" i="3" s="1"/>
  <c r="J243" i="4" s="1"/>
  <c r="J245" i="2"/>
  <c r="I243" i="3" s="1"/>
  <c r="I243" i="4" s="1"/>
  <c r="I245" i="2"/>
  <c r="H245" i="2"/>
  <c r="G245" i="2"/>
  <c r="F245" i="2"/>
  <c r="E245" i="2"/>
  <c r="D245" i="2"/>
  <c r="C245" i="2"/>
  <c r="B245" i="2"/>
  <c r="A245" i="2"/>
  <c r="AG244" i="2"/>
  <c r="AF244" i="2"/>
  <c r="AE242" i="3" s="1"/>
  <c r="AE242" i="4" s="1"/>
  <c r="AE244" i="2"/>
  <c r="AD242" i="3" s="1"/>
  <c r="AD242" i="4" s="1"/>
  <c r="AD244" i="2"/>
  <c r="AC244" i="2"/>
  <c r="AB244" i="2"/>
  <c r="AA244" i="2"/>
  <c r="Z244" i="2"/>
  <c r="Y244" i="2"/>
  <c r="X244" i="2"/>
  <c r="W244" i="2"/>
  <c r="V244" i="2"/>
  <c r="U244" i="2"/>
  <c r="T244" i="2"/>
  <c r="S242" i="3" s="1"/>
  <c r="S242" i="4" s="1"/>
  <c r="S244" i="2"/>
  <c r="R242" i="3" s="1"/>
  <c r="R242" i="4" s="1"/>
  <c r="R244" i="2"/>
  <c r="Q244" i="2"/>
  <c r="P244" i="2"/>
  <c r="O244" i="2"/>
  <c r="N244" i="2"/>
  <c r="M244" i="2"/>
  <c r="L244" i="2"/>
  <c r="K244" i="2"/>
  <c r="J244" i="2"/>
  <c r="I244" i="2"/>
  <c r="H244" i="2"/>
  <c r="G242" i="3" s="1"/>
  <c r="G242" i="4" s="1"/>
  <c r="G244" i="2"/>
  <c r="F242" i="3" s="1"/>
  <c r="F242" i="4" s="1"/>
  <c r="F244" i="2"/>
  <c r="E244" i="2"/>
  <c r="D244" i="2"/>
  <c r="C244" i="2"/>
  <c r="B244" i="2"/>
  <c r="A244" i="2"/>
  <c r="AG243" i="2"/>
  <c r="AF243" i="2"/>
  <c r="AE243" i="2"/>
  <c r="AD243" i="2"/>
  <c r="AC243" i="2"/>
  <c r="AB241" i="3" s="1"/>
  <c r="AB241" i="4" s="1"/>
  <c r="AB243" i="2"/>
  <c r="AA241" i="3" s="1"/>
  <c r="AA241" i="4" s="1"/>
  <c r="AA243" i="2"/>
  <c r="Z243" i="2"/>
  <c r="Y243" i="2"/>
  <c r="X243" i="2"/>
  <c r="W243" i="2"/>
  <c r="V243" i="2"/>
  <c r="U243" i="2"/>
  <c r="T243" i="2"/>
  <c r="S243" i="2"/>
  <c r="R243" i="2"/>
  <c r="Q243" i="2"/>
  <c r="P241" i="3" s="1"/>
  <c r="P241" i="4" s="1"/>
  <c r="P243" i="2"/>
  <c r="O241" i="3" s="1"/>
  <c r="O241" i="4" s="1"/>
  <c r="O243" i="2"/>
  <c r="N243" i="2"/>
  <c r="M243" i="2"/>
  <c r="L243" i="2"/>
  <c r="K243" i="2"/>
  <c r="J243" i="2"/>
  <c r="I243" i="2"/>
  <c r="H243" i="2"/>
  <c r="G243" i="2"/>
  <c r="F243" i="2"/>
  <c r="E243" i="2"/>
  <c r="D241" i="3" s="1"/>
  <c r="D241" i="4" s="1"/>
  <c r="D243" i="2"/>
  <c r="C241" i="3" s="1"/>
  <c r="C241" i="4" s="1"/>
  <c r="C243" i="2"/>
  <c r="B243" i="2"/>
  <c r="A243" i="2"/>
  <c r="AG242" i="2"/>
  <c r="AF242" i="2"/>
  <c r="AE242" i="2"/>
  <c r="AD242" i="2"/>
  <c r="AC242" i="2"/>
  <c r="AB242" i="2"/>
  <c r="AA242" i="2"/>
  <c r="Z242" i="2"/>
  <c r="Y240" i="3" s="1"/>
  <c r="Y240" i="4" s="1"/>
  <c r="Y242" i="2"/>
  <c r="X240" i="3" s="1"/>
  <c r="X240" i="4" s="1"/>
  <c r="X242" i="2"/>
  <c r="W242" i="2"/>
  <c r="V242" i="2"/>
  <c r="U242" i="2"/>
  <c r="T242" i="2"/>
  <c r="S242" i="2"/>
  <c r="R242" i="2"/>
  <c r="Q242" i="2"/>
  <c r="P242" i="2"/>
  <c r="O242" i="2"/>
  <c r="N242" i="2"/>
  <c r="M240" i="3" s="1"/>
  <c r="M240" i="4" s="1"/>
  <c r="M242" i="2"/>
  <c r="L240" i="3" s="1"/>
  <c r="L240" i="4" s="1"/>
  <c r="L242" i="2"/>
  <c r="K242" i="2"/>
  <c r="J242" i="2"/>
  <c r="I242" i="2"/>
  <c r="H242" i="2"/>
  <c r="G242" i="2"/>
  <c r="F242" i="2"/>
  <c r="E242" i="2"/>
  <c r="D242" i="2"/>
  <c r="C242" i="2"/>
  <c r="B242" i="2"/>
  <c r="A240" i="3" s="1"/>
  <c r="A240" i="4" s="1"/>
  <c r="A242" i="2"/>
  <c r="AG241" i="2"/>
  <c r="AF241" i="2"/>
  <c r="AE241" i="2"/>
  <c r="AD241" i="2"/>
  <c r="AC241" i="2"/>
  <c r="AB241" i="2"/>
  <c r="AA241" i="2"/>
  <c r="Z241" i="2"/>
  <c r="Y241" i="2"/>
  <c r="X241" i="2"/>
  <c r="W241" i="2"/>
  <c r="V239" i="3" s="1"/>
  <c r="V239" i="4" s="1"/>
  <c r="V241" i="2"/>
  <c r="U239" i="3" s="1"/>
  <c r="U239" i="4" s="1"/>
  <c r="U241" i="2"/>
  <c r="T241" i="2"/>
  <c r="S241" i="2"/>
  <c r="R241" i="2"/>
  <c r="Q241" i="2"/>
  <c r="P241" i="2"/>
  <c r="O241" i="2"/>
  <c r="N241" i="2"/>
  <c r="M241" i="2"/>
  <c r="L241" i="2"/>
  <c r="K241" i="2"/>
  <c r="J239" i="3" s="1"/>
  <c r="J239" i="4" s="1"/>
  <c r="J241" i="2"/>
  <c r="I239" i="3" s="1"/>
  <c r="I239" i="4" s="1"/>
  <c r="I241" i="2"/>
  <c r="H241" i="2"/>
  <c r="G241" i="2"/>
  <c r="F241" i="2"/>
  <c r="E241" i="2"/>
  <c r="D241" i="2"/>
  <c r="C241" i="2"/>
  <c r="B241" i="2"/>
  <c r="A241" i="2"/>
  <c r="AG240" i="2"/>
  <c r="AF240" i="2"/>
  <c r="AE238" i="3" s="1"/>
  <c r="AE238" i="4" s="1"/>
  <c r="AE240" i="2"/>
  <c r="AD238" i="3" s="1"/>
  <c r="AD238" i="4" s="1"/>
  <c r="AD240" i="2"/>
  <c r="AC240" i="2"/>
  <c r="AB240" i="2"/>
  <c r="AA240" i="2"/>
  <c r="Z240" i="2"/>
  <c r="Y240" i="2"/>
  <c r="X240" i="2"/>
  <c r="W240" i="2"/>
  <c r="V240" i="2"/>
  <c r="U240" i="2"/>
  <c r="T240" i="2"/>
  <c r="S238" i="3" s="1"/>
  <c r="S238" i="4" s="1"/>
  <c r="S240" i="2"/>
  <c r="R238" i="3" s="1"/>
  <c r="R238" i="4" s="1"/>
  <c r="R240" i="2"/>
  <c r="Q240" i="2"/>
  <c r="P240" i="2"/>
  <c r="O240" i="2"/>
  <c r="N240" i="2"/>
  <c r="M240" i="2"/>
  <c r="L240" i="2"/>
  <c r="K240" i="2"/>
  <c r="J240" i="2"/>
  <c r="I240" i="2"/>
  <c r="H240" i="2"/>
  <c r="G238" i="3" s="1"/>
  <c r="G238" i="4" s="1"/>
  <c r="G240" i="2"/>
  <c r="F238" i="3" s="1"/>
  <c r="F238" i="4" s="1"/>
  <c r="F240" i="2"/>
  <c r="E240" i="2"/>
  <c r="D240" i="2"/>
  <c r="C240" i="2"/>
  <c r="B240" i="2"/>
  <c r="A240" i="2"/>
  <c r="AG239" i="2"/>
  <c r="AF239" i="2"/>
  <c r="AE239" i="2"/>
  <c r="AD239" i="2"/>
  <c r="AC239" i="2"/>
  <c r="AB237" i="3" s="1"/>
  <c r="AB237" i="4" s="1"/>
  <c r="AB239" i="2"/>
  <c r="AA237" i="3" s="1"/>
  <c r="AA237" i="4" s="1"/>
  <c r="AA239" i="2"/>
  <c r="Z239" i="2"/>
  <c r="Y239" i="2"/>
  <c r="X239" i="2"/>
  <c r="W239" i="2"/>
  <c r="V239" i="2"/>
  <c r="U239" i="2"/>
  <c r="T239" i="2"/>
  <c r="S239" i="2"/>
  <c r="R239" i="2"/>
  <c r="Q239" i="2"/>
  <c r="P237" i="3" s="1"/>
  <c r="P237" i="4" s="1"/>
  <c r="P239" i="2"/>
  <c r="O237" i="3" s="1"/>
  <c r="O237" i="4" s="1"/>
  <c r="O239" i="2"/>
  <c r="N239" i="2"/>
  <c r="M239" i="2"/>
  <c r="L239" i="2"/>
  <c r="K239" i="2"/>
  <c r="J239" i="2"/>
  <c r="I239" i="2"/>
  <c r="H239" i="2"/>
  <c r="G239" i="2"/>
  <c r="F239" i="2"/>
  <c r="E239" i="2"/>
  <c r="D237" i="3" s="1"/>
  <c r="D237" i="4" s="1"/>
  <c r="D239" i="2"/>
  <c r="C237" i="3" s="1"/>
  <c r="C237" i="4" s="1"/>
  <c r="C239" i="2"/>
  <c r="B239" i="2"/>
  <c r="A239" i="2"/>
  <c r="AG238" i="2"/>
  <c r="AF238" i="2"/>
  <c r="AE238" i="2"/>
  <c r="AD238" i="2"/>
  <c r="AC238" i="2"/>
  <c r="AB238" i="2"/>
  <c r="AA238" i="2"/>
  <c r="Z238" i="2"/>
  <c r="Y236" i="3" s="1"/>
  <c r="Y236" i="4" s="1"/>
  <c r="Y238" i="2"/>
  <c r="X236" i="3" s="1"/>
  <c r="X236" i="4" s="1"/>
  <c r="X238" i="2"/>
  <c r="W238" i="2"/>
  <c r="V238" i="2"/>
  <c r="U238" i="2"/>
  <c r="T238" i="2"/>
  <c r="S238" i="2"/>
  <c r="R238" i="2"/>
  <c r="Q238" i="2"/>
  <c r="P238" i="2"/>
  <c r="O238" i="2"/>
  <c r="N238" i="2"/>
  <c r="M236" i="3" s="1"/>
  <c r="M236" i="4" s="1"/>
  <c r="M238" i="2"/>
  <c r="L236" i="3" s="1"/>
  <c r="L236" i="4" s="1"/>
  <c r="L238" i="2"/>
  <c r="K238" i="2"/>
  <c r="J238" i="2"/>
  <c r="I238" i="2"/>
  <c r="H238" i="2"/>
  <c r="G238" i="2"/>
  <c r="F238" i="2"/>
  <c r="E238" i="2"/>
  <c r="D238" i="2"/>
  <c r="C238" i="2"/>
  <c r="B238" i="2"/>
  <c r="A236" i="3" s="1"/>
  <c r="A236" i="4" s="1"/>
  <c r="A238" i="2"/>
  <c r="AG237" i="2"/>
  <c r="AF237" i="2"/>
  <c r="AE237" i="2"/>
  <c r="AD237" i="2"/>
  <c r="AC237" i="2"/>
  <c r="AB237" i="2"/>
  <c r="AA237" i="2"/>
  <c r="Z237" i="2"/>
  <c r="Y237" i="2"/>
  <c r="X237" i="2"/>
  <c r="W237" i="2"/>
  <c r="V235" i="3" s="1"/>
  <c r="V235" i="4" s="1"/>
  <c r="V237" i="2"/>
  <c r="U235" i="3" s="1"/>
  <c r="U235" i="4" s="1"/>
  <c r="U237" i="2"/>
  <c r="T237" i="2"/>
  <c r="S237" i="2"/>
  <c r="R237" i="2"/>
  <c r="Q237" i="2"/>
  <c r="P237" i="2"/>
  <c r="O237" i="2"/>
  <c r="N237" i="2"/>
  <c r="M237" i="2"/>
  <c r="L237" i="2"/>
  <c r="K237" i="2"/>
  <c r="J235" i="3" s="1"/>
  <c r="J235" i="4" s="1"/>
  <c r="J237" i="2"/>
  <c r="I235" i="3" s="1"/>
  <c r="I235" i="4" s="1"/>
  <c r="I237" i="2"/>
  <c r="H237" i="2"/>
  <c r="G237" i="2"/>
  <c r="F237" i="2"/>
  <c r="E237" i="2"/>
  <c r="D237" i="2"/>
  <c r="C237" i="2"/>
  <c r="B237" i="2"/>
  <c r="A237" i="2"/>
  <c r="AG236" i="2"/>
  <c r="AF236" i="2"/>
  <c r="AE234" i="3" s="1"/>
  <c r="AE234" i="4" s="1"/>
  <c r="AE236" i="2"/>
  <c r="AD234" i="3" s="1"/>
  <c r="AD234" i="4" s="1"/>
  <c r="AD236" i="2"/>
  <c r="AC236" i="2"/>
  <c r="AB236" i="2"/>
  <c r="AA236" i="2"/>
  <c r="Z236" i="2"/>
  <c r="Y236" i="2"/>
  <c r="X236" i="2"/>
  <c r="W236" i="2"/>
  <c r="V236" i="2"/>
  <c r="U236" i="2"/>
  <c r="T236" i="2"/>
  <c r="S234" i="3" s="1"/>
  <c r="S234" i="4" s="1"/>
  <c r="S236" i="2"/>
  <c r="R234" i="3" s="1"/>
  <c r="R234" i="4" s="1"/>
  <c r="R236" i="2"/>
  <c r="Q236" i="2"/>
  <c r="P236" i="2"/>
  <c r="O236" i="2"/>
  <c r="N236" i="2"/>
  <c r="M236" i="2"/>
  <c r="L236" i="2"/>
  <c r="K236" i="2"/>
  <c r="J236" i="2"/>
  <c r="I236" i="2"/>
  <c r="H236" i="2"/>
  <c r="G234" i="3" s="1"/>
  <c r="G234" i="4" s="1"/>
  <c r="G236" i="2"/>
  <c r="F234" i="3" s="1"/>
  <c r="F234" i="4" s="1"/>
  <c r="F236" i="2"/>
  <c r="E236" i="2"/>
  <c r="D236" i="2"/>
  <c r="C236" i="2"/>
  <c r="B236" i="2"/>
  <c r="A236" i="2"/>
  <c r="AG235" i="2"/>
  <c r="AF235" i="2"/>
  <c r="AE235" i="2"/>
  <c r="AD235" i="2"/>
  <c r="AC235" i="2"/>
  <c r="AB233" i="3" s="1"/>
  <c r="AB233" i="4" s="1"/>
  <c r="AB235" i="2"/>
  <c r="AA233" i="3" s="1"/>
  <c r="AA233" i="4" s="1"/>
  <c r="AA235" i="2"/>
  <c r="Z235" i="2"/>
  <c r="Y235" i="2"/>
  <c r="X235" i="2"/>
  <c r="W235" i="2"/>
  <c r="V235" i="2"/>
  <c r="U235" i="2"/>
  <c r="T235" i="2"/>
  <c r="S235" i="2"/>
  <c r="R235" i="2"/>
  <c r="Q235" i="2"/>
  <c r="P233" i="3" s="1"/>
  <c r="P233" i="4" s="1"/>
  <c r="P235" i="2"/>
  <c r="O233" i="3" s="1"/>
  <c r="O233" i="4" s="1"/>
  <c r="O235" i="2"/>
  <c r="N235" i="2"/>
  <c r="M235" i="2"/>
  <c r="L235" i="2"/>
  <c r="K235" i="2"/>
  <c r="J235" i="2"/>
  <c r="I235" i="2"/>
  <c r="H235" i="2"/>
  <c r="G235" i="2"/>
  <c r="F235" i="2"/>
  <c r="E235" i="2"/>
  <c r="D233" i="3" s="1"/>
  <c r="D233" i="4" s="1"/>
  <c r="D235" i="2"/>
  <c r="C233" i="3" s="1"/>
  <c r="C233" i="4" s="1"/>
  <c r="C235" i="2"/>
  <c r="B235" i="2"/>
  <c r="A235" i="2"/>
  <c r="AG234" i="2"/>
  <c r="AF234" i="2"/>
  <c r="AE234" i="2"/>
  <c r="AD234" i="2"/>
  <c r="AC234" i="2"/>
  <c r="AB234" i="2"/>
  <c r="AA234" i="2"/>
  <c r="Z234" i="2"/>
  <c r="Y232" i="3" s="1"/>
  <c r="Y232" i="4" s="1"/>
  <c r="Y234" i="2"/>
  <c r="X232" i="3" s="1"/>
  <c r="X232" i="4" s="1"/>
  <c r="X234" i="2"/>
  <c r="W234" i="2"/>
  <c r="V234" i="2"/>
  <c r="U234" i="2"/>
  <c r="T234" i="2"/>
  <c r="S234" i="2"/>
  <c r="R234" i="2"/>
  <c r="Q234" i="2"/>
  <c r="P234" i="2"/>
  <c r="O234" i="2"/>
  <c r="N234" i="2"/>
  <c r="M232" i="3" s="1"/>
  <c r="M232" i="4" s="1"/>
  <c r="M234" i="2"/>
  <c r="L232" i="3" s="1"/>
  <c r="L232" i="4" s="1"/>
  <c r="L234" i="2"/>
  <c r="K234" i="2"/>
  <c r="J234" i="2"/>
  <c r="I234" i="2"/>
  <c r="H234" i="2"/>
  <c r="G234" i="2"/>
  <c r="F234" i="2"/>
  <c r="E234" i="2"/>
  <c r="D234" i="2"/>
  <c r="C234" i="2"/>
  <c r="B234" i="2"/>
  <c r="A232" i="3" s="1"/>
  <c r="A232" i="4" s="1"/>
  <c r="A234" i="2"/>
  <c r="AG233" i="2"/>
  <c r="AF233" i="2"/>
  <c r="AE233" i="2"/>
  <c r="AD233" i="2"/>
  <c r="AC233" i="2"/>
  <c r="AB233" i="2"/>
  <c r="AA233" i="2"/>
  <c r="Z233" i="2"/>
  <c r="Y233" i="2"/>
  <c r="X233" i="2"/>
  <c r="W233" i="2"/>
  <c r="V231" i="3" s="1"/>
  <c r="V231" i="4" s="1"/>
  <c r="V233" i="2"/>
  <c r="U231" i="3" s="1"/>
  <c r="U231" i="4" s="1"/>
  <c r="U233" i="2"/>
  <c r="T233" i="2"/>
  <c r="S233" i="2"/>
  <c r="R233" i="2"/>
  <c r="Q233" i="2"/>
  <c r="P233" i="2"/>
  <c r="O233" i="2"/>
  <c r="N233" i="2"/>
  <c r="M233" i="2"/>
  <c r="L233" i="2"/>
  <c r="K233" i="2"/>
  <c r="J231" i="3" s="1"/>
  <c r="J231" i="4" s="1"/>
  <c r="J233" i="2"/>
  <c r="I231" i="3" s="1"/>
  <c r="I231" i="4" s="1"/>
  <c r="I233" i="2"/>
  <c r="H233" i="2"/>
  <c r="G233" i="2"/>
  <c r="F233" i="2"/>
  <c r="E233" i="2"/>
  <c r="D233" i="2"/>
  <c r="C233" i="2"/>
  <c r="B233" i="2"/>
  <c r="A233" i="2"/>
  <c r="AG232" i="2"/>
  <c r="AF232" i="2"/>
  <c r="AE230" i="3" s="1"/>
  <c r="AE230" i="4" s="1"/>
  <c r="AE232" i="2"/>
  <c r="AD230" i="3" s="1"/>
  <c r="AD230" i="4" s="1"/>
  <c r="AD232" i="2"/>
  <c r="AC232" i="2"/>
  <c r="AB232" i="2"/>
  <c r="AA232" i="2"/>
  <c r="Z232" i="2"/>
  <c r="Y232" i="2"/>
  <c r="X232" i="2"/>
  <c r="W232" i="2"/>
  <c r="V232" i="2"/>
  <c r="U232" i="2"/>
  <c r="T232" i="2"/>
  <c r="S230" i="3" s="1"/>
  <c r="S230" i="4" s="1"/>
  <c r="S232" i="2"/>
  <c r="R230" i="3" s="1"/>
  <c r="R230" i="4" s="1"/>
  <c r="R232" i="2"/>
  <c r="Q232" i="2"/>
  <c r="P232" i="2"/>
  <c r="O232" i="2"/>
  <c r="N232" i="2"/>
  <c r="M232" i="2"/>
  <c r="L232" i="2"/>
  <c r="K232" i="2"/>
  <c r="J232" i="2"/>
  <c r="I232" i="2"/>
  <c r="H232" i="2"/>
  <c r="G230" i="3" s="1"/>
  <c r="G230" i="4" s="1"/>
  <c r="G232" i="2"/>
  <c r="F230" i="3" s="1"/>
  <c r="F230" i="4" s="1"/>
  <c r="F232" i="2"/>
  <c r="E232" i="2"/>
  <c r="D232" i="2"/>
  <c r="C232" i="2"/>
  <c r="B232" i="2"/>
  <c r="A232" i="2"/>
  <c r="AG231" i="2"/>
  <c r="AF231" i="2"/>
  <c r="AE231" i="2"/>
  <c r="AD231" i="2"/>
  <c r="AC231" i="2"/>
  <c r="AB229" i="3" s="1"/>
  <c r="AB229" i="4" s="1"/>
  <c r="AB231" i="2"/>
  <c r="AA229" i="3" s="1"/>
  <c r="AA229" i="4" s="1"/>
  <c r="AA231" i="2"/>
  <c r="Z231" i="2"/>
  <c r="Y231" i="2"/>
  <c r="X231" i="2"/>
  <c r="W231" i="2"/>
  <c r="V231" i="2"/>
  <c r="U231" i="2"/>
  <c r="T231" i="2"/>
  <c r="S231" i="2"/>
  <c r="R231" i="2"/>
  <c r="Q231" i="2"/>
  <c r="P229" i="3" s="1"/>
  <c r="P229" i="4" s="1"/>
  <c r="P231" i="2"/>
  <c r="O229" i="3" s="1"/>
  <c r="O229" i="4" s="1"/>
  <c r="O231" i="2"/>
  <c r="N231" i="2"/>
  <c r="M231" i="2"/>
  <c r="L231" i="2"/>
  <c r="K231" i="2"/>
  <c r="J231" i="2"/>
  <c r="I231" i="2"/>
  <c r="H231" i="2"/>
  <c r="G231" i="2"/>
  <c r="F231" i="2"/>
  <c r="E231" i="2"/>
  <c r="D229" i="3" s="1"/>
  <c r="D229" i="4" s="1"/>
  <c r="D231" i="2"/>
  <c r="C229" i="3" s="1"/>
  <c r="C229" i="4" s="1"/>
  <c r="C231" i="2"/>
  <c r="B231" i="2"/>
  <c r="A231" i="2"/>
  <c r="AG230" i="2"/>
  <c r="AF230" i="2"/>
  <c r="AE230" i="2"/>
  <c r="AD230" i="2"/>
  <c r="AC230" i="2"/>
  <c r="AB230" i="2"/>
  <c r="AA230" i="2"/>
  <c r="Z230" i="2"/>
  <c r="Y228" i="3" s="1"/>
  <c r="Y228" i="4" s="1"/>
  <c r="Y230" i="2"/>
  <c r="X228" i="3" s="1"/>
  <c r="X228" i="4" s="1"/>
  <c r="X230" i="2"/>
  <c r="W230" i="2"/>
  <c r="V230" i="2"/>
  <c r="U230" i="2"/>
  <c r="T230" i="2"/>
  <c r="S230" i="2"/>
  <c r="R230" i="2"/>
  <c r="Q230" i="2"/>
  <c r="P230" i="2"/>
  <c r="O230" i="2"/>
  <c r="N230" i="2"/>
  <c r="M228" i="3" s="1"/>
  <c r="M228" i="4" s="1"/>
  <c r="M230" i="2"/>
  <c r="L228" i="3" s="1"/>
  <c r="L228" i="4" s="1"/>
  <c r="L230" i="2"/>
  <c r="K230" i="2"/>
  <c r="J230" i="2"/>
  <c r="I230" i="2"/>
  <c r="H230" i="2"/>
  <c r="G230" i="2"/>
  <c r="F230" i="2"/>
  <c r="E230" i="2"/>
  <c r="D230" i="2"/>
  <c r="C230" i="2"/>
  <c r="B230" i="2"/>
  <c r="A228" i="3" s="1"/>
  <c r="A228" i="4" s="1"/>
  <c r="A230" i="2"/>
  <c r="AG229" i="2"/>
  <c r="AF229" i="2"/>
  <c r="AE229" i="2"/>
  <c r="AD229" i="2"/>
  <c r="AC229" i="2"/>
  <c r="AB229" i="2"/>
  <c r="AA229" i="2"/>
  <c r="Z229" i="2"/>
  <c r="Y229" i="2"/>
  <c r="X229" i="2"/>
  <c r="W229" i="2"/>
  <c r="V227" i="3" s="1"/>
  <c r="V227" i="4" s="1"/>
  <c r="V229" i="2"/>
  <c r="U227" i="3" s="1"/>
  <c r="U227" i="4" s="1"/>
  <c r="U229" i="2"/>
  <c r="T229" i="2"/>
  <c r="S229" i="2"/>
  <c r="R229" i="2"/>
  <c r="Q229" i="2"/>
  <c r="P229" i="2"/>
  <c r="O229" i="2"/>
  <c r="N229" i="2"/>
  <c r="M229" i="2"/>
  <c r="L229" i="2"/>
  <c r="K229" i="2"/>
  <c r="J227" i="3" s="1"/>
  <c r="J227" i="4" s="1"/>
  <c r="J229" i="2"/>
  <c r="I227" i="3" s="1"/>
  <c r="I227" i="4" s="1"/>
  <c r="I229" i="2"/>
  <c r="H229" i="2"/>
  <c r="G229" i="2"/>
  <c r="F229" i="2"/>
  <c r="E229" i="2"/>
  <c r="D229" i="2"/>
  <c r="C229" i="2"/>
  <c r="B229" i="2"/>
  <c r="A229" i="2"/>
  <c r="AG228" i="2"/>
  <c r="AF228" i="2"/>
  <c r="AE226" i="3" s="1"/>
  <c r="AE226" i="4" s="1"/>
  <c r="AE228" i="2"/>
  <c r="AD226" i="3" s="1"/>
  <c r="AD226" i="4" s="1"/>
  <c r="AD228" i="2"/>
  <c r="AC228" i="2"/>
  <c r="AB228" i="2"/>
  <c r="AA228" i="2"/>
  <c r="Z228" i="2"/>
  <c r="Y228" i="2"/>
  <c r="X228" i="2"/>
  <c r="W228" i="2"/>
  <c r="V228" i="2"/>
  <c r="U228" i="2"/>
  <c r="T228" i="2"/>
  <c r="S226" i="3" s="1"/>
  <c r="S226" i="4" s="1"/>
  <c r="S228" i="2"/>
  <c r="R226" i="3" s="1"/>
  <c r="R226" i="4" s="1"/>
  <c r="R228" i="2"/>
  <c r="Q228" i="2"/>
  <c r="P228" i="2"/>
  <c r="O228" i="2"/>
  <c r="N228" i="2"/>
  <c r="M228" i="2"/>
  <c r="L228" i="2"/>
  <c r="K228" i="2"/>
  <c r="J228" i="2"/>
  <c r="I228" i="2"/>
  <c r="H228" i="2"/>
  <c r="G226" i="3" s="1"/>
  <c r="G226" i="4" s="1"/>
  <c r="G228" i="2"/>
  <c r="F226" i="3" s="1"/>
  <c r="F226" i="4" s="1"/>
  <c r="F228" i="2"/>
  <c r="E228" i="2"/>
  <c r="D228" i="2"/>
  <c r="C228" i="2"/>
  <c r="B228" i="2"/>
  <c r="A228" i="2"/>
  <c r="AG227" i="2"/>
  <c r="AF227" i="2"/>
  <c r="AE227" i="2"/>
  <c r="AD227" i="2"/>
  <c r="AC227" i="2"/>
  <c r="AB225" i="3" s="1"/>
  <c r="AB225" i="4" s="1"/>
  <c r="AB227" i="2"/>
  <c r="AA225" i="3" s="1"/>
  <c r="AA225" i="4" s="1"/>
  <c r="AA227" i="2"/>
  <c r="Z227" i="2"/>
  <c r="Y227" i="2"/>
  <c r="X227" i="2"/>
  <c r="W227" i="2"/>
  <c r="V227" i="2"/>
  <c r="U227" i="2"/>
  <c r="T227" i="2"/>
  <c r="S227" i="2"/>
  <c r="R227" i="2"/>
  <c r="Q227" i="2"/>
  <c r="P225" i="3" s="1"/>
  <c r="P225" i="4" s="1"/>
  <c r="P227" i="2"/>
  <c r="O225" i="3" s="1"/>
  <c r="O225" i="4" s="1"/>
  <c r="O227" i="2"/>
  <c r="N227" i="2"/>
  <c r="M227" i="2"/>
  <c r="L227" i="2"/>
  <c r="K227" i="2"/>
  <c r="J227" i="2"/>
  <c r="I227" i="2"/>
  <c r="H227" i="2"/>
  <c r="G227" i="2"/>
  <c r="F227" i="2"/>
  <c r="E227" i="2"/>
  <c r="D225" i="3" s="1"/>
  <c r="D225" i="4" s="1"/>
  <c r="D227" i="2"/>
  <c r="C225" i="3" s="1"/>
  <c r="C225" i="4" s="1"/>
  <c r="C227" i="2"/>
  <c r="B227" i="2"/>
  <c r="A227" i="2"/>
  <c r="AG226" i="2"/>
  <c r="AF226" i="2"/>
  <c r="AE226" i="2"/>
  <c r="AD226" i="2"/>
  <c r="AC226" i="2"/>
  <c r="AB226" i="2"/>
  <c r="AA226" i="2"/>
  <c r="Z226" i="2"/>
  <c r="Y224" i="3" s="1"/>
  <c r="Y224" i="4" s="1"/>
  <c r="Y226" i="2"/>
  <c r="X224" i="3" s="1"/>
  <c r="X224" i="4" s="1"/>
  <c r="X226" i="2"/>
  <c r="W226" i="2"/>
  <c r="V226" i="2"/>
  <c r="U226" i="2"/>
  <c r="T226" i="2"/>
  <c r="S226" i="2"/>
  <c r="R226" i="2"/>
  <c r="Q226" i="2"/>
  <c r="P226" i="2"/>
  <c r="O226" i="2"/>
  <c r="N226" i="2"/>
  <c r="M224" i="3" s="1"/>
  <c r="M224" i="4" s="1"/>
  <c r="M226" i="2"/>
  <c r="L224" i="3" s="1"/>
  <c r="L224" i="4" s="1"/>
  <c r="L226" i="2"/>
  <c r="K226" i="2"/>
  <c r="J226" i="2"/>
  <c r="I226" i="2"/>
  <c r="H226" i="2"/>
  <c r="G226" i="2"/>
  <c r="F226" i="2"/>
  <c r="E226" i="2"/>
  <c r="D226" i="2"/>
  <c r="C226" i="2"/>
  <c r="B226" i="2"/>
  <c r="A224" i="3" s="1"/>
  <c r="A224" i="4" s="1"/>
  <c r="A226" i="2"/>
  <c r="AG225" i="2"/>
  <c r="AF225" i="2"/>
  <c r="AE225" i="2"/>
  <c r="AD225" i="2"/>
  <c r="AC225" i="2"/>
  <c r="AB225" i="2"/>
  <c r="AA225" i="2"/>
  <c r="Z225" i="2"/>
  <c r="Y225" i="2"/>
  <c r="X225" i="2"/>
  <c r="W225" i="2"/>
  <c r="V223" i="3" s="1"/>
  <c r="V223" i="4" s="1"/>
  <c r="V225" i="2"/>
  <c r="U223" i="3" s="1"/>
  <c r="U223" i="4" s="1"/>
  <c r="U225" i="2"/>
  <c r="T225" i="2"/>
  <c r="S225" i="2"/>
  <c r="R225" i="2"/>
  <c r="Q225" i="2"/>
  <c r="P225" i="2"/>
  <c r="O225" i="2"/>
  <c r="N225" i="2"/>
  <c r="M225" i="2"/>
  <c r="L225" i="2"/>
  <c r="K225" i="2"/>
  <c r="J223" i="3" s="1"/>
  <c r="J223" i="4" s="1"/>
  <c r="J225" i="2"/>
  <c r="I223" i="3" s="1"/>
  <c r="I223" i="4" s="1"/>
  <c r="I225" i="2"/>
  <c r="H225" i="2"/>
  <c r="G225" i="2"/>
  <c r="F225" i="2"/>
  <c r="E225" i="2"/>
  <c r="D225" i="2"/>
  <c r="C225" i="2"/>
  <c r="B225" i="2"/>
  <c r="A225" i="2"/>
  <c r="AG224" i="2"/>
  <c r="AF224" i="2"/>
  <c r="AE222" i="3" s="1"/>
  <c r="AE222" i="4" s="1"/>
  <c r="AE224" i="2"/>
  <c r="AD222" i="3" s="1"/>
  <c r="AD222" i="4" s="1"/>
  <c r="AD224" i="2"/>
  <c r="AC224" i="2"/>
  <c r="AB224" i="2"/>
  <c r="AA224" i="2"/>
  <c r="Z224" i="2"/>
  <c r="Y224" i="2"/>
  <c r="X224" i="2"/>
  <c r="W224" i="2"/>
  <c r="V224" i="2"/>
  <c r="U224" i="2"/>
  <c r="T224" i="2"/>
  <c r="S222" i="3" s="1"/>
  <c r="S222" i="4" s="1"/>
  <c r="S224" i="2"/>
  <c r="R222" i="3" s="1"/>
  <c r="R222" i="4" s="1"/>
  <c r="R224" i="2"/>
  <c r="Q224" i="2"/>
  <c r="P224" i="2"/>
  <c r="O224" i="2"/>
  <c r="N224" i="2"/>
  <c r="M224" i="2"/>
  <c r="L224" i="2"/>
  <c r="K224" i="2"/>
  <c r="J224" i="2"/>
  <c r="I224" i="2"/>
  <c r="H224" i="2"/>
  <c r="G222" i="3" s="1"/>
  <c r="G222" i="4" s="1"/>
  <c r="G224" i="2"/>
  <c r="F222" i="3" s="1"/>
  <c r="F222" i="4" s="1"/>
  <c r="F224" i="2"/>
  <c r="E224" i="2"/>
  <c r="D224" i="2"/>
  <c r="C224" i="2"/>
  <c r="B224" i="2"/>
  <c r="A224" i="2"/>
  <c r="AG223" i="2"/>
  <c r="AF223" i="2"/>
  <c r="AE223" i="2"/>
  <c r="AD223" i="2"/>
  <c r="AC223" i="2"/>
  <c r="AB221" i="3" s="1"/>
  <c r="AB221" i="4" s="1"/>
  <c r="AB223" i="2"/>
  <c r="AA221" i="3" s="1"/>
  <c r="AA221" i="4" s="1"/>
  <c r="AA223" i="2"/>
  <c r="Z223" i="2"/>
  <c r="Y223" i="2"/>
  <c r="X223" i="2"/>
  <c r="W223" i="2"/>
  <c r="V223" i="2"/>
  <c r="U223" i="2"/>
  <c r="T223" i="2"/>
  <c r="S223" i="2"/>
  <c r="R223" i="2"/>
  <c r="Q223" i="2"/>
  <c r="P221" i="3" s="1"/>
  <c r="P221" i="4" s="1"/>
  <c r="P223" i="2"/>
  <c r="O221" i="3" s="1"/>
  <c r="O221" i="4" s="1"/>
  <c r="O223" i="2"/>
  <c r="N223" i="2"/>
  <c r="M223" i="2"/>
  <c r="L223" i="2"/>
  <c r="K223" i="2"/>
  <c r="J223" i="2"/>
  <c r="I223" i="2"/>
  <c r="H223" i="2"/>
  <c r="G223" i="2"/>
  <c r="F223" i="2"/>
  <c r="E223" i="2"/>
  <c r="D221" i="3" s="1"/>
  <c r="D221" i="4" s="1"/>
  <c r="D223" i="2"/>
  <c r="C221" i="3" s="1"/>
  <c r="C221" i="4" s="1"/>
  <c r="C223" i="2"/>
  <c r="B223" i="2"/>
  <c r="A223" i="2"/>
  <c r="AG222" i="2"/>
  <c r="AF222" i="2"/>
  <c r="AE222" i="2"/>
  <c r="AD222" i="2"/>
  <c r="AC222" i="2"/>
  <c r="AB222" i="2"/>
  <c r="AA222" i="2"/>
  <c r="Z222" i="2"/>
  <c r="Y220" i="3" s="1"/>
  <c r="Y220" i="4" s="1"/>
  <c r="Y222" i="2"/>
  <c r="X220" i="3" s="1"/>
  <c r="X220" i="4" s="1"/>
  <c r="X222" i="2"/>
  <c r="W222" i="2"/>
  <c r="V222" i="2"/>
  <c r="U222" i="2"/>
  <c r="T222" i="2"/>
  <c r="S222" i="2"/>
  <c r="R222" i="2"/>
  <c r="Q222" i="2"/>
  <c r="P222" i="2"/>
  <c r="O222" i="2"/>
  <c r="N222" i="2"/>
  <c r="M220" i="3" s="1"/>
  <c r="M220" i="4" s="1"/>
  <c r="M222" i="2"/>
  <c r="L220" i="3" s="1"/>
  <c r="L220" i="4" s="1"/>
  <c r="L222" i="2"/>
  <c r="K222" i="2"/>
  <c r="J222" i="2"/>
  <c r="I222" i="2"/>
  <c r="H222" i="2"/>
  <c r="G222" i="2"/>
  <c r="F222" i="2"/>
  <c r="E222" i="2"/>
  <c r="D222" i="2"/>
  <c r="C222" i="2"/>
  <c r="B222" i="2"/>
  <c r="A220" i="3" s="1"/>
  <c r="A220" i="4" s="1"/>
  <c r="A222" i="2"/>
  <c r="AG221" i="2"/>
  <c r="AF221" i="2"/>
  <c r="AE221" i="2"/>
  <c r="AD221" i="2"/>
  <c r="AC221" i="2"/>
  <c r="AB221" i="2"/>
  <c r="AA221" i="2"/>
  <c r="Z221" i="2"/>
  <c r="Y221" i="2"/>
  <c r="X221" i="2"/>
  <c r="W221" i="2"/>
  <c r="V219" i="3" s="1"/>
  <c r="V219" i="4" s="1"/>
  <c r="V221" i="2"/>
  <c r="U219" i="3" s="1"/>
  <c r="U219" i="4" s="1"/>
  <c r="U221" i="2"/>
  <c r="T221" i="2"/>
  <c r="S221" i="2"/>
  <c r="R221" i="2"/>
  <c r="Q221" i="2"/>
  <c r="P221" i="2"/>
  <c r="O221" i="2"/>
  <c r="N221" i="2"/>
  <c r="M221" i="2"/>
  <c r="L221" i="2"/>
  <c r="K221" i="2"/>
  <c r="J219" i="3" s="1"/>
  <c r="J219" i="4" s="1"/>
  <c r="J221" i="2"/>
  <c r="I219" i="3" s="1"/>
  <c r="I219" i="4" s="1"/>
  <c r="I221" i="2"/>
  <c r="H221" i="2"/>
  <c r="G221" i="2"/>
  <c r="F221" i="2"/>
  <c r="E221" i="2"/>
  <c r="D221" i="2"/>
  <c r="C221" i="2"/>
  <c r="B221" i="2"/>
  <c r="A221" i="2"/>
  <c r="AG220" i="2"/>
  <c r="AF220" i="2"/>
  <c r="AE218" i="3" s="1"/>
  <c r="AE218" i="4" s="1"/>
  <c r="AE220" i="2"/>
  <c r="AD218" i="3" s="1"/>
  <c r="AD218" i="4" s="1"/>
  <c r="AD220" i="2"/>
  <c r="AC220" i="2"/>
  <c r="AB220" i="2"/>
  <c r="AA220" i="2"/>
  <c r="Z220" i="2"/>
  <c r="Y220" i="2"/>
  <c r="X220" i="2"/>
  <c r="W220" i="2"/>
  <c r="V220" i="2"/>
  <c r="U220" i="2"/>
  <c r="T220" i="2"/>
  <c r="S218" i="3" s="1"/>
  <c r="S218" i="4" s="1"/>
  <c r="S220" i="2"/>
  <c r="R218" i="3" s="1"/>
  <c r="R218" i="4" s="1"/>
  <c r="R220" i="2"/>
  <c r="Q220" i="2"/>
  <c r="P220" i="2"/>
  <c r="O220" i="2"/>
  <c r="N220" i="2"/>
  <c r="M220" i="2"/>
  <c r="L220" i="2"/>
  <c r="K220" i="2"/>
  <c r="J220" i="2"/>
  <c r="I220" i="2"/>
  <c r="H220" i="2"/>
  <c r="G218" i="3" s="1"/>
  <c r="G218" i="4" s="1"/>
  <c r="G220" i="2"/>
  <c r="F218" i="3" s="1"/>
  <c r="F218" i="4" s="1"/>
  <c r="F220" i="2"/>
  <c r="E220" i="2"/>
  <c r="D220" i="2"/>
  <c r="C220" i="2"/>
  <c r="B220" i="2"/>
  <c r="A220" i="2"/>
  <c r="AG219" i="2"/>
  <c r="AF219" i="2"/>
  <c r="AE219" i="2"/>
  <c r="AD219" i="2"/>
  <c r="AC219" i="2"/>
  <c r="AB217" i="3" s="1"/>
  <c r="AB217" i="4" s="1"/>
  <c r="AB219" i="2"/>
  <c r="AA217" i="3" s="1"/>
  <c r="AA217" i="4" s="1"/>
  <c r="AA219" i="2"/>
  <c r="Z219" i="2"/>
  <c r="Y219" i="2"/>
  <c r="X219" i="2"/>
  <c r="W219" i="2"/>
  <c r="V219" i="2"/>
  <c r="U219" i="2"/>
  <c r="T219" i="2"/>
  <c r="S219" i="2"/>
  <c r="R219" i="2"/>
  <c r="Q219" i="2"/>
  <c r="P217" i="3" s="1"/>
  <c r="P217" i="4" s="1"/>
  <c r="P219" i="2"/>
  <c r="O217" i="3" s="1"/>
  <c r="O217" i="4" s="1"/>
  <c r="O219" i="2"/>
  <c r="N219" i="2"/>
  <c r="M219" i="2"/>
  <c r="L219" i="2"/>
  <c r="K219" i="2"/>
  <c r="J219" i="2"/>
  <c r="I219" i="2"/>
  <c r="H219" i="2"/>
  <c r="G219" i="2"/>
  <c r="F219" i="2"/>
  <c r="E219" i="2"/>
  <c r="D217" i="3" s="1"/>
  <c r="D217" i="4" s="1"/>
  <c r="D219" i="2"/>
  <c r="C217" i="3" s="1"/>
  <c r="C217" i="4" s="1"/>
  <c r="C219" i="2"/>
  <c r="B219" i="2"/>
  <c r="A219" i="2"/>
  <c r="AG218" i="2"/>
  <c r="AF218" i="2"/>
  <c r="AE218" i="2"/>
  <c r="AD218" i="2"/>
  <c r="AC218" i="2"/>
  <c r="AB218" i="2"/>
  <c r="AA218" i="2"/>
  <c r="Z218" i="2"/>
  <c r="Y216" i="3" s="1"/>
  <c r="Y216" i="4" s="1"/>
  <c r="Y218" i="2"/>
  <c r="X216" i="3" s="1"/>
  <c r="X216" i="4" s="1"/>
  <c r="X218" i="2"/>
  <c r="W218" i="2"/>
  <c r="V218" i="2"/>
  <c r="U218" i="2"/>
  <c r="T218" i="2"/>
  <c r="S218" i="2"/>
  <c r="R218" i="2"/>
  <c r="Q218" i="2"/>
  <c r="P218" i="2"/>
  <c r="O218" i="2"/>
  <c r="N218" i="2"/>
  <c r="M216" i="3" s="1"/>
  <c r="M216" i="4" s="1"/>
  <c r="M218" i="2"/>
  <c r="L216" i="3" s="1"/>
  <c r="L216" i="4" s="1"/>
  <c r="L218" i="2"/>
  <c r="K218" i="2"/>
  <c r="J218" i="2"/>
  <c r="I218" i="2"/>
  <c r="H218" i="2"/>
  <c r="G218" i="2"/>
  <c r="F218" i="2"/>
  <c r="E218" i="2"/>
  <c r="D218" i="2"/>
  <c r="C218" i="2"/>
  <c r="B218" i="2"/>
  <c r="A216" i="3" s="1"/>
  <c r="A216" i="4" s="1"/>
  <c r="A218" i="2"/>
  <c r="AG217" i="2"/>
  <c r="AF217" i="2"/>
  <c r="AE217" i="2"/>
  <c r="AD217" i="2"/>
  <c r="AC217" i="2"/>
  <c r="AB217" i="2"/>
  <c r="AA217" i="2"/>
  <c r="Z217" i="2"/>
  <c r="Y217" i="2"/>
  <c r="X217" i="2"/>
  <c r="W217" i="2"/>
  <c r="V215" i="3" s="1"/>
  <c r="V215" i="4" s="1"/>
  <c r="V217" i="2"/>
  <c r="U215" i="3" s="1"/>
  <c r="U215" i="4" s="1"/>
  <c r="U217" i="2"/>
  <c r="T217" i="2"/>
  <c r="S217" i="2"/>
  <c r="R217" i="2"/>
  <c r="Q217" i="2"/>
  <c r="P217" i="2"/>
  <c r="O217" i="2"/>
  <c r="N217" i="2"/>
  <c r="M217" i="2"/>
  <c r="L217" i="2"/>
  <c r="K217" i="2"/>
  <c r="J215" i="3" s="1"/>
  <c r="J215" i="4" s="1"/>
  <c r="J217" i="2"/>
  <c r="I215" i="3" s="1"/>
  <c r="I215" i="4" s="1"/>
  <c r="I217" i="2"/>
  <c r="H217" i="2"/>
  <c r="G217" i="2"/>
  <c r="F217" i="2"/>
  <c r="E217" i="2"/>
  <c r="D217" i="2"/>
  <c r="C217" i="2"/>
  <c r="B217" i="2"/>
  <c r="A217" i="2"/>
  <c r="AG216" i="2"/>
  <c r="AF216" i="2"/>
  <c r="AE214" i="3" s="1"/>
  <c r="AE214" i="4" s="1"/>
  <c r="AE216" i="2"/>
  <c r="AD214" i="3" s="1"/>
  <c r="AD214" i="4" s="1"/>
  <c r="AD216" i="2"/>
  <c r="AC216" i="2"/>
  <c r="AB216" i="2"/>
  <c r="AA216" i="2"/>
  <c r="Z216" i="2"/>
  <c r="Y216" i="2"/>
  <c r="X216" i="2"/>
  <c r="W216" i="2"/>
  <c r="V216" i="2"/>
  <c r="U216" i="2"/>
  <c r="T216" i="2"/>
  <c r="S214" i="3" s="1"/>
  <c r="S214" i="4" s="1"/>
  <c r="S216" i="2"/>
  <c r="R214" i="3" s="1"/>
  <c r="R214" i="4" s="1"/>
  <c r="R216" i="2"/>
  <c r="Q216" i="2"/>
  <c r="P216" i="2"/>
  <c r="O216" i="2"/>
  <c r="N216" i="2"/>
  <c r="M216" i="2"/>
  <c r="L216" i="2"/>
  <c r="K216" i="2"/>
  <c r="J216" i="2"/>
  <c r="I216" i="2"/>
  <c r="H216" i="2"/>
  <c r="G214" i="3" s="1"/>
  <c r="G214" i="4" s="1"/>
  <c r="G216" i="2"/>
  <c r="F214" i="3" s="1"/>
  <c r="F214" i="4" s="1"/>
  <c r="F216" i="2"/>
  <c r="E216" i="2"/>
  <c r="D216" i="2"/>
  <c r="C216" i="2"/>
  <c r="B216" i="2"/>
  <c r="A216" i="2"/>
  <c r="AG215" i="2"/>
  <c r="AF215" i="2"/>
  <c r="AE215" i="2"/>
  <c r="AD215" i="2"/>
  <c r="AC215" i="2"/>
  <c r="AB213" i="3" s="1"/>
  <c r="AB213" i="4" s="1"/>
  <c r="AB215" i="2"/>
  <c r="AA213" i="3" s="1"/>
  <c r="AA213" i="4" s="1"/>
  <c r="AA215" i="2"/>
  <c r="Z215" i="2"/>
  <c r="Y215" i="2"/>
  <c r="X215" i="2"/>
  <c r="W215" i="2"/>
  <c r="V215" i="2"/>
  <c r="U215" i="2"/>
  <c r="T215" i="2"/>
  <c r="S215" i="2"/>
  <c r="R215" i="2"/>
  <c r="Q215" i="2"/>
  <c r="P213" i="3" s="1"/>
  <c r="P213" i="4" s="1"/>
  <c r="P215" i="2"/>
  <c r="O213" i="3" s="1"/>
  <c r="O213" i="4" s="1"/>
  <c r="O215" i="2"/>
  <c r="N215" i="2"/>
  <c r="M215" i="2"/>
  <c r="L215" i="2"/>
  <c r="K215" i="2"/>
  <c r="J215" i="2"/>
  <c r="I215" i="2"/>
  <c r="H215" i="2"/>
  <c r="G215" i="2"/>
  <c r="F215" i="2"/>
  <c r="E215" i="2"/>
  <c r="D213" i="3" s="1"/>
  <c r="D213" i="4" s="1"/>
  <c r="D215" i="2"/>
  <c r="C213" i="3" s="1"/>
  <c r="C213" i="4" s="1"/>
  <c r="C215" i="2"/>
  <c r="B215" i="2"/>
  <c r="A215" i="2"/>
  <c r="AG214" i="2"/>
  <c r="AF214" i="2"/>
  <c r="AE214" i="2"/>
  <c r="AD214" i="2"/>
  <c r="AC214" i="2"/>
  <c r="AB214" i="2"/>
  <c r="AA214" i="2"/>
  <c r="Z214" i="2"/>
  <c r="Y212" i="3" s="1"/>
  <c r="Y212" i="4" s="1"/>
  <c r="Y214" i="2"/>
  <c r="X212" i="3" s="1"/>
  <c r="X212" i="4" s="1"/>
  <c r="X214" i="2"/>
  <c r="W214" i="2"/>
  <c r="V214" i="2"/>
  <c r="U214" i="2"/>
  <c r="T214" i="2"/>
  <c r="S214" i="2"/>
  <c r="R214" i="2"/>
  <c r="Q214" i="2"/>
  <c r="P214" i="2"/>
  <c r="O214" i="2"/>
  <c r="N214" i="2"/>
  <c r="M212" i="3" s="1"/>
  <c r="M212" i="4" s="1"/>
  <c r="M214" i="2"/>
  <c r="L212" i="3" s="1"/>
  <c r="L212" i="4" s="1"/>
  <c r="L214" i="2"/>
  <c r="K214" i="2"/>
  <c r="J214" i="2"/>
  <c r="I214" i="2"/>
  <c r="H214" i="2"/>
  <c r="G214" i="2"/>
  <c r="F214" i="2"/>
  <c r="E214" i="2"/>
  <c r="D214" i="2"/>
  <c r="C214" i="2"/>
  <c r="B214" i="2"/>
  <c r="A212" i="3" s="1"/>
  <c r="A212" i="4" s="1"/>
  <c r="A214" i="2"/>
  <c r="AG213" i="2"/>
  <c r="AF213" i="2"/>
  <c r="AE213" i="2"/>
  <c r="AD213" i="2"/>
  <c r="AC213" i="2"/>
  <c r="AB213" i="2"/>
  <c r="AA213" i="2"/>
  <c r="Z213" i="2"/>
  <c r="Y213" i="2"/>
  <c r="X213" i="2"/>
  <c r="W213" i="2"/>
  <c r="V211" i="3" s="1"/>
  <c r="V211" i="4" s="1"/>
  <c r="V213" i="2"/>
  <c r="U211" i="3" s="1"/>
  <c r="U211" i="4" s="1"/>
  <c r="U213" i="2"/>
  <c r="T213" i="2"/>
  <c r="S213" i="2"/>
  <c r="R213" i="2"/>
  <c r="Q213" i="2"/>
  <c r="P213" i="2"/>
  <c r="O213" i="2"/>
  <c r="N213" i="2"/>
  <c r="M213" i="2"/>
  <c r="L213" i="2"/>
  <c r="K213" i="2"/>
  <c r="J211" i="3" s="1"/>
  <c r="J211" i="4" s="1"/>
  <c r="J213" i="2"/>
  <c r="I211" i="3" s="1"/>
  <c r="I211" i="4" s="1"/>
  <c r="I213" i="2"/>
  <c r="H213" i="2"/>
  <c r="G213" i="2"/>
  <c r="F213" i="2"/>
  <c r="E213" i="2"/>
  <c r="D213" i="2"/>
  <c r="C213" i="2"/>
  <c r="B213" i="2"/>
  <c r="A213" i="2"/>
  <c r="AG212" i="2"/>
  <c r="AF212" i="2"/>
  <c r="AE210" i="3" s="1"/>
  <c r="AE210" i="4" s="1"/>
  <c r="AE212" i="2"/>
  <c r="AD210" i="3" s="1"/>
  <c r="AD210" i="4" s="1"/>
  <c r="AD212" i="2"/>
  <c r="AC212" i="2"/>
  <c r="AB212" i="2"/>
  <c r="AA212" i="2"/>
  <c r="Z212" i="2"/>
  <c r="Y212" i="2"/>
  <c r="X212" i="2"/>
  <c r="W212" i="2"/>
  <c r="V212" i="2"/>
  <c r="U212" i="2"/>
  <c r="T212" i="2"/>
  <c r="S210" i="3" s="1"/>
  <c r="S210" i="4" s="1"/>
  <c r="S212" i="2"/>
  <c r="R210" i="3" s="1"/>
  <c r="R210" i="4" s="1"/>
  <c r="R212" i="2"/>
  <c r="Q212" i="2"/>
  <c r="P212" i="2"/>
  <c r="O212" i="2"/>
  <c r="N212" i="2"/>
  <c r="M212" i="2"/>
  <c r="L212" i="2"/>
  <c r="K212" i="2"/>
  <c r="J212" i="2"/>
  <c r="I212" i="2"/>
  <c r="H212" i="2"/>
  <c r="G210" i="3" s="1"/>
  <c r="G210" i="4" s="1"/>
  <c r="G212" i="2"/>
  <c r="F210" i="3" s="1"/>
  <c r="F210" i="4" s="1"/>
  <c r="F212" i="2"/>
  <c r="E212" i="2"/>
  <c r="D212" i="2"/>
  <c r="C212" i="2"/>
  <c r="B212" i="2"/>
  <c r="A212" i="2"/>
  <c r="AG211" i="2"/>
  <c r="AF211" i="2"/>
  <c r="AE211" i="2"/>
  <c r="AD211" i="2"/>
  <c r="AC211" i="2"/>
  <c r="AB209" i="3" s="1"/>
  <c r="AB209" i="4" s="1"/>
  <c r="AB211" i="2"/>
  <c r="AA209" i="3" s="1"/>
  <c r="AA209" i="4" s="1"/>
  <c r="AA211" i="2"/>
  <c r="Z211" i="2"/>
  <c r="Y211" i="2"/>
  <c r="X211" i="2"/>
  <c r="W211" i="2"/>
  <c r="V211" i="2"/>
  <c r="U211" i="2"/>
  <c r="T211" i="2"/>
  <c r="S211" i="2"/>
  <c r="R211" i="2"/>
  <c r="Q211" i="2"/>
  <c r="P209" i="3" s="1"/>
  <c r="P209" i="4" s="1"/>
  <c r="P211" i="2"/>
  <c r="O209" i="3" s="1"/>
  <c r="O209" i="4" s="1"/>
  <c r="O211" i="2"/>
  <c r="N211" i="2"/>
  <c r="M211" i="2"/>
  <c r="L211" i="2"/>
  <c r="K211" i="2"/>
  <c r="J211" i="2"/>
  <c r="I211" i="2"/>
  <c r="H211" i="2"/>
  <c r="G211" i="2"/>
  <c r="F211" i="2"/>
  <c r="E211" i="2"/>
  <c r="D209" i="3" s="1"/>
  <c r="D209" i="4" s="1"/>
  <c r="D211" i="2"/>
  <c r="C209" i="3" s="1"/>
  <c r="C209" i="4" s="1"/>
  <c r="C211" i="2"/>
  <c r="B211" i="2"/>
  <c r="A211" i="2"/>
  <c r="AG210" i="2"/>
  <c r="AF210" i="2"/>
  <c r="AE210" i="2"/>
  <c r="AD210" i="2"/>
  <c r="AC210" i="2"/>
  <c r="AB210" i="2"/>
  <c r="AA210" i="2"/>
  <c r="Z210" i="2"/>
  <c r="Y208" i="3" s="1"/>
  <c r="Y208" i="4" s="1"/>
  <c r="Y210" i="2"/>
  <c r="X208" i="3" s="1"/>
  <c r="X208" i="4" s="1"/>
  <c r="X210" i="2"/>
  <c r="W210" i="2"/>
  <c r="V210" i="2"/>
  <c r="U210" i="2"/>
  <c r="T210" i="2"/>
  <c r="S210" i="2"/>
  <c r="R210" i="2"/>
  <c r="Q210" i="2"/>
  <c r="P210" i="2"/>
  <c r="O210" i="2"/>
  <c r="N210" i="2"/>
  <c r="M208" i="3" s="1"/>
  <c r="M208" i="4" s="1"/>
  <c r="M210" i="2"/>
  <c r="L208" i="3" s="1"/>
  <c r="L208" i="4" s="1"/>
  <c r="L210" i="2"/>
  <c r="K210" i="2"/>
  <c r="J210" i="2"/>
  <c r="I210" i="2"/>
  <c r="H210" i="2"/>
  <c r="G210" i="2"/>
  <c r="F210" i="2"/>
  <c r="E210" i="2"/>
  <c r="D210" i="2"/>
  <c r="C210" i="2"/>
  <c r="B210" i="2"/>
  <c r="A208" i="3" s="1"/>
  <c r="A208" i="4" s="1"/>
  <c r="A210" i="2"/>
  <c r="AG209" i="2"/>
  <c r="AF209" i="2"/>
  <c r="AE209" i="2"/>
  <c r="AD209" i="2"/>
  <c r="AC209" i="2"/>
  <c r="AB209" i="2"/>
  <c r="AA209" i="2"/>
  <c r="Z209" i="2"/>
  <c r="Y209" i="2"/>
  <c r="X209" i="2"/>
  <c r="W209" i="2"/>
  <c r="V207" i="3" s="1"/>
  <c r="V207" i="4" s="1"/>
  <c r="V209" i="2"/>
  <c r="U207" i="3" s="1"/>
  <c r="U207" i="4" s="1"/>
  <c r="U209" i="2"/>
  <c r="T209" i="2"/>
  <c r="S209" i="2"/>
  <c r="R209" i="2"/>
  <c r="Q209" i="2"/>
  <c r="P209" i="2"/>
  <c r="O209" i="2"/>
  <c r="N209" i="2"/>
  <c r="M209" i="2"/>
  <c r="L209" i="2"/>
  <c r="K209" i="2"/>
  <c r="J207" i="3" s="1"/>
  <c r="J207" i="4" s="1"/>
  <c r="J209" i="2"/>
  <c r="I207" i="3" s="1"/>
  <c r="I207" i="4" s="1"/>
  <c r="I209" i="2"/>
  <c r="H209" i="2"/>
  <c r="G209" i="2"/>
  <c r="F209" i="2"/>
  <c r="E209" i="2"/>
  <c r="D209" i="2"/>
  <c r="C209" i="2"/>
  <c r="B209" i="2"/>
  <c r="A209" i="2"/>
  <c r="AG208" i="2"/>
  <c r="AF208" i="2"/>
  <c r="AE206" i="3" s="1"/>
  <c r="AE206" i="4" s="1"/>
  <c r="AE208" i="2"/>
  <c r="AD206" i="3" s="1"/>
  <c r="AD206" i="4" s="1"/>
  <c r="AD208" i="2"/>
  <c r="AC208" i="2"/>
  <c r="AB208" i="2"/>
  <c r="AA208" i="2"/>
  <c r="Z208" i="2"/>
  <c r="Y208" i="2"/>
  <c r="X208" i="2"/>
  <c r="W208" i="2"/>
  <c r="V208" i="2"/>
  <c r="U208" i="2"/>
  <c r="T208" i="2"/>
  <c r="S206" i="3" s="1"/>
  <c r="S206" i="4" s="1"/>
  <c r="S208" i="2"/>
  <c r="R206" i="3" s="1"/>
  <c r="R206" i="4" s="1"/>
  <c r="R208" i="2"/>
  <c r="Q208" i="2"/>
  <c r="P208" i="2"/>
  <c r="O208" i="2"/>
  <c r="N208" i="2"/>
  <c r="M208" i="2"/>
  <c r="L208" i="2"/>
  <c r="K208" i="2"/>
  <c r="J208" i="2"/>
  <c r="I208" i="2"/>
  <c r="H208" i="2"/>
  <c r="G206" i="3" s="1"/>
  <c r="G206" i="4" s="1"/>
  <c r="G208" i="2"/>
  <c r="F206" i="3" s="1"/>
  <c r="F206" i="4" s="1"/>
  <c r="F208" i="2"/>
  <c r="E208" i="2"/>
  <c r="D208" i="2"/>
  <c r="C208" i="2"/>
  <c r="B208" i="2"/>
  <c r="A208" i="2"/>
  <c r="AG207" i="2"/>
  <c r="AF207" i="2"/>
  <c r="AE207" i="2"/>
  <c r="AD207" i="2"/>
  <c r="AC207" i="2"/>
  <c r="AB205" i="3" s="1"/>
  <c r="AB205" i="4" s="1"/>
  <c r="AB207" i="2"/>
  <c r="AA205" i="3" s="1"/>
  <c r="AA205" i="4" s="1"/>
  <c r="AA207" i="2"/>
  <c r="Z207" i="2"/>
  <c r="Y207" i="2"/>
  <c r="X207" i="2"/>
  <c r="W207" i="2"/>
  <c r="V207" i="2"/>
  <c r="U207" i="2"/>
  <c r="T207" i="2"/>
  <c r="S207" i="2"/>
  <c r="R207" i="2"/>
  <c r="Q207" i="2"/>
  <c r="P205" i="3" s="1"/>
  <c r="P205" i="4" s="1"/>
  <c r="P207" i="2"/>
  <c r="O205" i="3" s="1"/>
  <c r="O205" i="4" s="1"/>
  <c r="O207" i="2"/>
  <c r="N207" i="2"/>
  <c r="M207" i="2"/>
  <c r="L207" i="2"/>
  <c r="K207" i="2"/>
  <c r="J207" i="2"/>
  <c r="I207" i="2"/>
  <c r="H207" i="2"/>
  <c r="G207" i="2"/>
  <c r="F207" i="2"/>
  <c r="E207" i="2"/>
  <c r="D205" i="3" s="1"/>
  <c r="D205" i="4" s="1"/>
  <c r="D207" i="2"/>
  <c r="C205" i="3" s="1"/>
  <c r="C205" i="4" s="1"/>
  <c r="C207" i="2"/>
  <c r="B207" i="2"/>
  <c r="A207" i="2"/>
  <c r="AG206" i="2"/>
  <c r="AF206" i="2"/>
  <c r="AE206" i="2"/>
  <c r="AD206" i="2"/>
  <c r="AC206" i="2"/>
  <c r="AB206" i="2"/>
  <c r="AA206" i="2"/>
  <c r="Z206" i="2"/>
  <c r="Y204" i="3" s="1"/>
  <c r="Y204" i="4" s="1"/>
  <c r="Y206" i="2"/>
  <c r="X204" i="3" s="1"/>
  <c r="X204" i="4" s="1"/>
  <c r="X206" i="2"/>
  <c r="W206" i="2"/>
  <c r="V206" i="2"/>
  <c r="U206" i="2"/>
  <c r="T206" i="2"/>
  <c r="S206" i="2"/>
  <c r="R206" i="2"/>
  <c r="Q206" i="2"/>
  <c r="P206" i="2"/>
  <c r="O206" i="2"/>
  <c r="N206" i="2"/>
  <c r="M204" i="3" s="1"/>
  <c r="M204" i="4" s="1"/>
  <c r="M206" i="2"/>
  <c r="L204" i="3" s="1"/>
  <c r="L204" i="4" s="1"/>
  <c r="L206" i="2"/>
  <c r="K206" i="2"/>
  <c r="J206" i="2"/>
  <c r="I206" i="2"/>
  <c r="H206" i="2"/>
  <c r="G206" i="2"/>
  <c r="F206" i="2"/>
  <c r="E206" i="2"/>
  <c r="D206" i="2"/>
  <c r="C206" i="2"/>
  <c r="B206" i="2"/>
  <c r="A204" i="3" s="1"/>
  <c r="A204" i="4" s="1"/>
  <c r="A206" i="2"/>
  <c r="AG205" i="2"/>
  <c r="AF205" i="2"/>
  <c r="AE205" i="2"/>
  <c r="AD205" i="2"/>
  <c r="AC205" i="2"/>
  <c r="AB205" i="2"/>
  <c r="AA205" i="2"/>
  <c r="Z205" i="2"/>
  <c r="Y205" i="2"/>
  <c r="X205" i="2"/>
  <c r="W205" i="2"/>
  <c r="V203" i="3" s="1"/>
  <c r="V203" i="4" s="1"/>
  <c r="V205" i="2"/>
  <c r="U203" i="3" s="1"/>
  <c r="U203" i="4" s="1"/>
  <c r="U205" i="2"/>
  <c r="T205" i="2"/>
  <c r="S205" i="2"/>
  <c r="R205" i="2"/>
  <c r="Q205" i="2"/>
  <c r="P205" i="2"/>
  <c r="O205" i="2"/>
  <c r="N205" i="2"/>
  <c r="M205" i="2"/>
  <c r="L205" i="2"/>
  <c r="K205" i="2"/>
  <c r="J203" i="3" s="1"/>
  <c r="J203" i="4" s="1"/>
  <c r="J205" i="2"/>
  <c r="I203" i="3" s="1"/>
  <c r="I203" i="4" s="1"/>
  <c r="I205" i="2"/>
  <c r="H205" i="2"/>
  <c r="G205" i="2"/>
  <c r="F205" i="2"/>
  <c r="E205" i="2"/>
  <c r="D205" i="2"/>
  <c r="C205" i="2"/>
  <c r="B205" i="2"/>
  <c r="A205" i="2"/>
  <c r="AG204" i="2"/>
  <c r="AF204" i="2"/>
  <c r="AE202" i="3" s="1"/>
  <c r="AE202" i="4" s="1"/>
  <c r="AE204" i="2"/>
  <c r="AD202" i="3" s="1"/>
  <c r="AD202" i="4" s="1"/>
  <c r="AD204" i="2"/>
  <c r="AC204" i="2"/>
  <c r="AB204" i="2"/>
  <c r="AA204" i="2"/>
  <c r="Z204" i="2"/>
  <c r="Y204" i="2"/>
  <c r="X204" i="2"/>
  <c r="W204" i="2"/>
  <c r="V204" i="2"/>
  <c r="U204" i="2"/>
  <c r="T204" i="2"/>
  <c r="S202" i="3" s="1"/>
  <c r="S202" i="4" s="1"/>
  <c r="S204" i="2"/>
  <c r="R202" i="3" s="1"/>
  <c r="R202" i="4" s="1"/>
  <c r="R204" i="2"/>
  <c r="Q204" i="2"/>
  <c r="P204" i="2"/>
  <c r="O204" i="2"/>
  <c r="N204" i="2"/>
  <c r="M204" i="2"/>
  <c r="L204" i="2"/>
  <c r="K204" i="2"/>
  <c r="J204" i="2"/>
  <c r="I204" i="2"/>
  <c r="H204" i="2"/>
  <c r="G202" i="3" s="1"/>
  <c r="G202" i="4" s="1"/>
  <c r="G204" i="2"/>
  <c r="F202" i="3" s="1"/>
  <c r="F202" i="4" s="1"/>
  <c r="F204" i="2"/>
  <c r="E204" i="2"/>
  <c r="D204" i="2"/>
  <c r="C204" i="2"/>
  <c r="B204" i="2"/>
  <c r="A204" i="2"/>
  <c r="AG203" i="2"/>
  <c r="AF203" i="2"/>
  <c r="AE203" i="2"/>
  <c r="AD203" i="2"/>
  <c r="AC203" i="2"/>
  <c r="AB201" i="3" s="1"/>
  <c r="AB201" i="4" s="1"/>
  <c r="AB203" i="2"/>
  <c r="AA201" i="3" s="1"/>
  <c r="AA201" i="4" s="1"/>
  <c r="AA203" i="2"/>
  <c r="Z203" i="2"/>
  <c r="Y203" i="2"/>
  <c r="X203" i="2"/>
  <c r="W203" i="2"/>
  <c r="V203" i="2"/>
  <c r="U203" i="2"/>
  <c r="T203" i="2"/>
  <c r="S203" i="2"/>
  <c r="R203" i="2"/>
  <c r="Q203" i="2"/>
  <c r="P201" i="3" s="1"/>
  <c r="P201" i="4" s="1"/>
  <c r="P203" i="2"/>
  <c r="O201" i="3" s="1"/>
  <c r="O201" i="4" s="1"/>
  <c r="O203" i="2"/>
  <c r="N203" i="2"/>
  <c r="M203" i="2"/>
  <c r="L203" i="2"/>
  <c r="K203" i="2"/>
  <c r="J203" i="2"/>
  <c r="I203" i="2"/>
  <c r="H203" i="2"/>
  <c r="G203" i="2"/>
  <c r="F203" i="2"/>
  <c r="E203" i="2"/>
  <c r="D201" i="3" s="1"/>
  <c r="D201" i="4" s="1"/>
  <c r="D203" i="2"/>
  <c r="C201" i="3" s="1"/>
  <c r="C201" i="4" s="1"/>
  <c r="C203" i="2"/>
  <c r="B203" i="2"/>
  <c r="A203" i="2"/>
  <c r="AG202" i="2"/>
  <c r="AF202" i="2"/>
  <c r="AE202" i="2"/>
  <c r="AD202" i="2"/>
  <c r="AC202" i="2"/>
  <c r="AB202" i="2"/>
  <c r="AA202" i="2"/>
  <c r="Z202" i="2"/>
  <c r="Y200" i="3" s="1"/>
  <c r="Y200" i="4" s="1"/>
  <c r="Y202" i="2"/>
  <c r="X200" i="3" s="1"/>
  <c r="X200" i="4" s="1"/>
  <c r="X202" i="2"/>
  <c r="W202" i="2"/>
  <c r="V202" i="2"/>
  <c r="U202" i="2"/>
  <c r="T202" i="2"/>
  <c r="S202" i="2"/>
  <c r="R202" i="2"/>
  <c r="Q202" i="2"/>
  <c r="P202" i="2"/>
  <c r="O202" i="2"/>
  <c r="N202" i="2"/>
  <c r="M200" i="3" s="1"/>
  <c r="M200" i="4" s="1"/>
  <c r="M202" i="2"/>
  <c r="L200" i="3" s="1"/>
  <c r="L200" i="4" s="1"/>
  <c r="L202" i="2"/>
  <c r="K202" i="2"/>
  <c r="J202" i="2"/>
  <c r="I202" i="2"/>
  <c r="H202" i="2"/>
  <c r="G202" i="2"/>
  <c r="F202" i="2"/>
  <c r="E202" i="2"/>
  <c r="D202" i="2"/>
  <c r="C202" i="2"/>
  <c r="B202" i="2"/>
  <c r="A200" i="3" s="1"/>
  <c r="A200" i="4" s="1"/>
  <c r="A202" i="2"/>
  <c r="AG201" i="2"/>
  <c r="AF201" i="2"/>
  <c r="AE201" i="2"/>
  <c r="AD201" i="2"/>
  <c r="AC201" i="2"/>
  <c r="AB201" i="2"/>
  <c r="AA201" i="2"/>
  <c r="Z201" i="2"/>
  <c r="Y201" i="2"/>
  <c r="X201" i="2"/>
  <c r="W201" i="2"/>
  <c r="V199" i="3" s="1"/>
  <c r="V199" i="4" s="1"/>
  <c r="V201" i="2"/>
  <c r="U199" i="3" s="1"/>
  <c r="U199" i="4" s="1"/>
  <c r="U201" i="2"/>
  <c r="T201" i="2"/>
  <c r="S201" i="2"/>
  <c r="R201" i="2"/>
  <c r="Q201" i="2"/>
  <c r="P201" i="2"/>
  <c r="O201" i="2"/>
  <c r="N201" i="2"/>
  <c r="M201" i="2"/>
  <c r="L201" i="2"/>
  <c r="K201" i="2"/>
  <c r="J199" i="3" s="1"/>
  <c r="J199" i="4" s="1"/>
  <c r="J201" i="2"/>
  <c r="I199" i="3" s="1"/>
  <c r="I199" i="4" s="1"/>
  <c r="I201" i="2"/>
  <c r="H201" i="2"/>
  <c r="G201" i="2"/>
  <c r="F201" i="2"/>
  <c r="E201" i="2"/>
  <c r="D201" i="2"/>
  <c r="C201" i="2"/>
  <c r="B201" i="2"/>
  <c r="A201" i="2"/>
  <c r="AG200" i="2"/>
  <c r="AF200" i="2"/>
  <c r="AE198" i="3" s="1"/>
  <c r="AE198" i="4" s="1"/>
  <c r="AE200" i="2"/>
  <c r="AD198" i="3" s="1"/>
  <c r="AD198" i="4" s="1"/>
  <c r="AD200" i="2"/>
  <c r="AC200" i="2"/>
  <c r="AB200" i="2"/>
  <c r="AA200" i="2"/>
  <c r="Z200" i="2"/>
  <c r="Y200" i="2"/>
  <c r="X200" i="2"/>
  <c r="W200" i="2"/>
  <c r="V200" i="2"/>
  <c r="U200" i="2"/>
  <c r="T200" i="2"/>
  <c r="S198" i="3" s="1"/>
  <c r="S198" i="4" s="1"/>
  <c r="S200" i="2"/>
  <c r="R198" i="3" s="1"/>
  <c r="R198" i="4" s="1"/>
  <c r="R200" i="2"/>
  <c r="Q200" i="2"/>
  <c r="P200" i="2"/>
  <c r="O200" i="2"/>
  <c r="N200" i="2"/>
  <c r="M200" i="2"/>
  <c r="L200" i="2"/>
  <c r="K200" i="2"/>
  <c r="J200" i="2"/>
  <c r="I200" i="2"/>
  <c r="H200" i="2"/>
  <c r="G198" i="3" s="1"/>
  <c r="G198" i="4" s="1"/>
  <c r="G200" i="2"/>
  <c r="F198" i="3" s="1"/>
  <c r="F198" i="4" s="1"/>
  <c r="F200" i="2"/>
  <c r="E200" i="2"/>
  <c r="D200" i="2"/>
  <c r="C200" i="2"/>
  <c r="B200" i="2"/>
  <c r="A200" i="2"/>
  <c r="AG199" i="2"/>
  <c r="AF199" i="2"/>
  <c r="AE199" i="2"/>
  <c r="AD199" i="2"/>
  <c r="AC199" i="2"/>
  <c r="AB197" i="3" s="1"/>
  <c r="AB197" i="4" s="1"/>
  <c r="AB199" i="2"/>
  <c r="AA197" i="3" s="1"/>
  <c r="AA197" i="4" s="1"/>
  <c r="AA199" i="2"/>
  <c r="Z199" i="2"/>
  <c r="Y199" i="2"/>
  <c r="X199" i="2"/>
  <c r="W199" i="2"/>
  <c r="V199" i="2"/>
  <c r="U199" i="2"/>
  <c r="T199" i="2"/>
  <c r="S199" i="2"/>
  <c r="R199" i="2"/>
  <c r="Q199" i="2"/>
  <c r="P197" i="3" s="1"/>
  <c r="P197" i="4" s="1"/>
  <c r="P199" i="2"/>
  <c r="O197" i="3" s="1"/>
  <c r="O197" i="4" s="1"/>
  <c r="O199" i="2"/>
  <c r="N199" i="2"/>
  <c r="M199" i="2"/>
  <c r="L199" i="2"/>
  <c r="K199" i="2"/>
  <c r="J199" i="2"/>
  <c r="I199" i="2"/>
  <c r="H199" i="2"/>
  <c r="G199" i="2"/>
  <c r="F199" i="2"/>
  <c r="E199" i="2"/>
  <c r="D197" i="3" s="1"/>
  <c r="D197" i="4" s="1"/>
  <c r="D199" i="2"/>
  <c r="C197" i="3" s="1"/>
  <c r="C197" i="4" s="1"/>
  <c r="C199" i="2"/>
  <c r="B199" i="2"/>
  <c r="A199" i="2"/>
  <c r="AG198" i="2"/>
  <c r="AF198" i="2"/>
  <c r="AE198" i="2"/>
  <c r="AD198" i="2"/>
  <c r="AC198" i="2"/>
  <c r="AB198" i="2"/>
  <c r="AA198" i="2"/>
  <c r="Z198" i="2"/>
  <c r="Y196" i="3" s="1"/>
  <c r="Y196" i="4" s="1"/>
  <c r="Y198" i="2"/>
  <c r="X196" i="3" s="1"/>
  <c r="X196" i="4" s="1"/>
  <c r="X198" i="2"/>
  <c r="W198" i="2"/>
  <c r="V198" i="2"/>
  <c r="U198" i="2"/>
  <c r="T198" i="2"/>
  <c r="S198" i="2"/>
  <c r="R198" i="2"/>
  <c r="Q198" i="2"/>
  <c r="P198" i="2"/>
  <c r="O198" i="2"/>
  <c r="N198" i="2"/>
  <c r="M196" i="3" s="1"/>
  <c r="M196" i="4" s="1"/>
  <c r="M198" i="2"/>
  <c r="L196" i="3" s="1"/>
  <c r="L196" i="4" s="1"/>
  <c r="L198" i="2"/>
  <c r="K198" i="2"/>
  <c r="J198" i="2"/>
  <c r="I198" i="2"/>
  <c r="H198" i="2"/>
  <c r="G198" i="2"/>
  <c r="F198" i="2"/>
  <c r="E198" i="2"/>
  <c r="D198" i="2"/>
  <c r="C198" i="2"/>
  <c r="B198" i="2"/>
  <c r="A196" i="3" s="1"/>
  <c r="A196" i="4" s="1"/>
  <c r="A198" i="2"/>
  <c r="AG197" i="2"/>
  <c r="AF197" i="2"/>
  <c r="AE197" i="2"/>
  <c r="AD197" i="2"/>
  <c r="AC197" i="2"/>
  <c r="AB197" i="2"/>
  <c r="AA197" i="2"/>
  <c r="Z197" i="2"/>
  <c r="Y197" i="2"/>
  <c r="X197" i="2"/>
  <c r="W197" i="2"/>
  <c r="V195" i="3" s="1"/>
  <c r="V195" i="4" s="1"/>
  <c r="V197" i="2"/>
  <c r="U195" i="3" s="1"/>
  <c r="U195" i="4" s="1"/>
  <c r="U197" i="2"/>
  <c r="T197" i="2"/>
  <c r="S197" i="2"/>
  <c r="R197" i="2"/>
  <c r="Q197" i="2"/>
  <c r="P197" i="2"/>
  <c r="O197" i="2"/>
  <c r="N197" i="2"/>
  <c r="M197" i="2"/>
  <c r="L197" i="2"/>
  <c r="K197" i="2"/>
  <c r="J195" i="3" s="1"/>
  <c r="J195" i="4" s="1"/>
  <c r="J197" i="2"/>
  <c r="I195" i="3" s="1"/>
  <c r="I195" i="4" s="1"/>
  <c r="I197" i="2"/>
  <c r="H197" i="2"/>
  <c r="G197" i="2"/>
  <c r="F197" i="2"/>
  <c r="E197" i="2"/>
  <c r="D197" i="2"/>
  <c r="C197" i="2"/>
  <c r="B197" i="2"/>
  <c r="A197" i="2"/>
  <c r="AG196" i="2"/>
  <c r="AF196" i="2"/>
  <c r="AE194" i="3" s="1"/>
  <c r="AE194" i="4" s="1"/>
  <c r="AE196" i="2"/>
  <c r="AD194" i="3" s="1"/>
  <c r="AD194" i="4" s="1"/>
  <c r="AD196" i="2"/>
  <c r="AC196" i="2"/>
  <c r="AB196" i="2"/>
  <c r="AA196" i="2"/>
  <c r="Z196" i="2"/>
  <c r="Y196" i="2"/>
  <c r="X196" i="2"/>
  <c r="W196" i="2"/>
  <c r="V196" i="2"/>
  <c r="U196" i="2"/>
  <c r="T196" i="2"/>
  <c r="S194" i="3" s="1"/>
  <c r="S194" i="4" s="1"/>
  <c r="S196" i="2"/>
  <c r="R194" i="3" s="1"/>
  <c r="R194" i="4" s="1"/>
  <c r="R196" i="2"/>
  <c r="Q196" i="2"/>
  <c r="P196" i="2"/>
  <c r="O196" i="2"/>
  <c r="N196" i="2"/>
  <c r="M196" i="2"/>
  <c r="L196" i="2"/>
  <c r="K196" i="2"/>
  <c r="J196" i="2"/>
  <c r="I196" i="2"/>
  <c r="H196" i="2"/>
  <c r="G194" i="3" s="1"/>
  <c r="G194" i="4" s="1"/>
  <c r="G196" i="2"/>
  <c r="F194" i="3" s="1"/>
  <c r="F194" i="4" s="1"/>
  <c r="F196" i="2"/>
  <c r="E196" i="2"/>
  <c r="D196" i="2"/>
  <c r="C196" i="2"/>
  <c r="B196" i="2"/>
  <c r="A196" i="2"/>
  <c r="AG195" i="2"/>
  <c r="AF195" i="2"/>
  <c r="AE195" i="2"/>
  <c r="AD195" i="2"/>
  <c r="AC195" i="2"/>
  <c r="AB193" i="3" s="1"/>
  <c r="AB193" i="4" s="1"/>
  <c r="AB195" i="2"/>
  <c r="AA193" i="3" s="1"/>
  <c r="AA193" i="4" s="1"/>
  <c r="AA195" i="2"/>
  <c r="Z195" i="2"/>
  <c r="Y195" i="2"/>
  <c r="X195" i="2"/>
  <c r="W195" i="2"/>
  <c r="V195" i="2"/>
  <c r="U195" i="2"/>
  <c r="T195" i="2"/>
  <c r="S195" i="2"/>
  <c r="R195" i="2"/>
  <c r="Q195" i="2"/>
  <c r="P193" i="3" s="1"/>
  <c r="P193" i="4" s="1"/>
  <c r="P195" i="2"/>
  <c r="O193" i="3" s="1"/>
  <c r="O193" i="4" s="1"/>
  <c r="O195" i="2"/>
  <c r="N195" i="2"/>
  <c r="M195" i="2"/>
  <c r="L195" i="2"/>
  <c r="K195" i="2"/>
  <c r="J195" i="2"/>
  <c r="I195" i="2"/>
  <c r="H195" i="2"/>
  <c r="G195" i="2"/>
  <c r="F195" i="2"/>
  <c r="E195" i="2"/>
  <c r="D193" i="3" s="1"/>
  <c r="D193" i="4" s="1"/>
  <c r="D195" i="2"/>
  <c r="C193" i="3" s="1"/>
  <c r="C193" i="4" s="1"/>
  <c r="C195" i="2"/>
  <c r="B195" i="2"/>
  <c r="A195" i="2"/>
  <c r="AG194" i="2"/>
  <c r="AF194" i="2"/>
  <c r="AE194" i="2"/>
  <c r="AD194" i="2"/>
  <c r="AC194" i="2"/>
  <c r="AB194" i="2"/>
  <c r="AA194" i="2"/>
  <c r="Z194" i="2"/>
  <c r="Y192" i="3" s="1"/>
  <c r="Y192" i="4" s="1"/>
  <c r="Y194" i="2"/>
  <c r="X192" i="3" s="1"/>
  <c r="X192" i="4" s="1"/>
  <c r="X194" i="2"/>
  <c r="W194" i="2"/>
  <c r="V194" i="2"/>
  <c r="U194" i="2"/>
  <c r="T194" i="2"/>
  <c r="S194" i="2"/>
  <c r="R194" i="2"/>
  <c r="Q194" i="2"/>
  <c r="P194" i="2"/>
  <c r="O194" i="2"/>
  <c r="N194" i="2"/>
  <c r="M192" i="3" s="1"/>
  <c r="M192" i="4" s="1"/>
  <c r="M194" i="2"/>
  <c r="L192" i="3" s="1"/>
  <c r="L192" i="4" s="1"/>
  <c r="L194" i="2"/>
  <c r="K194" i="2"/>
  <c r="J194" i="2"/>
  <c r="I194" i="2"/>
  <c r="H194" i="2"/>
  <c r="G194" i="2"/>
  <c r="F194" i="2"/>
  <c r="E194" i="2"/>
  <c r="D194" i="2"/>
  <c r="C194" i="2"/>
  <c r="B194" i="2"/>
  <c r="A192" i="3" s="1"/>
  <c r="A192" i="4" s="1"/>
  <c r="A194" i="2"/>
  <c r="AG193" i="2"/>
  <c r="AF193" i="2"/>
  <c r="AE193" i="2"/>
  <c r="AD193" i="2"/>
  <c r="AC193" i="2"/>
  <c r="AB193" i="2"/>
  <c r="AA193" i="2"/>
  <c r="Z193" i="2"/>
  <c r="Y193" i="2"/>
  <c r="X193" i="2"/>
  <c r="W193" i="2"/>
  <c r="V191" i="3" s="1"/>
  <c r="V191" i="4" s="1"/>
  <c r="V193" i="2"/>
  <c r="U191" i="3" s="1"/>
  <c r="U191" i="4" s="1"/>
  <c r="U193" i="2"/>
  <c r="T193" i="2"/>
  <c r="S193" i="2"/>
  <c r="R193" i="2"/>
  <c r="Q193" i="2"/>
  <c r="P193" i="2"/>
  <c r="O193" i="2"/>
  <c r="N193" i="2"/>
  <c r="M193" i="2"/>
  <c r="L193" i="2"/>
  <c r="K193" i="2"/>
  <c r="J191" i="3" s="1"/>
  <c r="J191" i="4" s="1"/>
  <c r="J193" i="2"/>
  <c r="I191" i="3" s="1"/>
  <c r="I191" i="4" s="1"/>
  <c r="I193" i="2"/>
  <c r="H193" i="2"/>
  <c r="G193" i="2"/>
  <c r="F193" i="2"/>
  <c r="E193" i="2"/>
  <c r="D193" i="2"/>
  <c r="C193" i="2"/>
  <c r="B193" i="2"/>
  <c r="A193" i="2"/>
  <c r="AG192" i="2"/>
  <c r="AF192" i="2"/>
  <c r="AE190" i="3" s="1"/>
  <c r="AE190" i="4" s="1"/>
  <c r="AE192" i="2"/>
  <c r="AD190" i="3" s="1"/>
  <c r="AD190" i="4" s="1"/>
  <c r="AD192" i="2"/>
  <c r="AC192" i="2"/>
  <c r="AB192" i="2"/>
  <c r="AA192" i="2"/>
  <c r="Z192" i="2"/>
  <c r="Y192" i="2"/>
  <c r="X192" i="2"/>
  <c r="W192" i="2"/>
  <c r="V192" i="2"/>
  <c r="U192" i="2"/>
  <c r="T192" i="2"/>
  <c r="S190" i="3" s="1"/>
  <c r="S190" i="4" s="1"/>
  <c r="S192" i="2"/>
  <c r="R190" i="3" s="1"/>
  <c r="R190" i="4" s="1"/>
  <c r="R192" i="2"/>
  <c r="Q192" i="2"/>
  <c r="P192" i="2"/>
  <c r="O192" i="2"/>
  <c r="N192" i="2"/>
  <c r="M192" i="2"/>
  <c r="L192" i="2"/>
  <c r="K192" i="2"/>
  <c r="J192" i="2"/>
  <c r="I192" i="2"/>
  <c r="H192" i="2"/>
  <c r="G190" i="3" s="1"/>
  <c r="G190" i="4" s="1"/>
  <c r="G192" i="2"/>
  <c r="F190" i="3" s="1"/>
  <c r="F190" i="4" s="1"/>
  <c r="F192" i="2"/>
  <c r="E192" i="2"/>
  <c r="D192" i="2"/>
  <c r="C192" i="2"/>
  <c r="B192" i="2"/>
  <c r="A192" i="2"/>
  <c r="AG191" i="2"/>
  <c r="AF191" i="2"/>
  <c r="AE191" i="2"/>
  <c r="AD191" i="2"/>
  <c r="AC191" i="2"/>
  <c r="AB189" i="3" s="1"/>
  <c r="AB189" i="4" s="1"/>
  <c r="AB191" i="2"/>
  <c r="AA189" i="3" s="1"/>
  <c r="AA189" i="4" s="1"/>
  <c r="AA191" i="2"/>
  <c r="Z191" i="2"/>
  <c r="Y191" i="2"/>
  <c r="X191" i="2"/>
  <c r="W191" i="2"/>
  <c r="V191" i="2"/>
  <c r="U191" i="2"/>
  <c r="T191" i="2"/>
  <c r="S191" i="2"/>
  <c r="R191" i="2"/>
  <c r="Q191" i="2"/>
  <c r="P189" i="3" s="1"/>
  <c r="P189" i="4" s="1"/>
  <c r="P191" i="2"/>
  <c r="O189" i="3" s="1"/>
  <c r="O189" i="4" s="1"/>
  <c r="O191" i="2"/>
  <c r="N191" i="2"/>
  <c r="M191" i="2"/>
  <c r="L191" i="2"/>
  <c r="K191" i="2"/>
  <c r="J191" i="2"/>
  <c r="I191" i="2"/>
  <c r="H191" i="2"/>
  <c r="G191" i="2"/>
  <c r="F191" i="2"/>
  <c r="E191" i="2"/>
  <c r="D189" i="3" s="1"/>
  <c r="D189" i="4" s="1"/>
  <c r="D191" i="2"/>
  <c r="C189" i="3" s="1"/>
  <c r="C189" i="4" s="1"/>
  <c r="C191" i="2"/>
  <c r="B191" i="2"/>
  <c r="A191" i="2"/>
  <c r="AG190" i="2"/>
  <c r="AF190" i="2"/>
  <c r="AE190" i="2"/>
  <c r="AD190" i="2"/>
  <c r="AC190" i="2"/>
  <c r="AB190" i="2"/>
  <c r="AA190" i="2"/>
  <c r="Z190" i="2"/>
  <c r="Y188" i="3" s="1"/>
  <c r="Y188" i="4" s="1"/>
  <c r="Y190" i="2"/>
  <c r="X188" i="3" s="1"/>
  <c r="X188" i="4" s="1"/>
  <c r="X190" i="2"/>
  <c r="W190" i="2"/>
  <c r="V190" i="2"/>
  <c r="U190" i="2"/>
  <c r="T190" i="2"/>
  <c r="S190" i="2"/>
  <c r="R190" i="2"/>
  <c r="Q190" i="2"/>
  <c r="P190" i="2"/>
  <c r="O190" i="2"/>
  <c r="N190" i="2"/>
  <c r="M188" i="3" s="1"/>
  <c r="M188" i="4" s="1"/>
  <c r="M190" i="2"/>
  <c r="L188" i="3" s="1"/>
  <c r="L188" i="4" s="1"/>
  <c r="L190" i="2"/>
  <c r="K190" i="2"/>
  <c r="J190" i="2"/>
  <c r="I190" i="2"/>
  <c r="H190" i="2"/>
  <c r="G190" i="2"/>
  <c r="F190" i="2"/>
  <c r="E190" i="2"/>
  <c r="D190" i="2"/>
  <c r="C190" i="2"/>
  <c r="B190" i="2"/>
  <c r="A188" i="3" s="1"/>
  <c r="A188" i="4" s="1"/>
  <c r="A190" i="2"/>
  <c r="AG189" i="2"/>
  <c r="AF189" i="2"/>
  <c r="AE189" i="2"/>
  <c r="AD189" i="2"/>
  <c r="AC189" i="2"/>
  <c r="AB189" i="2"/>
  <c r="AA189" i="2"/>
  <c r="Z189" i="2"/>
  <c r="Y189" i="2"/>
  <c r="X189" i="2"/>
  <c r="W189" i="2"/>
  <c r="V187" i="3" s="1"/>
  <c r="V187" i="4" s="1"/>
  <c r="V189" i="2"/>
  <c r="U187" i="3" s="1"/>
  <c r="U187" i="4" s="1"/>
  <c r="U189" i="2"/>
  <c r="T189" i="2"/>
  <c r="S189" i="2"/>
  <c r="R189" i="2"/>
  <c r="Q189" i="2"/>
  <c r="P189" i="2"/>
  <c r="O189" i="2"/>
  <c r="N189" i="2"/>
  <c r="M189" i="2"/>
  <c r="L189" i="2"/>
  <c r="K189" i="2"/>
  <c r="J187" i="3" s="1"/>
  <c r="J187" i="4" s="1"/>
  <c r="J189" i="2"/>
  <c r="I187" i="3" s="1"/>
  <c r="I187" i="4" s="1"/>
  <c r="I189" i="2"/>
  <c r="H189" i="2"/>
  <c r="G189" i="2"/>
  <c r="F189" i="2"/>
  <c r="E189" i="2"/>
  <c r="D189" i="2"/>
  <c r="C189" i="2"/>
  <c r="B189" i="2"/>
  <c r="A189" i="2"/>
  <c r="AG188" i="2"/>
  <c r="AF188" i="2"/>
  <c r="AE186" i="3" s="1"/>
  <c r="AE186" i="4" s="1"/>
  <c r="AE188" i="2"/>
  <c r="AD186" i="3" s="1"/>
  <c r="AD186" i="4" s="1"/>
  <c r="AD188" i="2"/>
  <c r="AC188" i="2"/>
  <c r="AB188" i="2"/>
  <c r="AA188" i="2"/>
  <c r="Z188" i="2"/>
  <c r="Y188" i="2"/>
  <c r="X188" i="2"/>
  <c r="W188" i="2"/>
  <c r="V188" i="2"/>
  <c r="U188" i="2"/>
  <c r="T188" i="2"/>
  <c r="S186" i="3" s="1"/>
  <c r="S186" i="4" s="1"/>
  <c r="S188" i="2"/>
  <c r="R186" i="3" s="1"/>
  <c r="R186" i="4" s="1"/>
  <c r="R188" i="2"/>
  <c r="Q188" i="2"/>
  <c r="P188" i="2"/>
  <c r="O188" i="2"/>
  <c r="N188" i="2"/>
  <c r="M188" i="2"/>
  <c r="L188" i="2"/>
  <c r="K188" i="2"/>
  <c r="J188" i="2"/>
  <c r="I188" i="2"/>
  <c r="H188" i="2"/>
  <c r="G186" i="3" s="1"/>
  <c r="G186" i="4" s="1"/>
  <c r="G188" i="2"/>
  <c r="F186" i="3" s="1"/>
  <c r="F186" i="4" s="1"/>
  <c r="F188" i="2"/>
  <c r="E188" i="2"/>
  <c r="D188" i="2"/>
  <c r="C188" i="2"/>
  <c r="B188" i="2"/>
  <c r="A188" i="2"/>
  <c r="AG187" i="2"/>
  <c r="AF187" i="2"/>
  <c r="AE187" i="2"/>
  <c r="AD187" i="2"/>
  <c r="AC187" i="2"/>
  <c r="AB185" i="3" s="1"/>
  <c r="AB185" i="4" s="1"/>
  <c r="AB187" i="2"/>
  <c r="AA185" i="3" s="1"/>
  <c r="AA185" i="4" s="1"/>
  <c r="AA187" i="2"/>
  <c r="Z187" i="2"/>
  <c r="Y187" i="2"/>
  <c r="X187" i="2"/>
  <c r="W187" i="2"/>
  <c r="V187" i="2"/>
  <c r="U187" i="2"/>
  <c r="T187" i="2"/>
  <c r="S187" i="2"/>
  <c r="R187" i="2"/>
  <c r="Q187" i="2"/>
  <c r="P185" i="3" s="1"/>
  <c r="P185" i="4" s="1"/>
  <c r="P187" i="2"/>
  <c r="O185" i="3" s="1"/>
  <c r="O185" i="4" s="1"/>
  <c r="O187" i="2"/>
  <c r="N187" i="2"/>
  <c r="M187" i="2"/>
  <c r="L187" i="2"/>
  <c r="K187" i="2"/>
  <c r="J187" i="2"/>
  <c r="I187" i="2"/>
  <c r="H187" i="2"/>
  <c r="G187" i="2"/>
  <c r="F187" i="2"/>
  <c r="E187" i="2"/>
  <c r="D185" i="3" s="1"/>
  <c r="D185" i="4" s="1"/>
  <c r="D187" i="2"/>
  <c r="C185" i="3" s="1"/>
  <c r="C185" i="4" s="1"/>
  <c r="C187" i="2"/>
  <c r="B187" i="2"/>
  <c r="A187" i="2"/>
  <c r="AG186" i="2"/>
  <c r="AF186" i="2"/>
  <c r="AE186" i="2"/>
  <c r="AD186" i="2"/>
  <c r="AC186" i="2"/>
  <c r="AB186" i="2"/>
  <c r="AA186" i="2"/>
  <c r="Z186" i="2"/>
  <c r="Y184" i="3" s="1"/>
  <c r="Y184" i="4" s="1"/>
  <c r="Y186" i="2"/>
  <c r="X184" i="3" s="1"/>
  <c r="X184" i="4" s="1"/>
  <c r="X186" i="2"/>
  <c r="W186" i="2"/>
  <c r="V186" i="2"/>
  <c r="U186" i="2"/>
  <c r="T186" i="2"/>
  <c r="S186" i="2"/>
  <c r="R186" i="2"/>
  <c r="Q186" i="2"/>
  <c r="P186" i="2"/>
  <c r="O186" i="2"/>
  <c r="N186" i="2"/>
  <c r="M184" i="3" s="1"/>
  <c r="M184" i="4" s="1"/>
  <c r="M186" i="2"/>
  <c r="L184" i="3" s="1"/>
  <c r="L184" i="4" s="1"/>
  <c r="L186" i="2"/>
  <c r="K186" i="2"/>
  <c r="J186" i="2"/>
  <c r="I186" i="2"/>
  <c r="H186" i="2"/>
  <c r="G186" i="2"/>
  <c r="F186" i="2"/>
  <c r="E186" i="2"/>
  <c r="D186" i="2"/>
  <c r="C186" i="2"/>
  <c r="B186" i="2"/>
  <c r="A184" i="3" s="1"/>
  <c r="A184" i="4" s="1"/>
  <c r="A186" i="2"/>
  <c r="AG185" i="2"/>
  <c r="AF185" i="2"/>
  <c r="AE185" i="2"/>
  <c r="AD185" i="2"/>
  <c r="AC185" i="2"/>
  <c r="AB185" i="2"/>
  <c r="AA185" i="2"/>
  <c r="Z185" i="2"/>
  <c r="Y185" i="2"/>
  <c r="X185" i="2"/>
  <c r="W185" i="2"/>
  <c r="V183" i="3" s="1"/>
  <c r="V183" i="4" s="1"/>
  <c r="V185" i="2"/>
  <c r="U183" i="3" s="1"/>
  <c r="U183" i="4" s="1"/>
  <c r="U185" i="2"/>
  <c r="T185" i="2"/>
  <c r="S185" i="2"/>
  <c r="R185" i="2"/>
  <c r="Q185" i="2"/>
  <c r="P185" i="2"/>
  <c r="O185" i="2"/>
  <c r="N185" i="2"/>
  <c r="M185" i="2"/>
  <c r="L185" i="2"/>
  <c r="K185" i="2"/>
  <c r="J183" i="3" s="1"/>
  <c r="J183" i="4" s="1"/>
  <c r="J185" i="2"/>
  <c r="I183" i="3" s="1"/>
  <c r="I183" i="4" s="1"/>
  <c r="I185" i="2"/>
  <c r="H185" i="2"/>
  <c r="G185" i="2"/>
  <c r="F185" i="2"/>
  <c r="E185" i="2"/>
  <c r="D185" i="2"/>
  <c r="C185" i="2"/>
  <c r="B185" i="2"/>
  <c r="A185" i="2"/>
  <c r="AG184" i="2"/>
  <c r="AF184" i="2"/>
  <c r="AE182" i="3" s="1"/>
  <c r="AE182" i="4" s="1"/>
  <c r="AE184" i="2"/>
  <c r="AD182" i="3" s="1"/>
  <c r="AD182" i="4" s="1"/>
  <c r="AD184" i="2"/>
  <c r="AC184" i="2"/>
  <c r="AB184" i="2"/>
  <c r="AA184" i="2"/>
  <c r="Z184" i="2"/>
  <c r="Y184" i="2"/>
  <c r="X184" i="2"/>
  <c r="W184" i="2"/>
  <c r="V184" i="2"/>
  <c r="U184" i="2"/>
  <c r="T184" i="2"/>
  <c r="S182" i="3" s="1"/>
  <c r="S182" i="4" s="1"/>
  <c r="S184" i="2"/>
  <c r="R182" i="3" s="1"/>
  <c r="R182" i="4" s="1"/>
  <c r="R184" i="2"/>
  <c r="Q184" i="2"/>
  <c r="P184" i="2"/>
  <c r="O184" i="2"/>
  <c r="N184" i="2"/>
  <c r="M184" i="2"/>
  <c r="L184" i="2"/>
  <c r="K184" i="2"/>
  <c r="J184" i="2"/>
  <c r="I184" i="2"/>
  <c r="H184" i="2"/>
  <c r="G182" i="3" s="1"/>
  <c r="G182" i="4" s="1"/>
  <c r="G184" i="2"/>
  <c r="F182" i="3" s="1"/>
  <c r="F182" i="4" s="1"/>
  <c r="F184" i="2"/>
  <c r="E184" i="2"/>
  <c r="D184" i="2"/>
  <c r="C184" i="2"/>
  <c r="B184" i="2"/>
  <c r="A184" i="2"/>
  <c r="AG183" i="2"/>
  <c r="AF183" i="2"/>
  <c r="AE183" i="2"/>
  <c r="AD183" i="2"/>
  <c r="AC183" i="2"/>
  <c r="AB181" i="3" s="1"/>
  <c r="AB181" i="4" s="1"/>
  <c r="AB183" i="2"/>
  <c r="AA181" i="3" s="1"/>
  <c r="AA181" i="4" s="1"/>
  <c r="AA183" i="2"/>
  <c r="Z183" i="2"/>
  <c r="Y183" i="2"/>
  <c r="X183" i="2"/>
  <c r="W183" i="2"/>
  <c r="V183" i="2"/>
  <c r="U183" i="2"/>
  <c r="T183" i="2"/>
  <c r="S183" i="2"/>
  <c r="R183" i="2"/>
  <c r="Q183" i="2"/>
  <c r="P181" i="3" s="1"/>
  <c r="P181" i="4" s="1"/>
  <c r="P183" i="2"/>
  <c r="O181" i="3" s="1"/>
  <c r="O181" i="4" s="1"/>
  <c r="O183" i="2"/>
  <c r="N183" i="2"/>
  <c r="M183" i="2"/>
  <c r="L183" i="2"/>
  <c r="K183" i="2"/>
  <c r="J183" i="2"/>
  <c r="I183" i="2"/>
  <c r="H183" i="2"/>
  <c r="G183" i="2"/>
  <c r="F183" i="2"/>
  <c r="E183" i="2"/>
  <c r="D181" i="3" s="1"/>
  <c r="D181" i="4" s="1"/>
  <c r="D183" i="2"/>
  <c r="C181" i="3" s="1"/>
  <c r="C181" i="4" s="1"/>
  <c r="C183" i="2"/>
  <c r="B183" i="2"/>
  <c r="A183" i="2"/>
  <c r="AG182" i="2"/>
  <c r="AF182" i="2"/>
  <c r="AE182" i="2"/>
  <c r="AD182" i="2"/>
  <c r="AC182" i="2"/>
  <c r="AB182" i="2"/>
  <c r="AA182" i="2"/>
  <c r="Z182" i="2"/>
  <c r="Y180" i="3" s="1"/>
  <c r="Y180" i="4" s="1"/>
  <c r="Y182" i="2"/>
  <c r="X180" i="3" s="1"/>
  <c r="X180" i="4" s="1"/>
  <c r="X182" i="2"/>
  <c r="W182" i="2"/>
  <c r="V182" i="2"/>
  <c r="U182" i="2"/>
  <c r="T182" i="2"/>
  <c r="S182" i="2"/>
  <c r="R182" i="2"/>
  <c r="Q182" i="2"/>
  <c r="P182" i="2"/>
  <c r="O182" i="2"/>
  <c r="N182" i="2"/>
  <c r="M180" i="3" s="1"/>
  <c r="M180" i="4" s="1"/>
  <c r="M182" i="2"/>
  <c r="L180" i="3" s="1"/>
  <c r="L180" i="4" s="1"/>
  <c r="L182" i="2"/>
  <c r="K182" i="2"/>
  <c r="J182" i="2"/>
  <c r="I182" i="2"/>
  <c r="H182" i="2"/>
  <c r="G182" i="2"/>
  <c r="F182" i="2"/>
  <c r="E182" i="2"/>
  <c r="D182" i="2"/>
  <c r="C182" i="2"/>
  <c r="B182" i="2"/>
  <c r="A180" i="3" s="1"/>
  <c r="A180" i="4" s="1"/>
  <c r="A182" i="2"/>
  <c r="AG181" i="2"/>
  <c r="AF181" i="2"/>
  <c r="AE181" i="2"/>
  <c r="AD181" i="2"/>
  <c r="AC181" i="2"/>
  <c r="AB181" i="2"/>
  <c r="AA181" i="2"/>
  <c r="Z181" i="2"/>
  <c r="Y181" i="2"/>
  <c r="X181" i="2"/>
  <c r="W181" i="2"/>
  <c r="V179" i="3" s="1"/>
  <c r="V179" i="4" s="1"/>
  <c r="V181" i="2"/>
  <c r="U179" i="3" s="1"/>
  <c r="U179" i="4" s="1"/>
  <c r="U181" i="2"/>
  <c r="T181" i="2"/>
  <c r="S181" i="2"/>
  <c r="R181" i="2"/>
  <c r="Q181" i="2"/>
  <c r="P181" i="2"/>
  <c r="O181" i="2"/>
  <c r="N181" i="2"/>
  <c r="M181" i="2"/>
  <c r="L181" i="2"/>
  <c r="K181" i="2"/>
  <c r="J179" i="3" s="1"/>
  <c r="J179" i="4" s="1"/>
  <c r="J181" i="2"/>
  <c r="I179" i="3" s="1"/>
  <c r="I179" i="4" s="1"/>
  <c r="I181" i="2"/>
  <c r="H181" i="2"/>
  <c r="G181" i="2"/>
  <c r="F181" i="2"/>
  <c r="E181" i="2"/>
  <c r="D181" i="2"/>
  <c r="C181" i="2"/>
  <c r="B181" i="2"/>
  <c r="A181" i="2"/>
  <c r="AG180" i="2"/>
  <c r="AF180" i="2"/>
  <c r="AE178" i="3" s="1"/>
  <c r="AE178" i="4" s="1"/>
  <c r="AE180" i="2"/>
  <c r="AD178" i="3" s="1"/>
  <c r="AD178" i="4" s="1"/>
  <c r="AD180" i="2"/>
  <c r="AC180" i="2"/>
  <c r="AB180" i="2"/>
  <c r="AA180" i="2"/>
  <c r="Z180" i="2"/>
  <c r="Y180" i="2"/>
  <c r="X180" i="2"/>
  <c r="W180" i="2"/>
  <c r="V180" i="2"/>
  <c r="U180" i="2"/>
  <c r="T180" i="2"/>
  <c r="S178" i="3" s="1"/>
  <c r="S178" i="4" s="1"/>
  <c r="S180" i="2"/>
  <c r="R178" i="3" s="1"/>
  <c r="R178" i="4" s="1"/>
  <c r="R180" i="2"/>
  <c r="Q180" i="2"/>
  <c r="P180" i="2"/>
  <c r="O180" i="2"/>
  <c r="N180" i="2"/>
  <c r="M180" i="2"/>
  <c r="L180" i="2"/>
  <c r="K180" i="2"/>
  <c r="J180" i="2"/>
  <c r="I180" i="2"/>
  <c r="H180" i="2"/>
  <c r="G178" i="3" s="1"/>
  <c r="G178" i="4" s="1"/>
  <c r="G180" i="2"/>
  <c r="F178" i="3" s="1"/>
  <c r="F178" i="4" s="1"/>
  <c r="F180" i="2"/>
  <c r="E180" i="2"/>
  <c r="D180" i="2"/>
  <c r="C180" i="2"/>
  <c r="B180" i="2"/>
  <c r="A180" i="2"/>
  <c r="AG179" i="2"/>
  <c r="AF179" i="2"/>
  <c r="AE179" i="2"/>
  <c r="AD179" i="2"/>
  <c r="AC179" i="2"/>
  <c r="AB177" i="3" s="1"/>
  <c r="AB177" i="4" s="1"/>
  <c r="AB179" i="2"/>
  <c r="AA177" i="3" s="1"/>
  <c r="AA177" i="4" s="1"/>
  <c r="AA179" i="2"/>
  <c r="Z179" i="2"/>
  <c r="Y179" i="2"/>
  <c r="X179" i="2"/>
  <c r="W179" i="2"/>
  <c r="V179" i="2"/>
  <c r="U179" i="2"/>
  <c r="T179" i="2"/>
  <c r="S179" i="2"/>
  <c r="R179" i="2"/>
  <c r="Q179" i="2"/>
  <c r="P177" i="3" s="1"/>
  <c r="P177" i="4" s="1"/>
  <c r="P179" i="2"/>
  <c r="O177" i="3" s="1"/>
  <c r="O177" i="4" s="1"/>
  <c r="O179" i="2"/>
  <c r="N179" i="2"/>
  <c r="M179" i="2"/>
  <c r="L179" i="2"/>
  <c r="K179" i="2"/>
  <c r="J179" i="2"/>
  <c r="I179" i="2"/>
  <c r="H179" i="2"/>
  <c r="G179" i="2"/>
  <c r="F179" i="2"/>
  <c r="E179" i="2"/>
  <c r="D177" i="3" s="1"/>
  <c r="D177" i="4" s="1"/>
  <c r="D179" i="2"/>
  <c r="C177" i="3" s="1"/>
  <c r="C177" i="4" s="1"/>
  <c r="C179" i="2"/>
  <c r="B179" i="2"/>
  <c r="A179" i="2"/>
  <c r="AG178" i="2"/>
  <c r="AF178" i="2"/>
  <c r="AE178" i="2"/>
  <c r="AD178" i="2"/>
  <c r="AC178" i="2"/>
  <c r="AB178" i="2"/>
  <c r="AA178" i="2"/>
  <c r="Z178" i="2"/>
  <c r="Y176" i="3" s="1"/>
  <c r="Y176" i="4" s="1"/>
  <c r="Y178" i="2"/>
  <c r="X176" i="3" s="1"/>
  <c r="X176" i="4" s="1"/>
  <c r="X178" i="2"/>
  <c r="W178" i="2"/>
  <c r="V178" i="2"/>
  <c r="U178" i="2"/>
  <c r="T178" i="2"/>
  <c r="S178" i="2"/>
  <c r="R178" i="2"/>
  <c r="Q178" i="2"/>
  <c r="P178" i="2"/>
  <c r="O178" i="2"/>
  <c r="N178" i="2"/>
  <c r="M176" i="3" s="1"/>
  <c r="M176" i="4" s="1"/>
  <c r="M178" i="2"/>
  <c r="L176" i="3" s="1"/>
  <c r="L176" i="4" s="1"/>
  <c r="L178" i="2"/>
  <c r="K178" i="2"/>
  <c r="J178" i="2"/>
  <c r="I178" i="2"/>
  <c r="H178" i="2"/>
  <c r="G178" i="2"/>
  <c r="F178" i="2"/>
  <c r="E178" i="2"/>
  <c r="D178" i="2"/>
  <c r="C178" i="2"/>
  <c r="B178" i="2"/>
  <c r="A176" i="3" s="1"/>
  <c r="A176" i="4" s="1"/>
  <c r="A178" i="2"/>
  <c r="AG177" i="2"/>
  <c r="AF177" i="2"/>
  <c r="AE177" i="2"/>
  <c r="AD177" i="2"/>
  <c r="AC177" i="2"/>
  <c r="AB177" i="2"/>
  <c r="AA177" i="2"/>
  <c r="Z177" i="2"/>
  <c r="Y177" i="2"/>
  <c r="X177" i="2"/>
  <c r="W177" i="2"/>
  <c r="V175" i="3" s="1"/>
  <c r="V175" i="4" s="1"/>
  <c r="V177" i="2"/>
  <c r="U175" i="3" s="1"/>
  <c r="U175" i="4" s="1"/>
  <c r="U177" i="2"/>
  <c r="T177" i="2"/>
  <c r="S177" i="2"/>
  <c r="R177" i="2"/>
  <c r="Q177" i="2"/>
  <c r="P177" i="2"/>
  <c r="O177" i="2"/>
  <c r="N177" i="2"/>
  <c r="M177" i="2"/>
  <c r="L177" i="2"/>
  <c r="K177" i="2"/>
  <c r="J175" i="3" s="1"/>
  <c r="J175" i="4" s="1"/>
  <c r="J177" i="2"/>
  <c r="I175" i="3" s="1"/>
  <c r="I175" i="4" s="1"/>
  <c r="I177" i="2"/>
  <c r="H177" i="2"/>
  <c r="G177" i="2"/>
  <c r="F177" i="2"/>
  <c r="E177" i="2"/>
  <c r="D177" i="2"/>
  <c r="C177" i="2"/>
  <c r="B177" i="2"/>
  <c r="A177" i="2"/>
  <c r="AG176" i="2"/>
  <c r="AF176" i="2"/>
  <c r="AE174" i="3" s="1"/>
  <c r="AE174" i="4" s="1"/>
  <c r="AE176" i="2"/>
  <c r="AD174" i="3" s="1"/>
  <c r="AD174" i="4" s="1"/>
  <c r="AD176" i="2"/>
  <c r="AC176" i="2"/>
  <c r="AB176" i="2"/>
  <c r="AA176" i="2"/>
  <c r="Z176" i="2"/>
  <c r="Y176" i="2"/>
  <c r="X176" i="2"/>
  <c r="W176" i="2"/>
  <c r="V176" i="2"/>
  <c r="U176" i="2"/>
  <c r="T176" i="2"/>
  <c r="S174" i="3" s="1"/>
  <c r="S174" i="4" s="1"/>
  <c r="S176" i="2"/>
  <c r="R174" i="3" s="1"/>
  <c r="R174" i="4" s="1"/>
  <c r="R176" i="2"/>
  <c r="Q176" i="2"/>
  <c r="P176" i="2"/>
  <c r="O176" i="2"/>
  <c r="N176" i="2"/>
  <c r="M176" i="2"/>
  <c r="L176" i="2"/>
  <c r="K176" i="2"/>
  <c r="J176" i="2"/>
  <c r="I176" i="2"/>
  <c r="H176" i="2"/>
  <c r="G174" i="3" s="1"/>
  <c r="G174" i="4" s="1"/>
  <c r="G176" i="2"/>
  <c r="F174" i="3" s="1"/>
  <c r="F174" i="4" s="1"/>
  <c r="F176" i="2"/>
  <c r="E176" i="2"/>
  <c r="D176" i="2"/>
  <c r="C176" i="2"/>
  <c r="B176" i="2"/>
  <c r="A176" i="2"/>
  <c r="AG175" i="2"/>
  <c r="AF175" i="2"/>
  <c r="AE175" i="2"/>
  <c r="AD175" i="2"/>
  <c r="AC175" i="2"/>
  <c r="AB173" i="3" s="1"/>
  <c r="AB173" i="4" s="1"/>
  <c r="AB175" i="2"/>
  <c r="AA173" i="3" s="1"/>
  <c r="AA173" i="4" s="1"/>
  <c r="AA175" i="2"/>
  <c r="Z175" i="2"/>
  <c r="Y175" i="2"/>
  <c r="X175" i="2"/>
  <c r="W175" i="2"/>
  <c r="V175" i="2"/>
  <c r="U175" i="2"/>
  <c r="T175" i="2"/>
  <c r="S175" i="2"/>
  <c r="R175" i="2"/>
  <c r="Q175" i="2"/>
  <c r="P173" i="3" s="1"/>
  <c r="P173" i="4" s="1"/>
  <c r="P175" i="2"/>
  <c r="O173" i="3" s="1"/>
  <c r="O173" i="4" s="1"/>
  <c r="O175" i="2"/>
  <c r="N175" i="2"/>
  <c r="M175" i="2"/>
  <c r="L175" i="2"/>
  <c r="K175" i="2"/>
  <c r="J175" i="2"/>
  <c r="I175" i="2"/>
  <c r="H175" i="2"/>
  <c r="G175" i="2"/>
  <c r="F175" i="2"/>
  <c r="E175" i="2"/>
  <c r="D173" i="3" s="1"/>
  <c r="D173" i="4" s="1"/>
  <c r="D175" i="2"/>
  <c r="C173" i="3" s="1"/>
  <c r="C173" i="4" s="1"/>
  <c r="C175" i="2"/>
  <c r="B175" i="2"/>
  <c r="A175" i="2"/>
  <c r="AG174" i="2"/>
  <c r="AF174" i="2"/>
  <c r="AE174" i="2"/>
  <c r="AD174" i="2"/>
  <c r="AC174" i="2"/>
  <c r="AB174" i="2"/>
  <c r="AA174" i="2"/>
  <c r="Z174" i="2"/>
  <c r="Y172" i="3" s="1"/>
  <c r="Y172" i="4" s="1"/>
  <c r="Y174" i="2"/>
  <c r="X172" i="3" s="1"/>
  <c r="X172" i="4" s="1"/>
  <c r="X174" i="2"/>
  <c r="W174" i="2"/>
  <c r="V174" i="2"/>
  <c r="U174" i="2"/>
  <c r="T174" i="2"/>
  <c r="S174" i="2"/>
  <c r="R174" i="2"/>
  <c r="Q174" i="2"/>
  <c r="P174" i="2"/>
  <c r="O174" i="2"/>
  <c r="N174" i="2"/>
  <c r="M172" i="3" s="1"/>
  <c r="M172" i="4" s="1"/>
  <c r="M174" i="2"/>
  <c r="L172" i="3" s="1"/>
  <c r="L172" i="4" s="1"/>
  <c r="L174" i="2"/>
  <c r="K174" i="2"/>
  <c r="J174" i="2"/>
  <c r="I174" i="2"/>
  <c r="H174" i="2"/>
  <c r="G174" i="2"/>
  <c r="F174" i="2"/>
  <c r="E174" i="2"/>
  <c r="D174" i="2"/>
  <c r="C174" i="2"/>
  <c r="B174" i="2"/>
  <c r="A172" i="3" s="1"/>
  <c r="A172" i="4" s="1"/>
  <c r="A174" i="2"/>
  <c r="AG173" i="2"/>
  <c r="AF173" i="2"/>
  <c r="AE173" i="2"/>
  <c r="AD173" i="2"/>
  <c r="AC173" i="2"/>
  <c r="AB173" i="2"/>
  <c r="AA173" i="2"/>
  <c r="Z173" i="2"/>
  <c r="Y173" i="2"/>
  <c r="X173" i="2"/>
  <c r="W173" i="2"/>
  <c r="V171" i="3" s="1"/>
  <c r="V171" i="4" s="1"/>
  <c r="V173" i="2"/>
  <c r="U171" i="3" s="1"/>
  <c r="U171" i="4" s="1"/>
  <c r="U173" i="2"/>
  <c r="T173" i="2"/>
  <c r="S173" i="2"/>
  <c r="R173" i="2"/>
  <c r="Q173" i="2"/>
  <c r="P173" i="2"/>
  <c r="O173" i="2"/>
  <c r="N173" i="2"/>
  <c r="M173" i="2"/>
  <c r="L173" i="2"/>
  <c r="K173" i="2"/>
  <c r="J171" i="3" s="1"/>
  <c r="J171" i="4" s="1"/>
  <c r="J173" i="2"/>
  <c r="I171" i="3" s="1"/>
  <c r="I171" i="4" s="1"/>
  <c r="I173" i="2"/>
  <c r="H173" i="2"/>
  <c r="G173" i="2"/>
  <c r="F173" i="2"/>
  <c r="E173" i="2"/>
  <c r="D173" i="2"/>
  <c r="C173" i="2"/>
  <c r="B173" i="2"/>
  <c r="A173" i="2"/>
  <c r="AG172" i="2"/>
  <c r="AF172" i="2"/>
  <c r="AE170" i="3" s="1"/>
  <c r="AE170" i="4" s="1"/>
  <c r="AE172" i="2"/>
  <c r="AD170" i="3" s="1"/>
  <c r="AD170" i="4" s="1"/>
  <c r="AD172" i="2"/>
  <c r="AC172" i="2"/>
  <c r="AB172" i="2"/>
  <c r="AA172" i="2"/>
  <c r="Z172" i="2"/>
  <c r="Y172" i="2"/>
  <c r="X172" i="2"/>
  <c r="W172" i="2"/>
  <c r="V172" i="2"/>
  <c r="U172" i="2"/>
  <c r="T172" i="2"/>
  <c r="S170" i="3" s="1"/>
  <c r="S170" i="4" s="1"/>
  <c r="S172" i="2"/>
  <c r="R170" i="3" s="1"/>
  <c r="R170" i="4" s="1"/>
  <c r="R172" i="2"/>
  <c r="Q172" i="2"/>
  <c r="P172" i="2"/>
  <c r="O172" i="2"/>
  <c r="N172" i="2"/>
  <c r="M172" i="2"/>
  <c r="L172" i="2"/>
  <c r="K172" i="2"/>
  <c r="J172" i="2"/>
  <c r="I172" i="2"/>
  <c r="H172" i="2"/>
  <c r="G170" i="3" s="1"/>
  <c r="G170" i="4" s="1"/>
  <c r="G172" i="2"/>
  <c r="F170" i="3" s="1"/>
  <c r="F170" i="4" s="1"/>
  <c r="F172" i="2"/>
  <c r="E172" i="2"/>
  <c r="D172" i="2"/>
  <c r="C172" i="2"/>
  <c r="B172" i="2"/>
  <c r="A172" i="2"/>
  <c r="AG171" i="2"/>
  <c r="AF171" i="2"/>
  <c r="AE171" i="2"/>
  <c r="AD171" i="2"/>
  <c r="AC171" i="2"/>
  <c r="AB169" i="3" s="1"/>
  <c r="AB169" i="4" s="1"/>
  <c r="AB171" i="2"/>
  <c r="AA169" i="3" s="1"/>
  <c r="AA169" i="4" s="1"/>
  <c r="AA171" i="2"/>
  <c r="Z171" i="2"/>
  <c r="Y171" i="2"/>
  <c r="X171" i="2"/>
  <c r="W171" i="2"/>
  <c r="V171" i="2"/>
  <c r="U171" i="2"/>
  <c r="T171" i="2"/>
  <c r="S171" i="2"/>
  <c r="R171" i="2"/>
  <c r="Q171" i="2"/>
  <c r="P169" i="3" s="1"/>
  <c r="P169" i="4" s="1"/>
  <c r="P171" i="2"/>
  <c r="O169" i="3" s="1"/>
  <c r="O169" i="4" s="1"/>
  <c r="O171" i="2"/>
  <c r="N171" i="2"/>
  <c r="M171" i="2"/>
  <c r="L171" i="2"/>
  <c r="K171" i="2"/>
  <c r="J171" i="2"/>
  <c r="I171" i="2"/>
  <c r="H171" i="2"/>
  <c r="G171" i="2"/>
  <c r="F171" i="2"/>
  <c r="E171" i="2"/>
  <c r="D169" i="3" s="1"/>
  <c r="D169" i="4" s="1"/>
  <c r="D171" i="2"/>
  <c r="C169" i="3" s="1"/>
  <c r="C169" i="4" s="1"/>
  <c r="C171" i="2"/>
  <c r="B171" i="2"/>
  <c r="A171" i="2"/>
  <c r="AG170" i="2"/>
  <c r="AF170" i="2"/>
  <c r="AE170" i="2"/>
  <c r="AD170" i="2"/>
  <c r="AC170" i="2"/>
  <c r="AB170" i="2"/>
  <c r="AA170" i="2"/>
  <c r="Z170" i="2"/>
  <c r="Y168" i="3" s="1"/>
  <c r="Y168" i="4" s="1"/>
  <c r="Y170" i="2"/>
  <c r="X168" i="3" s="1"/>
  <c r="X168" i="4" s="1"/>
  <c r="X170" i="2"/>
  <c r="W170" i="2"/>
  <c r="V170" i="2"/>
  <c r="U170" i="2"/>
  <c r="T170" i="2"/>
  <c r="S170" i="2"/>
  <c r="R170" i="2"/>
  <c r="Q170" i="2"/>
  <c r="P170" i="2"/>
  <c r="O170" i="2"/>
  <c r="N170" i="2"/>
  <c r="M168" i="3" s="1"/>
  <c r="M168" i="4" s="1"/>
  <c r="M170" i="2"/>
  <c r="L168" i="3" s="1"/>
  <c r="L168" i="4" s="1"/>
  <c r="L170" i="2"/>
  <c r="K170" i="2"/>
  <c r="J170" i="2"/>
  <c r="I170" i="2"/>
  <c r="H170" i="2"/>
  <c r="G170" i="2"/>
  <c r="F170" i="2"/>
  <c r="E170" i="2"/>
  <c r="D170" i="2"/>
  <c r="C170" i="2"/>
  <c r="B170" i="2"/>
  <c r="A168" i="3" s="1"/>
  <c r="A168" i="4" s="1"/>
  <c r="A170" i="2"/>
  <c r="AG169" i="2"/>
  <c r="AF169" i="2"/>
  <c r="AE169" i="2"/>
  <c r="AD169" i="2"/>
  <c r="AC169" i="2"/>
  <c r="AB169" i="2"/>
  <c r="AA169" i="2"/>
  <c r="Z169" i="2"/>
  <c r="Y169" i="2"/>
  <c r="X169" i="2"/>
  <c r="W169" i="2"/>
  <c r="V167" i="3" s="1"/>
  <c r="V167" i="4" s="1"/>
  <c r="V169" i="2"/>
  <c r="U167" i="3" s="1"/>
  <c r="U167" i="4" s="1"/>
  <c r="U169" i="2"/>
  <c r="T169" i="2"/>
  <c r="S169" i="2"/>
  <c r="R169" i="2"/>
  <c r="Q169" i="2"/>
  <c r="P169" i="2"/>
  <c r="O169" i="2"/>
  <c r="N169" i="2"/>
  <c r="M169" i="2"/>
  <c r="L169" i="2"/>
  <c r="K169" i="2"/>
  <c r="J167" i="3" s="1"/>
  <c r="J167" i="4" s="1"/>
  <c r="J169" i="2"/>
  <c r="I167" i="3" s="1"/>
  <c r="I167" i="4" s="1"/>
  <c r="I169" i="2"/>
  <c r="H169" i="2"/>
  <c r="G169" i="2"/>
  <c r="F169" i="2"/>
  <c r="E169" i="2"/>
  <c r="D169" i="2"/>
  <c r="C169" i="2"/>
  <c r="B169" i="2"/>
  <c r="A169" i="2"/>
  <c r="AG168" i="2"/>
  <c r="AF168" i="2"/>
  <c r="AE166" i="3" s="1"/>
  <c r="AE166" i="4" s="1"/>
  <c r="AE168" i="2"/>
  <c r="AD166" i="3" s="1"/>
  <c r="AD166" i="4" s="1"/>
  <c r="AD168" i="2"/>
  <c r="AC168" i="2"/>
  <c r="AB168" i="2"/>
  <c r="AA168" i="2"/>
  <c r="Z168" i="2"/>
  <c r="Y168" i="2"/>
  <c r="X168" i="2"/>
  <c r="W168" i="2"/>
  <c r="V168" i="2"/>
  <c r="U168" i="2"/>
  <c r="T168" i="2"/>
  <c r="S166" i="3" s="1"/>
  <c r="S166" i="4" s="1"/>
  <c r="S168" i="2"/>
  <c r="R166" i="3" s="1"/>
  <c r="R166" i="4" s="1"/>
  <c r="R168" i="2"/>
  <c r="Q168" i="2"/>
  <c r="P168" i="2"/>
  <c r="O168" i="2"/>
  <c r="N168" i="2"/>
  <c r="M168" i="2"/>
  <c r="L168" i="2"/>
  <c r="K168" i="2"/>
  <c r="J168" i="2"/>
  <c r="I168" i="2"/>
  <c r="H168" i="2"/>
  <c r="G166" i="3" s="1"/>
  <c r="G166" i="4" s="1"/>
  <c r="G168" i="2"/>
  <c r="F166" i="3" s="1"/>
  <c r="F166" i="4" s="1"/>
  <c r="F168" i="2"/>
  <c r="E168" i="2"/>
  <c r="D168" i="2"/>
  <c r="C168" i="2"/>
  <c r="B168" i="2"/>
  <c r="A168" i="2"/>
  <c r="AG167" i="2"/>
  <c r="AF167" i="2"/>
  <c r="AE167" i="2"/>
  <c r="AD167" i="2"/>
  <c r="AC167" i="2"/>
  <c r="AB165" i="3" s="1"/>
  <c r="AB165" i="4" s="1"/>
  <c r="AB167" i="2"/>
  <c r="AA165" i="3" s="1"/>
  <c r="AA165" i="4" s="1"/>
  <c r="AA167" i="2"/>
  <c r="Z167" i="2"/>
  <c r="Y167" i="2"/>
  <c r="X167" i="2"/>
  <c r="W167" i="2"/>
  <c r="V167" i="2"/>
  <c r="U167" i="2"/>
  <c r="T167" i="2"/>
  <c r="S167" i="2"/>
  <c r="R167" i="2"/>
  <c r="Q167" i="2"/>
  <c r="P165" i="3" s="1"/>
  <c r="P165" i="4" s="1"/>
  <c r="P167" i="2"/>
  <c r="O165" i="3" s="1"/>
  <c r="O165" i="4" s="1"/>
  <c r="O167" i="2"/>
  <c r="N167" i="2"/>
  <c r="M167" i="2"/>
  <c r="L167" i="2"/>
  <c r="K167" i="2"/>
  <c r="J167" i="2"/>
  <c r="I167" i="2"/>
  <c r="H167" i="2"/>
  <c r="G167" i="2"/>
  <c r="F167" i="2"/>
  <c r="E167" i="2"/>
  <c r="D165" i="3" s="1"/>
  <c r="D165" i="4" s="1"/>
  <c r="D167" i="2"/>
  <c r="C165" i="3" s="1"/>
  <c r="C165" i="4" s="1"/>
  <c r="C167" i="2"/>
  <c r="B167" i="2"/>
  <c r="A167" i="2"/>
  <c r="AG166" i="2"/>
  <c r="AF166" i="2"/>
  <c r="AE166" i="2"/>
  <c r="AD166" i="2"/>
  <c r="AC166" i="2"/>
  <c r="AB166" i="2"/>
  <c r="AA166" i="2"/>
  <c r="Z166" i="2"/>
  <c r="Y164" i="3" s="1"/>
  <c r="Y164" i="4" s="1"/>
  <c r="Y166" i="2"/>
  <c r="X164" i="3" s="1"/>
  <c r="X164" i="4" s="1"/>
  <c r="X166" i="2"/>
  <c r="W166" i="2"/>
  <c r="V166" i="2"/>
  <c r="U166" i="2"/>
  <c r="T166" i="2"/>
  <c r="S166" i="2"/>
  <c r="R166" i="2"/>
  <c r="Q166" i="2"/>
  <c r="P166" i="2"/>
  <c r="O166" i="2"/>
  <c r="N166" i="2"/>
  <c r="M164" i="3" s="1"/>
  <c r="M164" i="4" s="1"/>
  <c r="M166" i="2"/>
  <c r="L164" i="3" s="1"/>
  <c r="L164" i="4" s="1"/>
  <c r="L166" i="2"/>
  <c r="K166" i="2"/>
  <c r="J166" i="2"/>
  <c r="I166" i="2"/>
  <c r="H166" i="2"/>
  <c r="G166" i="2"/>
  <c r="F166" i="2"/>
  <c r="E166" i="2"/>
  <c r="D166" i="2"/>
  <c r="C166" i="2"/>
  <c r="B166" i="2"/>
  <c r="A164" i="3" s="1"/>
  <c r="A164" i="4" s="1"/>
  <c r="A166" i="2"/>
  <c r="AG165" i="2"/>
  <c r="AF165" i="2"/>
  <c r="AE165" i="2"/>
  <c r="AD165" i="2"/>
  <c r="AC165" i="2"/>
  <c r="AB165" i="2"/>
  <c r="AA165" i="2"/>
  <c r="Z165" i="2"/>
  <c r="Y165" i="2"/>
  <c r="X165" i="2"/>
  <c r="W165" i="2"/>
  <c r="V163" i="3" s="1"/>
  <c r="V163" i="4" s="1"/>
  <c r="V165" i="2"/>
  <c r="U163" i="3" s="1"/>
  <c r="U163" i="4" s="1"/>
  <c r="U165" i="2"/>
  <c r="T165" i="2"/>
  <c r="S165" i="2"/>
  <c r="R165" i="2"/>
  <c r="Q165" i="2"/>
  <c r="P165" i="2"/>
  <c r="O165" i="2"/>
  <c r="N165" i="2"/>
  <c r="M165" i="2"/>
  <c r="L165" i="2"/>
  <c r="K165" i="2"/>
  <c r="J163" i="3" s="1"/>
  <c r="J163" i="4" s="1"/>
  <c r="J165" i="2"/>
  <c r="I163" i="3" s="1"/>
  <c r="I163" i="4" s="1"/>
  <c r="I165" i="2"/>
  <c r="H165" i="2"/>
  <c r="G165" i="2"/>
  <c r="F165" i="2"/>
  <c r="E165" i="2"/>
  <c r="D165" i="2"/>
  <c r="C165" i="2"/>
  <c r="B165" i="2"/>
  <c r="A165" i="2"/>
  <c r="AG164" i="2"/>
  <c r="AF164" i="2"/>
  <c r="AE162" i="3" s="1"/>
  <c r="AE162" i="4" s="1"/>
  <c r="AE164" i="2"/>
  <c r="AD162" i="3" s="1"/>
  <c r="AD162" i="4" s="1"/>
  <c r="AD164" i="2"/>
  <c r="AC164" i="2"/>
  <c r="AB164" i="2"/>
  <c r="AA164" i="2"/>
  <c r="Z164" i="2"/>
  <c r="Y164" i="2"/>
  <c r="X164" i="2"/>
  <c r="W164" i="2"/>
  <c r="V164" i="2"/>
  <c r="U164" i="2"/>
  <c r="T164" i="2"/>
  <c r="S162" i="3" s="1"/>
  <c r="S162" i="4" s="1"/>
  <c r="S164" i="2"/>
  <c r="R162" i="3" s="1"/>
  <c r="R162" i="4" s="1"/>
  <c r="R164" i="2"/>
  <c r="Q164" i="2"/>
  <c r="P164" i="2"/>
  <c r="O164" i="2"/>
  <c r="N164" i="2"/>
  <c r="M164" i="2"/>
  <c r="L164" i="2"/>
  <c r="K164" i="2"/>
  <c r="J164" i="2"/>
  <c r="I164" i="2"/>
  <c r="H164" i="2"/>
  <c r="G162" i="3" s="1"/>
  <c r="G162" i="4" s="1"/>
  <c r="G164" i="2"/>
  <c r="F162" i="3" s="1"/>
  <c r="F162" i="4" s="1"/>
  <c r="F164" i="2"/>
  <c r="E164" i="2"/>
  <c r="D164" i="2"/>
  <c r="C164" i="2"/>
  <c r="B164" i="2"/>
  <c r="A164" i="2"/>
  <c r="AG163" i="2"/>
  <c r="AF163" i="2"/>
  <c r="AE163" i="2"/>
  <c r="AD163" i="2"/>
  <c r="AC163" i="2"/>
  <c r="AB161" i="3" s="1"/>
  <c r="AB161" i="4" s="1"/>
  <c r="AB163" i="2"/>
  <c r="AA161" i="3" s="1"/>
  <c r="AA161" i="4" s="1"/>
  <c r="AA163" i="2"/>
  <c r="Z163" i="2"/>
  <c r="Y163" i="2"/>
  <c r="X163" i="2"/>
  <c r="W163" i="2"/>
  <c r="V163" i="2"/>
  <c r="U163" i="2"/>
  <c r="T163" i="2"/>
  <c r="S163" i="2"/>
  <c r="R163" i="2"/>
  <c r="Q163" i="2"/>
  <c r="P161" i="3" s="1"/>
  <c r="P161" i="4" s="1"/>
  <c r="P163" i="2"/>
  <c r="O161" i="3" s="1"/>
  <c r="O161" i="4" s="1"/>
  <c r="O163" i="2"/>
  <c r="N163" i="2"/>
  <c r="M163" i="2"/>
  <c r="L163" i="2"/>
  <c r="K163" i="2"/>
  <c r="J163" i="2"/>
  <c r="I163" i="2"/>
  <c r="H163" i="2"/>
  <c r="G163" i="2"/>
  <c r="F163" i="2"/>
  <c r="E163" i="2"/>
  <c r="D161" i="3" s="1"/>
  <c r="D161" i="4" s="1"/>
  <c r="D163" i="2"/>
  <c r="C161" i="3" s="1"/>
  <c r="C161" i="4" s="1"/>
  <c r="C163" i="2"/>
  <c r="B163" i="2"/>
  <c r="A163" i="2"/>
  <c r="AG162" i="2"/>
  <c r="AF162" i="2"/>
  <c r="AE162" i="2"/>
  <c r="AD162" i="2"/>
  <c r="AC162" i="2"/>
  <c r="AB162" i="2"/>
  <c r="AA162" i="2"/>
  <c r="Z162" i="2"/>
  <c r="Y160" i="3" s="1"/>
  <c r="Y160" i="4" s="1"/>
  <c r="Y162" i="2"/>
  <c r="X160" i="3" s="1"/>
  <c r="X160" i="4" s="1"/>
  <c r="X162" i="2"/>
  <c r="W162" i="2"/>
  <c r="V162" i="2"/>
  <c r="U162" i="2"/>
  <c r="T162" i="2"/>
  <c r="S162" i="2"/>
  <c r="R162" i="2"/>
  <c r="Q162" i="2"/>
  <c r="P162" i="2"/>
  <c r="O162" i="2"/>
  <c r="N162" i="2"/>
  <c r="M160" i="3" s="1"/>
  <c r="M160" i="4" s="1"/>
  <c r="M162" i="2"/>
  <c r="L160" i="3" s="1"/>
  <c r="L160" i="4" s="1"/>
  <c r="L162" i="2"/>
  <c r="K162" i="2"/>
  <c r="J162" i="2"/>
  <c r="I162" i="2"/>
  <c r="H162" i="2"/>
  <c r="G162" i="2"/>
  <c r="F162" i="2"/>
  <c r="E162" i="2"/>
  <c r="D162" i="2"/>
  <c r="C162" i="2"/>
  <c r="B162" i="2"/>
  <c r="A160" i="3" s="1"/>
  <c r="A160" i="4" s="1"/>
  <c r="A162" i="2"/>
  <c r="AG161" i="2"/>
  <c r="AF161" i="2"/>
  <c r="AE161" i="2"/>
  <c r="AD161" i="2"/>
  <c r="AC161" i="2"/>
  <c r="AB161" i="2"/>
  <c r="AA161" i="2"/>
  <c r="Z161" i="2"/>
  <c r="Y161" i="2"/>
  <c r="X161" i="2"/>
  <c r="W161" i="2"/>
  <c r="V159" i="3" s="1"/>
  <c r="V159" i="4" s="1"/>
  <c r="V161" i="2"/>
  <c r="U159" i="3" s="1"/>
  <c r="U159" i="4" s="1"/>
  <c r="U161" i="2"/>
  <c r="T161" i="2"/>
  <c r="S161" i="2"/>
  <c r="R161" i="2"/>
  <c r="Q161" i="2"/>
  <c r="P161" i="2"/>
  <c r="O161" i="2"/>
  <c r="N161" i="2"/>
  <c r="M161" i="2"/>
  <c r="L161" i="2"/>
  <c r="K161" i="2"/>
  <c r="J159" i="3" s="1"/>
  <c r="J159" i="4" s="1"/>
  <c r="J161" i="2"/>
  <c r="I159" i="3" s="1"/>
  <c r="I159" i="4" s="1"/>
  <c r="I161" i="2"/>
  <c r="H161" i="2"/>
  <c r="G161" i="2"/>
  <c r="F161" i="2"/>
  <c r="E161" i="2"/>
  <c r="D161" i="2"/>
  <c r="C161" i="2"/>
  <c r="B161" i="2"/>
  <c r="A161" i="2"/>
  <c r="AG160" i="2"/>
  <c r="AF160" i="2"/>
  <c r="AE158" i="3" s="1"/>
  <c r="AE158" i="4" s="1"/>
  <c r="AE160" i="2"/>
  <c r="AD158" i="3" s="1"/>
  <c r="AD158" i="4" s="1"/>
  <c r="AD160" i="2"/>
  <c r="AC160" i="2"/>
  <c r="AB160" i="2"/>
  <c r="AA160" i="2"/>
  <c r="Z160" i="2"/>
  <c r="Y160" i="2"/>
  <c r="X160" i="2"/>
  <c r="W160" i="2"/>
  <c r="V160" i="2"/>
  <c r="U160" i="2"/>
  <c r="T160" i="2"/>
  <c r="S158" i="3" s="1"/>
  <c r="S158" i="4" s="1"/>
  <c r="S160" i="2"/>
  <c r="R158" i="3" s="1"/>
  <c r="R158" i="4" s="1"/>
  <c r="R160" i="2"/>
  <c r="Q160" i="2"/>
  <c r="P160" i="2"/>
  <c r="O160" i="2"/>
  <c r="N160" i="2"/>
  <c r="M160" i="2"/>
  <c r="L160" i="2"/>
  <c r="K160" i="2"/>
  <c r="J160" i="2"/>
  <c r="I160" i="2"/>
  <c r="H160" i="2"/>
  <c r="G158" i="3" s="1"/>
  <c r="G158" i="4" s="1"/>
  <c r="G160" i="2"/>
  <c r="F158" i="3" s="1"/>
  <c r="F158" i="4" s="1"/>
  <c r="F160" i="2"/>
  <c r="E160" i="2"/>
  <c r="D160" i="2"/>
  <c r="C160" i="2"/>
  <c r="B160" i="2"/>
  <c r="A160" i="2"/>
  <c r="AG159" i="2"/>
  <c r="AF159" i="2"/>
  <c r="AE159" i="2"/>
  <c r="AD159" i="2"/>
  <c r="AC159" i="2"/>
  <c r="AB157" i="3" s="1"/>
  <c r="AB157" i="4" s="1"/>
  <c r="AB159" i="2"/>
  <c r="AA157" i="3" s="1"/>
  <c r="AA157" i="4" s="1"/>
  <c r="AA159" i="2"/>
  <c r="Z159" i="2"/>
  <c r="Y159" i="2"/>
  <c r="X159" i="2"/>
  <c r="W159" i="2"/>
  <c r="V159" i="2"/>
  <c r="U159" i="2"/>
  <c r="T159" i="2"/>
  <c r="S159" i="2"/>
  <c r="R159" i="2"/>
  <c r="Q159" i="2"/>
  <c r="P157" i="3" s="1"/>
  <c r="P157" i="4" s="1"/>
  <c r="P159" i="2"/>
  <c r="O157" i="3" s="1"/>
  <c r="O157" i="4" s="1"/>
  <c r="O159" i="2"/>
  <c r="N159" i="2"/>
  <c r="M159" i="2"/>
  <c r="L159" i="2"/>
  <c r="K159" i="2"/>
  <c r="J159" i="2"/>
  <c r="I159" i="2"/>
  <c r="H159" i="2"/>
  <c r="G159" i="2"/>
  <c r="F159" i="2"/>
  <c r="E159" i="2"/>
  <c r="D157" i="3" s="1"/>
  <c r="D157" i="4" s="1"/>
  <c r="D159" i="2"/>
  <c r="C157" i="3" s="1"/>
  <c r="C157" i="4" s="1"/>
  <c r="C159" i="2"/>
  <c r="B159" i="2"/>
  <c r="A159" i="2"/>
  <c r="AG158" i="2"/>
  <c r="AF158" i="2"/>
  <c r="AE158" i="2"/>
  <c r="AD158" i="2"/>
  <c r="AC158" i="2"/>
  <c r="AB158" i="2"/>
  <c r="AA158" i="2"/>
  <c r="Z158" i="2"/>
  <c r="Y156" i="3" s="1"/>
  <c r="Y156" i="4" s="1"/>
  <c r="Y158" i="2"/>
  <c r="X156" i="3" s="1"/>
  <c r="X156" i="4" s="1"/>
  <c r="X158" i="2"/>
  <c r="W158" i="2"/>
  <c r="V158" i="2"/>
  <c r="U158" i="2"/>
  <c r="T158" i="2"/>
  <c r="S158" i="2"/>
  <c r="R158" i="2"/>
  <c r="Q158" i="2"/>
  <c r="P158" i="2"/>
  <c r="O158" i="2"/>
  <c r="N158" i="2"/>
  <c r="M156" i="3" s="1"/>
  <c r="M156" i="4" s="1"/>
  <c r="M158" i="2"/>
  <c r="L156" i="3" s="1"/>
  <c r="L156" i="4" s="1"/>
  <c r="L158" i="2"/>
  <c r="K158" i="2"/>
  <c r="J158" i="2"/>
  <c r="I158" i="2"/>
  <c r="H158" i="2"/>
  <c r="G158" i="2"/>
  <c r="F158" i="2"/>
  <c r="E158" i="2"/>
  <c r="D158" i="2"/>
  <c r="C158" i="2"/>
  <c r="B158" i="2"/>
  <c r="A156" i="3" s="1"/>
  <c r="A156" i="4" s="1"/>
  <c r="A158" i="2"/>
  <c r="AG157" i="2"/>
  <c r="AF157" i="2"/>
  <c r="AE157" i="2"/>
  <c r="AD157" i="2"/>
  <c r="AC157" i="2"/>
  <c r="AB157" i="2"/>
  <c r="AA157" i="2"/>
  <c r="Z157" i="2"/>
  <c r="Y157" i="2"/>
  <c r="X157" i="2"/>
  <c r="W157" i="2"/>
  <c r="V155" i="3" s="1"/>
  <c r="V155" i="4" s="1"/>
  <c r="V157" i="2"/>
  <c r="U155" i="3" s="1"/>
  <c r="U155" i="4" s="1"/>
  <c r="U157" i="2"/>
  <c r="T157" i="2"/>
  <c r="S157" i="2"/>
  <c r="R157" i="2"/>
  <c r="Q157" i="2"/>
  <c r="P157" i="2"/>
  <c r="O157" i="2"/>
  <c r="N157" i="2"/>
  <c r="M157" i="2"/>
  <c r="L157" i="2"/>
  <c r="K157" i="2"/>
  <c r="J155" i="3" s="1"/>
  <c r="J155" i="4" s="1"/>
  <c r="J157" i="2"/>
  <c r="I155" i="3" s="1"/>
  <c r="I155" i="4" s="1"/>
  <c r="I157" i="2"/>
  <c r="H157" i="2"/>
  <c r="G157" i="2"/>
  <c r="F157" i="2"/>
  <c r="E157" i="2"/>
  <c r="D157" i="2"/>
  <c r="C157" i="2"/>
  <c r="B157" i="2"/>
  <c r="A157" i="2"/>
  <c r="AG156" i="2"/>
  <c r="AF156" i="2"/>
  <c r="AE154" i="3" s="1"/>
  <c r="AE154" i="4" s="1"/>
  <c r="AE156" i="2"/>
  <c r="AD154" i="3" s="1"/>
  <c r="AD154" i="4" s="1"/>
  <c r="AD156" i="2"/>
  <c r="AC156" i="2"/>
  <c r="AB156" i="2"/>
  <c r="AA156" i="2"/>
  <c r="Z156" i="2"/>
  <c r="Y156" i="2"/>
  <c r="X156" i="2"/>
  <c r="W156" i="2"/>
  <c r="V156" i="2"/>
  <c r="U156" i="2"/>
  <c r="T156" i="2"/>
  <c r="S154" i="3" s="1"/>
  <c r="S154" i="4" s="1"/>
  <c r="S156" i="2"/>
  <c r="R154" i="3" s="1"/>
  <c r="R154" i="4" s="1"/>
  <c r="R156" i="2"/>
  <c r="Q156" i="2"/>
  <c r="P156" i="2"/>
  <c r="O156" i="2"/>
  <c r="N156" i="2"/>
  <c r="M156" i="2"/>
  <c r="L156" i="2"/>
  <c r="K156" i="2"/>
  <c r="J156" i="2"/>
  <c r="I156" i="2"/>
  <c r="H156" i="2"/>
  <c r="G154" i="3" s="1"/>
  <c r="G154" i="4" s="1"/>
  <c r="G156" i="2"/>
  <c r="F154" i="3" s="1"/>
  <c r="F154" i="4" s="1"/>
  <c r="F156" i="2"/>
  <c r="E156" i="2"/>
  <c r="D156" i="2"/>
  <c r="C156" i="2"/>
  <c r="B156" i="2"/>
  <c r="A156" i="2"/>
  <c r="AG155" i="2"/>
  <c r="AF155" i="2"/>
  <c r="AE155" i="2"/>
  <c r="AD155" i="2"/>
  <c r="AC155" i="2"/>
  <c r="AB153" i="3" s="1"/>
  <c r="AB153" i="4" s="1"/>
  <c r="AB155" i="2"/>
  <c r="AA153" i="3" s="1"/>
  <c r="AA153" i="4" s="1"/>
  <c r="AA155" i="2"/>
  <c r="Z155" i="2"/>
  <c r="Y155" i="2"/>
  <c r="X155" i="2"/>
  <c r="W155" i="2"/>
  <c r="V155" i="2"/>
  <c r="U155" i="2"/>
  <c r="T155" i="2"/>
  <c r="S155" i="2"/>
  <c r="R155" i="2"/>
  <c r="Q155" i="2"/>
  <c r="P153" i="3" s="1"/>
  <c r="P153" i="4" s="1"/>
  <c r="P155" i="2"/>
  <c r="O153" i="3" s="1"/>
  <c r="O153" i="4" s="1"/>
  <c r="O155" i="2"/>
  <c r="N155" i="2"/>
  <c r="M155" i="2"/>
  <c r="L155" i="2"/>
  <c r="K155" i="2"/>
  <c r="J155" i="2"/>
  <c r="I155" i="2"/>
  <c r="H155" i="2"/>
  <c r="G155" i="2"/>
  <c r="F155" i="2"/>
  <c r="E155" i="2"/>
  <c r="D153" i="3" s="1"/>
  <c r="D153" i="4" s="1"/>
  <c r="D155" i="2"/>
  <c r="C153" i="3" s="1"/>
  <c r="C153" i="4" s="1"/>
  <c r="C155" i="2"/>
  <c r="B155" i="2"/>
  <c r="A155" i="2"/>
  <c r="AG154" i="2"/>
  <c r="AF154" i="2"/>
  <c r="AE154" i="2"/>
  <c r="AD154" i="2"/>
  <c r="AC154" i="2"/>
  <c r="AB154" i="2"/>
  <c r="AA154" i="2"/>
  <c r="Z154" i="2"/>
  <c r="Y152" i="3" s="1"/>
  <c r="Y152" i="4" s="1"/>
  <c r="Y154" i="2"/>
  <c r="X152" i="3" s="1"/>
  <c r="X152" i="4" s="1"/>
  <c r="X154" i="2"/>
  <c r="W154" i="2"/>
  <c r="V154" i="2"/>
  <c r="U154" i="2"/>
  <c r="T154" i="2"/>
  <c r="S154" i="2"/>
  <c r="R154" i="2"/>
  <c r="Q154" i="2"/>
  <c r="P154" i="2"/>
  <c r="O154" i="2"/>
  <c r="N154" i="2"/>
  <c r="M152" i="3" s="1"/>
  <c r="M152" i="4" s="1"/>
  <c r="M154" i="2"/>
  <c r="L152" i="3" s="1"/>
  <c r="L152" i="4" s="1"/>
  <c r="L154" i="2"/>
  <c r="K154" i="2"/>
  <c r="J154" i="2"/>
  <c r="I154" i="2"/>
  <c r="H154" i="2"/>
  <c r="G154" i="2"/>
  <c r="F154" i="2"/>
  <c r="E154" i="2"/>
  <c r="D154" i="2"/>
  <c r="C154" i="2"/>
  <c r="B154" i="2"/>
  <c r="A152" i="3" s="1"/>
  <c r="A152" i="4" s="1"/>
  <c r="A154" i="2"/>
  <c r="AG153" i="2"/>
  <c r="AF153" i="2"/>
  <c r="AE153" i="2"/>
  <c r="AD153" i="2"/>
  <c r="AC153" i="2"/>
  <c r="AB153" i="2"/>
  <c r="AA153" i="2"/>
  <c r="Z153" i="2"/>
  <c r="Y153" i="2"/>
  <c r="X153" i="2"/>
  <c r="W153" i="2"/>
  <c r="V151" i="3" s="1"/>
  <c r="V151" i="4" s="1"/>
  <c r="V153" i="2"/>
  <c r="U151" i="3" s="1"/>
  <c r="U151" i="4" s="1"/>
  <c r="U153" i="2"/>
  <c r="T153" i="2"/>
  <c r="S153" i="2"/>
  <c r="R153" i="2"/>
  <c r="Q153" i="2"/>
  <c r="P153" i="2"/>
  <c r="O153" i="2"/>
  <c r="N153" i="2"/>
  <c r="M153" i="2"/>
  <c r="L153" i="2"/>
  <c r="K153" i="2"/>
  <c r="J151" i="3" s="1"/>
  <c r="J151" i="4" s="1"/>
  <c r="J153" i="2"/>
  <c r="I151" i="3" s="1"/>
  <c r="I151" i="4" s="1"/>
  <c r="I153" i="2"/>
  <c r="H153" i="2"/>
  <c r="G153" i="2"/>
  <c r="F153" i="2"/>
  <c r="E153" i="2"/>
  <c r="D153" i="2"/>
  <c r="C153" i="2"/>
  <c r="B153" i="2"/>
  <c r="A153" i="2"/>
  <c r="AG152" i="2"/>
  <c r="AF152" i="2"/>
  <c r="AE150" i="3" s="1"/>
  <c r="AE150" i="4" s="1"/>
  <c r="AE152" i="2"/>
  <c r="AD150" i="3" s="1"/>
  <c r="AD150" i="4" s="1"/>
  <c r="AD152" i="2"/>
  <c r="AC152" i="2"/>
  <c r="AB152" i="2"/>
  <c r="AA152" i="2"/>
  <c r="Z152" i="2"/>
  <c r="Y152" i="2"/>
  <c r="X152" i="2"/>
  <c r="W152" i="2"/>
  <c r="V152" i="2"/>
  <c r="U152" i="2"/>
  <c r="T152" i="2"/>
  <c r="S150" i="3" s="1"/>
  <c r="S150" i="4" s="1"/>
  <c r="S152" i="2"/>
  <c r="R150" i="3" s="1"/>
  <c r="R150" i="4" s="1"/>
  <c r="R152" i="2"/>
  <c r="Q152" i="2"/>
  <c r="P152" i="2"/>
  <c r="O152" i="2"/>
  <c r="N152" i="2"/>
  <c r="M152" i="2"/>
  <c r="L152" i="2"/>
  <c r="K152" i="2"/>
  <c r="J152" i="2"/>
  <c r="I152" i="2"/>
  <c r="H152" i="2"/>
  <c r="G150" i="3" s="1"/>
  <c r="G150" i="4" s="1"/>
  <c r="G152" i="2"/>
  <c r="F150" i="3" s="1"/>
  <c r="F150" i="4" s="1"/>
  <c r="F152" i="2"/>
  <c r="E152" i="2"/>
  <c r="D152" i="2"/>
  <c r="C152" i="2"/>
  <c r="B152" i="2"/>
  <c r="A152" i="2"/>
  <c r="AG151" i="2"/>
  <c r="AF151" i="2"/>
  <c r="AE151" i="2"/>
  <c r="AD151" i="2"/>
  <c r="AC151" i="2"/>
  <c r="AB149" i="3" s="1"/>
  <c r="AB149" i="4" s="1"/>
  <c r="AB151" i="2"/>
  <c r="AA149" i="3" s="1"/>
  <c r="AA149" i="4" s="1"/>
  <c r="AA151" i="2"/>
  <c r="Z151" i="2"/>
  <c r="Y151" i="2"/>
  <c r="X151" i="2"/>
  <c r="W151" i="2"/>
  <c r="V151" i="2"/>
  <c r="U151" i="2"/>
  <c r="T151" i="2"/>
  <c r="S151" i="2"/>
  <c r="R151" i="2"/>
  <c r="Q151" i="2"/>
  <c r="P149" i="3" s="1"/>
  <c r="P149" i="4" s="1"/>
  <c r="P151" i="2"/>
  <c r="O149" i="3" s="1"/>
  <c r="O149" i="4" s="1"/>
  <c r="O151" i="2"/>
  <c r="N151" i="2"/>
  <c r="M151" i="2"/>
  <c r="L151" i="2"/>
  <c r="K151" i="2"/>
  <c r="J151" i="2"/>
  <c r="I151" i="2"/>
  <c r="H151" i="2"/>
  <c r="G151" i="2"/>
  <c r="F151" i="2"/>
  <c r="E151" i="2"/>
  <c r="D149" i="3" s="1"/>
  <c r="D149" i="4" s="1"/>
  <c r="D151" i="2"/>
  <c r="C149" i="3" s="1"/>
  <c r="C149" i="4" s="1"/>
  <c r="C151" i="2"/>
  <c r="B151" i="2"/>
  <c r="A151" i="2"/>
  <c r="AG150" i="2"/>
  <c r="AF150" i="2"/>
  <c r="AE150" i="2"/>
  <c r="AD150" i="2"/>
  <c r="AC150" i="2"/>
  <c r="AB150" i="2"/>
  <c r="AA150" i="2"/>
  <c r="Z150" i="2"/>
  <c r="Y148" i="3" s="1"/>
  <c r="Y148" i="4" s="1"/>
  <c r="Y150" i="2"/>
  <c r="X148" i="3" s="1"/>
  <c r="X148" i="4" s="1"/>
  <c r="X150" i="2"/>
  <c r="W150" i="2"/>
  <c r="V150" i="2"/>
  <c r="U150" i="2"/>
  <c r="T150" i="2"/>
  <c r="S150" i="2"/>
  <c r="R150" i="2"/>
  <c r="Q150" i="2"/>
  <c r="P150" i="2"/>
  <c r="O150" i="2"/>
  <c r="N150" i="2"/>
  <c r="M148" i="3" s="1"/>
  <c r="M148" i="4" s="1"/>
  <c r="M150" i="2"/>
  <c r="L148" i="3" s="1"/>
  <c r="L148" i="4" s="1"/>
  <c r="L150" i="2"/>
  <c r="K150" i="2"/>
  <c r="J150" i="2"/>
  <c r="I150" i="2"/>
  <c r="H150" i="2"/>
  <c r="G150" i="2"/>
  <c r="F150" i="2"/>
  <c r="E150" i="2"/>
  <c r="D150" i="2"/>
  <c r="C150" i="2"/>
  <c r="B150" i="2"/>
  <c r="A148" i="3" s="1"/>
  <c r="A148" i="4" s="1"/>
  <c r="A150" i="2"/>
  <c r="AG149" i="2"/>
  <c r="AF149" i="2"/>
  <c r="AE149" i="2"/>
  <c r="AD149" i="2"/>
  <c r="AC149" i="2"/>
  <c r="AB149" i="2"/>
  <c r="AA149" i="2"/>
  <c r="Z149" i="2"/>
  <c r="Y149" i="2"/>
  <c r="X149" i="2"/>
  <c r="W149" i="2"/>
  <c r="V147" i="3" s="1"/>
  <c r="V147" i="4" s="1"/>
  <c r="V149" i="2"/>
  <c r="U147" i="3" s="1"/>
  <c r="U147" i="4" s="1"/>
  <c r="U149" i="2"/>
  <c r="T149" i="2"/>
  <c r="S149" i="2"/>
  <c r="R149" i="2"/>
  <c r="Q149" i="2"/>
  <c r="P149" i="2"/>
  <c r="O149" i="2"/>
  <c r="N149" i="2"/>
  <c r="M149" i="2"/>
  <c r="L149" i="2"/>
  <c r="K149" i="2"/>
  <c r="J147" i="3" s="1"/>
  <c r="J147" i="4" s="1"/>
  <c r="J149" i="2"/>
  <c r="I147" i="3" s="1"/>
  <c r="I147" i="4" s="1"/>
  <c r="I149" i="2"/>
  <c r="H149" i="2"/>
  <c r="G149" i="2"/>
  <c r="F149" i="2"/>
  <c r="E149" i="2"/>
  <c r="D149" i="2"/>
  <c r="C149" i="2"/>
  <c r="B149" i="2"/>
  <c r="A149" i="2"/>
  <c r="AG148" i="2"/>
  <c r="AF148" i="2"/>
  <c r="AE146" i="3" s="1"/>
  <c r="AE146" i="4" s="1"/>
  <c r="AE148" i="2"/>
  <c r="AD146" i="3" s="1"/>
  <c r="AD146" i="4" s="1"/>
  <c r="AD148" i="2"/>
  <c r="AC148" i="2"/>
  <c r="AB148" i="2"/>
  <c r="AA148" i="2"/>
  <c r="Z148" i="2"/>
  <c r="Y148" i="2"/>
  <c r="X148" i="2"/>
  <c r="W148" i="2"/>
  <c r="V148" i="2"/>
  <c r="U148" i="2"/>
  <c r="T148" i="2"/>
  <c r="S146" i="3" s="1"/>
  <c r="S146" i="4" s="1"/>
  <c r="S148" i="2"/>
  <c r="R146" i="3" s="1"/>
  <c r="R146" i="4" s="1"/>
  <c r="R148" i="2"/>
  <c r="Q148" i="2"/>
  <c r="P148" i="2"/>
  <c r="O148" i="2"/>
  <c r="N148" i="2"/>
  <c r="M148" i="2"/>
  <c r="L148" i="2"/>
  <c r="K148" i="2"/>
  <c r="J148" i="2"/>
  <c r="I148" i="2"/>
  <c r="H148" i="2"/>
  <c r="G146" i="3" s="1"/>
  <c r="G146" i="4" s="1"/>
  <c r="G148" i="2"/>
  <c r="F146" i="3" s="1"/>
  <c r="F146" i="4" s="1"/>
  <c r="F148" i="2"/>
  <c r="E148" i="2"/>
  <c r="D148" i="2"/>
  <c r="C148" i="2"/>
  <c r="B148" i="2"/>
  <c r="A148" i="2"/>
  <c r="AG147" i="2"/>
  <c r="AF147" i="2"/>
  <c r="AE147" i="2"/>
  <c r="AD147" i="2"/>
  <c r="AC147" i="2"/>
  <c r="AB145" i="3" s="1"/>
  <c r="AB145" i="4" s="1"/>
  <c r="AB147" i="2"/>
  <c r="AA145" i="3" s="1"/>
  <c r="AA145" i="4" s="1"/>
  <c r="AA147" i="2"/>
  <c r="Z147" i="2"/>
  <c r="Y147" i="2"/>
  <c r="X147" i="2"/>
  <c r="W147" i="2"/>
  <c r="V147" i="2"/>
  <c r="U147" i="2"/>
  <c r="T147" i="2"/>
  <c r="S147" i="2"/>
  <c r="R147" i="2"/>
  <c r="Q147" i="2"/>
  <c r="P145" i="3" s="1"/>
  <c r="P145" i="4" s="1"/>
  <c r="P147" i="2"/>
  <c r="O145" i="3" s="1"/>
  <c r="O145" i="4" s="1"/>
  <c r="O147" i="2"/>
  <c r="N147" i="2"/>
  <c r="M147" i="2"/>
  <c r="L147" i="2"/>
  <c r="K147" i="2"/>
  <c r="J147" i="2"/>
  <c r="I147" i="2"/>
  <c r="H147" i="2"/>
  <c r="G147" i="2"/>
  <c r="F147" i="2"/>
  <c r="E147" i="2"/>
  <c r="D145" i="3" s="1"/>
  <c r="D145" i="4" s="1"/>
  <c r="D147" i="2"/>
  <c r="C145" i="3" s="1"/>
  <c r="C145" i="4" s="1"/>
  <c r="C147" i="2"/>
  <c r="B147" i="2"/>
  <c r="A147" i="2"/>
  <c r="AG146" i="2"/>
  <c r="AF146" i="2"/>
  <c r="AE146" i="2"/>
  <c r="AD146" i="2"/>
  <c r="AC146" i="2"/>
  <c r="AB146" i="2"/>
  <c r="AA146" i="2"/>
  <c r="Z146" i="2"/>
  <c r="Y144" i="3" s="1"/>
  <c r="Y144" i="4" s="1"/>
  <c r="Y146" i="2"/>
  <c r="X144" i="3" s="1"/>
  <c r="X144" i="4" s="1"/>
  <c r="X146" i="2"/>
  <c r="W146" i="2"/>
  <c r="V146" i="2"/>
  <c r="U146" i="2"/>
  <c r="T146" i="2"/>
  <c r="S146" i="2"/>
  <c r="R146" i="2"/>
  <c r="Q146" i="2"/>
  <c r="P146" i="2"/>
  <c r="O146" i="2"/>
  <c r="N146" i="2"/>
  <c r="M144" i="3" s="1"/>
  <c r="M144" i="4" s="1"/>
  <c r="M146" i="2"/>
  <c r="L144" i="3" s="1"/>
  <c r="L144" i="4" s="1"/>
  <c r="L146" i="2"/>
  <c r="K146" i="2"/>
  <c r="J146" i="2"/>
  <c r="I146" i="2"/>
  <c r="H146" i="2"/>
  <c r="G146" i="2"/>
  <c r="F146" i="2"/>
  <c r="E146" i="2"/>
  <c r="D146" i="2"/>
  <c r="C146" i="2"/>
  <c r="B146" i="2"/>
  <c r="A144" i="3" s="1"/>
  <c r="A144" i="4" s="1"/>
  <c r="A146" i="2"/>
  <c r="AG145" i="2"/>
  <c r="AF145" i="2"/>
  <c r="AE145" i="2"/>
  <c r="AD145" i="2"/>
  <c r="AC145" i="2"/>
  <c r="AB145" i="2"/>
  <c r="AA145" i="2"/>
  <c r="Z145" i="2"/>
  <c r="Y145" i="2"/>
  <c r="X145" i="2"/>
  <c r="W145" i="2"/>
  <c r="V143" i="3" s="1"/>
  <c r="V143" i="4" s="1"/>
  <c r="V145" i="2"/>
  <c r="U143" i="3" s="1"/>
  <c r="U143" i="4" s="1"/>
  <c r="U145" i="2"/>
  <c r="T145" i="2"/>
  <c r="S145" i="2"/>
  <c r="R145" i="2"/>
  <c r="Q145" i="2"/>
  <c r="P145" i="2"/>
  <c r="O145" i="2"/>
  <c r="N145" i="2"/>
  <c r="M145" i="2"/>
  <c r="L145" i="2"/>
  <c r="K145" i="2"/>
  <c r="J143" i="3" s="1"/>
  <c r="J143" i="4" s="1"/>
  <c r="J145" i="2"/>
  <c r="I143" i="3" s="1"/>
  <c r="I143" i="4" s="1"/>
  <c r="I145" i="2"/>
  <c r="H145" i="2"/>
  <c r="G145" i="2"/>
  <c r="F145" i="2"/>
  <c r="E145" i="2"/>
  <c r="D145" i="2"/>
  <c r="C145" i="2"/>
  <c r="B145" i="2"/>
  <c r="A145" i="2"/>
  <c r="AG144" i="2"/>
  <c r="AF144" i="2"/>
  <c r="AE142" i="3" s="1"/>
  <c r="AE142" i="4" s="1"/>
  <c r="AE144" i="2"/>
  <c r="AD142" i="3" s="1"/>
  <c r="AD142" i="4" s="1"/>
  <c r="AD144" i="2"/>
  <c r="AC144" i="2"/>
  <c r="AB144" i="2"/>
  <c r="AA144" i="2"/>
  <c r="Z144" i="2"/>
  <c r="Y144" i="2"/>
  <c r="X144" i="2"/>
  <c r="W144" i="2"/>
  <c r="V144" i="2"/>
  <c r="U144" i="2"/>
  <c r="T144" i="2"/>
  <c r="S142" i="3" s="1"/>
  <c r="S142" i="4" s="1"/>
  <c r="S144" i="2"/>
  <c r="R142" i="3" s="1"/>
  <c r="R142" i="4" s="1"/>
  <c r="R144" i="2"/>
  <c r="Q144" i="2"/>
  <c r="P144" i="2"/>
  <c r="O144" i="2"/>
  <c r="N144" i="2"/>
  <c r="M144" i="2"/>
  <c r="L144" i="2"/>
  <c r="K144" i="2"/>
  <c r="J144" i="2"/>
  <c r="I144" i="2"/>
  <c r="H144" i="2"/>
  <c r="G142" i="3" s="1"/>
  <c r="G142" i="4" s="1"/>
  <c r="G144" i="2"/>
  <c r="F142" i="3" s="1"/>
  <c r="F142" i="4" s="1"/>
  <c r="F144" i="2"/>
  <c r="E144" i="2"/>
  <c r="D144" i="2"/>
  <c r="C144" i="2"/>
  <c r="B144" i="2"/>
  <c r="A144" i="2"/>
  <c r="AG143" i="2"/>
  <c r="AF143" i="2"/>
  <c r="AE143" i="2"/>
  <c r="AD143" i="2"/>
  <c r="AC143" i="2"/>
  <c r="AB141" i="3" s="1"/>
  <c r="AB141" i="4" s="1"/>
  <c r="AB143" i="2"/>
  <c r="AA141" i="3" s="1"/>
  <c r="AA141" i="4" s="1"/>
  <c r="AA143" i="2"/>
  <c r="Z143" i="2"/>
  <c r="Y143" i="2"/>
  <c r="X143" i="2"/>
  <c r="W143" i="2"/>
  <c r="V143" i="2"/>
  <c r="U143" i="2"/>
  <c r="T143" i="2"/>
  <c r="S143" i="2"/>
  <c r="R143" i="2"/>
  <c r="Q143" i="2"/>
  <c r="P141" i="3" s="1"/>
  <c r="P141" i="4" s="1"/>
  <c r="P143" i="2"/>
  <c r="O141" i="3" s="1"/>
  <c r="O141" i="4" s="1"/>
  <c r="O143" i="2"/>
  <c r="N143" i="2"/>
  <c r="M143" i="2"/>
  <c r="L143" i="2"/>
  <c r="K143" i="2"/>
  <c r="J143" i="2"/>
  <c r="I143" i="2"/>
  <c r="H143" i="2"/>
  <c r="G143" i="2"/>
  <c r="F143" i="2"/>
  <c r="E143" i="2"/>
  <c r="D141" i="3" s="1"/>
  <c r="D141" i="4" s="1"/>
  <c r="D143" i="2"/>
  <c r="C141" i="3" s="1"/>
  <c r="C141" i="4" s="1"/>
  <c r="C143" i="2"/>
  <c r="B143" i="2"/>
  <c r="A143" i="2"/>
  <c r="AG142" i="2"/>
  <c r="AF142" i="2"/>
  <c r="AE142" i="2"/>
  <c r="AD142" i="2"/>
  <c r="AC142" i="2"/>
  <c r="AB142" i="2"/>
  <c r="AA142" i="2"/>
  <c r="Z142" i="2"/>
  <c r="Y140" i="3" s="1"/>
  <c r="Y140" i="4" s="1"/>
  <c r="Y142" i="2"/>
  <c r="X140" i="3" s="1"/>
  <c r="X140" i="4" s="1"/>
  <c r="X142" i="2"/>
  <c r="W142" i="2"/>
  <c r="V142" i="2"/>
  <c r="U142" i="2"/>
  <c r="T142" i="2"/>
  <c r="S142" i="2"/>
  <c r="R142" i="2"/>
  <c r="Q142" i="2"/>
  <c r="P142" i="2"/>
  <c r="O142" i="2"/>
  <c r="N142" i="2"/>
  <c r="M140" i="3" s="1"/>
  <c r="M140" i="4" s="1"/>
  <c r="M142" i="2"/>
  <c r="L140" i="3" s="1"/>
  <c r="L140" i="4" s="1"/>
  <c r="L142" i="2"/>
  <c r="K142" i="2"/>
  <c r="J142" i="2"/>
  <c r="I142" i="2"/>
  <c r="H142" i="2"/>
  <c r="G142" i="2"/>
  <c r="F142" i="2"/>
  <c r="E142" i="2"/>
  <c r="D142" i="2"/>
  <c r="C142" i="2"/>
  <c r="B142" i="2"/>
  <c r="A140" i="3" s="1"/>
  <c r="A140" i="4" s="1"/>
  <c r="A142" i="2"/>
  <c r="AG141" i="2"/>
  <c r="AF141" i="2"/>
  <c r="AE141" i="2"/>
  <c r="AD141" i="2"/>
  <c r="AC141" i="2"/>
  <c r="AB141" i="2"/>
  <c r="AA141" i="2"/>
  <c r="Z141" i="2"/>
  <c r="Y141" i="2"/>
  <c r="X141" i="2"/>
  <c r="W141" i="2"/>
  <c r="V139" i="3" s="1"/>
  <c r="V139" i="4" s="1"/>
  <c r="V141" i="2"/>
  <c r="U139" i="3" s="1"/>
  <c r="U139" i="4" s="1"/>
  <c r="U141" i="2"/>
  <c r="T141" i="2"/>
  <c r="S141" i="2"/>
  <c r="R141" i="2"/>
  <c r="Q141" i="2"/>
  <c r="P141" i="2"/>
  <c r="O141" i="2"/>
  <c r="N141" i="2"/>
  <c r="M141" i="2"/>
  <c r="L141" i="2"/>
  <c r="K141" i="2"/>
  <c r="J139" i="3" s="1"/>
  <c r="J139" i="4" s="1"/>
  <c r="J141" i="2"/>
  <c r="I139" i="3" s="1"/>
  <c r="I139" i="4" s="1"/>
  <c r="I141" i="2"/>
  <c r="H141" i="2"/>
  <c r="G141" i="2"/>
  <c r="F141" i="2"/>
  <c r="E141" i="2"/>
  <c r="D141" i="2"/>
  <c r="C141" i="2"/>
  <c r="B141" i="2"/>
  <c r="A141" i="2"/>
  <c r="AG140" i="2"/>
  <c r="AF140" i="2"/>
  <c r="AE138" i="3" s="1"/>
  <c r="AE138" i="4" s="1"/>
  <c r="AE140" i="2"/>
  <c r="AD138" i="3" s="1"/>
  <c r="AD138" i="4" s="1"/>
  <c r="AD140" i="2"/>
  <c r="AC140" i="2"/>
  <c r="AB140" i="2"/>
  <c r="AA140" i="2"/>
  <c r="Z140" i="2"/>
  <c r="Y140" i="2"/>
  <c r="X140" i="2"/>
  <c r="W140" i="2"/>
  <c r="V140" i="2"/>
  <c r="U140" i="2"/>
  <c r="T140" i="2"/>
  <c r="S138" i="3" s="1"/>
  <c r="S138" i="4" s="1"/>
  <c r="S140" i="2"/>
  <c r="R138" i="3" s="1"/>
  <c r="R138" i="4" s="1"/>
  <c r="R140" i="2"/>
  <c r="Q140" i="2"/>
  <c r="P140" i="2"/>
  <c r="O140" i="2"/>
  <c r="N140" i="2"/>
  <c r="M140" i="2"/>
  <c r="L140" i="2"/>
  <c r="K140" i="2"/>
  <c r="J140" i="2"/>
  <c r="I140" i="2"/>
  <c r="H140" i="2"/>
  <c r="G138" i="3" s="1"/>
  <c r="G138" i="4" s="1"/>
  <c r="G140" i="2"/>
  <c r="F138" i="3" s="1"/>
  <c r="F138" i="4" s="1"/>
  <c r="F140" i="2"/>
  <c r="E140" i="2"/>
  <c r="D140" i="2"/>
  <c r="C140" i="2"/>
  <c r="B140" i="2"/>
  <c r="A140" i="2"/>
  <c r="AG139" i="2"/>
  <c r="AF139" i="2"/>
  <c r="AE139" i="2"/>
  <c r="AD139" i="2"/>
  <c r="AC139" i="2"/>
  <c r="AB137" i="3" s="1"/>
  <c r="AB137" i="4" s="1"/>
  <c r="AB139" i="2"/>
  <c r="AA137" i="3" s="1"/>
  <c r="AA137" i="4" s="1"/>
  <c r="AA139" i="2"/>
  <c r="Z139" i="2"/>
  <c r="Y139" i="2"/>
  <c r="X139" i="2"/>
  <c r="W139" i="2"/>
  <c r="V139" i="2"/>
  <c r="U139" i="2"/>
  <c r="T139" i="2"/>
  <c r="S139" i="2"/>
  <c r="R139" i="2"/>
  <c r="Q139" i="2"/>
  <c r="P137" i="3" s="1"/>
  <c r="P137" i="4" s="1"/>
  <c r="P139" i="2"/>
  <c r="O137" i="3" s="1"/>
  <c r="O137" i="4" s="1"/>
  <c r="O139" i="2"/>
  <c r="N139" i="2"/>
  <c r="M139" i="2"/>
  <c r="L139" i="2"/>
  <c r="K139" i="2"/>
  <c r="J139" i="2"/>
  <c r="I139" i="2"/>
  <c r="H139" i="2"/>
  <c r="G139" i="2"/>
  <c r="F139" i="2"/>
  <c r="E139" i="2"/>
  <c r="D137" i="3" s="1"/>
  <c r="D137" i="4" s="1"/>
  <c r="D139" i="2"/>
  <c r="C137" i="3" s="1"/>
  <c r="C137" i="4" s="1"/>
  <c r="C139" i="2"/>
  <c r="B139" i="2"/>
  <c r="A139" i="2"/>
  <c r="AG138" i="2"/>
  <c r="AF138" i="2"/>
  <c r="AE138" i="2"/>
  <c r="AD138" i="2"/>
  <c r="AC138" i="2"/>
  <c r="AB138" i="2"/>
  <c r="AA138" i="2"/>
  <c r="Z138" i="2"/>
  <c r="Y136" i="3" s="1"/>
  <c r="Y136" i="4" s="1"/>
  <c r="Y138" i="2"/>
  <c r="X136" i="3" s="1"/>
  <c r="X136" i="4" s="1"/>
  <c r="X138" i="2"/>
  <c r="W138" i="2"/>
  <c r="V138" i="2"/>
  <c r="U138" i="2"/>
  <c r="T138" i="2"/>
  <c r="S138" i="2"/>
  <c r="R138" i="2"/>
  <c r="Q138" i="2"/>
  <c r="P138" i="2"/>
  <c r="O138" i="2"/>
  <c r="N138" i="2"/>
  <c r="M136" i="3" s="1"/>
  <c r="M136" i="4" s="1"/>
  <c r="M138" i="2"/>
  <c r="L136" i="3" s="1"/>
  <c r="L136" i="4" s="1"/>
  <c r="L138" i="2"/>
  <c r="K138" i="2"/>
  <c r="J138" i="2"/>
  <c r="I138" i="2"/>
  <c r="H138" i="2"/>
  <c r="G138" i="2"/>
  <c r="F138" i="2"/>
  <c r="E138" i="2"/>
  <c r="D138" i="2"/>
  <c r="C138" i="2"/>
  <c r="B138" i="2"/>
  <c r="A136" i="3" s="1"/>
  <c r="A136" i="4" s="1"/>
  <c r="A138" i="2"/>
  <c r="AG137" i="2"/>
  <c r="AF137" i="2"/>
  <c r="AE137" i="2"/>
  <c r="AD137" i="2"/>
  <c r="AC137" i="2"/>
  <c r="AB137" i="2"/>
  <c r="AA137" i="2"/>
  <c r="Z137" i="2"/>
  <c r="Y137" i="2"/>
  <c r="X137" i="2"/>
  <c r="W137" i="2"/>
  <c r="V135" i="3" s="1"/>
  <c r="V135" i="4" s="1"/>
  <c r="V137" i="2"/>
  <c r="U135" i="3" s="1"/>
  <c r="U135" i="4" s="1"/>
  <c r="U137" i="2"/>
  <c r="T137" i="2"/>
  <c r="S137" i="2"/>
  <c r="R137" i="2"/>
  <c r="Q137" i="2"/>
  <c r="P137" i="2"/>
  <c r="O137" i="2"/>
  <c r="N137" i="2"/>
  <c r="M137" i="2"/>
  <c r="L137" i="2"/>
  <c r="K137" i="2"/>
  <c r="J135" i="3" s="1"/>
  <c r="J135" i="4" s="1"/>
  <c r="J137" i="2"/>
  <c r="I135" i="3" s="1"/>
  <c r="I135" i="4" s="1"/>
  <c r="I137" i="2"/>
  <c r="H137" i="2"/>
  <c r="G137" i="2"/>
  <c r="F137" i="2"/>
  <c r="E137" i="2"/>
  <c r="D137" i="2"/>
  <c r="C137" i="2"/>
  <c r="B137" i="2"/>
  <c r="A137" i="2"/>
  <c r="AG136" i="2"/>
  <c r="AF136" i="2"/>
  <c r="AE134" i="3" s="1"/>
  <c r="AE134" i="4" s="1"/>
  <c r="AE136" i="2"/>
  <c r="AD134" i="3" s="1"/>
  <c r="AD134" i="4" s="1"/>
  <c r="AD136" i="2"/>
  <c r="AC136" i="2"/>
  <c r="AB136" i="2"/>
  <c r="AA136" i="2"/>
  <c r="Z136" i="2"/>
  <c r="Y136" i="2"/>
  <c r="X136" i="2"/>
  <c r="W136" i="2"/>
  <c r="V136" i="2"/>
  <c r="U136" i="2"/>
  <c r="T136" i="2"/>
  <c r="S134" i="3" s="1"/>
  <c r="S134" i="4" s="1"/>
  <c r="S136" i="2"/>
  <c r="R134" i="3" s="1"/>
  <c r="R134" i="4" s="1"/>
  <c r="R136" i="2"/>
  <c r="Q136" i="2"/>
  <c r="P136" i="2"/>
  <c r="O136" i="2"/>
  <c r="N136" i="2"/>
  <c r="M136" i="2"/>
  <c r="L136" i="2"/>
  <c r="K136" i="2"/>
  <c r="J136" i="2"/>
  <c r="I136" i="2"/>
  <c r="H136" i="2"/>
  <c r="G134" i="3" s="1"/>
  <c r="G134" i="4" s="1"/>
  <c r="G136" i="2"/>
  <c r="F134" i="3" s="1"/>
  <c r="F134" i="4" s="1"/>
  <c r="F136" i="2"/>
  <c r="E136" i="2"/>
  <c r="D136" i="2"/>
  <c r="C136" i="2"/>
  <c r="B136" i="2"/>
  <c r="A136" i="2"/>
  <c r="AG135" i="2"/>
  <c r="AF135" i="2"/>
  <c r="AE135" i="2"/>
  <c r="AD135" i="2"/>
  <c r="AC135" i="2"/>
  <c r="AB133" i="3" s="1"/>
  <c r="AB133" i="4" s="1"/>
  <c r="AB135" i="2"/>
  <c r="AA133" i="3" s="1"/>
  <c r="AA133" i="4" s="1"/>
  <c r="AA135" i="2"/>
  <c r="Z135" i="2"/>
  <c r="Y135" i="2"/>
  <c r="X135" i="2"/>
  <c r="W135" i="2"/>
  <c r="V135" i="2"/>
  <c r="U135" i="2"/>
  <c r="T135" i="2"/>
  <c r="S135" i="2"/>
  <c r="R135" i="2"/>
  <c r="Q135" i="2"/>
  <c r="P133" i="3" s="1"/>
  <c r="P133" i="4" s="1"/>
  <c r="P135" i="2"/>
  <c r="O133" i="3" s="1"/>
  <c r="O133" i="4" s="1"/>
  <c r="O135" i="2"/>
  <c r="N135" i="2"/>
  <c r="M135" i="2"/>
  <c r="L135" i="2"/>
  <c r="K135" i="2"/>
  <c r="J135" i="2"/>
  <c r="I135" i="2"/>
  <c r="H135" i="2"/>
  <c r="G135" i="2"/>
  <c r="F135" i="2"/>
  <c r="E135" i="2"/>
  <c r="D133" i="3" s="1"/>
  <c r="D133" i="4" s="1"/>
  <c r="D135" i="2"/>
  <c r="C133" i="3" s="1"/>
  <c r="C133" i="4" s="1"/>
  <c r="C135" i="2"/>
  <c r="B135" i="2"/>
  <c r="A135" i="2"/>
  <c r="AG134" i="2"/>
  <c r="AF134" i="2"/>
  <c r="AE134" i="2"/>
  <c r="AD134" i="2"/>
  <c r="AC134" i="2"/>
  <c r="AB134" i="2"/>
  <c r="AA134" i="2"/>
  <c r="Z134" i="2"/>
  <c r="Y132" i="3" s="1"/>
  <c r="Y132" i="4" s="1"/>
  <c r="Y134" i="2"/>
  <c r="X132" i="3" s="1"/>
  <c r="X132" i="4" s="1"/>
  <c r="X134" i="2"/>
  <c r="W134" i="2"/>
  <c r="V134" i="2"/>
  <c r="U134" i="2"/>
  <c r="T134" i="2"/>
  <c r="S134" i="2"/>
  <c r="R134" i="2"/>
  <c r="Q134" i="2"/>
  <c r="P134" i="2"/>
  <c r="O134" i="2"/>
  <c r="N134" i="2"/>
  <c r="M132" i="3" s="1"/>
  <c r="M132" i="4" s="1"/>
  <c r="M134" i="2"/>
  <c r="L132" i="3" s="1"/>
  <c r="L132" i="4" s="1"/>
  <c r="L134" i="2"/>
  <c r="K134" i="2"/>
  <c r="J134" i="2"/>
  <c r="I134" i="2"/>
  <c r="H134" i="2"/>
  <c r="G134" i="2"/>
  <c r="F134" i="2"/>
  <c r="E134" i="2"/>
  <c r="D134" i="2"/>
  <c r="C134" i="2"/>
  <c r="B134" i="2"/>
  <c r="A132" i="3" s="1"/>
  <c r="A132" i="4" s="1"/>
  <c r="A134" i="2"/>
  <c r="AG133" i="2"/>
  <c r="AF133" i="2"/>
  <c r="AE133" i="2"/>
  <c r="AD133" i="2"/>
  <c r="AC133" i="2"/>
  <c r="AB133" i="2"/>
  <c r="AA133" i="2"/>
  <c r="Z133" i="2"/>
  <c r="Y133" i="2"/>
  <c r="X133" i="2"/>
  <c r="W133" i="2"/>
  <c r="V131" i="3" s="1"/>
  <c r="V131" i="4" s="1"/>
  <c r="V133" i="2"/>
  <c r="U131" i="3" s="1"/>
  <c r="U131" i="4" s="1"/>
  <c r="U133" i="2"/>
  <c r="T133" i="2"/>
  <c r="S133" i="2"/>
  <c r="R133" i="2"/>
  <c r="Q133" i="2"/>
  <c r="P133" i="2"/>
  <c r="O133" i="2"/>
  <c r="N133" i="2"/>
  <c r="M133" i="2"/>
  <c r="L133" i="2"/>
  <c r="K133" i="2"/>
  <c r="J131" i="3" s="1"/>
  <c r="J131" i="4" s="1"/>
  <c r="J133" i="2"/>
  <c r="I131" i="3" s="1"/>
  <c r="I131" i="4" s="1"/>
  <c r="I133" i="2"/>
  <c r="H133" i="2"/>
  <c r="G133" i="2"/>
  <c r="F133" i="2"/>
  <c r="E133" i="2"/>
  <c r="D133" i="2"/>
  <c r="C133" i="2"/>
  <c r="B133" i="2"/>
  <c r="A133" i="2"/>
  <c r="AG132" i="2"/>
  <c r="AF132" i="2"/>
  <c r="AE130" i="3" s="1"/>
  <c r="AE130" i="4" s="1"/>
  <c r="AE132" i="2"/>
  <c r="AD130" i="3" s="1"/>
  <c r="AD130" i="4" s="1"/>
  <c r="AD132" i="2"/>
  <c r="AC132" i="2"/>
  <c r="AB132" i="2"/>
  <c r="AA132" i="2"/>
  <c r="Z132" i="2"/>
  <c r="Y132" i="2"/>
  <c r="X132" i="2"/>
  <c r="W132" i="2"/>
  <c r="V132" i="2"/>
  <c r="U132" i="2"/>
  <c r="T132" i="2"/>
  <c r="S130" i="3" s="1"/>
  <c r="S130" i="4" s="1"/>
  <c r="S132" i="2"/>
  <c r="R130" i="3" s="1"/>
  <c r="R130" i="4" s="1"/>
  <c r="R132" i="2"/>
  <c r="Q132" i="2"/>
  <c r="P132" i="2"/>
  <c r="O132" i="2"/>
  <c r="N132" i="2"/>
  <c r="M132" i="2"/>
  <c r="L132" i="2"/>
  <c r="K132" i="2"/>
  <c r="J132" i="2"/>
  <c r="I132" i="2"/>
  <c r="H132" i="2"/>
  <c r="G130" i="3" s="1"/>
  <c r="G130" i="4" s="1"/>
  <c r="G132" i="2"/>
  <c r="F130" i="3" s="1"/>
  <c r="F130" i="4" s="1"/>
  <c r="F132" i="2"/>
  <c r="E132" i="2"/>
  <c r="D132" i="2"/>
  <c r="C132" i="2"/>
  <c r="B132" i="2"/>
  <c r="A132" i="2"/>
  <c r="AG131" i="2"/>
  <c r="AF131" i="2"/>
  <c r="AE131" i="2"/>
  <c r="AD131" i="2"/>
  <c r="AC131" i="2"/>
  <c r="AB129" i="3" s="1"/>
  <c r="AB129" i="4" s="1"/>
  <c r="AB131" i="2"/>
  <c r="AA129" i="3" s="1"/>
  <c r="AA129" i="4" s="1"/>
  <c r="AA131" i="2"/>
  <c r="Z131" i="2"/>
  <c r="Y131" i="2"/>
  <c r="X131" i="2"/>
  <c r="W131" i="2"/>
  <c r="V131" i="2"/>
  <c r="U131" i="2"/>
  <c r="T131" i="2"/>
  <c r="S131" i="2"/>
  <c r="R131" i="2"/>
  <c r="Q131" i="2"/>
  <c r="P129" i="3" s="1"/>
  <c r="P129" i="4" s="1"/>
  <c r="P131" i="2"/>
  <c r="O129" i="3" s="1"/>
  <c r="O129" i="4" s="1"/>
  <c r="O131" i="2"/>
  <c r="N131" i="2"/>
  <c r="M131" i="2"/>
  <c r="L131" i="2"/>
  <c r="K131" i="2"/>
  <c r="J131" i="2"/>
  <c r="I131" i="2"/>
  <c r="H131" i="2"/>
  <c r="G131" i="2"/>
  <c r="F131" i="2"/>
  <c r="E131" i="2"/>
  <c r="D129" i="3" s="1"/>
  <c r="D129" i="4" s="1"/>
  <c r="D131" i="2"/>
  <c r="C129" i="3" s="1"/>
  <c r="C129" i="4" s="1"/>
  <c r="C131" i="2"/>
  <c r="B131" i="2"/>
  <c r="A131" i="2"/>
  <c r="AG130" i="2"/>
  <c r="AF130" i="2"/>
  <c r="AE130" i="2"/>
  <c r="AD130" i="2"/>
  <c r="AC130" i="2"/>
  <c r="AB130" i="2"/>
  <c r="AA130" i="2"/>
  <c r="Z130" i="2"/>
  <c r="Y128" i="3" s="1"/>
  <c r="Y128" i="4" s="1"/>
  <c r="Y130" i="2"/>
  <c r="X128" i="3" s="1"/>
  <c r="X128" i="4" s="1"/>
  <c r="X130" i="2"/>
  <c r="W130" i="2"/>
  <c r="V130" i="2"/>
  <c r="U130" i="2"/>
  <c r="T130" i="2"/>
  <c r="S130" i="2"/>
  <c r="R130" i="2"/>
  <c r="Q130" i="2"/>
  <c r="P130" i="2"/>
  <c r="O130" i="2"/>
  <c r="N130" i="2"/>
  <c r="M128" i="3" s="1"/>
  <c r="M128" i="4" s="1"/>
  <c r="M130" i="2"/>
  <c r="L128" i="3" s="1"/>
  <c r="L128" i="4" s="1"/>
  <c r="L130" i="2"/>
  <c r="K130" i="2"/>
  <c r="J130" i="2"/>
  <c r="I130" i="2"/>
  <c r="H130" i="2"/>
  <c r="G130" i="2"/>
  <c r="F130" i="2"/>
  <c r="E130" i="2"/>
  <c r="D130" i="2"/>
  <c r="C130" i="2"/>
  <c r="B130" i="2"/>
  <c r="A128" i="3" s="1"/>
  <c r="A128" i="4" s="1"/>
  <c r="A130" i="2"/>
  <c r="AG129" i="2"/>
  <c r="AF129" i="2"/>
  <c r="AE129" i="2"/>
  <c r="AD129" i="2"/>
  <c r="AC129" i="2"/>
  <c r="AB129" i="2"/>
  <c r="AA129" i="2"/>
  <c r="Z129" i="2"/>
  <c r="Y129" i="2"/>
  <c r="X129" i="2"/>
  <c r="W129" i="2"/>
  <c r="V127" i="3" s="1"/>
  <c r="V127" i="4" s="1"/>
  <c r="V129" i="2"/>
  <c r="U127" i="3" s="1"/>
  <c r="U127" i="4" s="1"/>
  <c r="U129" i="2"/>
  <c r="T129" i="2"/>
  <c r="S129" i="2"/>
  <c r="R129" i="2"/>
  <c r="Q129" i="2"/>
  <c r="P129" i="2"/>
  <c r="O129" i="2"/>
  <c r="N129" i="2"/>
  <c r="M129" i="2"/>
  <c r="L129" i="2"/>
  <c r="K129" i="2"/>
  <c r="J127" i="3" s="1"/>
  <c r="J127" i="4" s="1"/>
  <c r="J129" i="2"/>
  <c r="I127" i="3" s="1"/>
  <c r="I127" i="4" s="1"/>
  <c r="I129" i="2"/>
  <c r="H129" i="2"/>
  <c r="G129" i="2"/>
  <c r="F129" i="2"/>
  <c r="E129" i="2"/>
  <c r="D129" i="2"/>
  <c r="C129" i="2"/>
  <c r="B129" i="2"/>
  <c r="A129" i="2"/>
  <c r="AG128" i="2"/>
  <c r="AF128" i="2"/>
  <c r="AE126" i="3" s="1"/>
  <c r="AE126" i="4" s="1"/>
  <c r="AE128" i="2"/>
  <c r="AD126" i="3" s="1"/>
  <c r="AD126" i="4" s="1"/>
  <c r="AD128" i="2"/>
  <c r="AC128" i="2"/>
  <c r="AB128" i="2"/>
  <c r="AA128" i="2"/>
  <c r="Z128" i="2"/>
  <c r="Y128" i="2"/>
  <c r="X128" i="2"/>
  <c r="W128" i="2"/>
  <c r="V128" i="2"/>
  <c r="U128" i="2"/>
  <c r="T128" i="2"/>
  <c r="S126" i="3" s="1"/>
  <c r="S126" i="4" s="1"/>
  <c r="S128" i="2"/>
  <c r="R126" i="3" s="1"/>
  <c r="R126" i="4" s="1"/>
  <c r="R128" i="2"/>
  <c r="Q128" i="2"/>
  <c r="P128" i="2"/>
  <c r="O128" i="2"/>
  <c r="N128" i="2"/>
  <c r="M128" i="2"/>
  <c r="L128" i="2"/>
  <c r="K128" i="2"/>
  <c r="J128" i="2"/>
  <c r="I128" i="2"/>
  <c r="H128" i="2"/>
  <c r="G126" i="3" s="1"/>
  <c r="G126" i="4" s="1"/>
  <c r="G128" i="2"/>
  <c r="F126" i="3" s="1"/>
  <c r="F126" i="4" s="1"/>
  <c r="F128" i="2"/>
  <c r="E128" i="2"/>
  <c r="D128" i="2"/>
  <c r="C128" i="2"/>
  <c r="B128" i="2"/>
  <c r="A128" i="2"/>
  <c r="AG127" i="2"/>
  <c r="AF127" i="2"/>
  <c r="AE127" i="2"/>
  <c r="AD127" i="2"/>
  <c r="AC127" i="2"/>
  <c r="AB125" i="3" s="1"/>
  <c r="AB125" i="4" s="1"/>
  <c r="AB127" i="2"/>
  <c r="AA125" i="3" s="1"/>
  <c r="AA125" i="4" s="1"/>
  <c r="AA127" i="2"/>
  <c r="Z127" i="2"/>
  <c r="Y127" i="2"/>
  <c r="X127" i="2"/>
  <c r="W127" i="2"/>
  <c r="V127" i="2"/>
  <c r="U127" i="2"/>
  <c r="T127" i="2"/>
  <c r="S127" i="2"/>
  <c r="R127" i="2"/>
  <c r="Q127" i="2"/>
  <c r="P125" i="3" s="1"/>
  <c r="P125" i="4" s="1"/>
  <c r="P127" i="2"/>
  <c r="O125" i="3" s="1"/>
  <c r="O125" i="4" s="1"/>
  <c r="O127" i="2"/>
  <c r="N127" i="2"/>
  <c r="M127" i="2"/>
  <c r="L127" i="2"/>
  <c r="K127" i="2"/>
  <c r="J127" i="2"/>
  <c r="I127" i="2"/>
  <c r="H127" i="2"/>
  <c r="G127" i="2"/>
  <c r="F127" i="2"/>
  <c r="E127" i="2"/>
  <c r="D125" i="3" s="1"/>
  <c r="D125" i="4" s="1"/>
  <c r="D127" i="2"/>
  <c r="C125" i="3" s="1"/>
  <c r="C125" i="4" s="1"/>
  <c r="C127" i="2"/>
  <c r="B127" i="2"/>
  <c r="A127" i="2"/>
  <c r="AG126" i="2"/>
  <c r="AF126" i="2"/>
  <c r="AE126" i="2"/>
  <c r="AD126" i="2"/>
  <c r="AC126" i="2"/>
  <c r="AB126" i="2"/>
  <c r="AA126" i="2"/>
  <c r="Z126" i="2"/>
  <c r="Y124" i="3" s="1"/>
  <c r="Y124" i="4" s="1"/>
  <c r="Y126" i="2"/>
  <c r="X124" i="3" s="1"/>
  <c r="X124" i="4" s="1"/>
  <c r="X126" i="2"/>
  <c r="W126" i="2"/>
  <c r="V126" i="2"/>
  <c r="U126" i="2"/>
  <c r="T126" i="2"/>
  <c r="S126" i="2"/>
  <c r="R126" i="2"/>
  <c r="Q126" i="2"/>
  <c r="P126" i="2"/>
  <c r="O126" i="2"/>
  <c r="N126" i="2"/>
  <c r="M124" i="3" s="1"/>
  <c r="M124" i="4" s="1"/>
  <c r="M126" i="2"/>
  <c r="L124" i="3" s="1"/>
  <c r="L124" i="4" s="1"/>
  <c r="L126" i="2"/>
  <c r="K126" i="2"/>
  <c r="J126" i="2"/>
  <c r="I126" i="2"/>
  <c r="H126" i="2"/>
  <c r="G126" i="2"/>
  <c r="F126" i="2"/>
  <c r="E126" i="2"/>
  <c r="D126" i="2"/>
  <c r="C126" i="2"/>
  <c r="B126" i="2"/>
  <c r="A124" i="3" s="1"/>
  <c r="A124" i="4" s="1"/>
  <c r="A126" i="2"/>
  <c r="AG125" i="2"/>
  <c r="AF125" i="2"/>
  <c r="AE125" i="2"/>
  <c r="AD125" i="2"/>
  <c r="AC125" i="2"/>
  <c r="AB125" i="2"/>
  <c r="AA125" i="2"/>
  <c r="Z125" i="2"/>
  <c r="Y125" i="2"/>
  <c r="X125" i="2"/>
  <c r="W125" i="2"/>
  <c r="V123" i="3" s="1"/>
  <c r="V123" i="4" s="1"/>
  <c r="V125" i="2"/>
  <c r="U123" i="3" s="1"/>
  <c r="U123" i="4" s="1"/>
  <c r="U125" i="2"/>
  <c r="T125" i="2"/>
  <c r="S125" i="2"/>
  <c r="R125" i="2"/>
  <c r="Q125" i="2"/>
  <c r="P125" i="2"/>
  <c r="O125" i="2"/>
  <c r="N125" i="2"/>
  <c r="M125" i="2"/>
  <c r="L125" i="2"/>
  <c r="K125" i="2"/>
  <c r="J123" i="3" s="1"/>
  <c r="J123" i="4" s="1"/>
  <c r="J125" i="2"/>
  <c r="I123" i="3" s="1"/>
  <c r="I123" i="4" s="1"/>
  <c r="I125" i="2"/>
  <c r="H125" i="2"/>
  <c r="G125" i="2"/>
  <c r="F125" i="2"/>
  <c r="E125" i="2"/>
  <c r="D125" i="2"/>
  <c r="C125" i="2"/>
  <c r="B125" i="2"/>
  <c r="A125" i="2"/>
  <c r="AG124" i="2"/>
  <c r="AF124" i="2"/>
  <c r="AE122" i="3" s="1"/>
  <c r="AE122" i="4" s="1"/>
  <c r="AE124" i="2"/>
  <c r="AD122" i="3" s="1"/>
  <c r="AD122" i="4" s="1"/>
  <c r="AD124" i="2"/>
  <c r="AC124" i="2"/>
  <c r="AB124" i="2"/>
  <c r="AA124" i="2"/>
  <c r="Z124" i="2"/>
  <c r="Y124" i="2"/>
  <c r="X124" i="2"/>
  <c r="W124" i="2"/>
  <c r="V124" i="2"/>
  <c r="U124" i="2"/>
  <c r="T124" i="2"/>
  <c r="S122" i="3" s="1"/>
  <c r="S122" i="4" s="1"/>
  <c r="S124" i="2"/>
  <c r="R122" i="3" s="1"/>
  <c r="R122" i="4" s="1"/>
  <c r="R124" i="2"/>
  <c r="Q124" i="2"/>
  <c r="P124" i="2"/>
  <c r="O124" i="2"/>
  <c r="N124" i="2"/>
  <c r="M124" i="2"/>
  <c r="L124" i="2"/>
  <c r="K124" i="2"/>
  <c r="J124" i="2"/>
  <c r="I124" i="2"/>
  <c r="H124" i="2"/>
  <c r="G122" i="3" s="1"/>
  <c r="G122" i="4" s="1"/>
  <c r="G124" i="2"/>
  <c r="F122" i="3" s="1"/>
  <c r="F122" i="4" s="1"/>
  <c r="F124" i="2"/>
  <c r="E124" i="2"/>
  <c r="D124" i="2"/>
  <c r="C124" i="2"/>
  <c r="B124" i="2"/>
  <c r="A124" i="2"/>
  <c r="AG123" i="2"/>
  <c r="AF123" i="2"/>
  <c r="AE123" i="2"/>
  <c r="AD123" i="2"/>
  <c r="AC123" i="2"/>
  <c r="AB121" i="3" s="1"/>
  <c r="AB121" i="4" s="1"/>
  <c r="AB123" i="2"/>
  <c r="AA121" i="3" s="1"/>
  <c r="AA121" i="4" s="1"/>
  <c r="AA123" i="2"/>
  <c r="Z123" i="2"/>
  <c r="Y123" i="2"/>
  <c r="X123" i="2"/>
  <c r="W123" i="2"/>
  <c r="V123" i="2"/>
  <c r="U123" i="2"/>
  <c r="T123" i="2"/>
  <c r="S123" i="2"/>
  <c r="R123" i="2"/>
  <c r="Q123" i="2"/>
  <c r="P121" i="3" s="1"/>
  <c r="P121" i="4" s="1"/>
  <c r="P123" i="2"/>
  <c r="O121" i="3" s="1"/>
  <c r="O121" i="4" s="1"/>
  <c r="O123" i="2"/>
  <c r="N123" i="2"/>
  <c r="M123" i="2"/>
  <c r="L123" i="2"/>
  <c r="K123" i="2"/>
  <c r="J123" i="2"/>
  <c r="I123" i="2"/>
  <c r="H123" i="2"/>
  <c r="G123" i="2"/>
  <c r="F123" i="2"/>
  <c r="E123" i="2"/>
  <c r="D121" i="3" s="1"/>
  <c r="D121" i="4" s="1"/>
  <c r="D123" i="2"/>
  <c r="C121" i="3" s="1"/>
  <c r="C121" i="4" s="1"/>
  <c r="C123" i="2"/>
  <c r="B123" i="2"/>
  <c r="A123" i="2"/>
  <c r="AG122" i="2"/>
  <c r="AF122" i="2"/>
  <c r="AE122" i="2"/>
  <c r="AD122" i="2"/>
  <c r="AC122" i="2"/>
  <c r="AB122" i="2"/>
  <c r="AA122" i="2"/>
  <c r="Z122" i="2"/>
  <c r="Y120" i="3" s="1"/>
  <c r="Y120" i="4" s="1"/>
  <c r="Y122" i="2"/>
  <c r="X120" i="3" s="1"/>
  <c r="X120" i="4" s="1"/>
  <c r="X122" i="2"/>
  <c r="W122" i="2"/>
  <c r="V122" i="2"/>
  <c r="U122" i="2"/>
  <c r="T122" i="2"/>
  <c r="S122" i="2"/>
  <c r="R122" i="2"/>
  <c r="Q122" i="2"/>
  <c r="P122" i="2"/>
  <c r="O122" i="2"/>
  <c r="N122" i="2"/>
  <c r="M120" i="3" s="1"/>
  <c r="M120" i="4" s="1"/>
  <c r="M122" i="2"/>
  <c r="L120" i="3" s="1"/>
  <c r="L120" i="4" s="1"/>
  <c r="L122" i="2"/>
  <c r="K122" i="2"/>
  <c r="J122" i="2"/>
  <c r="I122" i="2"/>
  <c r="H122" i="2"/>
  <c r="G122" i="2"/>
  <c r="F122" i="2"/>
  <c r="E122" i="2"/>
  <c r="D122" i="2"/>
  <c r="C122" i="2"/>
  <c r="B122" i="2"/>
  <c r="A120" i="3" s="1"/>
  <c r="A120" i="4" s="1"/>
  <c r="A122" i="2"/>
  <c r="AG121" i="2"/>
  <c r="AF121" i="2"/>
  <c r="AE121" i="2"/>
  <c r="AD121" i="2"/>
  <c r="AC121" i="2"/>
  <c r="AB121" i="2"/>
  <c r="AA121" i="2"/>
  <c r="Z121" i="2"/>
  <c r="Y121" i="2"/>
  <c r="X121" i="2"/>
  <c r="W121" i="2"/>
  <c r="V119" i="3" s="1"/>
  <c r="V119" i="4" s="1"/>
  <c r="V121" i="2"/>
  <c r="U119" i="3" s="1"/>
  <c r="U119" i="4" s="1"/>
  <c r="U121" i="2"/>
  <c r="T121" i="2"/>
  <c r="S121" i="2"/>
  <c r="R121" i="2"/>
  <c r="Q121" i="2"/>
  <c r="P121" i="2"/>
  <c r="O121" i="2"/>
  <c r="N121" i="2"/>
  <c r="M121" i="2"/>
  <c r="L121" i="2"/>
  <c r="K121" i="2"/>
  <c r="J119" i="3" s="1"/>
  <c r="J119" i="4" s="1"/>
  <c r="J121" i="2"/>
  <c r="I119" i="3" s="1"/>
  <c r="I119" i="4" s="1"/>
  <c r="I121" i="2"/>
  <c r="H121" i="2"/>
  <c r="G121" i="2"/>
  <c r="F121" i="2"/>
  <c r="E121" i="2"/>
  <c r="D121" i="2"/>
  <c r="C121" i="2"/>
  <c r="B121" i="2"/>
  <c r="A121" i="2"/>
  <c r="AG120" i="2"/>
  <c r="AF120" i="2"/>
  <c r="AE118" i="3" s="1"/>
  <c r="AE118" i="4" s="1"/>
  <c r="AE120" i="2"/>
  <c r="AD118" i="3" s="1"/>
  <c r="AD118" i="4" s="1"/>
  <c r="AD120" i="2"/>
  <c r="AC120" i="2"/>
  <c r="AB120" i="2"/>
  <c r="AA120" i="2"/>
  <c r="Z120" i="2"/>
  <c r="Y120" i="2"/>
  <c r="X120" i="2"/>
  <c r="W120" i="2"/>
  <c r="V120" i="2"/>
  <c r="U120" i="2"/>
  <c r="T120" i="2"/>
  <c r="S118" i="3" s="1"/>
  <c r="S118" i="4" s="1"/>
  <c r="S120" i="2"/>
  <c r="R118" i="3" s="1"/>
  <c r="R118" i="4" s="1"/>
  <c r="R120" i="2"/>
  <c r="Q120" i="2"/>
  <c r="P120" i="2"/>
  <c r="O120" i="2"/>
  <c r="N120" i="2"/>
  <c r="M120" i="2"/>
  <c r="L120" i="2"/>
  <c r="K120" i="2"/>
  <c r="J120" i="2"/>
  <c r="I120" i="2"/>
  <c r="H120" i="2"/>
  <c r="G118" i="3" s="1"/>
  <c r="G118" i="4" s="1"/>
  <c r="G120" i="2"/>
  <c r="F118" i="3" s="1"/>
  <c r="F118" i="4" s="1"/>
  <c r="F120" i="2"/>
  <c r="E120" i="2"/>
  <c r="D120" i="2"/>
  <c r="C120" i="2"/>
  <c r="B120" i="2"/>
  <c r="A120" i="2"/>
  <c r="AG119" i="2"/>
  <c r="AF119" i="2"/>
  <c r="AE119" i="2"/>
  <c r="AD119" i="2"/>
  <c r="AC119" i="2"/>
  <c r="AB117" i="3" s="1"/>
  <c r="AB117" i="4" s="1"/>
  <c r="AB119" i="2"/>
  <c r="AA117" i="3" s="1"/>
  <c r="AA117" i="4" s="1"/>
  <c r="AA119" i="2"/>
  <c r="Z119" i="2"/>
  <c r="Y119" i="2"/>
  <c r="X119" i="2"/>
  <c r="W119" i="2"/>
  <c r="V119" i="2"/>
  <c r="U119" i="2"/>
  <c r="T119" i="2"/>
  <c r="S119" i="2"/>
  <c r="R119" i="2"/>
  <c r="Q119" i="2"/>
  <c r="P117" i="3" s="1"/>
  <c r="P117" i="4" s="1"/>
  <c r="P119" i="2"/>
  <c r="O117" i="3" s="1"/>
  <c r="O117" i="4" s="1"/>
  <c r="O119" i="2"/>
  <c r="N119" i="2"/>
  <c r="M119" i="2"/>
  <c r="L119" i="2"/>
  <c r="K119" i="2"/>
  <c r="J119" i="2"/>
  <c r="I119" i="2"/>
  <c r="H119" i="2"/>
  <c r="G119" i="2"/>
  <c r="F119" i="2"/>
  <c r="E119" i="2"/>
  <c r="D117" i="3" s="1"/>
  <c r="D117" i="4" s="1"/>
  <c r="D119" i="2"/>
  <c r="C117" i="3" s="1"/>
  <c r="C117" i="4" s="1"/>
  <c r="C119" i="2"/>
  <c r="B119" i="2"/>
  <c r="A119" i="2"/>
  <c r="AG118" i="2"/>
  <c r="AF118" i="2"/>
  <c r="AE118" i="2"/>
  <c r="AD118" i="2"/>
  <c r="AC118" i="2"/>
  <c r="AB118" i="2"/>
  <c r="AA118" i="2"/>
  <c r="Z118" i="2"/>
  <c r="Y116" i="3" s="1"/>
  <c r="Y116" i="4" s="1"/>
  <c r="Y118" i="2"/>
  <c r="X116" i="3" s="1"/>
  <c r="X116" i="4" s="1"/>
  <c r="X118" i="2"/>
  <c r="W118" i="2"/>
  <c r="V118" i="2"/>
  <c r="U118" i="2"/>
  <c r="T118" i="2"/>
  <c r="S118" i="2"/>
  <c r="R118" i="2"/>
  <c r="Q118" i="2"/>
  <c r="P118" i="2"/>
  <c r="O118" i="2"/>
  <c r="N118" i="2"/>
  <c r="M116" i="3" s="1"/>
  <c r="M116" i="4" s="1"/>
  <c r="M118" i="2"/>
  <c r="L116" i="3" s="1"/>
  <c r="L116" i="4" s="1"/>
  <c r="L118" i="2"/>
  <c r="K118" i="2"/>
  <c r="J118" i="2"/>
  <c r="I118" i="2"/>
  <c r="H118" i="2"/>
  <c r="G118" i="2"/>
  <c r="F118" i="2"/>
  <c r="E118" i="2"/>
  <c r="D118" i="2"/>
  <c r="C118" i="2"/>
  <c r="B118" i="2"/>
  <c r="A116" i="3" s="1"/>
  <c r="A116" i="4" s="1"/>
  <c r="A118" i="2"/>
  <c r="AG117" i="2"/>
  <c r="AF117" i="2"/>
  <c r="AE117" i="2"/>
  <c r="AD117" i="2"/>
  <c r="AC117" i="2"/>
  <c r="AB117" i="2"/>
  <c r="AA117" i="2"/>
  <c r="Z117" i="2"/>
  <c r="Y117" i="2"/>
  <c r="X117" i="2"/>
  <c r="W117" i="2"/>
  <c r="V115" i="3" s="1"/>
  <c r="V115" i="4" s="1"/>
  <c r="V117" i="2"/>
  <c r="U115" i="3" s="1"/>
  <c r="U115" i="4" s="1"/>
  <c r="U117" i="2"/>
  <c r="T117" i="2"/>
  <c r="S117" i="2"/>
  <c r="R117" i="2"/>
  <c r="Q117" i="2"/>
  <c r="P117" i="2"/>
  <c r="O117" i="2"/>
  <c r="N117" i="2"/>
  <c r="M117" i="2"/>
  <c r="L117" i="2"/>
  <c r="K117" i="2"/>
  <c r="J115" i="3" s="1"/>
  <c r="J115" i="4" s="1"/>
  <c r="J117" i="2"/>
  <c r="I115" i="3" s="1"/>
  <c r="I115" i="4" s="1"/>
  <c r="I117" i="2"/>
  <c r="H117" i="2"/>
  <c r="G117" i="2"/>
  <c r="F117" i="2"/>
  <c r="E117" i="2"/>
  <c r="D117" i="2"/>
  <c r="C117" i="2"/>
  <c r="B117" i="2"/>
  <c r="A117" i="2"/>
  <c r="AG116" i="2"/>
  <c r="AF116" i="2"/>
  <c r="AE114" i="3" s="1"/>
  <c r="AE114" i="4" s="1"/>
  <c r="AE116" i="2"/>
  <c r="AD114" i="3" s="1"/>
  <c r="AD114" i="4" s="1"/>
  <c r="AD116" i="2"/>
  <c r="AC116" i="2"/>
  <c r="AB116" i="2"/>
  <c r="AA116" i="2"/>
  <c r="Z116" i="2"/>
  <c r="Y116" i="2"/>
  <c r="X116" i="2"/>
  <c r="W116" i="2"/>
  <c r="V116" i="2"/>
  <c r="U116" i="2"/>
  <c r="T116" i="2"/>
  <c r="S114" i="3" s="1"/>
  <c r="S114" i="4" s="1"/>
  <c r="S116" i="2"/>
  <c r="R114" i="3" s="1"/>
  <c r="R114" i="4" s="1"/>
  <c r="R116" i="2"/>
  <c r="Q116" i="2"/>
  <c r="P116" i="2"/>
  <c r="O116" i="2"/>
  <c r="N116" i="2"/>
  <c r="M116" i="2"/>
  <c r="L116" i="2"/>
  <c r="K116" i="2"/>
  <c r="J116" i="2"/>
  <c r="I116" i="2"/>
  <c r="H116" i="2"/>
  <c r="G114" i="3" s="1"/>
  <c r="G114" i="4" s="1"/>
  <c r="G116" i="2"/>
  <c r="F114" i="3" s="1"/>
  <c r="F114" i="4" s="1"/>
  <c r="F116" i="2"/>
  <c r="E116" i="2"/>
  <c r="D116" i="2"/>
  <c r="C116" i="2"/>
  <c r="B116" i="2"/>
  <c r="A116" i="2"/>
  <c r="AG115" i="2"/>
  <c r="AF115" i="2"/>
  <c r="AE115" i="2"/>
  <c r="AD115" i="2"/>
  <c r="AC115" i="2"/>
  <c r="AB113" i="3" s="1"/>
  <c r="AB113" i="4" s="1"/>
  <c r="AB115" i="2"/>
  <c r="AA113" i="3" s="1"/>
  <c r="AA113" i="4" s="1"/>
  <c r="AA115" i="2"/>
  <c r="Z115" i="2"/>
  <c r="Y115" i="2"/>
  <c r="X115" i="2"/>
  <c r="W115" i="2"/>
  <c r="V115" i="2"/>
  <c r="U115" i="2"/>
  <c r="T115" i="2"/>
  <c r="S115" i="2"/>
  <c r="R115" i="2"/>
  <c r="Q115" i="2"/>
  <c r="P113" i="3" s="1"/>
  <c r="P113" i="4" s="1"/>
  <c r="P115" i="2"/>
  <c r="O113" i="3" s="1"/>
  <c r="O113" i="4" s="1"/>
  <c r="O115" i="2"/>
  <c r="N115" i="2"/>
  <c r="M115" i="2"/>
  <c r="L115" i="2"/>
  <c r="K115" i="2"/>
  <c r="J115" i="2"/>
  <c r="I115" i="2"/>
  <c r="H115" i="2"/>
  <c r="G115" i="2"/>
  <c r="F115" i="2"/>
  <c r="E115" i="2"/>
  <c r="D113" i="3" s="1"/>
  <c r="D113" i="4" s="1"/>
  <c r="D115" i="2"/>
  <c r="C113" i="3" s="1"/>
  <c r="C113" i="4" s="1"/>
  <c r="C115" i="2"/>
  <c r="B115" i="2"/>
  <c r="A115" i="2"/>
  <c r="AG114" i="2"/>
  <c r="AF114" i="2"/>
  <c r="AE114" i="2"/>
  <c r="AD114" i="2"/>
  <c r="AC114" i="2"/>
  <c r="AB114" i="2"/>
  <c r="AA114" i="2"/>
  <c r="Z114" i="2"/>
  <c r="Y112" i="3" s="1"/>
  <c r="Y112" i="4" s="1"/>
  <c r="Y114" i="2"/>
  <c r="X112" i="3" s="1"/>
  <c r="X112" i="4" s="1"/>
  <c r="X114" i="2"/>
  <c r="W114" i="2"/>
  <c r="V114" i="2"/>
  <c r="U114" i="2"/>
  <c r="T114" i="2"/>
  <c r="S114" i="2"/>
  <c r="R114" i="2"/>
  <c r="Q114" i="2"/>
  <c r="P114" i="2"/>
  <c r="O114" i="2"/>
  <c r="N114" i="2"/>
  <c r="M112" i="3" s="1"/>
  <c r="M112" i="4" s="1"/>
  <c r="M114" i="2"/>
  <c r="L112" i="3" s="1"/>
  <c r="L112" i="4" s="1"/>
  <c r="L114" i="2"/>
  <c r="K114" i="2"/>
  <c r="J114" i="2"/>
  <c r="I114" i="2"/>
  <c r="H114" i="2"/>
  <c r="G114" i="2"/>
  <c r="F114" i="2"/>
  <c r="E114" i="2"/>
  <c r="D114" i="2"/>
  <c r="C114" i="2"/>
  <c r="B114" i="2"/>
  <c r="A112" i="3" s="1"/>
  <c r="A112" i="4" s="1"/>
  <c r="A114" i="2"/>
  <c r="AG113" i="2"/>
  <c r="AF113" i="2"/>
  <c r="AE113" i="2"/>
  <c r="AD113" i="2"/>
  <c r="AC113" i="2"/>
  <c r="AB113" i="2"/>
  <c r="AA113" i="2"/>
  <c r="Z113" i="2"/>
  <c r="Y113" i="2"/>
  <c r="X113" i="2"/>
  <c r="W113" i="2"/>
  <c r="V111" i="3" s="1"/>
  <c r="V111" i="4" s="1"/>
  <c r="V113" i="2"/>
  <c r="U111" i="3" s="1"/>
  <c r="U111" i="4" s="1"/>
  <c r="U113" i="2"/>
  <c r="T113" i="2"/>
  <c r="S113" i="2"/>
  <c r="R113" i="2"/>
  <c r="Q113" i="2"/>
  <c r="P113" i="2"/>
  <c r="O113" i="2"/>
  <c r="N113" i="2"/>
  <c r="M113" i="2"/>
  <c r="L113" i="2"/>
  <c r="K113" i="2"/>
  <c r="J111" i="3" s="1"/>
  <c r="J111" i="4" s="1"/>
  <c r="J113" i="2"/>
  <c r="I111" i="3" s="1"/>
  <c r="I111" i="4" s="1"/>
  <c r="I113" i="2"/>
  <c r="H113" i="2"/>
  <c r="G113" i="2"/>
  <c r="F113" i="2"/>
  <c r="E113" i="2"/>
  <c r="D113" i="2"/>
  <c r="C113" i="2"/>
  <c r="B113" i="2"/>
  <c r="A113" i="2"/>
  <c r="AG112" i="2"/>
  <c r="AF112" i="2"/>
  <c r="AE110" i="3" s="1"/>
  <c r="AE110" i="4" s="1"/>
  <c r="AE112" i="2"/>
  <c r="AD110" i="3" s="1"/>
  <c r="AD110" i="4" s="1"/>
  <c r="AD112" i="2"/>
  <c r="AC112" i="2"/>
  <c r="AB112" i="2"/>
  <c r="AA112" i="2"/>
  <c r="Z112" i="2"/>
  <c r="Y112" i="2"/>
  <c r="X112" i="2"/>
  <c r="W112" i="2"/>
  <c r="V112" i="2"/>
  <c r="U112" i="2"/>
  <c r="T112" i="2"/>
  <c r="S110" i="3" s="1"/>
  <c r="S110" i="4" s="1"/>
  <c r="S112" i="2"/>
  <c r="R110" i="3" s="1"/>
  <c r="R110" i="4" s="1"/>
  <c r="R112" i="2"/>
  <c r="Q112" i="2"/>
  <c r="P112" i="2"/>
  <c r="O112" i="2"/>
  <c r="N112" i="2"/>
  <c r="M112" i="2"/>
  <c r="L112" i="2"/>
  <c r="K112" i="2"/>
  <c r="J112" i="2"/>
  <c r="I112" i="2"/>
  <c r="H112" i="2"/>
  <c r="G110" i="3" s="1"/>
  <c r="G110" i="4" s="1"/>
  <c r="G112" i="2"/>
  <c r="F110" i="3" s="1"/>
  <c r="F110" i="4" s="1"/>
  <c r="F112" i="2"/>
  <c r="E112" i="2"/>
  <c r="D112" i="2"/>
  <c r="C112" i="2"/>
  <c r="B112" i="2"/>
  <c r="A112" i="2"/>
  <c r="AG111" i="2"/>
  <c r="AF111" i="2"/>
  <c r="AE111" i="2"/>
  <c r="AD111" i="2"/>
  <c r="AC111" i="2"/>
  <c r="AB109" i="3" s="1"/>
  <c r="AB109" i="4" s="1"/>
  <c r="AB111" i="2"/>
  <c r="AA109" i="3" s="1"/>
  <c r="AA109" i="4" s="1"/>
  <c r="AA111" i="2"/>
  <c r="Z111" i="2"/>
  <c r="Y111" i="2"/>
  <c r="X111" i="2"/>
  <c r="W111" i="2"/>
  <c r="V111" i="2"/>
  <c r="U111" i="2"/>
  <c r="T111" i="2"/>
  <c r="S111" i="2"/>
  <c r="R111" i="2"/>
  <c r="Q111" i="2"/>
  <c r="P109" i="3" s="1"/>
  <c r="P109" i="4" s="1"/>
  <c r="P111" i="2"/>
  <c r="O109" i="3" s="1"/>
  <c r="O109" i="4" s="1"/>
  <c r="O111" i="2"/>
  <c r="N111" i="2"/>
  <c r="M111" i="2"/>
  <c r="L111" i="2"/>
  <c r="K111" i="2"/>
  <c r="J111" i="2"/>
  <c r="I111" i="2"/>
  <c r="H111" i="2"/>
  <c r="G111" i="2"/>
  <c r="F111" i="2"/>
  <c r="E111" i="2"/>
  <c r="D109" i="3" s="1"/>
  <c r="D109" i="4" s="1"/>
  <c r="D111" i="2"/>
  <c r="C109" i="3" s="1"/>
  <c r="C109" i="4" s="1"/>
  <c r="C111" i="2"/>
  <c r="B111" i="2"/>
  <c r="A111" i="2"/>
  <c r="AG110" i="2"/>
  <c r="AF110" i="2"/>
  <c r="AE110" i="2"/>
  <c r="AD110" i="2"/>
  <c r="AC110" i="2"/>
  <c r="AB110" i="2"/>
  <c r="AA110" i="2"/>
  <c r="Z110" i="2"/>
  <c r="Y108" i="3" s="1"/>
  <c r="Y108" i="4" s="1"/>
  <c r="Y110" i="2"/>
  <c r="X108" i="3" s="1"/>
  <c r="X108" i="4" s="1"/>
  <c r="X110" i="2"/>
  <c r="W110" i="2"/>
  <c r="V110" i="2"/>
  <c r="U110" i="2"/>
  <c r="T110" i="2"/>
  <c r="S110" i="2"/>
  <c r="R110" i="2"/>
  <c r="Q110" i="2"/>
  <c r="P110" i="2"/>
  <c r="O110" i="2"/>
  <c r="N110" i="2"/>
  <c r="M108" i="3" s="1"/>
  <c r="M108" i="4" s="1"/>
  <c r="M110" i="2"/>
  <c r="L108" i="3" s="1"/>
  <c r="L108" i="4" s="1"/>
  <c r="L110" i="2"/>
  <c r="K110" i="2"/>
  <c r="J110" i="2"/>
  <c r="I110" i="2"/>
  <c r="H110" i="2"/>
  <c r="G110" i="2"/>
  <c r="F110" i="2"/>
  <c r="E110" i="2"/>
  <c r="D110" i="2"/>
  <c r="C110" i="2"/>
  <c r="B110" i="2"/>
  <c r="A108" i="3" s="1"/>
  <c r="A108" i="4" s="1"/>
  <c r="A110" i="2"/>
  <c r="AG109" i="2"/>
  <c r="AF109" i="2"/>
  <c r="AE109" i="2"/>
  <c r="AD109" i="2"/>
  <c r="AC109" i="2"/>
  <c r="AB109" i="2"/>
  <c r="AA109" i="2"/>
  <c r="Z109" i="2"/>
  <c r="Y109" i="2"/>
  <c r="X109" i="2"/>
  <c r="W109" i="2"/>
  <c r="V107" i="3" s="1"/>
  <c r="V107" i="4" s="1"/>
  <c r="V109" i="2"/>
  <c r="U107" i="3" s="1"/>
  <c r="U107" i="4" s="1"/>
  <c r="U109" i="2"/>
  <c r="T109" i="2"/>
  <c r="S109" i="2"/>
  <c r="R109" i="2"/>
  <c r="Q109" i="2"/>
  <c r="P109" i="2"/>
  <c r="O109" i="2"/>
  <c r="N109" i="2"/>
  <c r="M109" i="2"/>
  <c r="L109" i="2"/>
  <c r="K109" i="2"/>
  <c r="J107" i="3" s="1"/>
  <c r="J107" i="4" s="1"/>
  <c r="J109" i="2"/>
  <c r="I107" i="3" s="1"/>
  <c r="I107" i="4" s="1"/>
  <c r="I109" i="2"/>
  <c r="H109" i="2"/>
  <c r="G109" i="2"/>
  <c r="F109" i="2"/>
  <c r="E109" i="2"/>
  <c r="D109" i="2"/>
  <c r="C109" i="2"/>
  <c r="B109" i="2"/>
  <c r="A109" i="2"/>
  <c r="AG108" i="2"/>
  <c r="AF108" i="2"/>
  <c r="AE106" i="3" s="1"/>
  <c r="AE106" i="4" s="1"/>
  <c r="AE108" i="2"/>
  <c r="AD106" i="3" s="1"/>
  <c r="AD106" i="4" s="1"/>
  <c r="AD108" i="2"/>
  <c r="AC108" i="2"/>
  <c r="AB108" i="2"/>
  <c r="AA108" i="2"/>
  <c r="Z108" i="2"/>
  <c r="Y108" i="2"/>
  <c r="X108" i="2"/>
  <c r="W108" i="2"/>
  <c r="V108" i="2"/>
  <c r="U108" i="2"/>
  <c r="T108" i="2"/>
  <c r="S106" i="3" s="1"/>
  <c r="S106" i="4" s="1"/>
  <c r="S108" i="2"/>
  <c r="R106" i="3" s="1"/>
  <c r="R106" i="4" s="1"/>
  <c r="R108" i="2"/>
  <c r="Q108" i="2"/>
  <c r="P108" i="2"/>
  <c r="O108" i="2"/>
  <c r="N108" i="2"/>
  <c r="M108" i="2"/>
  <c r="L108" i="2"/>
  <c r="K108" i="2"/>
  <c r="J108" i="2"/>
  <c r="I108" i="2"/>
  <c r="H108" i="2"/>
  <c r="G106" i="3" s="1"/>
  <c r="G106" i="4" s="1"/>
  <c r="G108" i="2"/>
  <c r="F106" i="3" s="1"/>
  <c r="F106" i="4" s="1"/>
  <c r="F108" i="2"/>
  <c r="E108" i="2"/>
  <c r="D108" i="2"/>
  <c r="C108" i="2"/>
  <c r="B108" i="2"/>
  <c r="A108" i="2"/>
  <c r="AG107" i="2"/>
  <c r="AF107" i="2"/>
  <c r="AE107" i="2"/>
  <c r="AD107" i="2"/>
  <c r="AC107" i="2"/>
  <c r="AB105" i="3" s="1"/>
  <c r="AB105" i="4" s="1"/>
  <c r="AB107" i="2"/>
  <c r="AA105" i="3" s="1"/>
  <c r="AA105" i="4" s="1"/>
  <c r="AA107" i="2"/>
  <c r="Z107" i="2"/>
  <c r="Y107" i="2"/>
  <c r="X107" i="2"/>
  <c r="W107" i="2"/>
  <c r="V107" i="2"/>
  <c r="U107" i="2"/>
  <c r="T107" i="2"/>
  <c r="S107" i="2"/>
  <c r="R107" i="2"/>
  <c r="Q107" i="2"/>
  <c r="P105" i="3" s="1"/>
  <c r="P105" i="4" s="1"/>
  <c r="P107" i="2"/>
  <c r="O105" i="3" s="1"/>
  <c r="O105" i="4" s="1"/>
  <c r="O107" i="2"/>
  <c r="N107" i="2"/>
  <c r="M107" i="2"/>
  <c r="L107" i="2"/>
  <c r="K107" i="2"/>
  <c r="J107" i="2"/>
  <c r="I107" i="2"/>
  <c r="H107" i="2"/>
  <c r="G107" i="2"/>
  <c r="F107" i="2"/>
  <c r="E107" i="2"/>
  <c r="D105" i="3" s="1"/>
  <c r="D105" i="4" s="1"/>
  <c r="D107" i="2"/>
  <c r="C105" i="3" s="1"/>
  <c r="C105" i="4" s="1"/>
  <c r="C107" i="2"/>
  <c r="B107" i="2"/>
  <c r="A107" i="2"/>
  <c r="AG106" i="2"/>
  <c r="AF106" i="2"/>
  <c r="AE106" i="2"/>
  <c r="AD106" i="2"/>
  <c r="AC106" i="2"/>
  <c r="AB106" i="2"/>
  <c r="AA106" i="2"/>
  <c r="Z106" i="2"/>
  <c r="Y104" i="3" s="1"/>
  <c r="Y104" i="4" s="1"/>
  <c r="Y106" i="2"/>
  <c r="X104" i="3" s="1"/>
  <c r="X104" i="4" s="1"/>
  <c r="X106" i="2"/>
  <c r="W106" i="2"/>
  <c r="V106" i="2"/>
  <c r="U106" i="2"/>
  <c r="T106" i="2"/>
  <c r="S106" i="2"/>
  <c r="R106" i="2"/>
  <c r="Q106" i="2"/>
  <c r="P106" i="2"/>
  <c r="O106" i="2"/>
  <c r="N106" i="2"/>
  <c r="M104" i="3" s="1"/>
  <c r="M104" i="4" s="1"/>
  <c r="M106" i="2"/>
  <c r="L104" i="3" s="1"/>
  <c r="L104" i="4" s="1"/>
  <c r="L106" i="2"/>
  <c r="K106" i="2"/>
  <c r="J106" i="2"/>
  <c r="I106" i="2"/>
  <c r="H106" i="2"/>
  <c r="G106" i="2"/>
  <c r="F106" i="2"/>
  <c r="E106" i="2"/>
  <c r="D106" i="2"/>
  <c r="C106" i="2"/>
  <c r="B106" i="2"/>
  <c r="A104" i="3" s="1"/>
  <c r="A104" i="4" s="1"/>
  <c r="A106" i="2"/>
  <c r="AG105" i="2"/>
  <c r="AF105" i="2"/>
  <c r="AE105" i="2"/>
  <c r="AD105" i="2"/>
  <c r="AC105" i="2"/>
  <c r="AB105" i="2"/>
  <c r="AA105" i="2"/>
  <c r="Z105" i="2"/>
  <c r="Y105" i="2"/>
  <c r="X105" i="2"/>
  <c r="W105" i="2"/>
  <c r="V103" i="3" s="1"/>
  <c r="V103" i="4" s="1"/>
  <c r="V105" i="2"/>
  <c r="U103" i="3" s="1"/>
  <c r="U103" i="4" s="1"/>
  <c r="U105" i="2"/>
  <c r="T105" i="2"/>
  <c r="S105" i="2"/>
  <c r="R105" i="2"/>
  <c r="Q105" i="2"/>
  <c r="P105" i="2"/>
  <c r="O105" i="2"/>
  <c r="N105" i="2"/>
  <c r="M105" i="2"/>
  <c r="L105" i="2"/>
  <c r="K105" i="2"/>
  <c r="J103" i="3" s="1"/>
  <c r="J103" i="4" s="1"/>
  <c r="J105" i="2"/>
  <c r="I103" i="3" s="1"/>
  <c r="I103" i="4" s="1"/>
  <c r="I105" i="2"/>
  <c r="H105" i="2"/>
  <c r="G105" i="2"/>
  <c r="F105" i="2"/>
  <c r="E105" i="2"/>
  <c r="D105" i="2"/>
  <c r="C105" i="2"/>
  <c r="B105" i="2"/>
  <c r="A105" i="2"/>
  <c r="AG104" i="2"/>
  <c r="AF104" i="2"/>
  <c r="AE102" i="3" s="1"/>
  <c r="AE102" i="4" s="1"/>
  <c r="AE104" i="2"/>
  <c r="AD102" i="3" s="1"/>
  <c r="AD102" i="4" s="1"/>
  <c r="AD104" i="2"/>
  <c r="AC104" i="2"/>
  <c r="AB104" i="2"/>
  <c r="AA104" i="2"/>
  <c r="Z104" i="2"/>
  <c r="Y104" i="2"/>
  <c r="X104" i="2"/>
  <c r="W104" i="2"/>
  <c r="V104" i="2"/>
  <c r="U104" i="2"/>
  <c r="T104" i="2"/>
  <c r="S102" i="3" s="1"/>
  <c r="S102" i="4" s="1"/>
  <c r="S104" i="2"/>
  <c r="R102" i="3" s="1"/>
  <c r="R102" i="4" s="1"/>
  <c r="R104" i="2"/>
  <c r="Q104" i="2"/>
  <c r="P104" i="2"/>
  <c r="O104" i="2"/>
  <c r="N104" i="2"/>
  <c r="M104" i="2"/>
  <c r="L104" i="2"/>
  <c r="K104" i="2"/>
  <c r="J104" i="2"/>
  <c r="I104" i="2"/>
  <c r="H104" i="2"/>
  <c r="G102" i="3" s="1"/>
  <c r="G102" i="4" s="1"/>
  <c r="G104" i="2"/>
  <c r="F102" i="3" s="1"/>
  <c r="F102" i="4" s="1"/>
  <c r="F104" i="2"/>
  <c r="E104" i="2"/>
  <c r="D104" i="2"/>
  <c r="C104" i="2"/>
  <c r="B104" i="2"/>
  <c r="A104" i="2"/>
  <c r="AG103" i="2"/>
  <c r="AF103" i="2"/>
  <c r="AE103" i="2"/>
  <c r="AD103" i="2"/>
  <c r="AC103" i="2"/>
  <c r="AB101" i="3" s="1"/>
  <c r="AB101" i="4" s="1"/>
  <c r="AB103" i="2"/>
  <c r="AA101" i="3" s="1"/>
  <c r="AA101" i="4" s="1"/>
  <c r="AA103" i="2"/>
  <c r="Z103" i="2"/>
  <c r="Y103" i="2"/>
  <c r="X103" i="2"/>
  <c r="W103" i="2"/>
  <c r="V103" i="2"/>
  <c r="U103" i="2"/>
  <c r="T103" i="2"/>
  <c r="S103" i="2"/>
  <c r="R103" i="2"/>
  <c r="Q103" i="2"/>
  <c r="P101" i="3" s="1"/>
  <c r="P101" i="4" s="1"/>
  <c r="P103" i="2"/>
  <c r="O101" i="3" s="1"/>
  <c r="O101" i="4" s="1"/>
  <c r="O103" i="2"/>
  <c r="N103" i="2"/>
  <c r="M103" i="2"/>
  <c r="L103" i="2"/>
  <c r="K103" i="2"/>
  <c r="J103" i="2"/>
  <c r="I103" i="2"/>
  <c r="H103" i="2"/>
  <c r="G103" i="2"/>
  <c r="F103" i="2"/>
  <c r="E103" i="2"/>
  <c r="D101" i="3" s="1"/>
  <c r="D101" i="4" s="1"/>
  <c r="D103" i="2"/>
  <c r="C101" i="3" s="1"/>
  <c r="C101" i="4" s="1"/>
  <c r="C103" i="2"/>
  <c r="B103" i="2"/>
  <c r="A103" i="2"/>
  <c r="AG102" i="2"/>
  <c r="AF102" i="2"/>
  <c r="AE102" i="2"/>
  <c r="AD102" i="2"/>
  <c r="AC102" i="2"/>
  <c r="AB102" i="2"/>
  <c r="AA102" i="2"/>
  <c r="Z102" i="2"/>
  <c r="Y100" i="3" s="1"/>
  <c r="Y100" i="4" s="1"/>
  <c r="Y102" i="2"/>
  <c r="X100" i="3" s="1"/>
  <c r="X100" i="4" s="1"/>
  <c r="X102" i="2"/>
  <c r="W102" i="2"/>
  <c r="V102" i="2"/>
  <c r="U102" i="2"/>
  <c r="T102" i="2"/>
  <c r="S102" i="2"/>
  <c r="R102" i="2"/>
  <c r="Q102" i="2"/>
  <c r="P102" i="2"/>
  <c r="O102" i="2"/>
  <c r="N102" i="2"/>
  <c r="M100" i="3" s="1"/>
  <c r="M100" i="4" s="1"/>
  <c r="M102" i="2"/>
  <c r="L100" i="3" s="1"/>
  <c r="L100" i="4" s="1"/>
  <c r="L102" i="2"/>
  <c r="K102" i="2"/>
  <c r="J102" i="2"/>
  <c r="I102" i="2"/>
  <c r="H102" i="2"/>
  <c r="G102" i="2"/>
  <c r="F102" i="2"/>
  <c r="E102" i="2"/>
  <c r="D102" i="2"/>
  <c r="C102" i="2"/>
  <c r="B102" i="2"/>
  <c r="A100" i="3" s="1"/>
  <c r="A100" i="4" s="1"/>
  <c r="A102" i="2"/>
  <c r="AG101" i="2"/>
  <c r="AF101" i="2"/>
  <c r="AE101" i="2"/>
  <c r="AD101" i="2"/>
  <c r="AC101" i="2"/>
  <c r="AB101" i="2"/>
  <c r="AA101" i="2"/>
  <c r="Z101" i="2"/>
  <c r="Y101" i="2"/>
  <c r="X101" i="2"/>
  <c r="W101" i="2"/>
  <c r="V99" i="3" s="1"/>
  <c r="V99" i="4" s="1"/>
  <c r="V101" i="2"/>
  <c r="U99" i="3" s="1"/>
  <c r="U99" i="4" s="1"/>
  <c r="U101" i="2"/>
  <c r="T101" i="2"/>
  <c r="S101" i="2"/>
  <c r="R101" i="2"/>
  <c r="Q101" i="2"/>
  <c r="P101" i="2"/>
  <c r="O101" i="2"/>
  <c r="N101" i="2"/>
  <c r="M101" i="2"/>
  <c r="L101" i="2"/>
  <c r="K101" i="2"/>
  <c r="J99" i="3" s="1"/>
  <c r="J99" i="4" s="1"/>
  <c r="J101" i="2"/>
  <c r="I99" i="3" s="1"/>
  <c r="I99" i="4" s="1"/>
  <c r="I101" i="2"/>
  <c r="H101" i="2"/>
  <c r="G101" i="2"/>
  <c r="F101" i="2"/>
  <c r="E101" i="2"/>
  <c r="D101" i="2"/>
  <c r="C101" i="2"/>
  <c r="B101" i="2"/>
  <c r="A101" i="2"/>
  <c r="AG100" i="2"/>
  <c r="AF100" i="2"/>
  <c r="AE98" i="3" s="1"/>
  <c r="AE98" i="4" s="1"/>
  <c r="AE100" i="2"/>
  <c r="AD98" i="3" s="1"/>
  <c r="AD98" i="4" s="1"/>
  <c r="AD100" i="2"/>
  <c r="AC100" i="2"/>
  <c r="AB100" i="2"/>
  <c r="AA100" i="2"/>
  <c r="Z100" i="2"/>
  <c r="Y100" i="2"/>
  <c r="X100" i="2"/>
  <c r="W100" i="2"/>
  <c r="V100" i="2"/>
  <c r="U100" i="2"/>
  <c r="T100" i="2"/>
  <c r="S98" i="3" s="1"/>
  <c r="S98" i="4" s="1"/>
  <c r="S100" i="2"/>
  <c r="R98" i="3" s="1"/>
  <c r="R98" i="4" s="1"/>
  <c r="R100" i="2"/>
  <c r="Q100" i="2"/>
  <c r="P100" i="2"/>
  <c r="O100" i="2"/>
  <c r="N100" i="2"/>
  <c r="M100" i="2"/>
  <c r="L100" i="2"/>
  <c r="K100" i="2"/>
  <c r="J100" i="2"/>
  <c r="I100" i="2"/>
  <c r="H100" i="2"/>
  <c r="G98" i="3" s="1"/>
  <c r="G98" i="4" s="1"/>
  <c r="G100" i="2"/>
  <c r="F98" i="3" s="1"/>
  <c r="F98" i="4" s="1"/>
  <c r="F100" i="2"/>
  <c r="E100" i="2"/>
  <c r="D100" i="2"/>
  <c r="C100" i="2"/>
  <c r="B100" i="2"/>
  <c r="A100" i="2"/>
  <c r="AG99" i="2"/>
  <c r="AF99" i="2"/>
  <c r="AE99" i="2"/>
  <c r="AD99" i="2"/>
  <c r="AC99" i="2"/>
  <c r="AB97" i="3" s="1"/>
  <c r="AB97" i="4" s="1"/>
  <c r="AB99" i="2"/>
  <c r="AA97" i="3" s="1"/>
  <c r="AA97" i="4" s="1"/>
  <c r="AA99" i="2"/>
  <c r="Z99" i="2"/>
  <c r="Y99" i="2"/>
  <c r="X99" i="2"/>
  <c r="W99" i="2"/>
  <c r="V99" i="2"/>
  <c r="U99" i="2"/>
  <c r="T99" i="2"/>
  <c r="S99" i="2"/>
  <c r="R99" i="2"/>
  <c r="Q99" i="2"/>
  <c r="P97" i="3" s="1"/>
  <c r="P97" i="4" s="1"/>
  <c r="P99" i="2"/>
  <c r="O97" i="3" s="1"/>
  <c r="O97" i="4" s="1"/>
  <c r="O99" i="2"/>
  <c r="N99" i="2"/>
  <c r="M99" i="2"/>
  <c r="L99" i="2"/>
  <c r="K99" i="2"/>
  <c r="J99" i="2"/>
  <c r="I99" i="2"/>
  <c r="H99" i="2"/>
  <c r="G99" i="2"/>
  <c r="F99" i="2"/>
  <c r="E99" i="2"/>
  <c r="D97" i="3" s="1"/>
  <c r="D97" i="4" s="1"/>
  <c r="D99" i="2"/>
  <c r="C97" i="3" s="1"/>
  <c r="C97" i="4" s="1"/>
  <c r="C99" i="2"/>
  <c r="B99" i="2"/>
  <c r="A99" i="2"/>
  <c r="AG98" i="2"/>
  <c r="AF98" i="2"/>
  <c r="AE98" i="2"/>
  <c r="AD98" i="2"/>
  <c r="AC98" i="2"/>
  <c r="AB98" i="2"/>
  <c r="AA98" i="2"/>
  <c r="Z98" i="2"/>
  <c r="Y96" i="3" s="1"/>
  <c r="Y96" i="4" s="1"/>
  <c r="Y98" i="2"/>
  <c r="X96" i="3" s="1"/>
  <c r="X96" i="4" s="1"/>
  <c r="X98" i="2"/>
  <c r="W98" i="2"/>
  <c r="V98" i="2"/>
  <c r="U98" i="2"/>
  <c r="T98" i="2"/>
  <c r="S98" i="2"/>
  <c r="R98" i="2"/>
  <c r="Q98" i="2"/>
  <c r="P98" i="2"/>
  <c r="O98" i="2"/>
  <c r="N98" i="2"/>
  <c r="M96" i="3" s="1"/>
  <c r="M96" i="4" s="1"/>
  <c r="M98" i="2"/>
  <c r="L96" i="3" s="1"/>
  <c r="L96" i="4" s="1"/>
  <c r="L98" i="2"/>
  <c r="K98" i="2"/>
  <c r="J98" i="2"/>
  <c r="I98" i="2"/>
  <c r="H98" i="2"/>
  <c r="G98" i="2"/>
  <c r="F98" i="2"/>
  <c r="E98" i="2"/>
  <c r="D98" i="2"/>
  <c r="C98" i="2"/>
  <c r="B98" i="2"/>
  <c r="A96" i="3" s="1"/>
  <c r="A96" i="4" s="1"/>
  <c r="A98" i="2"/>
  <c r="AG97" i="2"/>
  <c r="AF97" i="2"/>
  <c r="AE97" i="2"/>
  <c r="AD97" i="2"/>
  <c r="AC97" i="2"/>
  <c r="AB97" i="2"/>
  <c r="AA97" i="2"/>
  <c r="Z97" i="2"/>
  <c r="Y97" i="2"/>
  <c r="X97" i="2"/>
  <c r="W97" i="2"/>
  <c r="V95" i="3" s="1"/>
  <c r="V95" i="4" s="1"/>
  <c r="V97" i="2"/>
  <c r="U95" i="3" s="1"/>
  <c r="U95" i="4" s="1"/>
  <c r="U97" i="2"/>
  <c r="T97" i="2"/>
  <c r="S97" i="2"/>
  <c r="R97" i="2"/>
  <c r="Q97" i="2"/>
  <c r="P97" i="2"/>
  <c r="O97" i="2"/>
  <c r="N97" i="2"/>
  <c r="M97" i="2"/>
  <c r="L97" i="2"/>
  <c r="K97" i="2"/>
  <c r="J95" i="3" s="1"/>
  <c r="J95" i="4" s="1"/>
  <c r="J97" i="2"/>
  <c r="I95" i="3" s="1"/>
  <c r="I95" i="4" s="1"/>
  <c r="I97" i="2"/>
  <c r="H97" i="2"/>
  <c r="G97" i="2"/>
  <c r="F97" i="2"/>
  <c r="E97" i="2"/>
  <c r="D97" i="2"/>
  <c r="C97" i="2"/>
  <c r="B97" i="2"/>
  <c r="A97" i="2"/>
  <c r="AG96" i="2"/>
  <c r="AF96" i="2"/>
  <c r="AE94" i="3" s="1"/>
  <c r="AE94" i="4" s="1"/>
  <c r="AE96" i="2"/>
  <c r="AD94" i="3" s="1"/>
  <c r="AD94" i="4" s="1"/>
  <c r="AD96" i="2"/>
  <c r="AC96" i="2"/>
  <c r="AB96" i="2"/>
  <c r="AA96" i="2"/>
  <c r="Z96" i="2"/>
  <c r="Y96" i="2"/>
  <c r="X96" i="2"/>
  <c r="W96" i="2"/>
  <c r="V96" i="2"/>
  <c r="U96" i="2"/>
  <c r="T96" i="2"/>
  <c r="S94" i="3" s="1"/>
  <c r="S94" i="4" s="1"/>
  <c r="S96" i="2"/>
  <c r="R94" i="3" s="1"/>
  <c r="R94" i="4" s="1"/>
  <c r="R96" i="2"/>
  <c r="Q96" i="2"/>
  <c r="P96" i="2"/>
  <c r="O96" i="2"/>
  <c r="N96" i="2"/>
  <c r="M96" i="2"/>
  <c r="L96" i="2"/>
  <c r="K96" i="2"/>
  <c r="J96" i="2"/>
  <c r="I96" i="2"/>
  <c r="H96" i="2"/>
  <c r="G94" i="3" s="1"/>
  <c r="G94" i="4" s="1"/>
  <c r="G96" i="2"/>
  <c r="F94" i="3" s="1"/>
  <c r="F94" i="4" s="1"/>
  <c r="F96" i="2"/>
  <c r="E96" i="2"/>
  <c r="D96" i="2"/>
  <c r="C96" i="2"/>
  <c r="B96" i="2"/>
  <c r="A96" i="2"/>
  <c r="AG95" i="2"/>
  <c r="AF95" i="2"/>
  <c r="AE95" i="2"/>
  <c r="AD95" i="2"/>
  <c r="AC95" i="2"/>
  <c r="AB93" i="3" s="1"/>
  <c r="AB93" i="4" s="1"/>
  <c r="AB95" i="2"/>
  <c r="AA93" i="3" s="1"/>
  <c r="AA93" i="4" s="1"/>
  <c r="AA95" i="2"/>
  <c r="Z95" i="2"/>
  <c r="Y95" i="2"/>
  <c r="X95" i="2"/>
  <c r="W95" i="2"/>
  <c r="V95" i="2"/>
  <c r="U95" i="2"/>
  <c r="T95" i="2"/>
  <c r="S95" i="2"/>
  <c r="R95" i="2"/>
  <c r="Q95" i="2"/>
  <c r="P93" i="3" s="1"/>
  <c r="P93" i="4" s="1"/>
  <c r="P95" i="2"/>
  <c r="O93" i="3" s="1"/>
  <c r="O93" i="4" s="1"/>
  <c r="O95" i="2"/>
  <c r="N95" i="2"/>
  <c r="M95" i="2"/>
  <c r="L95" i="2"/>
  <c r="K95" i="2"/>
  <c r="J95" i="2"/>
  <c r="I95" i="2"/>
  <c r="H95" i="2"/>
  <c r="G95" i="2"/>
  <c r="F95" i="2"/>
  <c r="E95" i="2"/>
  <c r="D93" i="3" s="1"/>
  <c r="D93" i="4" s="1"/>
  <c r="D95" i="2"/>
  <c r="C93" i="3" s="1"/>
  <c r="C93" i="4" s="1"/>
  <c r="C95" i="2"/>
  <c r="B95" i="2"/>
  <c r="A95" i="2"/>
  <c r="AG94" i="2"/>
  <c r="AF94" i="2"/>
  <c r="AE94" i="2"/>
  <c r="AD94" i="2"/>
  <c r="AC94" i="2"/>
  <c r="AB94" i="2"/>
  <c r="AA94" i="2"/>
  <c r="Z94" i="2"/>
  <c r="Y92" i="3" s="1"/>
  <c r="Y92" i="4" s="1"/>
  <c r="Y94" i="2"/>
  <c r="X92" i="3" s="1"/>
  <c r="X92" i="4" s="1"/>
  <c r="X94" i="2"/>
  <c r="W94" i="2"/>
  <c r="V94" i="2"/>
  <c r="U94" i="2"/>
  <c r="T94" i="2"/>
  <c r="S94" i="2"/>
  <c r="R94" i="2"/>
  <c r="Q94" i="2"/>
  <c r="P94" i="2"/>
  <c r="O94" i="2"/>
  <c r="N94" i="2"/>
  <c r="M92" i="3" s="1"/>
  <c r="M92" i="4" s="1"/>
  <c r="M94" i="2"/>
  <c r="L92" i="3" s="1"/>
  <c r="L92" i="4" s="1"/>
  <c r="L94" i="2"/>
  <c r="K94" i="2"/>
  <c r="J94" i="2"/>
  <c r="I94" i="2"/>
  <c r="H94" i="2"/>
  <c r="G94" i="2"/>
  <c r="F94" i="2"/>
  <c r="E94" i="2"/>
  <c r="D94" i="2"/>
  <c r="C94" i="2"/>
  <c r="B94" i="2"/>
  <c r="A92" i="3" s="1"/>
  <c r="A92" i="4" s="1"/>
  <c r="A94" i="2"/>
  <c r="AG93" i="2"/>
  <c r="AF93" i="2"/>
  <c r="AE93" i="2"/>
  <c r="AD93" i="2"/>
  <c r="AC93" i="2"/>
  <c r="AB93" i="2"/>
  <c r="AA93" i="2"/>
  <c r="Z93" i="2"/>
  <c r="Y93" i="2"/>
  <c r="X93" i="2"/>
  <c r="W93" i="2"/>
  <c r="V91" i="3" s="1"/>
  <c r="V91" i="4" s="1"/>
  <c r="V93" i="2"/>
  <c r="U91" i="3" s="1"/>
  <c r="U91" i="4" s="1"/>
  <c r="U93" i="2"/>
  <c r="T93" i="2"/>
  <c r="S93" i="2"/>
  <c r="R93" i="2"/>
  <c r="Q93" i="2"/>
  <c r="P93" i="2"/>
  <c r="O93" i="2"/>
  <c r="N93" i="2"/>
  <c r="M93" i="2"/>
  <c r="L93" i="2"/>
  <c r="K93" i="2"/>
  <c r="J91" i="3" s="1"/>
  <c r="J91" i="4" s="1"/>
  <c r="J93" i="2"/>
  <c r="I91" i="3" s="1"/>
  <c r="I91" i="4" s="1"/>
  <c r="I93" i="2"/>
  <c r="H93" i="2"/>
  <c r="G93" i="2"/>
  <c r="F93" i="2"/>
  <c r="E93" i="2"/>
  <c r="D93" i="2"/>
  <c r="C93" i="2"/>
  <c r="B93" i="2"/>
  <c r="A93" i="2"/>
  <c r="AG92" i="2"/>
  <c r="AF92" i="2"/>
  <c r="AE90" i="3" s="1"/>
  <c r="AE90" i="4" s="1"/>
  <c r="AE92" i="2"/>
  <c r="AD90" i="3" s="1"/>
  <c r="AD90" i="4" s="1"/>
  <c r="AD92" i="2"/>
  <c r="AC92" i="2"/>
  <c r="AB92" i="2"/>
  <c r="AA92" i="2"/>
  <c r="Z92" i="2"/>
  <c r="Y92" i="2"/>
  <c r="X92" i="2"/>
  <c r="W92" i="2"/>
  <c r="V92" i="2"/>
  <c r="U92" i="2"/>
  <c r="T92" i="2"/>
  <c r="S90" i="3" s="1"/>
  <c r="S90" i="4" s="1"/>
  <c r="S92" i="2"/>
  <c r="R90" i="3" s="1"/>
  <c r="R90" i="4" s="1"/>
  <c r="R92" i="2"/>
  <c r="Q92" i="2"/>
  <c r="P92" i="2"/>
  <c r="O92" i="2"/>
  <c r="N92" i="2"/>
  <c r="M92" i="2"/>
  <c r="L92" i="2"/>
  <c r="K92" i="2"/>
  <c r="J92" i="2"/>
  <c r="I92" i="2"/>
  <c r="H92" i="2"/>
  <c r="G90" i="3" s="1"/>
  <c r="G90" i="4" s="1"/>
  <c r="G92" i="2"/>
  <c r="F90" i="3" s="1"/>
  <c r="F90" i="4" s="1"/>
  <c r="F92" i="2"/>
  <c r="E92" i="2"/>
  <c r="D92" i="2"/>
  <c r="C92" i="2"/>
  <c r="B92" i="2"/>
  <c r="A92" i="2"/>
  <c r="AG91" i="2"/>
  <c r="AF91" i="2"/>
  <c r="AE91" i="2"/>
  <c r="AD91" i="2"/>
  <c r="AC91" i="2"/>
  <c r="AB89" i="3" s="1"/>
  <c r="AB89" i="4" s="1"/>
  <c r="AB91" i="2"/>
  <c r="AA89" i="3" s="1"/>
  <c r="AA89" i="4" s="1"/>
  <c r="AA91" i="2"/>
  <c r="Z91" i="2"/>
  <c r="Y91" i="2"/>
  <c r="X91" i="2"/>
  <c r="W91" i="2"/>
  <c r="V91" i="2"/>
  <c r="U91" i="2"/>
  <c r="T91" i="2"/>
  <c r="S91" i="2"/>
  <c r="R91" i="2"/>
  <c r="Q91" i="2"/>
  <c r="P89" i="3" s="1"/>
  <c r="P89" i="4" s="1"/>
  <c r="P91" i="2"/>
  <c r="O89" i="3" s="1"/>
  <c r="O89" i="4" s="1"/>
  <c r="O91" i="2"/>
  <c r="N91" i="2"/>
  <c r="M91" i="2"/>
  <c r="L91" i="2"/>
  <c r="K91" i="2"/>
  <c r="J91" i="2"/>
  <c r="I91" i="2"/>
  <c r="H91" i="2"/>
  <c r="G91" i="2"/>
  <c r="F91" i="2"/>
  <c r="E91" i="2"/>
  <c r="D89" i="3" s="1"/>
  <c r="D89" i="4" s="1"/>
  <c r="D91" i="2"/>
  <c r="C89" i="3" s="1"/>
  <c r="C89" i="4" s="1"/>
  <c r="C91" i="2"/>
  <c r="B91" i="2"/>
  <c r="A91" i="2"/>
  <c r="AG90" i="2"/>
  <c r="AF90" i="2"/>
  <c r="AE90" i="2"/>
  <c r="AD90" i="2"/>
  <c r="AC90" i="2"/>
  <c r="AB90" i="2"/>
  <c r="AA90" i="2"/>
  <c r="Z90" i="2"/>
  <c r="Y88" i="3" s="1"/>
  <c r="Y88" i="4" s="1"/>
  <c r="Y90" i="2"/>
  <c r="X88" i="3" s="1"/>
  <c r="X88" i="4" s="1"/>
  <c r="X90" i="2"/>
  <c r="W90" i="2"/>
  <c r="V90" i="2"/>
  <c r="U90" i="2"/>
  <c r="T90" i="2"/>
  <c r="S90" i="2"/>
  <c r="R90" i="2"/>
  <c r="Q90" i="2"/>
  <c r="P90" i="2"/>
  <c r="O90" i="2"/>
  <c r="N90" i="2"/>
  <c r="M88" i="3" s="1"/>
  <c r="M88" i="4" s="1"/>
  <c r="M90" i="2"/>
  <c r="L88" i="3" s="1"/>
  <c r="L88" i="4" s="1"/>
  <c r="L90" i="2"/>
  <c r="K90" i="2"/>
  <c r="J90" i="2"/>
  <c r="I90" i="2"/>
  <c r="H90" i="2"/>
  <c r="G90" i="2"/>
  <c r="F90" i="2"/>
  <c r="E90" i="2"/>
  <c r="D90" i="2"/>
  <c r="C90" i="2"/>
  <c r="B90" i="2"/>
  <c r="A88" i="3" s="1"/>
  <c r="A88" i="4" s="1"/>
  <c r="A90" i="2"/>
  <c r="AG89" i="2"/>
  <c r="AF89" i="2"/>
  <c r="AE89" i="2"/>
  <c r="AD89" i="2"/>
  <c r="AC89" i="2"/>
  <c r="AB89" i="2"/>
  <c r="AA89" i="2"/>
  <c r="Z89" i="2"/>
  <c r="Y89" i="2"/>
  <c r="X89" i="2"/>
  <c r="W89" i="2"/>
  <c r="V87" i="3" s="1"/>
  <c r="V87" i="4" s="1"/>
  <c r="V89" i="2"/>
  <c r="U87" i="3" s="1"/>
  <c r="U87" i="4" s="1"/>
  <c r="U89" i="2"/>
  <c r="T89" i="2"/>
  <c r="S89" i="2"/>
  <c r="R89" i="2"/>
  <c r="Q89" i="2"/>
  <c r="P89" i="2"/>
  <c r="O89" i="2"/>
  <c r="N89" i="2"/>
  <c r="M89" i="2"/>
  <c r="L89" i="2"/>
  <c r="K89" i="2"/>
  <c r="J87" i="3" s="1"/>
  <c r="J87" i="4" s="1"/>
  <c r="J89" i="2"/>
  <c r="I87" i="3" s="1"/>
  <c r="I87" i="4" s="1"/>
  <c r="I89" i="2"/>
  <c r="H89" i="2"/>
  <c r="G89" i="2"/>
  <c r="F89" i="2"/>
  <c r="E89" i="2"/>
  <c r="D89" i="2"/>
  <c r="C89" i="2"/>
  <c r="B89" i="2"/>
  <c r="A89" i="2"/>
  <c r="AG88" i="2"/>
  <c r="AF88" i="2"/>
  <c r="AE86" i="3" s="1"/>
  <c r="AE86" i="4" s="1"/>
  <c r="AE88" i="2"/>
  <c r="AD86" i="3" s="1"/>
  <c r="AD86" i="4" s="1"/>
  <c r="AD88" i="2"/>
  <c r="AC88" i="2"/>
  <c r="AB88" i="2"/>
  <c r="AA88" i="2"/>
  <c r="Z88" i="2"/>
  <c r="Y88" i="2"/>
  <c r="X88" i="2"/>
  <c r="W88" i="2"/>
  <c r="V88" i="2"/>
  <c r="U88" i="2"/>
  <c r="T88" i="2"/>
  <c r="S86" i="3" s="1"/>
  <c r="S86" i="4" s="1"/>
  <c r="S88" i="2"/>
  <c r="R86" i="3" s="1"/>
  <c r="R86" i="4" s="1"/>
  <c r="R88" i="2"/>
  <c r="Q88" i="2"/>
  <c r="P88" i="2"/>
  <c r="O88" i="2"/>
  <c r="N88" i="2"/>
  <c r="M88" i="2"/>
  <c r="L88" i="2"/>
  <c r="K88" i="2"/>
  <c r="J88" i="2"/>
  <c r="I88" i="2"/>
  <c r="H88" i="2"/>
  <c r="G86" i="3" s="1"/>
  <c r="G86" i="4" s="1"/>
  <c r="G88" i="2"/>
  <c r="F86" i="3" s="1"/>
  <c r="F86" i="4" s="1"/>
  <c r="F88" i="2"/>
  <c r="E88" i="2"/>
  <c r="D88" i="2"/>
  <c r="C88" i="2"/>
  <c r="B88" i="2"/>
  <c r="A88" i="2"/>
  <c r="AG87" i="2"/>
  <c r="AF87" i="2"/>
  <c r="AE87" i="2"/>
  <c r="AD87" i="2"/>
  <c r="AC87" i="2"/>
  <c r="AB85" i="3" s="1"/>
  <c r="AB85" i="4" s="1"/>
  <c r="AB87" i="2"/>
  <c r="AA85" i="3" s="1"/>
  <c r="AA85" i="4" s="1"/>
  <c r="AA87" i="2"/>
  <c r="Z87" i="2"/>
  <c r="Y87" i="2"/>
  <c r="X87" i="2"/>
  <c r="W87" i="2"/>
  <c r="V87" i="2"/>
  <c r="U87" i="2"/>
  <c r="T87" i="2"/>
  <c r="S87" i="2"/>
  <c r="R87" i="2"/>
  <c r="Q87" i="2"/>
  <c r="P85" i="3" s="1"/>
  <c r="P85" i="4" s="1"/>
  <c r="P87" i="2"/>
  <c r="O85" i="3" s="1"/>
  <c r="O85" i="4" s="1"/>
  <c r="O87" i="2"/>
  <c r="N87" i="2"/>
  <c r="M87" i="2"/>
  <c r="L87" i="2"/>
  <c r="K87" i="2"/>
  <c r="J87" i="2"/>
  <c r="I87" i="2"/>
  <c r="H87" i="2"/>
  <c r="G87" i="2"/>
  <c r="F87" i="2"/>
  <c r="E87" i="2"/>
  <c r="D85" i="3" s="1"/>
  <c r="D85" i="4" s="1"/>
  <c r="D87" i="2"/>
  <c r="C85" i="3" s="1"/>
  <c r="C85" i="4" s="1"/>
  <c r="C87" i="2"/>
  <c r="B87" i="2"/>
  <c r="A87" i="2"/>
  <c r="AG86" i="2"/>
  <c r="AF86" i="2"/>
  <c r="AE86" i="2"/>
  <c r="AD86" i="2"/>
  <c r="AC86" i="2"/>
  <c r="AB86" i="2"/>
  <c r="AA86" i="2"/>
  <c r="Z86" i="2"/>
  <c r="Y84" i="3" s="1"/>
  <c r="Y84" i="4" s="1"/>
  <c r="Y86" i="2"/>
  <c r="X84" i="3" s="1"/>
  <c r="X84" i="4" s="1"/>
  <c r="X86" i="2"/>
  <c r="W86" i="2"/>
  <c r="V86" i="2"/>
  <c r="U86" i="2"/>
  <c r="T86" i="2"/>
  <c r="S86" i="2"/>
  <c r="R86" i="2"/>
  <c r="Q86" i="2"/>
  <c r="P86" i="2"/>
  <c r="O86" i="2"/>
  <c r="N86" i="2"/>
  <c r="M84" i="3" s="1"/>
  <c r="M84" i="4" s="1"/>
  <c r="M86" i="2"/>
  <c r="L84" i="3" s="1"/>
  <c r="L84" i="4" s="1"/>
  <c r="L86" i="2"/>
  <c r="K86" i="2"/>
  <c r="J86" i="2"/>
  <c r="I86" i="2"/>
  <c r="H86" i="2"/>
  <c r="G86" i="2"/>
  <c r="F86" i="2"/>
  <c r="E86" i="2"/>
  <c r="D86" i="2"/>
  <c r="C86" i="2"/>
  <c r="B86" i="2"/>
  <c r="A84" i="3" s="1"/>
  <c r="A84" i="4" s="1"/>
  <c r="A86" i="2"/>
  <c r="AG85" i="2"/>
  <c r="AF85" i="2"/>
  <c r="AE85" i="2"/>
  <c r="AD85" i="2"/>
  <c r="AC85" i="2"/>
  <c r="AB85" i="2"/>
  <c r="AA85" i="2"/>
  <c r="Z85" i="2"/>
  <c r="Y85" i="2"/>
  <c r="X85" i="2"/>
  <c r="W85" i="2"/>
  <c r="V83" i="3" s="1"/>
  <c r="V83" i="4" s="1"/>
  <c r="V85" i="2"/>
  <c r="U83" i="3" s="1"/>
  <c r="U83" i="4" s="1"/>
  <c r="U85" i="2"/>
  <c r="T85" i="2"/>
  <c r="S85" i="2"/>
  <c r="R85" i="2"/>
  <c r="Q85" i="2"/>
  <c r="P85" i="2"/>
  <c r="O85" i="2"/>
  <c r="N85" i="2"/>
  <c r="M85" i="2"/>
  <c r="L85" i="2"/>
  <c r="K85" i="2"/>
  <c r="J83" i="3" s="1"/>
  <c r="J83" i="4" s="1"/>
  <c r="J85" i="2"/>
  <c r="I83" i="3" s="1"/>
  <c r="I83" i="4" s="1"/>
  <c r="I85" i="2"/>
  <c r="H85" i="2"/>
  <c r="G85" i="2"/>
  <c r="F85" i="2"/>
  <c r="E85" i="2"/>
  <c r="D85" i="2"/>
  <c r="C85" i="2"/>
  <c r="B85" i="2"/>
  <c r="A85" i="2"/>
  <c r="AG84" i="2"/>
  <c r="AF84" i="2"/>
  <c r="AE82" i="3" s="1"/>
  <c r="AE82" i="4" s="1"/>
  <c r="AE84" i="2"/>
  <c r="AD82" i="3" s="1"/>
  <c r="AD82" i="4" s="1"/>
  <c r="AD84" i="2"/>
  <c r="AC84" i="2"/>
  <c r="AB84" i="2"/>
  <c r="AA84" i="2"/>
  <c r="Z84" i="2"/>
  <c r="Y84" i="2"/>
  <c r="X84" i="2"/>
  <c r="W84" i="2"/>
  <c r="V84" i="2"/>
  <c r="U84" i="2"/>
  <c r="T84" i="2"/>
  <c r="S82" i="3" s="1"/>
  <c r="S82" i="4" s="1"/>
  <c r="S84" i="2"/>
  <c r="R82" i="3" s="1"/>
  <c r="R82" i="4" s="1"/>
  <c r="R84" i="2"/>
  <c r="Q84" i="2"/>
  <c r="P84" i="2"/>
  <c r="O84" i="2"/>
  <c r="N84" i="2"/>
  <c r="M84" i="2"/>
  <c r="L84" i="2"/>
  <c r="K84" i="2"/>
  <c r="J84" i="2"/>
  <c r="I84" i="2"/>
  <c r="H84" i="2"/>
  <c r="G82" i="3" s="1"/>
  <c r="G82" i="4" s="1"/>
  <c r="G84" i="2"/>
  <c r="F82" i="3" s="1"/>
  <c r="F82" i="4" s="1"/>
  <c r="F84" i="2"/>
  <c r="E84" i="2"/>
  <c r="D84" i="2"/>
  <c r="C84" i="2"/>
  <c r="B84" i="2"/>
  <c r="A84" i="2"/>
  <c r="AG83" i="2"/>
  <c r="AF83" i="2"/>
  <c r="AE83" i="2"/>
  <c r="AD83" i="2"/>
  <c r="AC83" i="2"/>
  <c r="AB81" i="3" s="1"/>
  <c r="AB81" i="4" s="1"/>
  <c r="AB83" i="2"/>
  <c r="AA81" i="3" s="1"/>
  <c r="AA81" i="4" s="1"/>
  <c r="AA83" i="2"/>
  <c r="Z83" i="2"/>
  <c r="Y83" i="2"/>
  <c r="X83" i="2"/>
  <c r="W83" i="2"/>
  <c r="V83" i="2"/>
  <c r="U83" i="2"/>
  <c r="T83" i="2"/>
  <c r="S83" i="2"/>
  <c r="R83" i="2"/>
  <c r="Q83" i="2"/>
  <c r="P81" i="3" s="1"/>
  <c r="P81" i="4" s="1"/>
  <c r="P83" i="2"/>
  <c r="O81" i="3" s="1"/>
  <c r="O81" i="4" s="1"/>
  <c r="O83" i="2"/>
  <c r="N83" i="2"/>
  <c r="M83" i="2"/>
  <c r="L83" i="2"/>
  <c r="K83" i="2"/>
  <c r="J83" i="2"/>
  <c r="I83" i="2"/>
  <c r="H83" i="2"/>
  <c r="G83" i="2"/>
  <c r="F83" i="2"/>
  <c r="E83" i="2"/>
  <c r="D81" i="3" s="1"/>
  <c r="D81" i="4" s="1"/>
  <c r="D83" i="2"/>
  <c r="C81" i="3" s="1"/>
  <c r="C81" i="4" s="1"/>
  <c r="C83" i="2"/>
  <c r="B83" i="2"/>
  <c r="A83" i="2"/>
  <c r="AG82" i="2"/>
  <c r="AF82" i="2"/>
  <c r="AE82" i="2"/>
  <c r="AD82" i="2"/>
  <c r="AC82" i="2"/>
  <c r="AB82" i="2"/>
  <c r="AA82" i="2"/>
  <c r="Z82" i="2"/>
  <c r="Y80" i="3" s="1"/>
  <c r="Y80" i="4" s="1"/>
  <c r="Y82" i="2"/>
  <c r="X80" i="3" s="1"/>
  <c r="X80" i="4" s="1"/>
  <c r="X82" i="2"/>
  <c r="W82" i="2"/>
  <c r="V82" i="2"/>
  <c r="U82" i="2"/>
  <c r="T82" i="2"/>
  <c r="S82" i="2"/>
  <c r="R82" i="2"/>
  <c r="Q82" i="2"/>
  <c r="P82" i="2"/>
  <c r="O82" i="2"/>
  <c r="N82" i="2"/>
  <c r="M80" i="3" s="1"/>
  <c r="M80" i="4" s="1"/>
  <c r="M82" i="2"/>
  <c r="L80" i="3" s="1"/>
  <c r="L80" i="4" s="1"/>
  <c r="L82" i="2"/>
  <c r="K82" i="2"/>
  <c r="J82" i="2"/>
  <c r="I82" i="2"/>
  <c r="H82" i="2"/>
  <c r="G82" i="2"/>
  <c r="F82" i="2"/>
  <c r="E82" i="2"/>
  <c r="D82" i="2"/>
  <c r="C82" i="2"/>
  <c r="B82" i="2"/>
  <c r="A80" i="3" s="1"/>
  <c r="A80" i="4" s="1"/>
  <c r="A82" i="2"/>
  <c r="AG81" i="2"/>
  <c r="AF81" i="2"/>
  <c r="AE81" i="2"/>
  <c r="AD81" i="2"/>
  <c r="AC81" i="2"/>
  <c r="AB81" i="2"/>
  <c r="AA81" i="2"/>
  <c r="Z81" i="2"/>
  <c r="Y81" i="2"/>
  <c r="X81" i="2"/>
  <c r="W81" i="2"/>
  <c r="V79" i="3" s="1"/>
  <c r="V79" i="4" s="1"/>
  <c r="V81" i="2"/>
  <c r="U79" i="3" s="1"/>
  <c r="U79" i="4" s="1"/>
  <c r="U81" i="2"/>
  <c r="T81" i="2"/>
  <c r="S81" i="2"/>
  <c r="R81" i="2"/>
  <c r="Q81" i="2"/>
  <c r="P81" i="2"/>
  <c r="O81" i="2"/>
  <c r="N81" i="2"/>
  <c r="M81" i="2"/>
  <c r="L81" i="2"/>
  <c r="K81" i="2"/>
  <c r="J79" i="3" s="1"/>
  <c r="J79" i="4" s="1"/>
  <c r="J81" i="2"/>
  <c r="I79" i="3" s="1"/>
  <c r="I79" i="4" s="1"/>
  <c r="I81" i="2"/>
  <c r="H81" i="2"/>
  <c r="G81" i="2"/>
  <c r="F81" i="2"/>
  <c r="E81" i="2"/>
  <c r="D81" i="2"/>
  <c r="C81" i="2"/>
  <c r="B81" i="2"/>
  <c r="A81" i="2"/>
  <c r="AG80" i="2"/>
  <c r="AF80" i="2"/>
  <c r="AE78" i="3" s="1"/>
  <c r="AE78" i="4" s="1"/>
  <c r="AE80" i="2"/>
  <c r="AD78" i="3" s="1"/>
  <c r="AD78" i="4" s="1"/>
  <c r="AD80" i="2"/>
  <c r="AC80" i="2"/>
  <c r="AB80" i="2"/>
  <c r="AA80" i="2"/>
  <c r="Z80" i="2"/>
  <c r="Y80" i="2"/>
  <c r="X80" i="2"/>
  <c r="W80" i="2"/>
  <c r="V80" i="2"/>
  <c r="U80" i="2"/>
  <c r="T80" i="2"/>
  <c r="S78" i="3" s="1"/>
  <c r="S78" i="4" s="1"/>
  <c r="S80" i="2"/>
  <c r="R78" i="3" s="1"/>
  <c r="R78" i="4" s="1"/>
  <c r="R80" i="2"/>
  <c r="Q80" i="2"/>
  <c r="P80" i="2"/>
  <c r="O80" i="2"/>
  <c r="N80" i="2"/>
  <c r="M80" i="2"/>
  <c r="L80" i="2"/>
  <c r="K80" i="2"/>
  <c r="J80" i="2"/>
  <c r="I80" i="2"/>
  <c r="H80" i="2"/>
  <c r="G78" i="3" s="1"/>
  <c r="G78" i="4" s="1"/>
  <c r="G80" i="2"/>
  <c r="F78" i="3" s="1"/>
  <c r="F78" i="4" s="1"/>
  <c r="F80" i="2"/>
  <c r="E80" i="2"/>
  <c r="D80" i="2"/>
  <c r="C80" i="2"/>
  <c r="B80" i="2"/>
  <c r="A80" i="2"/>
  <c r="AG79" i="2"/>
  <c r="AF79" i="2"/>
  <c r="AE79" i="2"/>
  <c r="AD79" i="2"/>
  <c r="AC79" i="2"/>
  <c r="AB77" i="3" s="1"/>
  <c r="AB77" i="4" s="1"/>
  <c r="AB79" i="2"/>
  <c r="AA77" i="3" s="1"/>
  <c r="AA77" i="4" s="1"/>
  <c r="AA79" i="2"/>
  <c r="Z79" i="2"/>
  <c r="Y79" i="2"/>
  <c r="X79" i="2"/>
  <c r="W79" i="2"/>
  <c r="V79" i="2"/>
  <c r="U79" i="2"/>
  <c r="T79" i="2"/>
  <c r="S79" i="2"/>
  <c r="R79" i="2"/>
  <c r="Q79" i="2"/>
  <c r="P77" i="3" s="1"/>
  <c r="P77" i="4" s="1"/>
  <c r="P79" i="2"/>
  <c r="O77" i="3" s="1"/>
  <c r="O77" i="4" s="1"/>
  <c r="O79" i="2"/>
  <c r="N79" i="2"/>
  <c r="M79" i="2"/>
  <c r="L79" i="2"/>
  <c r="K79" i="2"/>
  <c r="J79" i="2"/>
  <c r="I79" i="2"/>
  <c r="H79" i="2"/>
  <c r="G79" i="2"/>
  <c r="F79" i="2"/>
  <c r="E79" i="2"/>
  <c r="D77" i="3" s="1"/>
  <c r="D77" i="4" s="1"/>
  <c r="D79" i="2"/>
  <c r="C77" i="3" s="1"/>
  <c r="C77" i="4" s="1"/>
  <c r="C79" i="2"/>
  <c r="B79" i="2"/>
  <c r="A79" i="2"/>
  <c r="AG78" i="2"/>
  <c r="AF78" i="2"/>
  <c r="AE78" i="2"/>
  <c r="AD78" i="2"/>
  <c r="AC78" i="2"/>
  <c r="AB78" i="2"/>
  <c r="AA78" i="2"/>
  <c r="Z78" i="2"/>
  <c r="Y76" i="3" s="1"/>
  <c r="Y76" i="4" s="1"/>
  <c r="Y78" i="2"/>
  <c r="X76" i="3" s="1"/>
  <c r="X76" i="4" s="1"/>
  <c r="X78" i="2"/>
  <c r="W78" i="2"/>
  <c r="V78" i="2"/>
  <c r="U78" i="2"/>
  <c r="T78" i="2"/>
  <c r="S78" i="2"/>
  <c r="R78" i="2"/>
  <c r="Q78" i="2"/>
  <c r="P78" i="2"/>
  <c r="O78" i="2"/>
  <c r="N78" i="2"/>
  <c r="M76" i="3" s="1"/>
  <c r="M76" i="4" s="1"/>
  <c r="M78" i="2"/>
  <c r="L76" i="3" s="1"/>
  <c r="L76" i="4" s="1"/>
  <c r="L78" i="2"/>
  <c r="K78" i="2"/>
  <c r="J78" i="2"/>
  <c r="I78" i="2"/>
  <c r="H78" i="2"/>
  <c r="G78" i="2"/>
  <c r="F78" i="2"/>
  <c r="E78" i="2"/>
  <c r="D78" i="2"/>
  <c r="C78" i="2"/>
  <c r="B78" i="2"/>
  <c r="A76" i="3" s="1"/>
  <c r="A76" i="4" s="1"/>
  <c r="A78" i="2"/>
  <c r="AG77" i="2"/>
  <c r="AF77" i="2"/>
  <c r="AE77" i="2"/>
  <c r="AD77" i="2"/>
  <c r="AC77" i="2"/>
  <c r="AB77" i="2"/>
  <c r="AA77" i="2"/>
  <c r="Z77" i="2"/>
  <c r="Y77" i="2"/>
  <c r="X77" i="2"/>
  <c r="W77" i="2"/>
  <c r="V75" i="3" s="1"/>
  <c r="V75" i="4" s="1"/>
  <c r="V77" i="2"/>
  <c r="U75" i="3" s="1"/>
  <c r="U75" i="4" s="1"/>
  <c r="U77" i="2"/>
  <c r="T77" i="2"/>
  <c r="S77" i="2"/>
  <c r="R77" i="2"/>
  <c r="Q77" i="2"/>
  <c r="P77" i="2"/>
  <c r="O77" i="2"/>
  <c r="N77" i="2"/>
  <c r="M77" i="2"/>
  <c r="L77" i="2"/>
  <c r="K77" i="2"/>
  <c r="J75" i="3" s="1"/>
  <c r="J75" i="4" s="1"/>
  <c r="J77" i="2"/>
  <c r="I75" i="3" s="1"/>
  <c r="I75" i="4" s="1"/>
  <c r="I77" i="2"/>
  <c r="H77" i="2"/>
  <c r="G77" i="2"/>
  <c r="F77" i="2"/>
  <c r="E77" i="2"/>
  <c r="D77" i="2"/>
  <c r="C77" i="2"/>
  <c r="B77" i="2"/>
  <c r="A77" i="2"/>
  <c r="AG76" i="2"/>
  <c r="AF76" i="2"/>
  <c r="AE74" i="3" s="1"/>
  <c r="AE74" i="4" s="1"/>
  <c r="AE76" i="2"/>
  <c r="AD74" i="3" s="1"/>
  <c r="AD74" i="4" s="1"/>
  <c r="AD76" i="2"/>
  <c r="AC76" i="2"/>
  <c r="AB76" i="2"/>
  <c r="AA76" i="2"/>
  <c r="Z76" i="2"/>
  <c r="Y76" i="2"/>
  <c r="X76" i="2"/>
  <c r="W76" i="2"/>
  <c r="V76" i="2"/>
  <c r="U76" i="2"/>
  <c r="T76" i="2"/>
  <c r="S74" i="3" s="1"/>
  <c r="S74" i="4" s="1"/>
  <c r="S76" i="2"/>
  <c r="R74" i="3" s="1"/>
  <c r="R74" i="4" s="1"/>
  <c r="R76" i="2"/>
  <c r="Q76" i="2"/>
  <c r="P76" i="2"/>
  <c r="O76" i="2"/>
  <c r="N76" i="2"/>
  <c r="M76" i="2"/>
  <c r="L76" i="2"/>
  <c r="K76" i="2"/>
  <c r="J76" i="2"/>
  <c r="I76" i="2"/>
  <c r="H76" i="2"/>
  <c r="G74" i="3" s="1"/>
  <c r="G74" i="4" s="1"/>
  <c r="G76" i="2"/>
  <c r="F74" i="3" s="1"/>
  <c r="F74" i="4" s="1"/>
  <c r="F76" i="2"/>
  <c r="E76" i="2"/>
  <c r="D76" i="2"/>
  <c r="C76" i="2"/>
  <c r="B76" i="2"/>
  <c r="A76" i="2"/>
  <c r="AG75" i="2"/>
  <c r="AF75" i="2"/>
  <c r="AE75" i="2"/>
  <c r="AD75" i="2"/>
  <c r="AC75" i="2"/>
  <c r="AB73" i="3" s="1"/>
  <c r="AB73" i="4" s="1"/>
  <c r="AB75" i="2"/>
  <c r="AA73" i="3" s="1"/>
  <c r="AA73" i="4" s="1"/>
  <c r="AA75" i="2"/>
  <c r="Z75" i="2"/>
  <c r="Y75" i="2"/>
  <c r="X75" i="2"/>
  <c r="W75" i="2"/>
  <c r="V75" i="2"/>
  <c r="U75" i="2"/>
  <c r="T75" i="2"/>
  <c r="S75" i="2"/>
  <c r="R75" i="2"/>
  <c r="Q75" i="2"/>
  <c r="P73" i="3" s="1"/>
  <c r="P73" i="4" s="1"/>
  <c r="P75" i="2"/>
  <c r="O73" i="3" s="1"/>
  <c r="O73" i="4" s="1"/>
  <c r="O75" i="2"/>
  <c r="N75" i="2"/>
  <c r="M75" i="2"/>
  <c r="L75" i="2"/>
  <c r="K75" i="2"/>
  <c r="J75" i="2"/>
  <c r="I75" i="2"/>
  <c r="H75" i="2"/>
  <c r="G75" i="2"/>
  <c r="F75" i="2"/>
  <c r="E75" i="2"/>
  <c r="D73" i="3" s="1"/>
  <c r="D73" i="4" s="1"/>
  <c r="D75" i="2"/>
  <c r="C73" i="3" s="1"/>
  <c r="C73" i="4" s="1"/>
  <c r="C75" i="2"/>
  <c r="B75" i="2"/>
  <c r="A75" i="2"/>
  <c r="AG74" i="2"/>
  <c r="AF74" i="2"/>
  <c r="AE74" i="2"/>
  <c r="AD74" i="2"/>
  <c r="AC74" i="2"/>
  <c r="AB74" i="2"/>
  <c r="AA74" i="2"/>
  <c r="Z74" i="2"/>
  <c r="Y72" i="3" s="1"/>
  <c r="Y72" i="4" s="1"/>
  <c r="Y74" i="2"/>
  <c r="X72" i="3" s="1"/>
  <c r="X72" i="4" s="1"/>
  <c r="X74" i="2"/>
  <c r="W74" i="2"/>
  <c r="V74" i="2"/>
  <c r="U74" i="2"/>
  <c r="T74" i="2"/>
  <c r="S74" i="2"/>
  <c r="R74" i="2"/>
  <c r="Q74" i="2"/>
  <c r="P74" i="2"/>
  <c r="O74" i="2"/>
  <c r="N74" i="2"/>
  <c r="M72" i="3" s="1"/>
  <c r="M72" i="4" s="1"/>
  <c r="M74" i="2"/>
  <c r="L72" i="3" s="1"/>
  <c r="L72" i="4" s="1"/>
  <c r="L74" i="2"/>
  <c r="K74" i="2"/>
  <c r="J74" i="2"/>
  <c r="I74" i="2"/>
  <c r="H74" i="2"/>
  <c r="G74" i="2"/>
  <c r="F74" i="2"/>
  <c r="E74" i="2"/>
  <c r="D74" i="2"/>
  <c r="C74" i="2"/>
  <c r="B74" i="2"/>
  <c r="A72" i="3" s="1"/>
  <c r="A72" i="4" s="1"/>
  <c r="A74" i="2"/>
  <c r="AG73" i="2"/>
  <c r="AF73" i="2"/>
  <c r="AE73" i="2"/>
  <c r="AD73" i="2"/>
  <c r="AC73" i="2"/>
  <c r="AB73" i="2"/>
  <c r="AA73" i="2"/>
  <c r="Z73" i="2"/>
  <c r="Y73" i="2"/>
  <c r="X73" i="2"/>
  <c r="W73" i="2"/>
  <c r="V71" i="3" s="1"/>
  <c r="V71" i="4" s="1"/>
  <c r="V73" i="2"/>
  <c r="U71" i="3" s="1"/>
  <c r="U71" i="4" s="1"/>
  <c r="U73" i="2"/>
  <c r="T73" i="2"/>
  <c r="S73" i="2"/>
  <c r="R73" i="2"/>
  <c r="Q73" i="2"/>
  <c r="P73" i="2"/>
  <c r="O73" i="2"/>
  <c r="N73" i="2"/>
  <c r="M73" i="2"/>
  <c r="L73" i="2"/>
  <c r="K73" i="2"/>
  <c r="J71" i="3" s="1"/>
  <c r="J71" i="4" s="1"/>
  <c r="J73" i="2"/>
  <c r="I71" i="3" s="1"/>
  <c r="I71" i="4" s="1"/>
  <c r="I73" i="2"/>
  <c r="H73" i="2"/>
  <c r="G73" i="2"/>
  <c r="F73" i="2"/>
  <c r="E73" i="2"/>
  <c r="D73" i="2"/>
  <c r="C73" i="2"/>
  <c r="B73" i="2"/>
  <c r="A73" i="2"/>
  <c r="AG72" i="2"/>
  <c r="AF72" i="2"/>
  <c r="AE70" i="3" s="1"/>
  <c r="AE70" i="4" s="1"/>
  <c r="AE72" i="2"/>
  <c r="AD70" i="3" s="1"/>
  <c r="AD70" i="4" s="1"/>
  <c r="AD72" i="2"/>
  <c r="AC72" i="2"/>
  <c r="AB72" i="2"/>
  <c r="AA72" i="2"/>
  <c r="Z72" i="2"/>
  <c r="Y72" i="2"/>
  <c r="X72" i="2"/>
  <c r="W72" i="2"/>
  <c r="V72" i="2"/>
  <c r="U72" i="2"/>
  <c r="T72" i="2"/>
  <c r="S70" i="3" s="1"/>
  <c r="S70" i="4" s="1"/>
  <c r="S72" i="2"/>
  <c r="R70" i="3" s="1"/>
  <c r="R70" i="4" s="1"/>
  <c r="R72" i="2"/>
  <c r="Q72" i="2"/>
  <c r="P72" i="2"/>
  <c r="O72" i="2"/>
  <c r="N72" i="2"/>
  <c r="M72" i="2"/>
  <c r="L72" i="2"/>
  <c r="K72" i="2"/>
  <c r="J72" i="2"/>
  <c r="I72" i="2"/>
  <c r="H72" i="2"/>
  <c r="G70" i="3" s="1"/>
  <c r="G70" i="4" s="1"/>
  <c r="G72" i="2"/>
  <c r="F70" i="3" s="1"/>
  <c r="F70" i="4" s="1"/>
  <c r="F72" i="2"/>
  <c r="E72" i="2"/>
  <c r="D72" i="2"/>
  <c r="C72" i="2"/>
  <c r="B72" i="2"/>
  <c r="A72" i="2"/>
  <c r="AG71" i="2"/>
  <c r="AF71" i="2"/>
  <c r="AE71" i="2"/>
  <c r="AD71" i="2"/>
  <c r="AC71" i="2"/>
  <c r="AB69" i="3" s="1"/>
  <c r="AB69" i="4" s="1"/>
  <c r="AB71" i="2"/>
  <c r="AA69" i="3" s="1"/>
  <c r="AA69" i="4" s="1"/>
  <c r="AA71" i="2"/>
  <c r="Z71" i="2"/>
  <c r="Y71" i="2"/>
  <c r="X71" i="2"/>
  <c r="W71" i="2"/>
  <c r="V71" i="2"/>
  <c r="U71" i="2"/>
  <c r="T71" i="2"/>
  <c r="S71" i="2"/>
  <c r="R71" i="2"/>
  <c r="Q71" i="2"/>
  <c r="P69" i="3" s="1"/>
  <c r="P69" i="4" s="1"/>
  <c r="P71" i="2"/>
  <c r="O69" i="3" s="1"/>
  <c r="O69" i="4" s="1"/>
  <c r="O71" i="2"/>
  <c r="N71" i="2"/>
  <c r="M71" i="2"/>
  <c r="L71" i="2"/>
  <c r="K71" i="2"/>
  <c r="J71" i="2"/>
  <c r="I71" i="2"/>
  <c r="H71" i="2"/>
  <c r="G71" i="2"/>
  <c r="F71" i="2"/>
  <c r="E71" i="2"/>
  <c r="D69" i="3" s="1"/>
  <c r="D69" i="4" s="1"/>
  <c r="D71" i="2"/>
  <c r="C69" i="3" s="1"/>
  <c r="C69" i="4" s="1"/>
  <c r="C71" i="2"/>
  <c r="B71" i="2"/>
  <c r="A71" i="2"/>
  <c r="AG70" i="2"/>
  <c r="AF70" i="2"/>
  <c r="AE70" i="2"/>
  <c r="AD70" i="2"/>
  <c r="AC70" i="2"/>
  <c r="AB70" i="2"/>
  <c r="AA70" i="2"/>
  <c r="Z70" i="2"/>
  <c r="Y68" i="3" s="1"/>
  <c r="Y68" i="4" s="1"/>
  <c r="Y70" i="2"/>
  <c r="X68" i="3" s="1"/>
  <c r="X68" i="4" s="1"/>
  <c r="X70" i="2"/>
  <c r="W70" i="2"/>
  <c r="V70" i="2"/>
  <c r="U70" i="2"/>
  <c r="T70" i="2"/>
  <c r="S70" i="2"/>
  <c r="R70" i="2"/>
  <c r="Q70" i="2"/>
  <c r="P70" i="2"/>
  <c r="O70" i="2"/>
  <c r="N70" i="2"/>
  <c r="M68" i="3" s="1"/>
  <c r="M68" i="4" s="1"/>
  <c r="M70" i="2"/>
  <c r="L68" i="3" s="1"/>
  <c r="L68" i="4" s="1"/>
  <c r="L70" i="2"/>
  <c r="K70" i="2"/>
  <c r="J70" i="2"/>
  <c r="I70" i="2"/>
  <c r="H70" i="2"/>
  <c r="G70" i="2"/>
  <c r="F70" i="2"/>
  <c r="E70" i="2"/>
  <c r="D70" i="2"/>
  <c r="C70" i="2"/>
  <c r="B70" i="2"/>
  <c r="A68" i="3" s="1"/>
  <c r="A68" i="4" s="1"/>
  <c r="A70" i="2"/>
  <c r="AG69" i="2"/>
  <c r="AF69" i="2"/>
  <c r="AE69" i="2"/>
  <c r="AD69" i="2"/>
  <c r="AC69" i="2"/>
  <c r="AB69" i="2"/>
  <c r="AA69" i="2"/>
  <c r="Z69" i="2"/>
  <c r="Y69" i="2"/>
  <c r="X69" i="2"/>
  <c r="W69" i="2"/>
  <c r="V67" i="3" s="1"/>
  <c r="V67" i="4" s="1"/>
  <c r="V69" i="2"/>
  <c r="U67" i="3" s="1"/>
  <c r="U67" i="4" s="1"/>
  <c r="U69" i="2"/>
  <c r="T69" i="2"/>
  <c r="S69" i="2"/>
  <c r="R69" i="2"/>
  <c r="Q69" i="2"/>
  <c r="P69" i="2"/>
  <c r="O69" i="2"/>
  <c r="N69" i="2"/>
  <c r="M69" i="2"/>
  <c r="L69" i="2"/>
  <c r="K69" i="2"/>
  <c r="J67" i="3" s="1"/>
  <c r="J67" i="4" s="1"/>
  <c r="J69" i="2"/>
  <c r="I67" i="3" s="1"/>
  <c r="I67" i="4" s="1"/>
  <c r="I69" i="2"/>
  <c r="H69" i="2"/>
  <c r="G69" i="2"/>
  <c r="F69" i="2"/>
  <c r="E69" i="2"/>
  <c r="D69" i="2"/>
  <c r="C69" i="2"/>
  <c r="B69" i="2"/>
  <c r="A69" i="2"/>
  <c r="AG68" i="2"/>
  <c r="AF68" i="2"/>
  <c r="AE66" i="3" s="1"/>
  <c r="AE66" i="4" s="1"/>
  <c r="AE68" i="2"/>
  <c r="AD66" i="3" s="1"/>
  <c r="AD66" i="4" s="1"/>
  <c r="AD68" i="2"/>
  <c r="AC68" i="2"/>
  <c r="AB68" i="2"/>
  <c r="AA68" i="2"/>
  <c r="Z68" i="2"/>
  <c r="Y68" i="2"/>
  <c r="X68" i="2"/>
  <c r="W68" i="2"/>
  <c r="V68" i="2"/>
  <c r="U68" i="2"/>
  <c r="T68" i="2"/>
  <c r="S66" i="3" s="1"/>
  <c r="S66" i="4" s="1"/>
  <c r="S68" i="2"/>
  <c r="R66" i="3" s="1"/>
  <c r="R66" i="4" s="1"/>
  <c r="R68" i="2"/>
  <c r="Q68" i="2"/>
  <c r="P68" i="2"/>
  <c r="O68" i="2"/>
  <c r="N68" i="2"/>
  <c r="M68" i="2"/>
  <c r="L68" i="2"/>
  <c r="K68" i="2"/>
  <c r="J68" i="2"/>
  <c r="I68" i="2"/>
  <c r="H68" i="2"/>
  <c r="G66" i="3" s="1"/>
  <c r="G66" i="4" s="1"/>
  <c r="G68" i="2"/>
  <c r="F66" i="3" s="1"/>
  <c r="F66" i="4" s="1"/>
  <c r="F68" i="2"/>
  <c r="E68" i="2"/>
  <c r="D68" i="2"/>
  <c r="C68" i="2"/>
  <c r="B68" i="2"/>
  <c r="A68" i="2"/>
  <c r="AG67" i="2"/>
  <c r="AF67" i="2"/>
  <c r="AE67" i="2"/>
  <c r="AD67" i="2"/>
  <c r="AC67" i="2"/>
  <c r="AB65" i="3" s="1"/>
  <c r="AB65" i="4" s="1"/>
  <c r="AB67" i="2"/>
  <c r="AA65" i="3" s="1"/>
  <c r="AA65" i="4" s="1"/>
  <c r="AA67" i="2"/>
  <c r="Z67" i="2"/>
  <c r="Y67" i="2"/>
  <c r="X67" i="2"/>
  <c r="W67" i="2"/>
  <c r="V67" i="2"/>
  <c r="U67" i="2"/>
  <c r="T67" i="2"/>
  <c r="S67" i="2"/>
  <c r="R67" i="2"/>
  <c r="Q67" i="2"/>
  <c r="P65" i="3" s="1"/>
  <c r="P65" i="4" s="1"/>
  <c r="P67" i="2"/>
  <c r="O65" i="3" s="1"/>
  <c r="O65" i="4" s="1"/>
  <c r="O67" i="2"/>
  <c r="N67" i="2"/>
  <c r="M67" i="2"/>
  <c r="L67" i="2"/>
  <c r="K67" i="2"/>
  <c r="J67" i="2"/>
  <c r="I67" i="2"/>
  <c r="H67" i="2"/>
  <c r="G67" i="2"/>
  <c r="F67" i="2"/>
  <c r="E67" i="2"/>
  <c r="D65" i="3" s="1"/>
  <c r="D65" i="4" s="1"/>
  <c r="D67" i="2"/>
  <c r="C65" i="3" s="1"/>
  <c r="C65" i="4" s="1"/>
  <c r="C67" i="2"/>
  <c r="B67" i="2"/>
  <c r="A67" i="2"/>
  <c r="AG66" i="2"/>
  <c r="AF66" i="2"/>
  <c r="AE66" i="2"/>
  <c r="AD66" i="2"/>
  <c r="AC66" i="2"/>
  <c r="AB66" i="2"/>
  <c r="AA66" i="2"/>
  <c r="Z66" i="2"/>
  <c r="Y64" i="3" s="1"/>
  <c r="Y64" i="4" s="1"/>
  <c r="Y66" i="2"/>
  <c r="X64" i="3" s="1"/>
  <c r="X64" i="4" s="1"/>
  <c r="X66" i="2"/>
  <c r="W66" i="2"/>
  <c r="V66" i="2"/>
  <c r="U66" i="2"/>
  <c r="T66" i="2"/>
  <c r="S66" i="2"/>
  <c r="R66" i="2"/>
  <c r="Q66" i="2"/>
  <c r="P66" i="2"/>
  <c r="O66" i="2"/>
  <c r="N66" i="2"/>
  <c r="M64" i="3" s="1"/>
  <c r="M64" i="4" s="1"/>
  <c r="M66" i="2"/>
  <c r="L64" i="3" s="1"/>
  <c r="L64" i="4" s="1"/>
  <c r="L66" i="2"/>
  <c r="K66" i="2"/>
  <c r="J66" i="2"/>
  <c r="I66" i="2"/>
  <c r="H66" i="2"/>
  <c r="G66" i="2"/>
  <c r="F66" i="2"/>
  <c r="E66" i="2"/>
  <c r="D66" i="2"/>
  <c r="C66" i="2"/>
  <c r="B66" i="2"/>
  <c r="A64" i="3" s="1"/>
  <c r="A64" i="4" s="1"/>
  <c r="A66" i="2"/>
  <c r="AG65" i="2"/>
  <c r="AF65" i="2"/>
  <c r="AE65" i="2"/>
  <c r="AD65" i="2"/>
  <c r="AC65" i="2"/>
  <c r="AB65" i="2"/>
  <c r="AA65" i="2"/>
  <c r="Z65" i="2"/>
  <c r="Y65" i="2"/>
  <c r="X65" i="2"/>
  <c r="W65" i="2"/>
  <c r="V63" i="3" s="1"/>
  <c r="V63" i="4" s="1"/>
  <c r="V65" i="2"/>
  <c r="U63" i="3" s="1"/>
  <c r="U63" i="4" s="1"/>
  <c r="U65" i="2"/>
  <c r="T65" i="2"/>
  <c r="S65" i="2"/>
  <c r="R65" i="2"/>
  <c r="Q65" i="2"/>
  <c r="P65" i="2"/>
  <c r="O65" i="2"/>
  <c r="N65" i="2"/>
  <c r="M65" i="2"/>
  <c r="L65" i="2"/>
  <c r="K65" i="2"/>
  <c r="J63" i="3" s="1"/>
  <c r="J63" i="4" s="1"/>
  <c r="J65" i="2"/>
  <c r="I63" i="3" s="1"/>
  <c r="I63" i="4" s="1"/>
  <c r="I65" i="2"/>
  <c r="H65" i="2"/>
  <c r="G65" i="2"/>
  <c r="F65" i="2"/>
  <c r="E65" i="2"/>
  <c r="D65" i="2"/>
  <c r="C65" i="2"/>
  <c r="B65" i="2"/>
  <c r="A65" i="2"/>
  <c r="AG64" i="2"/>
  <c r="AF64" i="2"/>
  <c r="AE62" i="3" s="1"/>
  <c r="AE62" i="4" s="1"/>
  <c r="AE64" i="2"/>
  <c r="AD62" i="3" s="1"/>
  <c r="AD62" i="4" s="1"/>
  <c r="AD64" i="2"/>
  <c r="AC64" i="2"/>
  <c r="AB64" i="2"/>
  <c r="AA64" i="2"/>
  <c r="Z64" i="2"/>
  <c r="Y64" i="2"/>
  <c r="X64" i="2"/>
  <c r="W64" i="2"/>
  <c r="V64" i="2"/>
  <c r="U64" i="2"/>
  <c r="T64" i="2"/>
  <c r="S62" i="3" s="1"/>
  <c r="S62" i="4" s="1"/>
  <c r="S64" i="2"/>
  <c r="R62" i="3" s="1"/>
  <c r="R62" i="4" s="1"/>
  <c r="R64" i="2"/>
  <c r="Q64" i="2"/>
  <c r="P64" i="2"/>
  <c r="O64" i="2"/>
  <c r="N64" i="2"/>
  <c r="M64" i="2"/>
  <c r="L64" i="2"/>
  <c r="K64" i="2"/>
  <c r="J64" i="2"/>
  <c r="I64" i="2"/>
  <c r="H64" i="2"/>
  <c r="G62" i="3" s="1"/>
  <c r="G62" i="4" s="1"/>
  <c r="G64" i="2"/>
  <c r="F62" i="3" s="1"/>
  <c r="F62" i="4" s="1"/>
  <c r="F64" i="2"/>
  <c r="E64" i="2"/>
  <c r="D64" i="2"/>
  <c r="C64" i="2"/>
  <c r="B64" i="2"/>
  <c r="A64" i="2"/>
  <c r="AG63" i="2"/>
  <c r="AF63" i="2"/>
  <c r="AE63" i="2"/>
  <c r="AD63" i="2"/>
  <c r="AC63" i="2"/>
  <c r="AB61" i="3" s="1"/>
  <c r="AB61" i="4" s="1"/>
  <c r="AB63" i="2"/>
  <c r="AA61" i="3" s="1"/>
  <c r="AA61" i="4" s="1"/>
  <c r="AA63" i="2"/>
  <c r="Z63" i="2"/>
  <c r="Y63" i="2"/>
  <c r="X63" i="2"/>
  <c r="W63" i="2"/>
  <c r="V63" i="2"/>
  <c r="U63" i="2"/>
  <c r="T63" i="2"/>
  <c r="S63" i="2"/>
  <c r="R63" i="2"/>
  <c r="Q63" i="2"/>
  <c r="P61" i="3" s="1"/>
  <c r="P61" i="4" s="1"/>
  <c r="P63" i="2"/>
  <c r="O61" i="3" s="1"/>
  <c r="O61" i="4" s="1"/>
  <c r="O63" i="2"/>
  <c r="N63" i="2"/>
  <c r="M63" i="2"/>
  <c r="L63" i="2"/>
  <c r="K63" i="2"/>
  <c r="J63" i="2"/>
  <c r="I63" i="2"/>
  <c r="H63" i="2"/>
  <c r="G63" i="2"/>
  <c r="F63" i="2"/>
  <c r="E63" i="2"/>
  <c r="D61" i="3" s="1"/>
  <c r="D61" i="4" s="1"/>
  <c r="D63" i="2"/>
  <c r="C61" i="3" s="1"/>
  <c r="C61" i="4" s="1"/>
  <c r="C63" i="2"/>
  <c r="B63" i="2"/>
  <c r="A63" i="2"/>
  <c r="AG62" i="2"/>
  <c r="AF62" i="2"/>
  <c r="AE62" i="2"/>
  <c r="AD62" i="2"/>
  <c r="AC62" i="2"/>
  <c r="AB62" i="2"/>
  <c r="AA62" i="2"/>
  <c r="Z62" i="2"/>
  <c r="Y60" i="3" s="1"/>
  <c r="Y60" i="4" s="1"/>
  <c r="Y62" i="2"/>
  <c r="X60" i="3" s="1"/>
  <c r="X60" i="4" s="1"/>
  <c r="X62" i="2"/>
  <c r="W62" i="2"/>
  <c r="V62" i="2"/>
  <c r="U62" i="2"/>
  <c r="T62" i="2"/>
  <c r="S62" i="2"/>
  <c r="R62" i="2"/>
  <c r="Q62" i="2"/>
  <c r="P62" i="2"/>
  <c r="O62" i="2"/>
  <c r="N62" i="2"/>
  <c r="M60" i="3" s="1"/>
  <c r="M60" i="4" s="1"/>
  <c r="M62" i="2"/>
  <c r="L60" i="3" s="1"/>
  <c r="L60" i="4" s="1"/>
  <c r="L62" i="2"/>
  <c r="K62" i="2"/>
  <c r="J62" i="2"/>
  <c r="I62" i="2"/>
  <c r="H62" i="2"/>
  <c r="G62" i="2"/>
  <c r="F62" i="2"/>
  <c r="E62" i="2"/>
  <c r="D62" i="2"/>
  <c r="C62" i="2"/>
  <c r="B62" i="2"/>
  <c r="A60" i="3" s="1"/>
  <c r="A60" i="4" s="1"/>
  <c r="A62" i="2"/>
  <c r="AG61" i="2"/>
  <c r="AF61" i="2"/>
  <c r="AE61" i="2"/>
  <c r="AD61" i="2"/>
  <c r="AC61" i="2"/>
  <c r="AB61" i="2"/>
  <c r="AA61" i="2"/>
  <c r="Z61" i="2"/>
  <c r="Y61" i="2"/>
  <c r="X61" i="2"/>
  <c r="W61" i="2"/>
  <c r="V59" i="3" s="1"/>
  <c r="V59" i="4" s="1"/>
  <c r="V61" i="2"/>
  <c r="U59" i="3" s="1"/>
  <c r="U59" i="4" s="1"/>
  <c r="U61" i="2"/>
  <c r="T61" i="2"/>
  <c r="S61" i="2"/>
  <c r="R61" i="2"/>
  <c r="Q61" i="2"/>
  <c r="P61" i="2"/>
  <c r="O61" i="2"/>
  <c r="N61" i="2"/>
  <c r="M61" i="2"/>
  <c r="L61" i="2"/>
  <c r="K61" i="2"/>
  <c r="J59" i="3" s="1"/>
  <c r="J59" i="4" s="1"/>
  <c r="J61" i="2"/>
  <c r="I59" i="3" s="1"/>
  <c r="I59" i="4" s="1"/>
  <c r="I61" i="2"/>
  <c r="H61" i="2"/>
  <c r="G61" i="2"/>
  <c r="F61" i="2"/>
  <c r="E61" i="2"/>
  <c r="D61" i="2"/>
  <c r="C61" i="2"/>
  <c r="B61" i="2"/>
  <c r="A61" i="2"/>
  <c r="AG60" i="2"/>
  <c r="AF60" i="2"/>
  <c r="AE58" i="3" s="1"/>
  <c r="AE58" i="4" s="1"/>
  <c r="AE60" i="2"/>
  <c r="AD58" i="3" s="1"/>
  <c r="AD58" i="4" s="1"/>
  <c r="AD60" i="2"/>
  <c r="AC60" i="2"/>
  <c r="AB60" i="2"/>
  <c r="AA60" i="2"/>
  <c r="Z60" i="2"/>
  <c r="Y60" i="2"/>
  <c r="X60" i="2"/>
  <c r="W60" i="2"/>
  <c r="V60" i="2"/>
  <c r="U60" i="2"/>
  <c r="T60" i="2"/>
  <c r="S58" i="3" s="1"/>
  <c r="S58" i="4" s="1"/>
  <c r="S60" i="2"/>
  <c r="R58" i="3" s="1"/>
  <c r="R58" i="4" s="1"/>
  <c r="R60" i="2"/>
  <c r="Q60" i="2"/>
  <c r="P60" i="2"/>
  <c r="O60" i="2"/>
  <c r="N60" i="2"/>
  <c r="M60" i="2"/>
  <c r="L60" i="2"/>
  <c r="K60" i="2"/>
  <c r="J60" i="2"/>
  <c r="I60" i="2"/>
  <c r="H60" i="2"/>
  <c r="G58" i="3" s="1"/>
  <c r="G58" i="4" s="1"/>
  <c r="G60" i="2"/>
  <c r="F60" i="2"/>
  <c r="E60" i="2"/>
  <c r="D60" i="2"/>
  <c r="C60" i="2"/>
  <c r="B60" i="2"/>
  <c r="A60" i="2"/>
  <c r="AG59" i="2"/>
  <c r="AF59" i="2"/>
  <c r="AE59" i="2"/>
  <c r="AD59" i="2"/>
  <c r="AC59" i="2"/>
  <c r="AB57" i="3" s="1"/>
  <c r="AB57" i="4" s="1"/>
  <c r="AB59" i="2"/>
  <c r="AA59" i="2"/>
  <c r="Z59" i="2"/>
  <c r="Y59" i="2"/>
  <c r="X59" i="2"/>
  <c r="W59" i="2"/>
  <c r="V59" i="2"/>
  <c r="U59" i="2"/>
  <c r="T59" i="2"/>
  <c r="S59" i="2"/>
  <c r="R59" i="2"/>
  <c r="Q59" i="2"/>
  <c r="P57" i="3" s="1"/>
  <c r="P57" i="4" s="1"/>
  <c r="P59" i="2"/>
  <c r="O59" i="2"/>
  <c r="N59" i="2"/>
  <c r="M59" i="2"/>
  <c r="L59" i="2"/>
  <c r="K59" i="2"/>
  <c r="J59" i="2"/>
  <c r="I59" i="2"/>
  <c r="H59" i="2"/>
  <c r="G59" i="2"/>
  <c r="F59" i="2"/>
  <c r="E59" i="2"/>
  <c r="D57" i="3" s="1"/>
  <c r="D57" i="4" s="1"/>
  <c r="D59" i="2"/>
  <c r="C59" i="2"/>
  <c r="B59" i="2"/>
  <c r="A59" i="2"/>
  <c r="AG58" i="2"/>
  <c r="AF58" i="2"/>
  <c r="AE58" i="2"/>
  <c r="AD58" i="2"/>
  <c r="AC58" i="2"/>
  <c r="AB58" i="2"/>
  <c r="AA58" i="2"/>
  <c r="Z58" i="2"/>
  <c r="Y56" i="3" s="1"/>
  <c r="Y56" i="4" s="1"/>
  <c r="Y58" i="2"/>
  <c r="X58" i="2"/>
  <c r="W58" i="2"/>
  <c r="V58" i="2"/>
  <c r="U58" i="2"/>
  <c r="T58" i="2"/>
  <c r="S58" i="2"/>
  <c r="R58" i="2"/>
  <c r="Q58" i="2"/>
  <c r="P58" i="2"/>
  <c r="O58" i="2"/>
  <c r="N58" i="2"/>
  <c r="M56" i="3" s="1"/>
  <c r="M56" i="4" s="1"/>
  <c r="M58" i="2"/>
  <c r="L58" i="2"/>
  <c r="K58" i="2"/>
  <c r="J58" i="2"/>
  <c r="I58" i="2"/>
  <c r="H58" i="2"/>
  <c r="G58" i="2"/>
  <c r="F58" i="2"/>
  <c r="E58" i="2"/>
  <c r="D58" i="2"/>
  <c r="C58" i="2"/>
  <c r="B58" i="2"/>
  <c r="A56" i="3" s="1"/>
  <c r="A56" i="4" s="1"/>
  <c r="A58" i="2"/>
  <c r="AG57" i="2"/>
  <c r="AF57" i="2"/>
  <c r="AE57" i="2"/>
  <c r="AD57" i="2"/>
  <c r="AC57" i="2"/>
  <c r="AB57" i="2"/>
  <c r="AA57" i="2"/>
  <c r="Z57" i="2"/>
  <c r="Y57" i="2"/>
  <c r="X57" i="2"/>
  <c r="W57" i="2"/>
  <c r="V55" i="3" s="1"/>
  <c r="V55" i="4" s="1"/>
  <c r="V57" i="2"/>
  <c r="U57" i="2"/>
  <c r="T57" i="2"/>
  <c r="S57" i="2"/>
  <c r="R57" i="2"/>
  <c r="Q57" i="2"/>
  <c r="P57" i="2"/>
  <c r="O57" i="2"/>
  <c r="N57" i="2"/>
  <c r="M57" i="2"/>
  <c r="L57" i="2"/>
  <c r="K57" i="2"/>
  <c r="J55" i="3" s="1"/>
  <c r="J55" i="4" s="1"/>
  <c r="J57" i="2"/>
  <c r="I57" i="2"/>
  <c r="H57" i="2"/>
  <c r="G57" i="2"/>
  <c r="F57" i="2"/>
  <c r="E57" i="2"/>
  <c r="D57" i="2"/>
  <c r="C57" i="2"/>
  <c r="B57" i="2"/>
  <c r="A57" i="2"/>
  <c r="AG56" i="2"/>
  <c r="AF56" i="2"/>
  <c r="AE54" i="3" s="1"/>
  <c r="AE54" i="4" s="1"/>
  <c r="AE56" i="2"/>
  <c r="AD54" i="3" s="1"/>
  <c r="AD54" i="4" s="1"/>
  <c r="AD56" i="2"/>
  <c r="AC56" i="2"/>
  <c r="AB56" i="2"/>
  <c r="AA56" i="2"/>
  <c r="Z56" i="2"/>
  <c r="Y56" i="2"/>
  <c r="X56" i="2"/>
  <c r="W56" i="2"/>
  <c r="V56" i="2"/>
  <c r="U56" i="2"/>
  <c r="T56" i="2"/>
  <c r="S54" i="3" s="1"/>
  <c r="S54" i="4" s="1"/>
  <c r="S56" i="2"/>
  <c r="R56" i="2"/>
  <c r="Q56" i="2"/>
  <c r="P56" i="2"/>
  <c r="O56" i="2"/>
  <c r="N56" i="2"/>
  <c r="M56" i="2"/>
  <c r="L56" i="2"/>
  <c r="K56" i="2"/>
  <c r="J56" i="2"/>
  <c r="I56" i="2"/>
  <c r="H56" i="2"/>
  <c r="G54" i="3" s="1"/>
  <c r="G54" i="4" s="1"/>
  <c r="G56" i="2"/>
  <c r="F56" i="2"/>
  <c r="E56" i="2"/>
  <c r="D56" i="2"/>
  <c r="C56" i="2"/>
  <c r="B56" i="2"/>
  <c r="A56" i="2"/>
  <c r="AG55" i="2"/>
  <c r="AF55" i="2"/>
  <c r="AE55" i="2"/>
  <c r="AD55" i="2"/>
  <c r="AC55" i="2"/>
  <c r="AB53" i="3" s="1"/>
  <c r="AB53" i="4" s="1"/>
  <c r="AB55" i="2"/>
  <c r="AA55" i="2"/>
  <c r="Z55" i="2"/>
  <c r="Y55" i="2"/>
  <c r="X55" i="2"/>
  <c r="W55" i="2"/>
  <c r="V55" i="2"/>
  <c r="U55" i="2"/>
  <c r="T55" i="2"/>
  <c r="S55" i="2"/>
  <c r="R55" i="2"/>
  <c r="Q55" i="2"/>
  <c r="P53" i="3" s="1"/>
  <c r="P53" i="4" s="1"/>
  <c r="P55" i="2"/>
  <c r="O55" i="2"/>
  <c r="N55" i="2"/>
  <c r="M55" i="2"/>
  <c r="L55" i="2"/>
  <c r="K55" i="2"/>
  <c r="J55" i="2"/>
  <c r="I55" i="2"/>
  <c r="H55" i="2"/>
  <c r="G55" i="2"/>
  <c r="F55" i="2"/>
  <c r="E55" i="2"/>
  <c r="D53" i="3" s="1"/>
  <c r="D53" i="4" s="1"/>
  <c r="D55" i="2"/>
  <c r="C55" i="2"/>
  <c r="B55" i="2"/>
  <c r="A55" i="2"/>
  <c r="AG54" i="2"/>
  <c r="AF54" i="2"/>
  <c r="AE54" i="2"/>
  <c r="AD54" i="2"/>
  <c r="AC54" i="2"/>
  <c r="AB54" i="2"/>
  <c r="AA54" i="2"/>
  <c r="Z54" i="2"/>
  <c r="Y52" i="3" s="1"/>
  <c r="Y52" i="4" s="1"/>
  <c r="Y54" i="2"/>
  <c r="X54" i="2"/>
  <c r="W54" i="2"/>
  <c r="V54" i="2"/>
  <c r="U54" i="2"/>
  <c r="T54" i="2"/>
  <c r="S54" i="2"/>
  <c r="R54" i="2"/>
  <c r="Q54" i="2"/>
  <c r="P54" i="2"/>
  <c r="O54" i="2"/>
  <c r="N54" i="2"/>
  <c r="M52" i="3" s="1"/>
  <c r="M52" i="4" s="1"/>
  <c r="M54" i="2"/>
  <c r="L54" i="2"/>
  <c r="K54" i="2"/>
  <c r="J54" i="2"/>
  <c r="I54" i="2"/>
  <c r="H54" i="2"/>
  <c r="G54" i="2"/>
  <c r="F54" i="2"/>
  <c r="E54" i="2"/>
  <c r="D54" i="2"/>
  <c r="C54" i="2"/>
  <c r="B54" i="2"/>
  <c r="A52" i="3" s="1"/>
  <c r="A52" i="4" s="1"/>
  <c r="A54" i="2"/>
  <c r="AG53" i="2"/>
  <c r="AF53" i="2"/>
  <c r="AE53" i="2"/>
  <c r="AD53" i="2"/>
  <c r="AC53" i="2"/>
  <c r="AB53" i="2"/>
  <c r="AA53" i="2"/>
  <c r="Z53" i="2"/>
  <c r="Y53" i="2"/>
  <c r="X53" i="2"/>
  <c r="W53" i="2"/>
  <c r="V51" i="3" s="1"/>
  <c r="V51" i="4" s="1"/>
  <c r="V53" i="2"/>
  <c r="U53" i="2"/>
  <c r="T53" i="2"/>
  <c r="S53" i="2"/>
  <c r="R53" i="2"/>
  <c r="Q53" i="2"/>
  <c r="P53" i="2"/>
  <c r="O53" i="2"/>
  <c r="N53" i="2"/>
  <c r="M53" i="2"/>
  <c r="L53" i="2"/>
  <c r="K53" i="2"/>
  <c r="J51" i="3" s="1"/>
  <c r="J51" i="4" s="1"/>
  <c r="J53" i="2"/>
  <c r="I53" i="2"/>
  <c r="H53" i="2"/>
  <c r="G53" i="2"/>
  <c r="F53" i="2"/>
  <c r="E53" i="2"/>
  <c r="D53" i="2"/>
  <c r="C53" i="2"/>
  <c r="B53" i="2"/>
  <c r="A53" i="2"/>
  <c r="AG52" i="2"/>
  <c r="AF52" i="2"/>
  <c r="AE50" i="3" s="1"/>
  <c r="AE50" i="4" s="1"/>
  <c r="AE52" i="2"/>
  <c r="AD50" i="3" s="1"/>
  <c r="AD50" i="4" s="1"/>
  <c r="AD52" i="2"/>
  <c r="AC52" i="2"/>
  <c r="AB52" i="2"/>
  <c r="AA52" i="2"/>
  <c r="Z52" i="2"/>
  <c r="Y52" i="2"/>
  <c r="X52" i="2"/>
  <c r="W52" i="2"/>
  <c r="V52" i="2"/>
  <c r="U52" i="2"/>
  <c r="T52" i="2"/>
  <c r="S50" i="3" s="1"/>
  <c r="S50" i="4" s="1"/>
  <c r="S52" i="2"/>
  <c r="R52" i="2"/>
  <c r="Q52" i="2"/>
  <c r="P52" i="2"/>
  <c r="O52" i="2"/>
  <c r="N52" i="2"/>
  <c r="M52" i="2"/>
  <c r="L52" i="2"/>
  <c r="K52" i="2"/>
  <c r="J52" i="2"/>
  <c r="I52" i="2"/>
  <c r="H52" i="2"/>
  <c r="G50" i="3" s="1"/>
  <c r="G50" i="4" s="1"/>
  <c r="G52" i="2"/>
  <c r="F52" i="2"/>
  <c r="E52" i="2"/>
  <c r="D52" i="2"/>
  <c r="C52" i="2"/>
  <c r="B52" i="2"/>
  <c r="A52" i="2"/>
  <c r="AG51" i="2"/>
  <c r="AF51" i="2"/>
  <c r="AE51" i="2"/>
  <c r="AD51" i="2"/>
  <c r="AC51" i="2"/>
  <c r="AB49" i="3" s="1"/>
  <c r="AB49" i="4" s="1"/>
  <c r="AB51" i="2"/>
  <c r="AA51" i="2"/>
  <c r="Z51" i="2"/>
  <c r="Y51" i="2"/>
  <c r="X51" i="2"/>
  <c r="W51" i="2"/>
  <c r="V51" i="2"/>
  <c r="U51" i="2"/>
  <c r="T51" i="2"/>
  <c r="S51" i="2"/>
  <c r="R51" i="2"/>
  <c r="Q51" i="2"/>
  <c r="P49" i="3" s="1"/>
  <c r="P49" i="4" s="1"/>
  <c r="P51" i="2"/>
  <c r="O51" i="2"/>
  <c r="N51" i="2"/>
  <c r="M51" i="2"/>
  <c r="L51" i="2"/>
  <c r="K51" i="2"/>
  <c r="J51" i="2"/>
  <c r="I51" i="2"/>
  <c r="H51" i="2"/>
  <c r="G51" i="2"/>
  <c r="F51" i="2"/>
  <c r="E51" i="2"/>
  <c r="D49" i="3" s="1"/>
  <c r="D49" i="4" s="1"/>
  <c r="D51" i="2"/>
  <c r="C51" i="2"/>
  <c r="B51" i="2"/>
  <c r="A51" i="2"/>
  <c r="AG50" i="2"/>
  <c r="AF50" i="2"/>
  <c r="AE50" i="2"/>
  <c r="AD50" i="2"/>
  <c r="AC50" i="2"/>
  <c r="AB50" i="2"/>
  <c r="AA50" i="2"/>
  <c r="Z50" i="2"/>
  <c r="Y48" i="3" s="1"/>
  <c r="Y48" i="4" s="1"/>
  <c r="Y50" i="2"/>
  <c r="X50" i="2"/>
  <c r="W50" i="2"/>
  <c r="V50" i="2"/>
  <c r="U50" i="2"/>
  <c r="T50" i="2"/>
  <c r="S50" i="2"/>
  <c r="R50" i="2"/>
  <c r="Q50" i="2"/>
  <c r="P50" i="2"/>
  <c r="O50" i="2"/>
  <c r="N50" i="2"/>
  <c r="M48" i="3" s="1"/>
  <c r="M48" i="4" s="1"/>
  <c r="M50" i="2"/>
  <c r="L50" i="2"/>
  <c r="K50" i="2"/>
  <c r="J50" i="2"/>
  <c r="I50" i="2"/>
  <c r="H50" i="2"/>
  <c r="G50" i="2"/>
  <c r="F50" i="2"/>
  <c r="E50" i="2"/>
  <c r="D50" i="2"/>
  <c r="C50" i="2"/>
  <c r="B50" i="2"/>
  <c r="A48" i="3" s="1"/>
  <c r="A48" i="4" s="1"/>
  <c r="A50" i="2"/>
  <c r="AG49" i="2"/>
  <c r="AF49" i="2"/>
  <c r="AE49" i="2"/>
  <c r="AD49" i="2"/>
  <c r="AC49" i="2"/>
  <c r="AB49" i="2"/>
  <c r="AA49" i="2"/>
  <c r="Z49" i="2"/>
  <c r="Y49" i="2"/>
  <c r="X49" i="2"/>
  <c r="W49" i="2"/>
  <c r="V47" i="3" s="1"/>
  <c r="V47" i="4" s="1"/>
  <c r="V49" i="2"/>
  <c r="U49" i="2"/>
  <c r="T49" i="2"/>
  <c r="S49" i="2"/>
  <c r="R49" i="2"/>
  <c r="Q49" i="2"/>
  <c r="P49" i="2"/>
  <c r="O49" i="2"/>
  <c r="N49" i="2"/>
  <c r="M49" i="2"/>
  <c r="L49" i="2"/>
  <c r="K49" i="2"/>
  <c r="J47" i="3" s="1"/>
  <c r="J47" i="4" s="1"/>
  <c r="J49" i="2"/>
  <c r="I49" i="2"/>
  <c r="H49" i="2"/>
  <c r="G49" i="2"/>
  <c r="F49" i="2"/>
  <c r="E49" i="2"/>
  <c r="D49" i="2"/>
  <c r="C49" i="2"/>
  <c r="B49" i="2"/>
  <c r="A49" i="2"/>
  <c r="AG48" i="2"/>
  <c r="AF48" i="2"/>
  <c r="AE46" i="3" s="1"/>
  <c r="AE46" i="4" s="1"/>
  <c r="AE48" i="2"/>
  <c r="AD46" i="3" s="1"/>
  <c r="AD46" i="4" s="1"/>
  <c r="AD48" i="2"/>
  <c r="AC48" i="2"/>
  <c r="AB48" i="2"/>
  <c r="AA48" i="2"/>
  <c r="Z48" i="2"/>
  <c r="Y48" i="2"/>
  <c r="X48" i="2"/>
  <c r="W48" i="2"/>
  <c r="V48" i="2"/>
  <c r="U48" i="2"/>
  <c r="T48" i="2"/>
  <c r="S46" i="3" s="1"/>
  <c r="S46" i="4" s="1"/>
  <c r="S48" i="2"/>
  <c r="R48" i="2"/>
  <c r="Q48" i="2"/>
  <c r="P48" i="2"/>
  <c r="O48" i="2"/>
  <c r="N48" i="2"/>
  <c r="M48" i="2"/>
  <c r="L48" i="2"/>
  <c r="K48" i="2"/>
  <c r="J48" i="2"/>
  <c r="I48" i="2"/>
  <c r="H48" i="2"/>
  <c r="G46" i="3" s="1"/>
  <c r="G46" i="4" s="1"/>
  <c r="G48" i="2"/>
  <c r="F48" i="2"/>
  <c r="E48" i="2"/>
  <c r="D48" i="2"/>
  <c r="C48" i="2"/>
  <c r="B48" i="2"/>
  <c r="A48" i="2"/>
  <c r="AG47" i="2"/>
  <c r="AF47" i="2"/>
  <c r="AE47" i="2"/>
  <c r="AD47" i="2"/>
  <c r="AC47" i="2"/>
  <c r="AB45" i="3" s="1"/>
  <c r="AB45" i="4" s="1"/>
  <c r="AB47" i="2"/>
  <c r="AA47" i="2"/>
  <c r="Z47" i="2"/>
  <c r="Y47" i="2"/>
  <c r="X47" i="2"/>
  <c r="W47" i="2"/>
  <c r="V47" i="2"/>
  <c r="U47" i="2"/>
  <c r="T47" i="2"/>
  <c r="S47" i="2"/>
  <c r="R47" i="2"/>
  <c r="Q47" i="2"/>
  <c r="P45" i="3" s="1"/>
  <c r="P45" i="4" s="1"/>
  <c r="P47" i="2"/>
  <c r="O47" i="2"/>
  <c r="N47" i="2"/>
  <c r="M47" i="2"/>
  <c r="L47" i="2"/>
  <c r="K47" i="2"/>
  <c r="J47" i="2"/>
  <c r="I47" i="2"/>
  <c r="H47" i="2"/>
  <c r="G47" i="2"/>
  <c r="F47" i="2"/>
  <c r="E47" i="2"/>
  <c r="D45" i="3" s="1"/>
  <c r="D45" i="4" s="1"/>
  <c r="D47" i="2"/>
  <c r="C47" i="2"/>
  <c r="B47" i="2"/>
  <c r="A47" i="2"/>
  <c r="AG46" i="2"/>
  <c r="AF46" i="2"/>
  <c r="AE46" i="2"/>
  <c r="AD46" i="2"/>
  <c r="AC46" i="2"/>
  <c r="AB46" i="2"/>
  <c r="AA46" i="2"/>
  <c r="Z46" i="2"/>
  <c r="Y44" i="3" s="1"/>
  <c r="Y44" i="4" s="1"/>
  <c r="Y46" i="2"/>
  <c r="X46" i="2"/>
  <c r="W46" i="2"/>
  <c r="V46" i="2"/>
  <c r="U46" i="2"/>
  <c r="T46" i="2"/>
  <c r="S46" i="2"/>
  <c r="R46" i="2"/>
  <c r="Q46" i="2"/>
  <c r="P46" i="2"/>
  <c r="O46" i="2"/>
  <c r="N46" i="2"/>
  <c r="M44" i="3" s="1"/>
  <c r="M44" i="4" s="1"/>
  <c r="M46" i="2"/>
  <c r="L46" i="2"/>
  <c r="K46" i="2"/>
  <c r="J46" i="2"/>
  <c r="I46" i="2"/>
  <c r="H46" i="2"/>
  <c r="G46" i="2"/>
  <c r="F46" i="2"/>
  <c r="E46" i="2"/>
  <c r="D46" i="2"/>
  <c r="C46" i="2"/>
  <c r="B46" i="2"/>
  <c r="A44" i="3" s="1"/>
  <c r="A44" i="4" s="1"/>
  <c r="A46" i="2"/>
  <c r="AG45" i="2"/>
  <c r="AF45" i="2"/>
  <c r="AE45" i="2"/>
  <c r="AD45" i="2"/>
  <c r="AC45" i="2"/>
  <c r="AB45" i="2"/>
  <c r="AA45" i="2"/>
  <c r="Z45" i="2"/>
  <c r="Y45" i="2"/>
  <c r="X45" i="2"/>
  <c r="W45" i="2"/>
  <c r="V43" i="3" s="1"/>
  <c r="V43" i="4" s="1"/>
  <c r="V45" i="2"/>
  <c r="U45" i="2"/>
  <c r="T45" i="2"/>
  <c r="S45" i="2"/>
  <c r="R45" i="2"/>
  <c r="Q45" i="2"/>
  <c r="P45" i="2"/>
  <c r="O45" i="2"/>
  <c r="N45" i="2"/>
  <c r="M45" i="2"/>
  <c r="L45" i="2"/>
  <c r="K45" i="2"/>
  <c r="J43" i="3" s="1"/>
  <c r="J43" i="4" s="1"/>
  <c r="J45" i="2"/>
  <c r="I45" i="2"/>
  <c r="H45" i="2"/>
  <c r="G45" i="2"/>
  <c r="F45" i="2"/>
  <c r="E45" i="2"/>
  <c r="D45" i="2"/>
  <c r="C45" i="2"/>
  <c r="B45" i="2"/>
  <c r="A45" i="2"/>
  <c r="AG44" i="2"/>
  <c r="AF44" i="2"/>
  <c r="AE42" i="3" s="1"/>
  <c r="AE42" i="4" s="1"/>
  <c r="AE44" i="2"/>
  <c r="AD42" i="3" s="1"/>
  <c r="AD42" i="4" s="1"/>
  <c r="AD44" i="2"/>
  <c r="AC44" i="2"/>
  <c r="AB44" i="2"/>
  <c r="AA44" i="2"/>
  <c r="Z44" i="2"/>
  <c r="Y44" i="2"/>
  <c r="X44" i="2"/>
  <c r="W44" i="2"/>
  <c r="V44" i="2"/>
  <c r="U44" i="2"/>
  <c r="T44" i="2"/>
  <c r="S42" i="3" s="1"/>
  <c r="S42" i="4" s="1"/>
  <c r="S44" i="2"/>
  <c r="R44" i="2"/>
  <c r="Q44" i="2"/>
  <c r="P44" i="2"/>
  <c r="O44" i="2"/>
  <c r="N44" i="2"/>
  <c r="M44" i="2"/>
  <c r="L44" i="2"/>
  <c r="K44" i="2"/>
  <c r="J44" i="2"/>
  <c r="I44" i="2"/>
  <c r="H44" i="2"/>
  <c r="G42" i="3" s="1"/>
  <c r="G42" i="4" s="1"/>
  <c r="G44" i="2"/>
  <c r="F44" i="2"/>
  <c r="E44" i="2"/>
  <c r="D44" i="2"/>
  <c r="C44" i="2"/>
  <c r="B44" i="2"/>
  <c r="A44" i="2"/>
  <c r="AG43" i="2"/>
  <c r="AF43" i="2"/>
  <c r="AE43" i="2"/>
  <c r="AD43" i="2"/>
  <c r="AC43" i="2"/>
  <c r="AB41" i="3" s="1"/>
  <c r="AB41" i="4" s="1"/>
  <c r="AB43" i="2"/>
  <c r="AA43" i="2"/>
  <c r="Z43" i="2"/>
  <c r="Y43" i="2"/>
  <c r="X43" i="2"/>
  <c r="W43" i="2"/>
  <c r="V43" i="2"/>
  <c r="U43" i="2"/>
  <c r="T43" i="2"/>
  <c r="S43" i="2"/>
  <c r="R43" i="2"/>
  <c r="Q43" i="2"/>
  <c r="P41" i="3" s="1"/>
  <c r="P41" i="4" s="1"/>
  <c r="P43" i="2"/>
  <c r="O43" i="2"/>
  <c r="N43" i="2"/>
  <c r="M43" i="2"/>
  <c r="L43" i="2"/>
  <c r="K43" i="2"/>
  <c r="J43" i="2"/>
  <c r="I43" i="2"/>
  <c r="H43" i="2"/>
  <c r="G43" i="2"/>
  <c r="F43" i="2"/>
  <c r="E43" i="2"/>
  <c r="D41" i="3" s="1"/>
  <c r="D41" i="4" s="1"/>
  <c r="D43" i="2"/>
  <c r="C43" i="2"/>
  <c r="B43" i="2"/>
  <c r="A43" i="2"/>
  <c r="AG42" i="2"/>
  <c r="AF42" i="2"/>
  <c r="AE42" i="2"/>
  <c r="AD42" i="2"/>
  <c r="AC42" i="2"/>
  <c r="AB42" i="2"/>
  <c r="AA42" i="2"/>
  <c r="Z42" i="2"/>
  <c r="Y40" i="3" s="1"/>
  <c r="Y40" i="4" s="1"/>
  <c r="Y42" i="2"/>
  <c r="X42" i="2"/>
  <c r="W42" i="2"/>
  <c r="V42" i="2"/>
  <c r="U42" i="2"/>
  <c r="T42" i="2"/>
  <c r="S42" i="2"/>
  <c r="R42" i="2"/>
  <c r="Q42" i="2"/>
  <c r="P42" i="2"/>
  <c r="O42" i="2"/>
  <c r="N42" i="2"/>
  <c r="M40" i="3" s="1"/>
  <c r="M40" i="4" s="1"/>
  <c r="M42" i="2"/>
  <c r="L42" i="2"/>
  <c r="K42" i="2"/>
  <c r="J42" i="2"/>
  <c r="I42" i="2"/>
  <c r="H42" i="2"/>
  <c r="G42" i="2"/>
  <c r="F42" i="2"/>
  <c r="E42" i="2"/>
  <c r="D42" i="2"/>
  <c r="C42" i="2"/>
  <c r="B42" i="2"/>
  <c r="A40" i="3" s="1"/>
  <c r="A40" i="4" s="1"/>
  <c r="A42" i="2"/>
  <c r="AG41" i="2"/>
  <c r="AF41" i="2"/>
  <c r="AE41" i="2"/>
  <c r="AD41" i="2"/>
  <c r="AC41" i="2"/>
  <c r="AB41" i="2"/>
  <c r="AA41" i="2"/>
  <c r="Z41" i="2"/>
  <c r="Y41" i="2"/>
  <c r="X41" i="2"/>
  <c r="W41" i="2"/>
  <c r="V39" i="3" s="1"/>
  <c r="V39" i="4" s="1"/>
  <c r="V41" i="2"/>
  <c r="U41" i="2"/>
  <c r="T41" i="2"/>
  <c r="S41" i="2"/>
  <c r="R41" i="2"/>
  <c r="Q41" i="2"/>
  <c r="P41" i="2"/>
  <c r="O41" i="2"/>
  <c r="N41" i="2"/>
  <c r="M41" i="2"/>
  <c r="L41" i="2"/>
  <c r="K41" i="2"/>
  <c r="J39" i="3" s="1"/>
  <c r="J39" i="4" s="1"/>
  <c r="J41" i="2"/>
  <c r="I41" i="2"/>
  <c r="H41" i="2"/>
  <c r="G41" i="2"/>
  <c r="F41" i="2"/>
  <c r="E41" i="2"/>
  <c r="D41" i="2"/>
  <c r="C41" i="2"/>
  <c r="B41" i="2"/>
  <c r="A41" i="2"/>
  <c r="AG40" i="2"/>
  <c r="AF40" i="2"/>
  <c r="AE38" i="3" s="1"/>
  <c r="AE38" i="4" s="1"/>
  <c r="AE40" i="2"/>
  <c r="AD38" i="3" s="1"/>
  <c r="AD38" i="4" s="1"/>
  <c r="AD40" i="2"/>
  <c r="AC40" i="2"/>
  <c r="AB40" i="2"/>
  <c r="AA40" i="2"/>
  <c r="Z40" i="2"/>
  <c r="Y40" i="2"/>
  <c r="X40" i="2"/>
  <c r="W40" i="2"/>
  <c r="V40" i="2"/>
  <c r="U40" i="2"/>
  <c r="T40" i="2"/>
  <c r="S38" i="3" s="1"/>
  <c r="S38" i="4" s="1"/>
  <c r="S40" i="2"/>
  <c r="R40" i="2"/>
  <c r="Q40" i="2"/>
  <c r="P40" i="2"/>
  <c r="O40" i="2"/>
  <c r="N40" i="2"/>
  <c r="M40" i="2"/>
  <c r="L40" i="2"/>
  <c r="K40" i="2"/>
  <c r="J40" i="2"/>
  <c r="I40" i="2"/>
  <c r="H40" i="2"/>
  <c r="G38" i="3" s="1"/>
  <c r="G38" i="4" s="1"/>
  <c r="G40" i="2"/>
  <c r="F40" i="2"/>
  <c r="E40" i="2"/>
  <c r="D40" i="2"/>
  <c r="C40" i="2"/>
  <c r="B40" i="2"/>
  <c r="A40" i="2"/>
  <c r="AG39" i="2"/>
  <c r="AF39" i="2"/>
  <c r="AE39" i="2"/>
  <c r="AD39" i="2"/>
  <c r="AC39" i="2"/>
  <c r="AB37" i="3" s="1"/>
  <c r="AB37" i="4" s="1"/>
  <c r="AB39" i="2"/>
  <c r="AA39" i="2"/>
  <c r="Z39" i="2"/>
  <c r="Y39" i="2"/>
  <c r="X39" i="2"/>
  <c r="W39" i="2"/>
  <c r="V39" i="2"/>
  <c r="U39" i="2"/>
  <c r="T39" i="2"/>
  <c r="S39" i="2"/>
  <c r="R39" i="2"/>
  <c r="Q39" i="2"/>
  <c r="P37" i="3" s="1"/>
  <c r="P37" i="4" s="1"/>
  <c r="P39" i="2"/>
  <c r="O39" i="2"/>
  <c r="N39" i="2"/>
  <c r="M39" i="2"/>
  <c r="L39" i="2"/>
  <c r="K39" i="2"/>
  <c r="J39" i="2"/>
  <c r="I39" i="2"/>
  <c r="H39" i="2"/>
  <c r="G39" i="2"/>
  <c r="F39" i="2"/>
  <c r="E39" i="2"/>
  <c r="D37" i="3" s="1"/>
  <c r="D37" i="4" s="1"/>
  <c r="D39" i="2"/>
  <c r="C39" i="2"/>
  <c r="B39" i="2"/>
  <c r="A39" i="2"/>
  <c r="AG38" i="2"/>
  <c r="AF38" i="2"/>
  <c r="AE38" i="2"/>
  <c r="AD38" i="2"/>
  <c r="AC38" i="2"/>
  <c r="AB38" i="2"/>
  <c r="AA38" i="2"/>
  <c r="Z38" i="2"/>
  <c r="Y36" i="3" s="1"/>
  <c r="Y36" i="4" s="1"/>
  <c r="Y38" i="2"/>
  <c r="X38" i="2"/>
  <c r="W38" i="2"/>
  <c r="V38" i="2"/>
  <c r="U38" i="2"/>
  <c r="T38" i="2"/>
  <c r="S38" i="2"/>
  <c r="R38" i="2"/>
  <c r="Q38" i="2"/>
  <c r="P38" i="2"/>
  <c r="O38" i="2"/>
  <c r="N38" i="2"/>
  <c r="M36" i="3" s="1"/>
  <c r="M36" i="4" s="1"/>
  <c r="M38" i="2"/>
  <c r="L38" i="2"/>
  <c r="K38" i="2"/>
  <c r="J38" i="2"/>
  <c r="I38" i="2"/>
  <c r="H38" i="2"/>
  <c r="G38" i="2"/>
  <c r="F38" i="2"/>
  <c r="E38" i="2"/>
  <c r="D38" i="2"/>
  <c r="C38" i="2"/>
  <c r="B38" i="2"/>
  <c r="A36" i="3" s="1"/>
  <c r="A36" i="4" s="1"/>
  <c r="A38" i="2"/>
  <c r="AG37" i="2"/>
  <c r="AF37" i="2"/>
  <c r="AE37" i="2"/>
  <c r="AD37" i="2"/>
  <c r="AC37" i="2"/>
  <c r="AB37" i="2"/>
  <c r="AA37" i="2"/>
  <c r="Z37" i="2"/>
  <c r="Y37" i="2"/>
  <c r="X37" i="2"/>
  <c r="W37" i="2"/>
  <c r="V35" i="3" s="1"/>
  <c r="V35" i="4" s="1"/>
  <c r="V37" i="2"/>
  <c r="U37" i="2"/>
  <c r="T37" i="2"/>
  <c r="S37" i="2"/>
  <c r="R37" i="2"/>
  <c r="Q37" i="2"/>
  <c r="P37" i="2"/>
  <c r="O37" i="2"/>
  <c r="N37" i="2"/>
  <c r="M37" i="2"/>
  <c r="L37" i="2"/>
  <c r="K37" i="2"/>
  <c r="J35" i="3" s="1"/>
  <c r="J35" i="4" s="1"/>
  <c r="J37" i="2"/>
  <c r="I37" i="2"/>
  <c r="H37" i="2"/>
  <c r="G37" i="2"/>
  <c r="F37" i="2"/>
  <c r="E37" i="2"/>
  <c r="D37" i="2"/>
  <c r="C37" i="2"/>
  <c r="B37" i="2"/>
  <c r="A37" i="2"/>
  <c r="AG36" i="2"/>
  <c r="AF36" i="2"/>
  <c r="AE34" i="3" s="1"/>
  <c r="AE34" i="4" s="1"/>
  <c r="AE36" i="2"/>
  <c r="AD34" i="3" s="1"/>
  <c r="AD34" i="4" s="1"/>
  <c r="AD36" i="2"/>
  <c r="AC36" i="2"/>
  <c r="AB36" i="2"/>
  <c r="AA36" i="2"/>
  <c r="Z36" i="2"/>
  <c r="Y36" i="2"/>
  <c r="X36" i="2"/>
  <c r="W36" i="2"/>
  <c r="V36" i="2"/>
  <c r="U36" i="2"/>
  <c r="T36" i="2"/>
  <c r="S34" i="3" s="1"/>
  <c r="S34" i="4" s="1"/>
  <c r="S36" i="2"/>
  <c r="R36" i="2"/>
  <c r="Q36" i="2"/>
  <c r="P36" i="2"/>
  <c r="O36" i="2"/>
  <c r="N36" i="2"/>
  <c r="M36" i="2"/>
  <c r="L36" i="2"/>
  <c r="K36" i="2"/>
  <c r="J36" i="2"/>
  <c r="I36" i="2"/>
  <c r="H36" i="2"/>
  <c r="G34" i="3" s="1"/>
  <c r="G34" i="4" s="1"/>
  <c r="G36" i="2"/>
  <c r="F36" i="2"/>
  <c r="E36" i="2"/>
  <c r="D36" i="2"/>
  <c r="C36" i="2"/>
  <c r="B36" i="2"/>
  <c r="A36" i="2"/>
  <c r="AG35" i="2"/>
  <c r="AF35" i="2"/>
  <c r="AE35" i="2"/>
  <c r="AD35" i="2"/>
  <c r="AC35" i="2"/>
  <c r="AB33" i="3" s="1"/>
  <c r="AB33" i="4" s="1"/>
  <c r="AB35" i="2"/>
  <c r="AA35" i="2"/>
  <c r="Z35" i="2"/>
  <c r="Y35" i="2"/>
  <c r="X35" i="2"/>
  <c r="W35" i="2"/>
  <c r="V35" i="2"/>
  <c r="U35" i="2"/>
  <c r="T35" i="2"/>
  <c r="S35" i="2"/>
  <c r="R35" i="2"/>
  <c r="Q35" i="2"/>
  <c r="P33" i="3" s="1"/>
  <c r="P33" i="4" s="1"/>
  <c r="P35" i="2"/>
  <c r="O35" i="2"/>
  <c r="N35" i="2"/>
  <c r="M35" i="2"/>
  <c r="L35" i="2"/>
  <c r="K35" i="2"/>
  <c r="J35" i="2"/>
  <c r="I35" i="2"/>
  <c r="H35" i="2"/>
  <c r="G35" i="2"/>
  <c r="F35" i="2"/>
  <c r="E35" i="2"/>
  <c r="D33" i="3" s="1"/>
  <c r="D33" i="4" s="1"/>
  <c r="D35" i="2"/>
  <c r="C35" i="2"/>
  <c r="B35" i="2"/>
  <c r="A35" i="2"/>
  <c r="AG34" i="2"/>
  <c r="AF34" i="2"/>
  <c r="AE34" i="2"/>
  <c r="AD34" i="2"/>
  <c r="AC34" i="2"/>
  <c r="AB34" i="2"/>
  <c r="AA34" i="2"/>
  <c r="Z34" i="2"/>
  <c r="Y32" i="3" s="1"/>
  <c r="Y32" i="4" s="1"/>
  <c r="Y34" i="2"/>
  <c r="X34" i="2"/>
  <c r="W34" i="2"/>
  <c r="V34" i="2"/>
  <c r="U34" i="2"/>
  <c r="T34" i="2"/>
  <c r="S34" i="2"/>
  <c r="R34" i="2"/>
  <c r="Q34" i="2"/>
  <c r="P34" i="2"/>
  <c r="O34" i="2"/>
  <c r="N34" i="2"/>
  <c r="M32" i="3" s="1"/>
  <c r="M32" i="4" s="1"/>
  <c r="M34" i="2"/>
  <c r="L34" i="2"/>
  <c r="K34" i="2"/>
  <c r="J34" i="2"/>
  <c r="I34" i="2"/>
  <c r="H34" i="2"/>
  <c r="G34" i="2"/>
  <c r="F34" i="2"/>
  <c r="E34" i="2"/>
  <c r="D34" i="2"/>
  <c r="C34" i="2"/>
  <c r="B34" i="2"/>
  <c r="A32" i="3" s="1"/>
  <c r="A32" i="4" s="1"/>
  <c r="A34" i="2"/>
  <c r="AG33" i="2"/>
  <c r="AF33" i="2"/>
  <c r="AE33" i="2"/>
  <c r="AD33" i="2"/>
  <c r="AC33" i="2"/>
  <c r="AB33" i="2"/>
  <c r="AA33" i="2"/>
  <c r="Z33" i="2"/>
  <c r="Y33" i="2"/>
  <c r="X33" i="2"/>
  <c r="W33" i="2"/>
  <c r="V31" i="3" s="1"/>
  <c r="V31" i="4" s="1"/>
  <c r="V33" i="2"/>
  <c r="U33" i="2"/>
  <c r="T33" i="2"/>
  <c r="S33" i="2"/>
  <c r="R33" i="2"/>
  <c r="Q33" i="2"/>
  <c r="P33" i="2"/>
  <c r="O33" i="2"/>
  <c r="N33" i="2"/>
  <c r="M33" i="2"/>
  <c r="L33" i="2"/>
  <c r="K33" i="2"/>
  <c r="J31" i="3" s="1"/>
  <c r="J31" i="4" s="1"/>
  <c r="J33" i="2"/>
  <c r="I33" i="2"/>
  <c r="H33" i="2"/>
  <c r="G33" i="2"/>
  <c r="F33" i="2"/>
  <c r="E33" i="2"/>
  <c r="D33" i="2"/>
  <c r="C33" i="2"/>
  <c r="B33" i="2"/>
  <c r="A33" i="2"/>
  <c r="AG32" i="2"/>
  <c r="AF32" i="2"/>
  <c r="AE30" i="3" s="1"/>
  <c r="AE30" i="4" s="1"/>
  <c r="AE32" i="2"/>
  <c r="AD30" i="3" s="1"/>
  <c r="AD30" i="4" s="1"/>
  <c r="AD32" i="2"/>
  <c r="AC32" i="2"/>
  <c r="AB32" i="2"/>
  <c r="AA32" i="2"/>
  <c r="Z32" i="2"/>
  <c r="Y32" i="2"/>
  <c r="X32" i="2"/>
  <c r="W32" i="2"/>
  <c r="V32" i="2"/>
  <c r="U32" i="2"/>
  <c r="T32" i="2"/>
  <c r="S30" i="3" s="1"/>
  <c r="S30" i="4" s="1"/>
  <c r="S32" i="2"/>
  <c r="R32" i="2"/>
  <c r="Q32" i="2"/>
  <c r="P32" i="2"/>
  <c r="O32" i="2"/>
  <c r="N32" i="2"/>
  <c r="M32" i="2"/>
  <c r="L32" i="2"/>
  <c r="K32" i="2"/>
  <c r="J32" i="2"/>
  <c r="I32" i="2"/>
  <c r="H32" i="2"/>
  <c r="G30" i="3" s="1"/>
  <c r="G30" i="4" s="1"/>
  <c r="G32" i="2"/>
  <c r="F32" i="2"/>
  <c r="E32" i="2"/>
  <c r="D32" i="2"/>
  <c r="C32" i="2"/>
  <c r="B32" i="2"/>
  <c r="A32" i="2"/>
  <c r="AG31" i="2"/>
  <c r="AF31" i="2"/>
  <c r="AE31" i="2"/>
  <c r="AD31" i="2"/>
  <c r="AC31" i="2"/>
  <c r="AB29" i="3" s="1"/>
  <c r="AB29" i="4" s="1"/>
  <c r="AB31" i="2"/>
  <c r="AA31" i="2"/>
  <c r="Z31" i="2"/>
  <c r="Y31" i="2"/>
  <c r="X31" i="2"/>
  <c r="W31" i="2"/>
  <c r="V31" i="2"/>
  <c r="U31" i="2"/>
  <c r="T31" i="2"/>
  <c r="S31" i="2"/>
  <c r="R31" i="2"/>
  <c r="Q31" i="2"/>
  <c r="P29" i="3" s="1"/>
  <c r="P29" i="4" s="1"/>
  <c r="P31" i="2"/>
  <c r="O31" i="2"/>
  <c r="N31" i="2"/>
  <c r="M31" i="2"/>
  <c r="L31" i="2"/>
  <c r="K31" i="2"/>
  <c r="J31" i="2"/>
  <c r="I31" i="2"/>
  <c r="H31" i="2"/>
  <c r="G31" i="2"/>
  <c r="F31" i="2"/>
  <c r="E31" i="2"/>
  <c r="D29" i="3" s="1"/>
  <c r="D29" i="4" s="1"/>
  <c r="D31" i="2"/>
  <c r="C31" i="2"/>
  <c r="B31" i="2"/>
  <c r="A31" i="2"/>
  <c r="AG30" i="2"/>
  <c r="AF30" i="2"/>
  <c r="AE30" i="2"/>
  <c r="AD30" i="2"/>
  <c r="AC30" i="2"/>
  <c r="AB30" i="2"/>
  <c r="AA30" i="2"/>
  <c r="Z30" i="2"/>
  <c r="Y28" i="3" s="1"/>
  <c r="Y28" i="4" s="1"/>
  <c r="Y30" i="2"/>
  <c r="X30" i="2"/>
  <c r="W30" i="2"/>
  <c r="V30" i="2"/>
  <c r="U30" i="2"/>
  <c r="T30" i="2"/>
  <c r="S30" i="2"/>
  <c r="R30" i="2"/>
  <c r="Q30" i="2"/>
  <c r="P30" i="2"/>
  <c r="O30" i="2"/>
  <c r="N30" i="2"/>
  <c r="M28" i="3" s="1"/>
  <c r="M28" i="4" s="1"/>
  <c r="M30" i="2"/>
  <c r="L30" i="2"/>
  <c r="K30" i="2"/>
  <c r="J30" i="2"/>
  <c r="I30" i="2"/>
  <c r="H30" i="2"/>
  <c r="G30" i="2"/>
  <c r="F30" i="2"/>
  <c r="E30" i="2"/>
  <c r="D30" i="2"/>
  <c r="C30" i="2"/>
  <c r="B30" i="2"/>
  <c r="A28" i="3" s="1"/>
  <c r="A28" i="4" s="1"/>
  <c r="A30" i="2"/>
  <c r="AG29" i="2"/>
  <c r="AF29" i="2"/>
  <c r="AE29" i="2"/>
  <c r="AD29" i="2"/>
  <c r="AC29" i="2"/>
  <c r="AB29" i="2"/>
  <c r="AA29" i="2"/>
  <c r="Z29" i="2"/>
  <c r="Y29" i="2"/>
  <c r="X29" i="2"/>
  <c r="W29" i="2"/>
  <c r="V27" i="3" s="1"/>
  <c r="V27" i="4" s="1"/>
  <c r="V29" i="2"/>
  <c r="U29" i="2"/>
  <c r="T29" i="2"/>
  <c r="S29" i="2"/>
  <c r="R29" i="2"/>
  <c r="Q29" i="2"/>
  <c r="P29" i="2"/>
  <c r="O29" i="2"/>
  <c r="N29" i="2"/>
  <c r="M29" i="2"/>
  <c r="L29" i="2"/>
  <c r="K29" i="2"/>
  <c r="J27" i="3" s="1"/>
  <c r="J27" i="4" s="1"/>
  <c r="J29" i="2"/>
  <c r="I29" i="2"/>
  <c r="H29" i="2"/>
  <c r="G29" i="2"/>
  <c r="F29" i="2"/>
  <c r="E29" i="2"/>
  <c r="D29" i="2"/>
  <c r="C29" i="2"/>
  <c r="B29" i="2"/>
  <c r="A29" i="2"/>
  <c r="AG28" i="2"/>
  <c r="AF28" i="2"/>
  <c r="AE26" i="3" s="1"/>
  <c r="AE26" i="4" s="1"/>
  <c r="AE28" i="2"/>
  <c r="AD26" i="3" s="1"/>
  <c r="AD26" i="4" s="1"/>
  <c r="AD28" i="2"/>
  <c r="AC28" i="2"/>
  <c r="AB28" i="2"/>
  <c r="AA28" i="2"/>
  <c r="Z28" i="2"/>
  <c r="Y28" i="2"/>
  <c r="X28" i="2"/>
  <c r="W28" i="2"/>
  <c r="V28" i="2"/>
  <c r="U28" i="2"/>
  <c r="T28" i="2"/>
  <c r="S26" i="3" s="1"/>
  <c r="S26" i="4" s="1"/>
  <c r="S28" i="2"/>
  <c r="R28" i="2"/>
  <c r="Q28" i="2"/>
  <c r="P28" i="2"/>
  <c r="O28" i="2"/>
  <c r="N28" i="2"/>
  <c r="M28" i="2"/>
  <c r="L28" i="2"/>
  <c r="K28" i="2"/>
  <c r="J28" i="2"/>
  <c r="I28" i="2"/>
  <c r="H28" i="2"/>
  <c r="G26" i="3" s="1"/>
  <c r="G26" i="4" s="1"/>
  <c r="G28" i="2"/>
  <c r="F28" i="2"/>
  <c r="E28" i="2"/>
  <c r="D28" i="2"/>
  <c r="C28" i="2"/>
  <c r="B28" i="2"/>
  <c r="A28" i="2"/>
  <c r="AG27" i="2"/>
  <c r="AF27" i="2"/>
  <c r="AE27" i="2"/>
  <c r="AD27" i="2"/>
  <c r="AC27" i="2"/>
  <c r="AB25" i="3" s="1"/>
  <c r="AB25" i="4" s="1"/>
  <c r="AB27" i="2"/>
  <c r="AA27" i="2"/>
  <c r="Z27" i="2"/>
  <c r="Y27" i="2"/>
  <c r="X27" i="2"/>
  <c r="W27" i="2"/>
  <c r="V27" i="2"/>
  <c r="U27" i="2"/>
  <c r="T27" i="2"/>
  <c r="S27" i="2"/>
  <c r="R27" i="2"/>
  <c r="Q27" i="2"/>
  <c r="P25" i="3" s="1"/>
  <c r="P25" i="4" s="1"/>
  <c r="P27" i="2"/>
  <c r="O27" i="2"/>
  <c r="N27" i="2"/>
  <c r="M27" i="2"/>
  <c r="L27" i="2"/>
  <c r="K27" i="2"/>
  <c r="J27" i="2"/>
  <c r="I27" i="2"/>
  <c r="H27" i="2"/>
  <c r="G27" i="2"/>
  <c r="F27" i="2"/>
  <c r="E27" i="2"/>
  <c r="D25" i="3" s="1"/>
  <c r="D25" i="4" s="1"/>
  <c r="D27" i="2"/>
  <c r="C27" i="2"/>
  <c r="B27" i="2"/>
  <c r="A27" i="2"/>
  <c r="AG26" i="2"/>
  <c r="AF26" i="2"/>
  <c r="AE26" i="2"/>
  <c r="AD26" i="2"/>
  <c r="AC26" i="2"/>
  <c r="AB26" i="2"/>
  <c r="AA26" i="2"/>
  <c r="Z26" i="2"/>
  <c r="Y24" i="3" s="1"/>
  <c r="Y24" i="4" s="1"/>
  <c r="Y26" i="2"/>
  <c r="X26" i="2"/>
  <c r="W26" i="2"/>
  <c r="V26" i="2"/>
  <c r="U26" i="2"/>
  <c r="T26" i="2"/>
  <c r="S26" i="2"/>
  <c r="R26" i="2"/>
  <c r="Q26" i="2"/>
  <c r="P26" i="2"/>
  <c r="O26" i="2"/>
  <c r="N26" i="2"/>
  <c r="M24" i="3" s="1"/>
  <c r="M24" i="4" s="1"/>
  <c r="M26" i="2"/>
  <c r="L26" i="2"/>
  <c r="K26" i="2"/>
  <c r="J26" i="2"/>
  <c r="I26" i="2"/>
  <c r="H26" i="2"/>
  <c r="G26" i="2"/>
  <c r="F26" i="2"/>
  <c r="E26" i="2"/>
  <c r="D26" i="2"/>
  <c r="C26" i="2"/>
  <c r="B26" i="2"/>
  <c r="A24" i="3" s="1"/>
  <c r="A24" i="4" s="1"/>
  <c r="A26" i="2"/>
  <c r="AG25" i="2"/>
  <c r="AF25" i="2"/>
  <c r="AE25" i="2"/>
  <c r="AD25" i="2"/>
  <c r="AC25" i="2"/>
  <c r="AB25" i="2"/>
  <c r="AA25" i="2"/>
  <c r="Z25" i="2"/>
  <c r="Y25" i="2"/>
  <c r="X25" i="2"/>
  <c r="W25" i="2"/>
  <c r="V23" i="3" s="1"/>
  <c r="V23" i="4" s="1"/>
  <c r="V25" i="2"/>
  <c r="U25" i="2"/>
  <c r="T25" i="2"/>
  <c r="S25" i="2"/>
  <c r="R25" i="2"/>
  <c r="Q25" i="2"/>
  <c r="P25" i="2"/>
  <c r="O25" i="2"/>
  <c r="N25" i="2"/>
  <c r="M25" i="2"/>
  <c r="L25" i="2"/>
  <c r="K25" i="2"/>
  <c r="J23" i="3" s="1"/>
  <c r="J23" i="4" s="1"/>
  <c r="J25" i="2"/>
  <c r="I25" i="2"/>
  <c r="H25" i="2"/>
  <c r="G25" i="2"/>
  <c r="F25" i="2"/>
  <c r="E25" i="2"/>
  <c r="D25" i="2"/>
  <c r="C25" i="2"/>
  <c r="B25" i="2"/>
  <c r="A25" i="2"/>
  <c r="AG24" i="2"/>
  <c r="AF24" i="2"/>
  <c r="AE22" i="3" s="1"/>
  <c r="AE22" i="4" s="1"/>
  <c r="AE24" i="2"/>
  <c r="AD22" i="3" s="1"/>
  <c r="AD22" i="4" s="1"/>
  <c r="AD24" i="2"/>
  <c r="AC24" i="2"/>
  <c r="AB24" i="2"/>
  <c r="AA24" i="2"/>
  <c r="Z24" i="2"/>
  <c r="Y24" i="2"/>
  <c r="X24" i="2"/>
  <c r="W24" i="2"/>
  <c r="V24" i="2"/>
  <c r="U24" i="2"/>
  <c r="T24" i="2"/>
  <c r="S22" i="3" s="1"/>
  <c r="S22" i="4" s="1"/>
  <c r="S24" i="2"/>
  <c r="R24" i="2"/>
  <c r="Q24" i="2"/>
  <c r="P24" i="2"/>
  <c r="O24" i="2"/>
  <c r="N24" i="2"/>
  <c r="M24" i="2"/>
  <c r="L24" i="2"/>
  <c r="K24" i="2"/>
  <c r="J24" i="2"/>
  <c r="I24" i="2"/>
  <c r="H24" i="2"/>
  <c r="G22" i="3" s="1"/>
  <c r="G22" i="4" s="1"/>
  <c r="G24" i="2"/>
  <c r="F24" i="2"/>
  <c r="E24" i="2"/>
  <c r="D24" i="2"/>
  <c r="C24" i="2"/>
  <c r="B24" i="2"/>
  <c r="A24" i="2"/>
  <c r="AG23" i="2"/>
  <c r="AF23" i="2"/>
  <c r="AE23" i="2"/>
  <c r="AD23" i="2"/>
  <c r="AC23" i="2"/>
  <c r="AB21" i="3" s="1"/>
  <c r="AB21" i="4" s="1"/>
  <c r="AB23" i="2"/>
  <c r="AA23" i="2"/>
  <c r="Z23" i="2"/>
  <c r="Y23" i="2"/>
  <c r="X23" i="2"/>
  <c r="W23" i="2"/>
  <c r="V23" i="2"/>
  <c r="U23" i="2"/>
  <c r="T23" i="2"/>
  <c r="S23" i="2"/>
  <c r="R23" i="2"/>
  <c r="Q23" i="2"/>
  <c r="P21" i="3" s="1"/>
  <c r="P21" i="4" s="1"/>
  <c r="P23" i="2"/>
  <c r="O23" i="2"/>
  <c r="N23" i="2"/>
  <c r="M23" i="2"/>
  <c r="L23" i="2"/>
  <c r="K23" i="2"/>
  <c r="J23" i="2"/>
  <c r="I23" i="2"/>
  <c r="H23" i="2"/>
  <c r="G23" i="2"/>
  <c r="F23" i="2"/>
  <c r="E23" i="2"/>
  <c r="D21" i="3" s="1"/>
  <c r="D21" i="4" s="1"/>
  <c r="D23" i="2"/>
  <c r="C23" i="2"/>
  <c r="B23" i="2"/>
  <c r="A23" i="2"/>
  <c r="AG22" i="2"/>
  <c r="AF22" i="2"/>
  <c r="AE22" i="2"/>
  <c r="AD22" i="2"/>
  <c r="AC22" i="2"/>
  <c r="AB22" i="2"/>
  <c r="AA22" i="2"/>
  <c r="Z22" i="2"/>
  <c r="Y20" i="3" s="1"/>
  <c r="Y20" i="4" s="1"/>
  <c r="Y22" i="2"/>
  <c r="X22" i="2"/>
  <c r="W22" i="2"/>
  <c r="V22" i="2"/>
  <c r="U22" i="2"/>
  <c r="T22" i="2"/>
  <c r="S22" i="2"/>
  <c r="R22" i="2"/>
  <c r="Q22" i="2"/>
  <c r="P22" i="2"/>
  <c r="O22" i="2"/>
  <c r="N22" i="2"/>
  <c r="M20" i="3" s="1"/>
  <c r="M20" i="4" s="1"/>
  <c r="M22" i="2"/>
  <c r="L22" i="2"/>
  <c r="K22" i="2"/>
  <c r="J22" i="2"/>
  <c r="I22" i="2"/>
  <c r="H22" i="2"/>
  <c r="G22" i="2"/>
  <c r="F22" i="2"/>
  <c r="E22" i="2"/>
  <c r="D22" i="2"/>
  <c r="C22" i="2"/>
  <c r="B22" i="2"/>
  <c r="A20" i="3" s="1"/>
  <c r="A20" i="4" s="1"/>
  <c r="A22" i="2"/>
  <c r="AG21" i="2"/>
  <c r="AF21" i="2"/>
  <c r="AE21" i="2"/>
  <c r="AD21" i="2"/>
  <c r="AC21" i="2"/>
  <c r="AB21" i="2"/>
  <c r="AA21" i="2"/>
  <c r="Z21" i="2"/>
  <c r="Y21" i="2"/>
  <c r="X21" i="2"/>
  <c r="W21" i="2"/>
  <c r="V19" i="3" s="1"/>
  <c r="V19" i="4" s="1"/>
  <c r="V21" i="2"/>
  <c r="U21" i="2"/>
  <c r="T21" i="2"/>
  <c r="S21" i="2"/>
  <c r="R21" i="2"/>
  <c r="Q21" i="2"/>
  <c r="P21" i="2"/>
  <c r="O21" i="2"/>
  <c r="N21" i="2"/>
  <c r="M21" i="2"/>
  <c r="L21" i="2"/>
  <c r="K21" i="2"/>
  <c r="J19" i="3" s="1"/>
  <c r="J19" i="4" s="1"/>
  <c r="J21" i="2"/>
  <c r="I21" i="2"/>
  <c r="H21" i="2"/>
  <c r="G21" i="2"/>
  <c r="F21" i="2"/>
  <c r="E21" i="2"/>
  <c r="D21" i="2"/>
  <c r="C21" i="2"/>
  <c r="B21" i="2"/>
  <c r="A21" i="2"/>
  <c r="AG20" i="2"/>
  <c r="AF20" i="2"/>
  <c r="AE18" i="3" s="1"/>
  <c r="AE18" i="4" s="1"/>
  <c r="AE20" i="2"/>
  <c r="AD18" i="3" s="1"/>
  <c r="AD18" i="4" s="1"/>
  <c r="AD20" i="2"/>
  <c r="AC20" i="2"/>
  <c r="AB20" i="2"/>
  <c r="AA20" i="2"/>
  <c r="Z20" i="2"/>
  <c r="Y20" i="2"/>
  <c r="X20" i="2"/>
  <c r="W20" i="2"/>
  <c r="V20" i="2"/>
  <c r="U20" i="2"/>
  <c r="T20" i="2"/>
  <c r="S18" i="3" s="1"/>
  <c r="S18" i="4" s="1"/>
  <c r="S20" i="2"/>
  <c r="R20" i="2"/>
  <c r="Q20" i="2"/>
  <c r="P20" i="2"/>
  <c r="O20" i="2"/>
  <c r="N20" i="2"/>
  <c r="M20" i="2"/>
  <c r="L20" i="2"/>
  <c r="K20" i="2"/>
  <c r="J20" i="2"/>
  <c r="I20" i="2"/>
  <c r="H20" i="2"/>
  <c r="G18" i="3" s="1"/>
  <c r="G18" i="4" s="1"/>
  <c r="G20" i="2"/>
  <c r="F20" i="2"/>
  <c r="E20" i="2"/>
  <c r="D20" i="2"/>
  <c r="C20" i="2"/>
  <c r="B20" i="2"/>
  <c r="A20" i="2"/>
  <c r="AG19" i="2"/>
  <c r="AF19" i="2"/>
  <c r="AE19" i="2"/>
  <c r="AD19" i="2"/>
  <c r="AC19" i="2"/>
  <c r="AB17" i="3" s="1"/>
  <c r="AB17" i="4" s="1"/>
  <c r="AB19" i="2"/>
  <c r="AA19" i="2"/>
  <c r="Z19" i="2"/>
  <c r="Y19" i="2"/>
  <c r="X19" i="2"/>
  <c r="W19" i="2"/>
  <c r="V19" i="2"/>
  <c r="U19" i="2"/>
  <c r="T19" i="2"/>
  <c r="S19" i="2"/>
  <c r="R19" i="2"/>
  <c r="Q19" i="2"/>
  <c r="P17" i="3" s="1"/>
  <c r="P17" i="4" s="1"/>
  <c r="P19" i="2"/>
  <c r="O19" i="2"/>
  <c r="N19" i="2"/>
  <c r="M19" i="2"/>
  <c r="L19" i="2"/>
  <c r="K19" i="2"/>
  <c r="J19" i="2"/>
  <c r="I19" i="2"/>
  <c r="H19" i="2"/>
  <c r="G19" i="2"/>
  <c r="F19" i="2"/>
  <c r="E19" i="2"/>
  <c r="D17" i="3" s="1"/>
  <c r="D17" i="4" s="1"/>
  <c r="D19" i="2"/>
  <c r="C19" i="2"/>
  <c r="B19" i="2"/>
  <c r="A19" i="2"/>
  <c r="AG18" i="2"/>
  <c r="AF18" i="2"/>
  <c r="AE18" i="2"/>
  <c r="AD18" i="2"/>
  <c r="AC18" i="2"/>
  <c r="AB18" i="2"/>
  <c r="AA18" i="2"/>
  <c r="Z18" i="2"/>
  <c r="Y16" i="3" s="1"/>
  <c r="Y16" i="4" s="1"/>
  <c r="Y18" i="2"/>
  <c r="X18" i="2"/>
  <c r="W18" i="2"/>
  <c r="V18" i="2"/>
  <c r="U18" i="2"/>
  <c r="T18" i="2"/>
  <c r="S18" i="2"/>
  <c r="R18" i="2"/>
  <c r="Q18" i="2"/>
  <c r="P18" i="2"/>
  <c r="O18" i="2"/>
  <c r="N18" i="2"/>
  <c r="M16" i="3" s="1"/>
  <c r="M16" i="4" s="1"/>
  <c r="M18" i="2"/>
  <c r="L18" i="2"/>
  <c r="K18" i="2"/>
  <c r="J18" i="2"/>
  <c r="I18" i="2"/>
  <c r="H18" i="2"/>
  <c r="G18" i="2"/>
  <c r="F18" i="2"/>
  <c r="E18" i="2"/>
  <c r="D18" i="2"/>
  <c r="C18" i="2"/>
  <c r="B18" i="2"/>
  <c r="A16" i="3" s="1"/>
  <c r="A16" i="4" s="1"/>
  <c r="A18" i="2"/>
  <c r="AG17" i="2"/>
  <c r="AF17" i="2"/>
  <c r="AE17" i="2"/>
  <c r="AD17" i="2"/>
  <c r="AC17" i="2"/>
  <c r="AB17" i="2"/>
  <c r="AA17" i="2"/>
  <c r="Z17" i="2"/>
  <c r="Y17" i="2"/>
  <c r="X17" i="2"/>
  <c r="W17" i="2"/>
  <c r="V15" i="3" s="1"/>
  <c r="V15" i="4" s="1"/>
  <c r="V17" i="2"/>
  <c r="U17" i="2"/>
  <c r="T17" i="2"/>
  <c r="S17" i="2"/>
  <c r="R17" i="2"/>
  <c r="Q17" i="2"/>
  <c r="P17" i="2"/>
  <c r="O17" i="2"/>
  <c r="N17" i="2"/>
  <c r="M17" i="2"/>
  <c r="L17" i="2"/>
  <c r="K17" i="2"/>
  <c r="J15" i="3" s="1"/>
  <c r="J15" i="4" s="1"/>
  <c r="J17" i="2"/>
  <c r="I17" i="2"/>
  <c r="H17" i="2"/>
  <c r="G17" i="2"/>
  <c r="F17" i="2"/>
  <c r="E17" i="2"/>
  <c r="D17" i="2"/>
  <c r="C17" i="2"/>
  <c r="B17" i="2"/>
  <c r="A17" i="2"/>
  <c r="AG16" i="2"/>
  <c r="AF16" i="2"/>
  <c r="AE14" i="3" s="1"/>
  <c r="AE14" i="4" s="1"/>
  <c r="AE16" i="2"/>
  <c r="AD14" i="3" s="1"/>
  <c r="AD14" i="4" s="1"/>
  <c r="AD16" i="2"/>
  <c r="AC16" i="2"/>
  <c r="AB16" i="2"/>
  <c r="AA16" i="2"/>
  <c r="Z16" i="2"/>
  <c r="Y16" i="2"/>
  <c r="X16" i="2"/>
  <c r="W16" i="2"/>
  <c r="V16" i="2"/>
  <c r="U16" i="2"/>
  <c r="T16" i="2"/>
  <c r="S14" i="3" s="1"/>
  <c r="S14" i="4" s="1"/>
  <c r="S16" i="2"/>
  <c r="R16" i="2"/>
  <c r="Q16" i="2"/>
  <c r="P16" i="2"/>
  <c r="O16" i="2"/>
  <c r="N16" i="2"/>
  <c r="M16" i="2"/>
  <c r="L16" i="2"/>
  <c r="K16" i="2"/>
  <c r="J16" i="2"/>
  <c r="I16" i="2"/>
  <c r="H16" i="2"/>
  <c r="G14" i="3" s="1"/>
  <c r="G14" i="4" s="1"/>
  <c r="G16" i="2"/>
  <c r="F16" i="2"/>
  <c r="E16" i="2"/>
  <c r="D16" i="2"/>
  <c r="C16" i="2"/>
  <c r="B16" i="2"/>
  <c r="A16" i="2"/>
  <c r="AG15" i="2"/>
  <c r="AF15" i="2"/>
  <c r="AE15" i="2"/>
  <c r="AD15" i="2"/>
  <c r="AC15" i="2"/>
  <c r="AB13" i="3" s="1"/>
  <c r="AB13" i="4" s="1"/>
  <c r="AB15" i="2"/>
  <c r="AA15" i="2"/>
  <c r="Z15" i="2"/>
  <c r="Y15" i="2"/>
  <c r="X15" i="2"/>
  <c r="W15" i="2"/>
  <c r="V15" i="2"/>
  <c r="U15" i="2"/>
  <c r="T15" i="2"/>
  <c r="S15" i="2"/>
  <c r="R15" i="2"/>
  <c r="Q15" i="2"/>
  <c r="P13" i="3" s="1"/>
  <c r="P13" i="4" s="1"/>
  <c r="P15" i="2"/>
  <c r="O15" i="2"/>
  <c r="N15" i="2"/>
  <c r="M15" i="2"/>
  <c r="L15" i="2"/>
  <c r="K15" i="2"/>
  <c r="J15" i="2"/>
  <c r="I15" i="2"/>
  <c r="H15" i="2"/>
  <c r="G15" i="2"/>
  <c r="F15" i="2"/>
  <c r="E15" i="2"/>
  <c r="D13" i="3" s="1"/>
  <c r="D13" i="4" s="1"/>
  <c r="D15" i="2"/>
  <c r="C15" i="2"/>
  <c r="B15" i="2"/>
  <c r="A15" i="2"/>
  <c r="AG14" i="2"/>
  <c r="AF14" i="2"/>
  <c r="AE14" i="2"/>
  <c r="AD14" i="2"/>
  <c r="AC14" i="2"/>
  <c r="AB14" i="2"/>
  <c r="AA14" i="2"/>
  <c r="Z14" i="2"/>
  <c r="Y12" i="3" s="1"/>
  <c r="Y12" i="4" s="1"/>
  <c r="Y14" i="2"/>
  <c r="X14" i="2"/>
  <c r="W14" i="2"/>
  <c r="V14" i="2"/>
  <c r="U14" i="2"/>
  <c r="T14" i="2"/>
  <c r="S14" i="2"/>
  <c r="R14" i="2"/>
  <c r="Q14" i="2"/>
  <c r="P14" i="2"/>
  <c r="O14" i="2"/>
  <c r="N14" i="2"/>
  <c r="M12" i="3" s="1"/>
  <c r="M12" i="4" s="1"/>
  <c r="M14" i="2"/>
  <c r="L14" i="2"/>
  <c r="K14" i="2"/>
  <c r="J14" i="2"/>
  <c r="I14" i="2"/>
  <c r="H14" i="2"/>
  <c r="G14" i="2"/>
  <c r="F14" i="2"/>
  <c r="E14" i="2"/>
  <c r="D14" i="2"/>
  <c r="C14" i="2"/>
  <c r="B14" i="2"/>
  <c r="A12" i="3" s="1"/>
  <c r="A12" i="4" s="1"/>
  <c r="A14" i="2"/>
  <c r="AG13" i="2"/>
  <c r="AF13" i="2"/>
  <c r="AE13" i="2"/>
  <c r="AD13" i="2"/>
  <c r="AC13" i="2"/>
  <c r="AB13" i="2"/>
  <c r="AA13" i="2"/>
  <c r="Z13" i="2"/>
  <c r="Y13" i="2"/>
  <c r="X13" i="2"/>
  <c r="W13" i="2"/>
  <c r="V11" i="3" s="1"/>
  <c r="V11" i="4" s="1"/>
  <c r="V13" i="2"/>
  <c r="U13" i="2"/>
  <c r="T13" i="2"/>
  <c r="S13" i="2"/>
  <c r="R13" i="2"/>
  <c r="Q13" i="2"/>
  <c r="P13" i="2"/>
  <c r="O13" i="2"/>
  <c r="N13" i="2"/>
  <c r="M13" i="2"/>
  <c r="L13" i="2"/>
  <c r="K13" i="2"/>
  <c r="J11" i="3" s="1"/>
  <c r="J11" i="4" s="1"/>
  <c r="J13" i="2"/>
  <c r="I13" i="2"/>
  <c r="H13" i="2"/>
  <c r="G13" i="2"/>
  <c r="F13" i="2"/>
  <c r="E13" i="2"/>
  <c r="D13" i="2"/>
  <c r="C13" i="2"/>
  <c r="B13" i="2"/>
  <c r="A13" i="2"/>
  <c r="AG12" i="2"/>
  <c r="AF12" i="2"/>
  <c r="AE10" i="3" s="1"/>
  <c r="AE10" i="4" s="1"/>
  <c r="AE12" i="2"/>
  <c r="AD10" i="3" s="1"/>
  <c r="AD10" i="4" s="1"/>
  <c r="AD12" i="2"/>
  <c r="AC12" i="2"/>
  <c r="AB12" i="2"/>
  <c r="AA12" i="2"/>
  <c r="Z12" i="2"/>
  <c r="Y12" i="2"/>
  <c r="X12" i="2"/>
  <c r="W12" i="2"/>
  <c r="V12" i="2"/>
  <c r="U12" i="2"/>
  <c r="T12" i="2"/>
  <c r="S10" i="3" s="1"/>
  <c r="S10" i="4" s="1"/>
  <c r="S12" i="2"/>
  <c r="R12" i="2"/>
  <c r="Q12" i="2"/>
  <c r="P12" i="2"/>
  <c r="O12" i="2"/>
  <c r="N12" i="2"/>
  <c r="M12" i="2"/>
  <c r="L12" i="2"/>
  <c r="K12" i="2"/>
  <c r="J12" i="2"/>
  <c r="I12" i="2"/>
  <c r="H12" i="2"/>
  <c r="G10" i="3" s="1"/>
  <c r="G10" i="4" s="1"/>
  <c r="G12" i="2"/>
  <c r="F12" i="2"/>
  <c r="E12" i="2"/>
  <c r="D12" i="2"/>
  <c r="C12" i="2"/>
  <c r="B12" i="2"/>
  <c r="A12" i="2"/>
  <c r="AG11" i="2"/>
  <c r="AF11" i="2"/>
  <c r="AE11" i="2"/>
  <c r="AD11" i="2"/>
  <c r="AC11" i="2"/>
  <c r="AB9" i="3" s="1"/>
  <c r="AB9" i="4" s="1"/>
  <c r="AB11" i="2"/>
  <c r="AA11" i="2"/>
  <c r="Z11" i="2"/>
  <c r="Y11" i="2"/>
  <c r="X11" i="2"/>
  <c r="W11" i="2"/>
  <c r="V11" i="2"/>
  <c r="U11" i="2"/>
  <c r="T11" i="2"/>
  <c r="S11" i="2"/>
  <c r="R11" i="2"/>
  <c r="Q11" i="2"/>
  <c r="P9" i="3" s="1"/>
  <c r="P9" i="4" s="1"/>
  <c r="P11" i="2"/>
  <c r="O11" i="2"/>
  <c r="N11" i="2"/>
  <c r="M11" i="2"/>
  <c r="L11" i="2"/>
  <c r="K11" i="2"/>
  <c r="J11" i="2"/>
  <c r="I11" i="2"/>
  <c r="H11" i="2"/>
  <c r="G11" i="2"/>
  <c r="F11" i="2"/>
  <c r="E11" i="2"/>
  <c r="D9" i="3" s="1"/>
  <c r="D9" i="4" s="1"/>
  <c r="D11" i="2"/>
  <c r="C11" i="2"/>
  <c r="B11" i="2"/>
  <c r="A11" i="2"/>
  <c r="AG10" i="2"/>
  <c r="AF10" i="2"/>
  <c r="AE10" i="2"/>
  <c r="AD10" i="2"/>
  <c r="AC10" i="2"/>
  <c r="AB10" i="2"/>
  <c r="AA10" i="2"/>
  <c r="Z10" i="2"/>
  <c r="Y8" i="3" s="1"/>
  <c r="Y8" i="4" s="1"/>
  <c r="Y10" i="2"/>
  <c r="X10" i="2"/>
  <c r="W10" i="2"/>
  <c r="V10" i="2"/>
  <c r="U10" i="2"/>
  <c r="T10" i="2"/>
  <c r="S10" i="2"/>
  <c r="R10" i="2"/>
  <c r="Q10" i="2"/>
  <c r="P10" i="2"/>
  <c r="O10" i="2"/>
  <c r="N10" i="2"/>
  <c r="M8" i="3" s="1"/>
  <c r="M8" i="4" s="1"/>
  <c r="M10" i="2"/>
  <c r="L10" i="2"/>
  <c r="K10" i="2"/>
  <c r="J10" i="2"/>
  <c r="I10" i="2"/>
  <c r="H10" i="2"/>
  <c r="G10" i="2"/>
  <c r="F10" i="2"/>
  <c r="E10" i="2"/>
  <c r="D10" i="2"/>
  <c r="C10" i="2"/>
  <c r="B10" i="2"/>
  <c r="A8" i="3" s="1"/>
  <c r="A8" i="4" s="1"/>
  <c r="A10" i="2"/>
  <c r="AG9" i="2"/>
  <c r="AF9" i="2"/>
  <c r="AE9" i="2"/>
  <c r="AD9" i="2"/>
  <c r="AC9" i="2"/>
  <c r="AB9" i="2"/>
  <c r="AA9" i="2"/>
  <c r="Z9" i="2"/>
  <c r="Y9" i="2"/>
  <c r="X9" i="2"/>
  <c r="W9" i="2"/>
  <c r="V7" i="3" s="1"/>
  <c r="V7" i="4" s="1"/>
  <c r="V9" i="2"/>
  <c r="U9" i="2"/>
  <c r="T9" i="2"/>
  <c r="S9" i="2"/>
  <c r="R9" i="2"/>
  <c r="Q9" i="2"/>
  <c r="P9" i="2"/>
  <c r="O9" i="2"/>
  <c r="N9" i="2"/>
  <c r="M9" i="2"/>
  <c r="L9" i="2"/>
  <c r="K9" i="2"/>
  <c r="J7" i="3" s="1"/>
  <c r="J7" i="4" s="1"/>
  <c r="J9" i="2"/>
  <c r="I9" i="2"/>
  <c r="H9" i="2"/>
  <c r="G9" i="2"/>
  <c r="F9" i="2"/>
  <c r="E9" i="2"/>
  <c r="D9" i="2"/>
  <c r="C9" i="2"/>
  <c r="B9" i="2"/>
  <c r="A9" i="2"/>
  <c r="AG8" i="2"/>
  <c r="AF8" i="2"/>
  <c r="AE6" i="3" s="1"/>
  <c r="AE6" i="4" s="1"/>
  <c r="AE8" i="2"/>
  <c r="AD6" i="3" s="1"/>
  <c r="AD6" i="4" s="1"/>
  <c r="AD8" i="2"/>
  <c r="AC8" i="2"/>
  <c r="AB8" i="2"/>
  <c r="AA8" i="2"/>
  <c r="Z8" i="2"/>
  <c r="Y8" i="2"/>
  <c r="X8" i="2"/>
  <c r="W8" i="2"/>
  <c r="V8" i="2"/>
  <c r="U8" i="2"/>
  <c r="T8" i="2"/>
  <c r="S6" i="3" s="1"/>
  <c r="S6" i="4" s="1"/>
  <c r="S8" i="2"/>
  <c r="R8" i="2"/>
  <c r="Q8" i="2"/>
  <c r="P8" i="2"/>
  <c r="O8" i="2"/>
  <c r="N8" i="2"/>
  <c r="M8" i="2"/>
  <c r="L8" i="2"/>
  <c r="K8" i="2"/>
  <c r="J8" i="2"/>
  <c r="I8" i="2"/>
  <c r="H8" i="2"/>
  <c r="G6" i="3" s="1"/>
  <c r="G6" i="4" s="1"/>
  <c r="G8" i="2"/>
  <c r="F8" i="2"/>
  <c r="E8" i="2"/>
  <c r="D8" i="2"/>
  <c r="C8" i="2"/>
  <c r="B8" i="2"/>
  <c r="A8" i="2"/>
  <c r="AG7" i="2"/>
  <c r="AF7" i="2"/>
  <c r="AE7" i="2"/>
  <c r="AD7" i="2"/>
  <c r="AC7" i="2"/>
  <c r="AB5" i="3" s="1"/>
  <c r="AB5" i="4" s="1"/>
  <c r="AB7" i="2"/>
  <c r="AA7" i="2"/>
  <c r="Z7" i="2"/>
  <c r="Y7" i="2"/>
  <c r="X7" i="2"/>
  <c r="W7" i="2"/>
  <c r="V7" i="2"/>
  <c r="U7" i="2"/>
  <c r="T7" i="2"/>
  <c r="S7" i="2"/>
  <c r="R7" i="2"/>
  <c r="Q7" i="2"/>
  <c r="P5" i="3" s="1"/>
  <c r="P5" i="4" s="1"/>
  <c r="P7" i="2"/>
  <c r="O7" i="2"/>
  <c r="N7" i="2"/>
  <c r="M7" i="2"/>
  <c r="L7" i="2"/>
  <c r="K7" i="2"/>
  <c r="J7" i="2"/>
  <c r="I7" i="2"/>
  <c r="H7" i="2"/>
  <c r="G7" i="2"/>
  <c r="F7" i="2"/>
  <c r="E7" i="2"/>
  <c r="D5" i="3" s="1"/>
  <c r="D5" i="4" s="1"/>
  <c r="D7" i="2"/>
  <c r="C7" i="2"/>
  <c r="B7" i="2"/>
  <c r="A7" i="2"/>
  <c r="AG6" i="2"/>
  <c r="AF6" i="2"/>
  <c r="AE6" i="2"/>
  <c r="AD6" i="2"/>
  <c r="AC6" i="2"/>
  <c r="AB6" i="2"/>
  <c r="AA6" i="2"/>
  <c r="Z6" i="2"/>
  <c r="Y4" i="3" s="1"/>
  <c r="Y4" i="4" s="1"/>
  <c r="Y6" i="2"/>
  <c r="X6" i="2"/>
  <c r="W6" i="2"/>
  <c r="V6" i="2"/>
  <c r="U6" i="2"/>
  <c r="T6" i="2"/>
  <c r="S6" i="2"/>
  <c r="R6" i="2"/>
  <c r="Q6" i="2"/>
  <c r="P6" i="2"/>
  <c r="O6" i="2"/>
  <c r="N6" i="2"/>
  <c r="M4" i="3" s="1"/>
  <c r="M4" i="4" s="1"/>
  <c r="M6" i="2"/>
  <c r="L6" i="2"/>
  <c r="K6" i="2"/>
  <c r="J6" i="2"/>
  <c r="I6" i="2"/>
  <c r="H6" i="2"/>
  <c r="G6" i="2"/>
  <c r="F6" i="2"/>
  <c r="E6" i="2"/>
  <c r="D6" i="2"/>
  <c r="C6" i="2"/>
  <c r="B6" i="2"/>
  <c r="A4" i="3" s="1"/>
  <c r="A4" i="4" s="1"/>
  <c r="A6" i="2"/>
  <c r="AG5" i="2"/>
  <c r="AF5" i="2"/>
  <c r="AE5" i="2"/>
  <c r="AD5" i="2"/>
  <c r="AC5" i="2"/>
  <c r="AB5" i="2"/>
  <c r="AA5" i="2"/>
  <c r="Z5" i="2"/>
  <c r="Y5" i="2"/>
  <c r="X5" i="2"/>
  <c r="W5" i="2"/>
  <c r="V3" i="3" s="1"/>
  <c r="V3" i="4" s="1"/>
  <c r="V5" i="2"/>
  <c r="U5" i="2"/>
  <c r="T5" i="2"/>
  <c r="S5" i="2"/>
  <c r="R5" i="2"/>
  <c r="Q5" i="2"/>
  <c r="P5" i="2"/>
  <c r="O5" i="2"/>
  <c r="N5" i="2"/>
  <c r="M5" i="2"/>
  <c r="L5" i="2"/>
  <c r="K5" i="2"/>
  <c r="J3" i="3" s="1"/>
  <c r="J3" i="4" s="1"/>
  <c r="J5" i="2"/>
  <c r="I5" i="2"/>
  <c r="H5" i="2"/>
  <c r="G5" i="2"/>
  <c r="F5" i="2"/>
  <c r="E5" i="2"/>
  <c r="D5" i="2"/>
  <c r="C5" i="2"/>
  <c r="B5" i="2"/>
  <c r="A5" i="2"/>
  <c r="AG4" i="2"/>
  <c r="AF4" i="2"/>
  <c r="AE2" i="3" s="1"/>
  <c r="AE2" i="4" s="1"/>
  <c r="AE4" i="2"/>
  <c r="AD2" i="3" s="1"/>
  <c r="AD2" i="4" s="1"/>
  <c r="AD4" i="2"/>
  <c r="AC4" i="2"/>
  <c r="AB4" i="2"/>
  <c r="AA4" i="2"/>
  <c r="Z4" i="2"/>
  <c r="Y4" i="2"/>
  <c r="X4" i="2"/>
  <c r="W4" i="2"/>
  <c r="V4" i="2"/>
  <c r="U4" i="2"/>
  <c r="T4" i="2"/>
  <c r="S2" i="3" s="1"/>
  <c r="S2" i="4" s="1"/>
  <c r="S4" i="2"/>
  <c r="R4" i="2"/>
  <c r="Q4" i="2"/>
  <c r="P4" i="2"/>
  <c r="O4" i="2"/>
  <c r="N4" i="2"/>
  <c r="M4" i="2"/>
  <c r="L4" i="2"/>
  <c r="K4" i="2"/>
  <c r="J4" i="2"/>
  <c r="I4" i="2"/>
  <c r="H4" i="2"/>
  <c r="G2" i="3" s="1"/>
  <c r="G2" i="4" s="1"/>
  <c r="G4" i="2"/>
  <c r="F4" i="2"/>
  <c r="E4" i="2"/>
  <c r="D4" i="2"/>
  <c r="C4" i="2"/>
  <c r="B4" i="2"/>
  <c r="A4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F69" i="3" l="1"/>
  <c r="AF69" i="4" s="1"/>
  <c r="AC72" i="3"/>
  <c r="AC72" i="4" s="1"/>
  <c r="AF73" i="3"/>
  <c r="AF73" i="4" s="1"/>
  <c r="AC76" i="3"/>
  <c r="AC76" i="4" s="1"/>
  <c r="AF77" i="3"/>
  <c r="AF77" i="4" s="1"/>
  <c r="AC80" i="3"/>
  <c r="AC80" i="4" s="1"/>
  <c r="AF81" i="3"/>
  <c r="AF81" i="4" s="1"/>
  <c r="AC84" i="3"/>
  <c r="AC84" i="4" s="1"/>
  <c r="AF85" i="3"/>
  <c r="AF85" i="4" s="1"/>
  <c r="AC88" i="3"/>
  <c r="AC88" i="4" s="1"/>
  <c r="AF89" i="3"/>
  <c r="AF89" i="4" s="1"/>
  <c r="AC92" i="3"/>
  <c r="AC92" i="4" s="1"/>
  <c r="AF93" i="3"/>
  <c r="AF93" i="4" s="1"/>
  <c r="AC96" i="3"/>
  <c r="AC96" i="4" s="1"/>
  <c r="AF97" i="3"/>
  <c r="AF97" i="4" s="1"/>
  <c r="AC100" i="3"/>
  <c r="AC100" i="4" s="1"/>
  <c r="AF101" i="3"/>
  <c r="AF101" i="4" s="1"/>
  <c r="AC104" i="3"/>
  <c r="AC104" i="4" s="1"/>
  <c r="AF105" i="3"/>
  <c r="AF105" i="4" s="1"/>
  <c r="AC108" i="3"/>
  <c r="AC108" i="4" s="1"/>
  <c r="AF109" i="3"/>
  <c r="AF109" i="4" s="1"/>
  <c r="AC112" i="3"/>
  <c r="AC112" i="4" s="1"/>
  <c r="AF113" i="3"/>
  <c r="AF113" i="4" s="1"/>
  <c r="AC116" i="3"/>
  <c r="AC116" i="4" s="1"/>
  <c r="AF117" i="3"/>
  <c r="AF117" i="4" s="1"/>
  <c r="AC120" i="3"/>
  <c r="AC120" i="4" s="1"/>
  <c r="AF121" i="3"/>
  <c r="AF121" i="4" s="1"/>
  <c r="AC124" i="3"/>
  <c r="AC124" i="4" s="1"/>
  <c r="AF125" i="3"/>
  <c r="AF125" i="4" s="1"/>
  <c r="AC128" i="3"/>
  <c r="AC128" i="4" s="1"/>
  <c r="AF129" i="3"/>
  <c r="AF129" i="4" s="1"/>
  <c r="AC132" i="3"/>
  <c r="AC132" i="4" s="1"/>
  <c r="AF133" i="3"/>
  <c r="AF133" i="4" s="1"/>
  <c r="AC136" i="3"/>
  <c r="AC136" i="4" s="1"/>
  <c r="AF137" i="3"/>
  <c r="AF137" i="4" s="1"/>
  <c r="AC140" i="3"/>
  <c r="AC140" i="4" s="1"/>
  <c r="AF141" i="3"/>
  <c r="AF141" i="4" s="1"/>
  <c r="AC144" i="3"/>
  <c r="AC144" i="4" s="1"/>
  <c r="AF145" i="3"/>
  <c r="AF145" i="4" s="1"/>
  <c r="AC148" i="3"/>
  <c r="AC148" i="4" s="1"/>
  <c r="AF149" i="3"/>
  <c r="AF149" i="4" s="1"/>
  <c r="AC152" i="3"/>
  <c r="AC152" i="4" s="1"/>
  <c r="AF153" i="3"/>
  <c r="AF153" i="4" s="1"/>
  <c r="AC156" i="3"/>
  <c r="AC156" i="4" s="1"/>
  <c r="AF157" i="3"/>
  <c r="AF157" i="4" s="1"/>
  <c r="AC160" i="3"/>
  <c r="AC160" i="4" s="1"/>
  <c r="AF161" i="3"/>
  <c r="AF161" i="4" s="1"/>
  <c r="AC164" i="3"/>
  <c r="AC164" i="4" s="1"/>
  <c r="AF165" i="3"/>
  <c r="AF165" i="4" s="1"/>
  <c r="AC168" i="3"/>
  <c r="AC168" i="4" s="1"/>
  <c r="AF169" i="3"/>
  <c r="AF169" i="4" s="1"/>
  <c r="AC172" i="3"/>
  <c r="AC172" i="4" s="1"/>
  <c r="AF173" i="3"/>
  <c r="AF173" i="4" s="1"/>
  <c r="AC176" i="3"/>
  <c r="AC176" i="4" s="1"/>
  <c r="AF177" i="3"/>
  <c r="AF177" i="4" s="1"/>
  <c r="AC180" i="3"/>
  <c r="AC180" i="4" s="1"/>
  <c r="AD4" i="3"/>
  <c r="AD4" i="4" s="1"/>
  <c r="AD8" i="3"/>
  <c r="AD8" i="4" s="1"/>
  <c r="AD12" i="3"/>
  <c r="AD12" i="4" s="1"/>
  <c r="AD16" i="3"/>
  <c r="AD16" i="4" s="1"/>
  <c r="AD20" i="3"/>
  <c r="AD20" i="4" s="1"/>
  <c r="AD24" i="3"/>
  <c r="AD24" i="4" s="1"/>
  <c r="AD28" i="3"/>
  <c r="AD28" i="4" s="1"/>
  <c r="AD32" i="3"/>
  <c r="AD32" i="4" s="1"/>
  <c r="AD36" i="3"/>
  <c r="AD36" i="4" s="1"/>
  <c r="AD40" i="3"/>
  <c r="AD40" i="4" s="1"/>
  <c r="AD44" i="3"/>
  <c r="AD44" i="4" s="1"/>
  <c r="AD48" i="3"/>
  <c r="AD48" i="4" s="1"/>
  <c r="AD52" i="3"/>
  <c r="AD52" i="4" s="1"/>
  <c r="AD56" i="3"/>
  <c r="AD56" i="4" s="1"/>
  <c r="AD60" i="3"/>
  <c r="AD60" i="4" s="1"/>
  <c r="AD64" i="3"/>
  <c r="AD64" i="4" s="1"/>
  <c r="AD68" i="3"/>
  <c r="AD68" i="4" s="1"/>
  <c r="AD72" i="3"/>
  <c r="AD72" i="4" s="1"/>
  <c r="AD76" i="3"/>
  <c r="AD76" i="4" s="1"/>
  <c r="AD80" i="3"/>
  <c r="AD80" i="4" s="1"/>
  <c r="AD84" i="3"/>
  <c r="AD84" i="4" s="1"/>
  <c r="AD88" i="3"/>
  <c r="AD88" i="4" s="1"/>
  <c r="AD92" i="3"/>
  <c r="AD92" i="4" s="1"/>
  <c r="AD96" i="3"/>
  <c r="AD96" i="4" s="1"/>
  <c r="AD100" i="3"/>
  <c r="AD100" i="4" s="1"/>
  <c r="AD104" i="3"/>
  <c r="AD104" i="4" s="1"/>
  <c r="AD108" i="3"/>
  <c r="AD108" i="4" s="1"/>
  <c r="AD112" i="3"/>
  <c r="AD112" i="4" s="1"/>
  <c r="AD116" i="3"/>
  <c r="AD116" i="4" s="1"/>
  <c r="AD120" i="3"/>
  <c r="AD120" i="4" s="1"/>
  <c r="AD124" i="3"/>
  <c r="AD124" i="4" s="1"/>
  <c r="AD128" i="3"/>
  <c r="AD128" i="4" s="1"/>
  <c r="AD132" i="3"/>
  <c r="AD132" i="4" s="1"/>
  <c r="AD136" i="3"/>
  <c r="AD136" i="4" s="1"/>
  <c r="AD140" i="3"/>
  <c r="AD140" i="4" s="1"/>
  <c r="AD144" i="3"/>
  <c r="AD144" i="4" s="1"/>
  <c r="AD148" i="3"/>
  <c r="AD148" i="4" s="1"/>
  <c r="AD152" i="3"/>
  <c r="AD152" i="4" s="1"/>
  <c r="AD156" i="3"/>
  <c r="AD156" i="4" s="1"/>
  <c r="AD160" i="3"/>
  <c r="AD160" i="4" s="1"/>
  <c r="AD164" i="3"/>
  <c r="AD164" i="4" s="1"/>
  <c r="AD168" i="3"/>
  <c r="AD168" i="4" s="1"/>
  <c r="AD172" i="3"/>
  <c r="AD172" i="4" s="1"/>
  <c r="AD176" i="3"/>
  <c r="AD176" i="4" s="1"/>
  <c r="AD180" i="3"/>
  <c r="AD180" i="4" s="1"/>
  <c r="AD184" i="3"/>
  <c r="AD184" i="4" s="1"/>
  <c r="AD188" i="3"/>
  <c r="AD188" i="4" s="1"/>
  <c r="AD192" i="3"/>
  <c r="AD192" i="4" s="1"/>
  <c r="AD196" i="3"/>
  <c r="AD196" i="4" s="1"/>
  <c r="AD200" i="3"/>
  <c r="AD200" i="4" s="1"/>
  <c r="AD204" i="3"/>
  <c r="AD204" i="4" s="1"/>
  <c r="AD208" i="3"/>
  <c r="AD208" i="4" s="1"/>
  <c r="AD212" i="3"/>
  <c r="AD212" i="4" s="1"/>
  <c r="AD216" i="3"/>
  <c r="AD216" i="4" s="1"/>
  <c r="AD220" i="3"/>
  <c r="AD220" i="4" s="1"/>
  <c r="AD224" i="3"/>
  <c r="AD224" i="4" s="1"/>
  <c r="AD228" i="3"/>
  <c r="AD228" i="4" s="1"/>
  <c r="AD232" i="3"/>
  <c r="AD232" i="4" s="1"/>
  <c r="AD236" i="3"/>
  <c r="AD236" i="4" s="1"/>
  <c r="AD240" i="3"/>
  <c r="AD240" i="4" s="1"/>
  <c r="AD244" i="3"/>
  <c r="AD244" i="4" s="1"/>
  <c r="AD248" i="3"/>
  <c r="AD248" i="4" s="1"/>
  <c r="AD252" i="3"/>
  <c r="AD252" i="4" s="1"/>
  <c r="AD256" i="3"/>
  <c r="AD256" i="4" s="1"/>
  <c r="AD260" i="3"/>
  <c r="AD260" i="4" s="1"/>
  <c r="AD264" i="3"/>
  <c r="AD264" i="4" s="1"/>
  <c r="AD268" i="3"/>
  <c r="AD268" i="4" s="1"/>
  <c r="AD272" i="3"/>
  <c r="AD272" i="4" s="1"/>
  <c r="AD276" i="3"/>
  <c r="AD276" i="4" s="1"/>
  <c r="AD280" i="3"/>
  <c r="AD280" i="4" s="1"/>
  <c r="AD284" i="3"/>
  <c r="AD284" i="4" s="1"/>
  <c r="AD288" i="3"/>
  <c r="AD288" i="4" s="1"/>
  <c r="AD292" i="3"/>
  <c r="AD292" i="4" s="1"/>
  <c r="AD296" i="3"/>
  <c r="AD296" i="4" s="1"/>
  <c r="AD300" i="3"/>
  <c r="AD300" i="4" s="1"/>
  <c r="C505" i="3"/>
  <c r="C505" i="4" s="1"/>
  <c r="O505" i="3"/>
  <c r="O505" i="4" s="1"/>
  <c r="AA505" i="3"/>
  <c r="AA505" i="4" s="1"/>
  <c r="F506" i="3"/>
  <c r="F506" i="4" s="1"/>
  <c r="R506" i="3"/>
  <c r="R506" i="4" s="1"/>
  <c r="AD506" i="3"/>
  <c r="AD506" i="4" s="1"/>
  <c r="AD514" i="3"/>
  <c r="AD514" i="4" s="1"/>
  <c r="AD534" i="3"/>
  <c r="AD534" i="4" s="1"/>
  <c r="AD538" i="3"/>
  <c r="AD538" i="4" s="1"/>
  <c r="AD550" i="3"/>
  <c r="AD550" i="4" s="1"/>
  <c r="AD566" i="3"/>
  <c r="AD566" i="4" s="1"/>
  <c r="AD570" i="3"/>
  <c r="AD570" i="4" s="1"/>
  <c r="AD574" i="3"/>
  <c r="AD574" i="4" s="1"/>
  <c r="AD582" i="3"/>
  <c r="AD582" i="4" s="1"/>
  <c r="AD594" i="3"/>
  <c r="AD594" i="4" s="1"/>
  <c r="AD606" i="3"/>
  <c r="AD606" i="4" s="1"/>
  <c r="AD610" i="3"/>
  <c r="AD610" i="4" s="1"/>
  <c r="AD618" i="3"/>
  <c r="AD618" i="4" s="1"/>
  <c r="AD622" i="3"/>
  <c r="AD622" i="4" s="1"/>
  <c r="AD642" i="3"/>
  <c r="AD642" i="4" s="1"/>
  <c r="AD646" i="3"/>
  <c r="AD646" i="4" s="1"/>
  <c r="Y344" i="3"/>
  <c r="Y344" i="4" s="1"/>
  <c r="D345" i="3"/>
  <c r="D345" i="4" s="1"/>
  <c r="P345" i="3"/>
  <c r="P345" i="4" s="1"/>
  <c r="AB345" i="3"/>
  <c r="AB345" i="4" s="1"/>
  <c r="G346" i="3"/>
  <c r="G346" i="4" s="1"/>
  <c r="S346" i="3"/>
  <c r="S346" i="4" s="1"/>
  <c r="AE346" i="3"/>
  <c r="AE346" i="4" s="1"/>
  <c r="J347" i="3"/>
  <c r="J347" i="4" s="1"/>
  <c r="V347" i="3"/>
  <c r="V347" i="4" s="1"/>
  <c r="A348" i="3"/>
  <c r="A348" i="4" s="1"/>
  <c r="M348" i="3"/>
  <c r="M348" i="4" s="1"/>
  <c r="Y348" i="3"/>
  <c r="Y348" i="4" s="1"/>
  <c r="D349" i="3"/>
  <c r="D349" i="4" s="1"/>
  <c r="P349" i="3"/>
  <c r="P349" i="4" s="1"/>
  <c r="AB349" i="3"/>
  <c r="AB349" i="4" s="1"/>
  <c r="G350" i="3"/>
  <c r="G350" i="4" s="1"/>
  <c r="S350" i="3"/>
  <c r="S350" i="4" s="1"/>
  <c r="AE350" i="3"/>
  <c r="AE350" i="4" s="1"/>
  <c r="J351" i="3"/>
  <c r="J351" i="4" s="1"/>
  <c r="V351" i="3"/>
  <c r="V351" i="4" s="1"/>
  <c r="A352" i="3"/>
  <c r="A352" i="4" s="1"/>
  <c r="M352" i="3"/>
  <c r="M352" i="4" s="1"/>
  <c r="Y352" i="3"/>
  <c r="Y352" i="4" s="1"/>
  <c r="D353" i="3"/>
  <c r="D353" i="4" s="1"/>
  <c r="P353" i="3"/>
  <c r="P353" i="4" s="1"/>
  <c r="AB353" i="3"/>
  <c r="AB353" i="4" s="1"/>
  <c r="G354" i="3"/>
  <c r="G354" i="4" s="1"/>
  <c r="S354" i="3"/>
  <c r="S354" i="4" s="1"/>
  <c r="AE354" i="3"/>
  <c r="AE354" i="4" s="1"/>
  <c r="J355" i="3"/>
  <c r="J355" i="4" s="1"/>
  <c r="V355" i="3"/>
  <c r="V355" i="4" s="1"/>
  <c r="A356" i="3"/>
  <c r="A356" i="4" s="1"/>
  <c r="M356" i="3"/>
  <c r="M356" i="4" s="1"/>
  <c r="Y356" i="3"/>
  <c r="Y356" i="4" s="1"/>
  <c r="D357" i="3"/>
  <c r="D357" i="4" s="1"/>
  <c r="P357" i="3"/>
  <c r="P357" i="4" s="1"/>
  <c r="AB357" i="3"/>
  <c r="AB357" i="4" s="1"/>
  <c r="G358" i="3"/>
  <c r="G358" i="4" s="1"/>
  <c r="S358" i="3"/>
  <c r="S358" i="4" s="1"/>
  <c r="AE358" i="3"/>
  <c r="AE358" i="4" s="1"/>
  <c r="J359" i="3"/>
  <c r="J359" i="4" s="1"/>
  <c r="V359" i="3"/>
  <c r="V359" i="4" s="1"/>
  <c r="A360" i="3"/>
  <c r="A360" i="4" s="1"/>
  <c r="M360" i="3"/>
  <c r="M360" i="4" s="1"/>
  <c r="Y360" i="3"/>
  <c r="Y360" i="4" s="1"/>
  <c r="D361" i="3"/>
  <c r="D361" i="4" s="1"/>
  <c r="P361" i="3"/>
  <c r="P361" i="4" s="1"/>
  <c r="AB361" i="3"/>
  <c r="AB361" i="4" s="1"/>
  <c r="G362" i="3"/>
  <c r="G362" i="4" s="1"/>
  <c r="S362" i="3"/>
  <c r="S362" i="4" s="1"/>
  <c r="AE362" i="3"/>
  <c r="AE362" i="4" s="1"/>
  <c r="J363" i="3"/>
  <c r="J363" i="4" s="1"/>
  <c r="V363" i="3"/>
  <c r="V363" i="4" s="1"/>
  <c r="A364" i="3"/>
  <c r="A364" i="4" s="1"/>
  <c r="M364" i="3"/>
  <c r="M364" i="4" s="1"/>
  <c r="Y364" i="3"/>
  <c r="Y364" i="4" s="1"/>
  <c r="D365" i="3"/>
  <c r="D365" i="4" s="1"/>
  <c r="P365" i="3"/>
  <c r="P365" i="4" s="1"/>
  <c r="AB365" i="3"/>
  <c r="AB365" i="4" s="1"/>
  <c r="G366" i="3"/>
  <c r="G366" i="4" s="1"/>
  <c r="S366" i="3"/>
  <c r="S366" i="4" s="1"/>
  <c r="AE366" i="3"/>
  <c r="AE366" i="4" s="1"/>
  <c r="J367" i="3"/>
  <c r="J367" i="4" s="1"/>
  <c r="V367" i="3"/>
  <c r="V367" i="4" s="1"/>
  <c r="A368" i="3"/>
  <c r="A368" i="4" s="1"/>
  <c r="M368" i="3"/>
  <c r="M368" i="4" s="1"/>
  <c r="Y368" i="3"/>
  <c r="Y368" i="4" s="1"/>
  <c r="D369" i="3"/>
  <c r="D369" i="4" s="1"/>
  <c r="P369" i="3"/>
  <c r="P369" i="4" s="1"/>
  <c r="AB369" i="3"/>
  <c r="AB369" i="4" s="1"/>
  <c r="G370" i="3"/>
  <c r="G370" i="4" s="1"/>
  <c r="S370" i="3"/>
  <c r="S370" i="4" s="1"/>
  <c r="J371" i="3"/>
  <c r="J371" i="4" s="1"/>
  <c r="V371" i="3"/>
  <c r="V371" i="4" s="1"/>
  <c r="A372" i="3"/>
  <c r="A372" i="4" s="1"/>
  <c r="M372" i="3"/>
  <c r="M372" i="4" s="1"/>
  <c r="Y372" i="3"/>
  <c r="Y372" i="4" s="1"/>
  <c r="D373" i="3"/>
  <c r="D373" i="4" s="1"/>
  <c r="P373" i="3"/>
  <c r="P373" i="4" s="1"/>
  <c r="AB373" i="3"/>
  <c r="AB373" i="4" s="1"/>
  <c r="G374" i="3"/>
  <c r="G374" i="4" s="1"/>
  <c r="S374" i="3"/>
  <c r="S374" i="4" s="1"/>
  <c r="AE374" i="3"/>
  <c r="AE374" i="4" s="1"/>
  <c r="L656" i="3"/>
  <c r="L656" i="4" s="1"/>
  <c r="X656" i="3"/>
  <c r="X656" i="4" s="1"/>
  <c r="C657" i="3"/>
  <c r="C657" i="4" s="1"/>
  <c r="O657" i="3"/>
  <c r="O657" i="4" s="1"/>
  <c r="AA657" i="3"/>
  <c r="AA657" i="4" s="1"/>
  <c r="J375" i="3"/>
  <c r="J375" i="4" s="1"/>
  <c r="V375" i="3"/>
  <c r="V375" i="4" s="1"/>
  <c r="A376" i="3"/>
  <c r="A376" i="4" s="1"/>
  <c r="M376" i="3"/>
  <c r="M376" i="4" s="1"/>
  <c r="Y376" i="3"/>
  <c r="Y376" i="4" s="1"/>
  <c r="D377" i="3"/>
  <c r="D377" i="4" s="1"/>
  <c r="P377" i="3"/>
  <c r="P377" i="4" s="1"/>
  <c r="AB377" i="3"/>
  <c r="AB377" i="4" s="1"/>
  <c r="G378" i="3"/>
  <c r="G378" i="4" s="1"/>
  <c r="S378" i="3"/>
  <c r="S378" i="4" s="1"/>
  <c r="AE378" i="3"/>
  <c r="AE378" i="4" s="1"/>
  <c r="J379" i="3"/>
  <c r="J379" i="4" s="1"/>
  <c r="V379" i="3"/>
  <c r="V379" i="4" s="1"/>
  <c r="A380" i="3"/>
  <c r="A380" i="4" s="1"/>
  <c r="M380" i="3"/>
  <c r="M380" i="4" s="1"/>
  <c r="Y380" i="3"/>
  <c r="Y380" i="4" s="1"/>
  <c r="D381" i="3"/>
  <c r="D381" i="4" s="1"/>
  <c r="P381" i="3"/>
  <c r="P381" i="4" s="1"/>
  <c r="AB381" i="3"/>
  <c r="AB381" i="4" s="1"/>
  <c r="G382" i="3"/>
  <c r="G382" i="4" s="1"/>
  <c r="S382" i="3"/>
  <c r="S382" i="4" s="1"/>
  <c r="AE382" i="3"/>
  <c r="AE382" i="4" s="1"/>
  <c r="J383" i="3"/>
  <c r="J383" i="4" s="1"/>
  <c r="V383" i="3"/>
  <c r="V383" i="4" s="1"/>
  <c r="A384" i="3"/>
  <c r="A384" i="4" s="1"/>
  <c r="M384" i="3"/>
  <c r="M384" i="4" s="1"/>
  <c r="Y384" i="3"/>
  <c r="Y384" i="4" s="1"/>
  <c r="D385" i="3"/>
  <c r="D385" i="4" s="1"/>
  <c r="P385" i="3"/>
  <c r="P385" i="4" s="1"/>
  <c r="AB385" i="3"/>
  <c r="AB385" i="4" s="1"/>
  <c r="G386" i="3"/>
  <c r="G386" i="4" s="1"/>
  <c r="S386" i="3"/>
  <c r="S386" i="4" s="1"/>
  <c r="AE386" i="3"/>
  <c r="AE386" i="4" s="1"/>
  <c r="J387" i="3"/>
  <c r="J387" i="4" s="1"/>
  <c r="V387" i="3"/>
  <c r="V387" i="4" s="1"/>
  <c r="A388" i="3"/>
  <c r="A388" i="4" s="1"/>
  <c r="M388" i="3"/>
  <c r="M388" i="4" s="1"/>
  <c r="Y388" i="3"/>
  <c r="Y388" i="4" s="1"/>
  <c r="D389" i="3"/>
  <c r="D389" i="4" s="1"/>
  <c r="P389" i="3"/>
  <c r="P389" i="4" s="1"/>
  <c r="AB389" i="3"/>
  <c r="AB389" i="4" s="1"/>
  <c r="G390" i="3"/>
  <c r="G390" i="4" s="1"/>
  <c r="S390" i="3"/>
  <c r="S390" i="4" s="1"/>
  <c r="J391" i="3"/>
  <c r="J391" i="4" s="1"/>
  <c r="V391" i="3"/>
  <c r="V391" i="4" s="1"/>
  <c r="A392" i="3"/>
  <c r="A392" i="4" s="1"/>
  <c r="M392" i="3"/>
  <c r="M392" i="4" s="1"/>
  <c r="Y392" i="3"/>
  <c r="Y392" i="4" s="1"/>
  <c r="D393" i="3"/>
  <c r="D393" i="4" s="1"/>
  <c r="P393" i="3"/>
  <c r="P393" i="4" s="1"/>
  <c r="AB393" i="3"/>
  <c r="AB393" i="4" s="1"/>
  <c r="G394" i="3"/>
  <c r="G394" i="4" s="1"/>
  <c r="S394" i="3"/>
  <c r="S394" i="4" s="1"/>
  <c r="J395" i="3"/>
  <c r="J395" i="4" s="1"/>
  <c r="V395" i="3"/>
  <c r="V395" i="4" s="1"/>
  <c r="A396" i="3"/>
  <c r="A396" i="4" s="1"/>
  <c r="M396" i="3"/>
  <c r="M396" i="4" s="1"/>
  <c r="Y396" i="3"/>
  <c r="Y396" i="4" s="1"/>
  <c r="D397" i="3"/>
  <c r="D397" i="4" s="1"/>
  <c r="P397" i="3"/>
  <c r="P397" i="4" s="1"/>
  <c r="AB397" i="3"/>
  <c r="AB397" i="4" s="1"/>
  <c r="G398" i="3"/>
  <c r="G398" i="4" s="1"/>
  <c r="S398" i="3"/>
  <c r="S398" i="4" s="1"/>
  <c r="AE398" i="3"/>
  <c r="AE398" i="4" s="1"/>
  <c r="J399" i="3"/>
  <c r="J399" i="4" s="1"/>
  <c r="V399" i="3"/>
  <c r="V399" i="4" s="1"/>
  <c r="A400" i="3"/>
  <c r="A400" i="4" s="1"/>
  <c r="M400" i="3"/>
  <c r="M400" i="4" s="1"/>
  <c r="Y400" i="3"/>
  <c r="Y400" i="4" s="1"/>
  <c r="D401" i="3"/>
  <c r="D401" i="4" s="1"/>
  <c r="P401" i="3"/>
  <c r="P401" i="4" s="1"/>
  <c r="AB401" i="3"/>
  <c r="AB401" i="4" s="1"/>
  <c r="G402" i="3"/>
  <c r="G402" i="4" s="1"/>
  <c r="S402" i="3"/>
  <c r="S402" i="4" s="1"/>
  <c r="AE402" i="3"/>
  <c r="AE402" i="4" s="1"/>
  <c r="J403" i="3"/>
  <c r="J403" i="4" s="1"/>
  <c r="V403" i="3"/>
  <c r="V403" i="4" s="1"/>
  <c r="A404" i="3"/>
  <c r="A404" i="4" s="1"/>
  <c r="M404" i="3"/>
  <c r="M404" i="4" s="1"/>
  <c r="Y404" i="3"/>
  <c r="Y404" i="4" s="1"/>
  <c r="D405" i="3"/>
  <c r="D405" i="4" s="1"/>
  <c r="P405" i="3"/>
  <c r="P405" i="4" s="1"/>
  <c r="AB405" i="3"/>
  <c r="AB405" i="4" s="1"/>
  <c r="G406" i="3"/>
  <c r="G406" i="4" s="1"/>
  <c r="S406" i="3"/>
  <c r="S406" i="4" s="1"/>
  <c r="J407" i="3"/>
  <c r="J407" i="4" s="1"/>
  <c r="V407" i="3"/>
  <c r="V407" i="4" s="1"/>
  <c r="A408" i="3"/>
  <c r="A408" i="4" s="1"/>
  <c r="M408" i="3"/>
  <c r="M408" i="4" s="1"/>
  <c r="Y408" i="3"/>
  <c r="Y408" i="4" s="1"/>
  <c r="D409" i="3"/>
  <c r="D409" i="4" s="1"/>
  <c r="P409" i="3"/>
  <c r="P409" i="4" s="1"/>
  <c r="AB409" i="3"/>
  <c r="AB409" i="4" s="1"/>
  <c r="G410" i="3"/>
  <c r="G410" i="4" s="1"/>
  <c r="S410" i="3"/>
  <c r="S410" i="4" s="1"/>
  <c r="AE410" i="3"/>
  <c r="AE410" i="4" s="1"/>
  <c r="J411" i="3"/>
  <c r="J411" i="4" s="1"/>
  <c r="V411" i="3"/>
  <c r="V411" i="4" s="1"/>
  <c r="A412" i="3"/>
  <c r="A412" i="4" s="1"/>
  <c r="M412" i="3"/>
  <c r="M412" i="4" s="1"/>
  <c r="Y412" i="3"/>
  <c r="Y412" i="4" s="1"/>
  <c r="D413" i="3"/>
  <c r="D413" i="4" s="1"/>
  <c r="P413" i="3"/>
  <c r="P413" i="4" s="1"/>
  <c r="AB413" i="3"/>
  <c r="AB413" i="4" s="1"/>
  <c r="G414" i="3"/>
  <c r="G414" i="4" s="1"/>
  <c r="S414" i="3"/>
  <c r="S414" i="4" s="1"/>
  <c r="J415" i="3"/>
  <c r="J415" i="4" s="1"/>
  <c r="V415" i="3"/>
  <c r="V415" i="4" s="1"/>
  <c r="A416" i="3"/>
  <c r="A416" i="4" s="1"/>
  <c r="M416" i="3"/>
  <c r="M416" i="4" s="1"/>
  <c r="Y416" i="3"/>
  <c r="Y416" i="4" s="1"/>
  <c r="D417" i="3"/>
  <c r="D417" i="4" s="1"/>
  <c r="P417" i="3"/>
  <c r="P417" i="4" s="1"/>
  <c r="AB417" i="3"/>
  <c r="AB417" i="4" s="1"/>
  <c r="G418" i="3"/>
  <c r="G418" i="4" s="1"/>
  <c r="S418" i="3"/>
  <c r="S418" i="4" s="1"/>
  <c r="J419" i="3"/>
  <c r="J419" i="4" s="1"/>
  <c r="V419" i="3"/>
  <c r="V419" i="4" s="1"/>
  <c r="A420" i="3"/>
  <c r="A420" i="4" s="1"/>
  <c r="M420" i="3"/>
  <c r="M420" i="4" s="1"/>
  <c r="Y420" i="3"/>
  <c r="Y420" i="4" s="1"/>
  <c r="D421" i="3"/>
  <c r="D421" i="4" s="1"/>
  <c r="P421" i="3"/>
  <c r="P421" i="4" s="1"/>
  <c r="AB421" i="3"/>
  <c r="AB421" i="4" s="1"/>
  <c r="G422" i="3"/>
  <c r="G422" i="4" s="1"/>
  <c r="S422" i="3"/>
  <c r="S422" i="4" s="1"/>
  <c r="AE422" i="3"/>
  <c r="AE422" i="4" s="1"/>
  <c r="J423" i="3"/>
  <c r="J423" i="4" s="1"/>
  <c r="V423" i="3"/>
  <c r="V423" i="4" s="1"/>
  <c r="A424" i="3"/>
  <c r="A424" i="4" s="1"/>
  <c r="M424" i="3"/>
  <c r="M424" i="4" s="1"/>
  <c r="Y424" i="3"/>
  <c r="Y424" i="4" s="1"/>
  <c r="D425" i="3"/>
  <c r="D425" i="4" s="1"/>
  <c r="P425" i="3"/>
  <c r="P425" i="4" s="1"/>
  <c r="AB425" i="3"/>
  <c r="AB425" i="4" s="1"/>
  <c r="G426" i="3"/>
  <c r="G426" i="4" s="1"/>
  <c r="S426" i="3"/>
  <c r="S426" i="4" s="1"/>
  <c r="J427" i="3"/>
  <c r="J427" i="4" s="1"/>
  <c r="V427" i="3"/>
  <c r="V427" i="4" s="1"/>
  <c r="A428" i="3"/>
  <c r="A428" i="4" s="1"/>
  <c r="M428" i="3"/>
  <c r="M428" i="4" s="1"/>
  <c r="Y428" i="3"/>
  <c r="Y428" i="4" s="1"/>
  <c r="D429" i="3"/>
  <c r="D429" i="4" s="1"/>
  <c r="P429" i="3"/>
  <c r="P429" i="4" s="1"/>
  <c r="AB429" i="3"/>
  <c r="AB429" i="4" s="1"/>
  <c r="G430" i="3"/>
  <c r="G430" i="4" s="1"/>
  <c r="S430" i="3"/>
  <c r="S430" i="4" s="1"/>
  <c r="AE430" i="3"/>
  <c r="AE430" i="4" s="1"/>
  <c r="J431" i="3"/>
  <c r="J431" i="4" s="1"/>
  <c r="V431" i="3"/>
  <c r="V431" i="4" s="1"/>
  <c r="A432" i="3"/>
  <c r="A432" i="4" s="1"/>
  <c r="M432" i="3"/>
  <c r="M432" i="4" s="1"/>
  <c r="Y432" i="3"/>
  <c r="Y432" i="4" s="1"/>
  <c r="D433" i="3"/>
  <c r="D433" i="4" s="1"/>
  <c r="P433" i="3"/>
  <c r="P433" i="4" s="1"/>
  <c r="AB433" i="3"/>
  <c r="AB433" i="4" s="1"/>
  <c r="G434" i="3"/>
  <c r="G434" i="4" s="1"/>
  <c r="S434" i="3"/>
  <c r="S434" i="4" s="1"/>
  <c r="AE434" i="3"/>
  <c r="AE434" i="4" s="1"/>
  <c r="J435" i="3"/>
  <c r="J435" i="4" s="1"/>
  <c r="AD512" i="3"/>
  <c r="AD512" i="4" s="1"/>
  <c r="AD516" i="3"/>
  <c r="AD516" i="4" s="1"/>
  <c r="AD520" i="3"/>
  <c r="AD520" i="4" s="1"/>
  <c r="AD524" i="3"/>
  <c r="AD524" i="4" s="1"/>
  <c r="AD528" i="3"/>
  <c r="AD528" i="4" s="1"/>
  <c r="AD532" i="3"/>
  <c r="AD532" i="4" s="1"/>
  <c r="AD536" i="3"/>
  <c r="AD536" i="4" s="1"/>
  <c r="AD540" i="3"/>
  <c r="AD540" i="4" s="1"/>
  <c r="AD544" i="3"/>
  <c r="AD544" i="4" s="1"/>
  <c r="AD548" i="3"/>
  <c r="AD548" i="4" s="1"/>
  <c r="AD552" i="3"/>
  <c r="AD552" i="4" s="1"/>
  <c r="AD556" i="3"/>
  <c r="AD556" i="4" s="1"/>
  <c r="AD560" i="3"/>
  <c r="AD560" i="4" s="1"/>
  <c r="AD564" i="3"/>
  <c r="AD564" i="4" s="1"/>
  <c r="AD568" i="3"/>
  <c r="AD568" i="4" s="1"/>
  <c r="AD572" i="3"/>
  <c r="AD572" i="4" s="1"/>
  <c r="AD576" i="3"/>
  <c r="AD576" i="4" s="1"/>
  <c r="AD580" i="3"/>
  <c r="AD580" i="4" s="1"/>
  <c r="AD584" i="3"/>
  <c r="AD584" i="4" s="1"/>
  <c r="AD588" i="3"/>
  <c r="AD588" i="4" s="1"/>
  <c r="AD592" i="3"/>
  <c r="AD592" i="4" s="1"/>
  <c r="AD596" i="3"/>
  <c r="AD596" i="4" s="1"/>
  <c r="AD600" i="3"/>
  <c r="AD600" i="4" s="1"/>
  <c r="AD604" i="3"/>
  <c r="AD604" i="4" s="1"/>
  <c r="AD608" i="3"/>
  <c r="AD608" i="4" s="1"/>
  <c r="AD612" i="3"/>
  <c r="AD612" i="4" s="1"/>
  <c r="AD616" i="3"/>
  <c r="AD616" i="4" s="1"/>
  <c r="AD620" i="3"/>
  <c r="AD620" i="4" s="1"/>
  <c r="AD624" i="3"/>
  <c r="AD624" i="4" s="1"/>
  <c r="AD628" i="3"/>
  <c r="AD628" i="4" s="1"/>
  <c r="AD632" i="3"/>
  <c r="AD632" i="4" s="1"/>
  <c r="AD636" i="3"/>
  <c r="AD636" i="4" s="1"/>
  <c r="AD640" i="3"/>
  <c r="AD640" i="4" s="1"/>
  <c r="AD644" i="3"/>
  <c r="AD644" i="4" s="1"/>
  <c r="AD648" i="3"/>
  <c r="AD648" i="4" s="1"/>
  <c r="AD652" i="3"/>
  <c r="AD652" i="4" s="1"/>
  <c r="AD656" i="3"/>
  <c r="AD656" i="4" s="1"/>
  <c r="AD660" i="3"/>
  <c r="AD660" i="4" s="1"/>
  <c r="AD664" i="3"/>
  <c r="AD664" i="4" s="1"/>
  <c r="AD668" i="3"/>
  <c r="AD668" i="4" s="1"/>
  <c r="AD672" i="3"/>
  <c r="AD672" i="4" s="1"/>
  <c r="AD676" i="3"/>
  <c r="AD676" i="4" s="1"/>
  <c r="AD680" i="3"/>
  <c r="AD680" i="4" s="1"/>
  <c r="AD684" i="3"/>
  <c r="AD684" i="4" s="1"/>
  <c r="AD688" i="3"/>
  <c r="AD688" i="4" s="1"/>
  <c r="AD692" i="3"/>
  <c r="AD692" i="4" s="1"/>
  <c r="AD696" i="3"/>
  <c r="AD696" i="4" s="1"/>
  <c r="AD700" i="3"/>
  <c r="AD700" i="4" s="1"/>
  <c r="AD704" i="3"/>
  <c r="AD704" i="4" s="1"/>
  <c r="AD708" i="3"/>
  <c r="AD708" i="4" s="1"/>
  <c r="AD712" i="3"/>
  <c r="AD712" i="4" s="1"/>
  <c r="AD716" i="3"/>
  <c r="AD716" i="4" s="1"/>
  <c r="AD720" i="3"/>
  <c r="AD720" i="4" s="1"/>
  <c r="AD724" i="3"/>
  <c r="AD724" i="4" s="1"/>
  <c r="AD728" i="3"/>
  <c r="AD728" i="4" s="1"/>
  <c r="AD732" i="3"/>
  <c r="AD732" i="4" s="1"/>
  <c r="AD736" i="3"/>
  <c r="AD736" i="4" s="1"/>
  <c r="AD740" i="3"/>
  <c r="AD740" i="4" s="1"/>
  <c r="AD744" i="3"/>
  <c r="AD744" i="4" s="1"/>
  <c r="AD748" i="3"/>
  <c r="AD748" i="4" s="1"/>
  <c r="V435" i="3"/>
  <c r="V435" i="4" s="1"/>
  <c r="A436" i="3"/>
  <c r="A436" i="4" s="1"/>
  <c r="M436" i="3"/>
  <c r="M436" i="4" s="1"/>
  <c r="Y436" i="3"/>
  <c r="Y436" i="4" s="1"/>
  <c r="D437" i="3"/>
  <c r="D437" i="4" s="1"/>
  <c r="P437" i="3"/>
  <c r="P437" i="4" s="1"/>
  <c r="AB437" i="3"/>
  <c r="AB437" i="4" s="1"/>
  <c r="G438" i="3"/>
  <c r="G438" i="4" s="1"/>
  <c r="S438" i="3"/>
  <c r="S438" i="4" s="1"/>
  <c r="AE438" i="3"/>
  <c r="AE438" i="4" s="1"/>
  <c r="J439" i="3"/>
  <c r="J439" i="4" s="1"/>
  <c r="V439" i="3"/>
  <c r="V439" i="4" s="1"/>
  <c r="A440" i="3"/>
  <c r="A440" i="4" s="1"/>
  <c r="M440" i="3"/>
  <c r="M440" i="4" s="1"/>
  <c r="Y440" i="3"/>
  <c r="Y440" i="4" s="1"/>
  <c r="D441" i="3"/>
  <c r="D441" i="4" s="1"/>
  <c r="P441" i="3"/>
  <c r="P441" i="4" s="1"/>
  <c r="AB441" i="3"/>
  <c r="AB441" i="4" s="1"/>
  <c r="G442" i="3"/>
  <c r="G442" i="4" s="1"/>
  <c r="S442" i="3"/>
  <c r="S442" i="4" s="1"/>
  <c r="J443" i="3"/>
  <c r="J443" i="4" s="1"/>
  <c r="V443" i="3"/>
  <c r="V443" i="4" s="1"/>
  <c r="A444" i="3"/>
  <c r="A444" i="4" s="1"/>
  <c r="M444" i="3"/>
  <c r="M444" i="4" s="1"/>
  <c r="Y444" i="3"/>
  <c r="Y444" i="4" s="1"/>
  <c r="D445" i="3"/>
  <c r="D445" i="4" s="1"/>
  <c r="P445" i="3"/>
  <c r="P445" i="4" s="1"/>
  <c r="AB445" i="3"/>
  <c r="AB445" i="4" s="1"/>
  <c r="G446" i="3"/>
  <c r="G446" i="4" s="1"/>
  <c r="S446" i="3"/>
  <c r="S446" i="4" s="1"/>
  <c r="AE446" i="3"/>
  <c r="AE446" i="4" s="1"/>
  <c r="J447" i="3"/>
  <c r="J447" i="4" s="1"/>
  <c r="V447" i="3"/>
  <c r="V447" i="4" s="1"/>
  <c r="A448" i="3"/>
  <c r="A448" i="4" s="1"/>
  <c r="M448" i="3"/>
  <c r="M448" i="4" s="1"/>
  <c r="Y448" i="3"/>
  <c r="Y448" i="4" s="1"/>
  <c r="D449" i="3"/>
  <c r="D449" i="4" s="1"/>
  <c r="P449" i="3"/>
  <c r="P449" i="4" s="1"/>
  <c r="AB449" i="3"/>
  <c r="AB449" i="4" s="1"/>
  <c r="G450" i="3"/>
  <c r="G450" i="4" s="1"/>
  <c r="S450" i="3"/>
  <c r="S450" i="4" s="1"/>
  <c r="AE450" i="3"/>
  <c r="AE450" i="4" s="1"/>
  <c r="J451" i="3"/>
  <c r="J451" i="4" s="1"/>
  <c r="V451" i="3"/>
  <c r="V451" i="4" s="1"/>
  <c r="A452" i="3"/>
  <c r="A452" i="4" s="1"/>
  <c r="M452" i="3"/>
  <c r="M452" i="4" s="1"/>
  <c r="Y452" i="3"/>
  <c r="Y452" i="4" s="1"/>
  <c r="D453" i="3"/>
  <c r="D453" i="4" s="1"/>
  <c r="P453" i="3"/>
  <c r="P453" i="4" s="1"/>
  <c r="AB453" i="3"/>
  <c r="AB453" i="4" s="1"/>
  <c r="G454" i="3"/>
  <c r="G454" i="4" s="1"/>
  <c r="S454" i="3"/>
  <c r="S454" i="4" s="1"/>
  <c r="J455" i="3"/>
  <c r="J455" i="4" s="1"/>
  <c r="V455" i="3"/>
  <c r="V455" i="4" s="1"/>
  <c r="A456" i="3"/>
  <c r="A456" i="4" s="1"/>
  <c r="M456" i="3"/>
  <c r="M456" i="4" s="1"/>
  <c r="Y456" i="3"/>
  <c r="Y456" i="4" s="1"/>
  <c r="D457" i="3"/>
  <c r="D457" i="4" s="1"/>
  <c r="P457" i="3"/>
  <c r="P457" i="4" s="1"/>
  <c r="AB457" i="3"/>
  <c r="AB457" i="4" s="1"/>
  <c r="G458" i="3"/>
  <c r="G458" i="4" s="1"/>
  <c r="S458" i="3"/>
  <c r="S458" i="4" s="1"/>
  <c r="AE458" i="3"/>
  <c r="AE458" i="4" s="1"/>
  <c r="J459" i="3"/>
  <c r="J459" i="4" s="1"/>
  <c r="V459" i="3"/>
  <c r="V459" i="4" s="1"/>
  <c r="A460" i="3"/>
  <c r="A460" i="4" s="1"/>
  <c r="M460" i="3"/>
  <c r="M460" i="4" s="1"/>
  <c r="Y460" i="3"/>
  <c r="Y460" i="4" s="1"/>
  <c r="D461" i="3"/>
  <c r="D461" i="4" s="1"/>
  <c r="P461" i="3"/>
  <c r="P461" i="4" s="1"/>
  <c r="AB461" i="3"/>
  <c r="AB461" i="4" s="1"/>
  <c r="G462" i="3"/>
  <c r="G462" i="4" s="1"/>
  <c r="S462" i="3"/>
  <c r="S462" i="4" s="1"/>
  <c r="AE462" i="3"/>
  <c r="AE462" i="4" s="1"/>
  <c r="J463" i="3"/>
  <c r="J463" i="4" s="1"/>
  <c r="V463" i="3"/>
  <c r="V463" i="4" s="1"/>
  <c r="A464" i="3"/>
  <c r="A464" i="4" s="1"/>
  <c r="M464" i="3"/>
  <c r="M464" i="4" s="1"/>
  <c r="Y464" i="3"/>
  <c r="Y464" i="4" s="1"/>
  <c r="D465" i="3"/>
  <c r="D465" i="4" s="1"/>
  <c r="P465" i="3"/>
  <c r="P465" i="4" s="1"/>
  <c r="AB465" i="3"/>
  <c r="AB465" i="4" s="1"/>
  <c r="G466" i="3"/>
  <c r="G466" i="4" s="1"/>
  <c r="S466" i="3"/>
  <c r="S466" i="4" s="1"/>
  <c r="J467" i="3"/>
  <c r="J467" i="4" s="1"/>
  <c r="V467" i="3"/>
  <c r="V467" i="4" s="1"/>
  <c r="A468" i="3"/>
  <c r="A468" i="4" s="1"/>
  <c r="M468" i="3"/>
  <c r="M468" i="4" s="1"/>
  <c r="Y468" i="3"/>
  <c r="Y468" i="4" s="1"/>
  <c r="D469" i="3"/>
  <c r="D469" i="4" s="1"/>
  <c r="P469" i="3"/>
  <c r="P469" i="4" s="1"/>
  <c r="AB469" i="3"/>
  <c r="AB469" i="4" s="1"/>
  <c r="G470" i="3"/>
  <c r="G470" i="4" s="1"/>
  <c r="S470" i="3"/>
  <c r="S470" i="4" s="1"/>
  <c r="AE470" i="3"/>
  <c r="AE470" i="4" s="1"/>
  <c r="J471" i="3"/>
  <c r="J471" i="4" s="1"/>
  <c r="V471" i="3"/>
  <c r="V471" i="4" s="1"/>
  <c r="A472" i="3"/>
  <c r="A472" i="4" s="1"/>
  <c r="M472" i="3"/>
  <c r="M472" i="4" s="1"/>
  <c r="Y472" i="3"/>
  <c r="Y472" i="4" s="1"/>
  <c r="D473" i="3"/>
  <c r="D473" i="4" s="1"/>
  <c r="P473" i="3"/>
  <c r="P473" i="4" s="1"/>
  <c r="AB473" i="3"/>
  <c r="AB473" i="4" s="1"/>
  <c r="G474" i="3"/>
  <c r="G474" i="4" s="1"/>
  <c r="S474" i="3"/>
  <c r="S474" i="4" s="1"/>
  <c r="AE474" i="3"/>
  <c r="AE474" i="4" s="1"/>
  <c r="J475" i="3"/>
  <c r="J475" i="4" s="1"/>
  <c r="V475" i="3"/>
  <c r="V475" i="4" s="1"/>
  <c r="A476" i="3"/>
  <c r="A476" i="4" s="1"/>
  <c r="M476" i="3"/>
  <c r="M476" i="4" s="1"/>
  <c r="Y476" i="3"/>
  <c r="Y476" i="4" s="1"/>
  <c r="D477" i="3"/>
  <c r="D477" i="4" s="1"/>
  <c r="P477" i="3"/>
  <c r="P477" i="4" s="1"/>
  <c r="AB477" i="3"/>
  <c r="AB477" i="4" s="1"/>
  <c r="G478" i="3"/>
  <c r="G478" i="4" s="1"/>
  <c r="S478" i="3"/>
  <c r="S478" i="4" s="1"/>
  <c r="J479" i="3"/>
  <c r="J479" i="4" s="1"/>
  <c r="V479" i="3"/>
  <c r="V479" i="4" s="1"/>
  <c r="A480" i="3"/>
  <c r="A480" i="4" s="1"/>
  <c r="M480" i="3"/>
  <c r="M480" i="4" s="1"/>
  <c r="Y480" i="3"/>
  <c r="Y480" i="4" s="1"/>
  <c r="D481" i="3"/>
  <c r="D481" i="4" s="1"/>
  <c r="P481" i="3"/>
  <c r="P481" i="4" s="1"/>
  <c r="AB481" i="3"/>
  <c r="AB481" i="4" s="1"/>
  <c r="G482" i="3"/>
  <c r="G482" i="4" s="1"/>
  <c r="S482" i="3"/>
  <c r="S482" i="4" s="1"/>
  <c r="AE482" i="3"/>
  <c r="AE482" i="4" s="1"/>
  <c r="J483" i="3"/>
  <c r="J483" i="4" s="1"/>
  <c r="V483" i="3"/>
  <c r="V483" i="4" s="1"/>
  <c r="A484" i="3"/>
  <c r="A484" i="4" s="1"/>
  <c r="M484" i="3"/>
  <c r="M484" i="4" s="1"/>
  <c r="Y484" i="3"/>
  <c r="Y484" i="4" s="1"/>
  <c r="D485" i="3"/>
  <c r="D485" i="4" s="1"/>
  <c r="P485" i="3"/>
  <c r="P485" i="4" s="1"/>
  <c r="AB485" i="3"/>
  <c r="AB485" i="4" s="1"/>
  <c r="G486" i="3"/>
  <c r="G486" i="4" s="1"/>
  <c r="S486" i="3"/>
  <c r="S486" i="4" s="1"/>
  <c r="AE486" i="3"/>
  <c r="AE486" i="4" s="1"/>
  <c r="J487" i="3"/>
  <c r="J487" i="4" s="1"/>
  <c r="V487" i="3"/>
  <c r="V487" i="4" s="1"/>
  <c r="A488" i="3"/>
  <c r="A488" i="4" s="1"/>
  <c r="M488" i="3"/>
  <c r="M488" i="4" s="1"/>
  <c r="Y488" i="3"/>
  <c r="Y488" i="4" s="1"/>
  <c r="D489" i="3"/>
  <c r="D489" i="4" s="1"/>
  <c r="P489" i="3"/>
  <c r="P489" i="4" s="1"/>
  <c r="AB489" i="3"/>
  <c r="AB489" i="4" s="1"/>
  <c r="G490" i="3"/>
  <c r="G490" i="4" s="1"/>
  <c r="S490" i="3"/>
  <c r="S490" i="4" s="1"/>
  <c r="AE490" i="3"/>
  <c r="AE490" i="4" s="1"/>
  <c r="J491" i="3"/>
  <c r="J491" i="4" s="1"/>
  <c r="V491" i="3"/>
  <c r="V491" i="4" s="1"/>
  <c r="A492" i="3"/>
  <c r="A492" i="4" s="1"/>
  <c r="M492" i="3"/>
  <c r="M492" i="4" s="1"/>
  <c r="Y492" i="3"/>
  <c r="Y492" i="4" s="1"/>
  <c r="D493" i="3"/>
  <c r="D493" i="4" s="1"/>
  <c r="P493" i="3"/>
  <c r="P493" i="4" s="1"/>
  <c r="AB493" i="3"/>
  <c r="AB493" i="4" s="1"/>
  <c r="G494" i="3"/>
  <c r="G494" i="4" s="1"/>
  <c r="S494" i="3"/>
  <c r="S494" i="4" s="1"/>
  <c r="AE494" i="3"/>
  <c r="AE494" i="4" s="1"/>
  <c r="J495" i="3"/>
  <c r="J495" i="4" s="1"/>
  <c r="V495" i="3"/>
  <c r="V495" i="4" s="1"/>
  <c r="A496" i="3"/>
  <c r="A496" i="4" s="1"/>
  <c r="M496" i="3"/>
  <c r="M496" i="4" s="1"/>
  <c r="Y496" i="3"/>
  <c r="Y496" i="4" s="1"/>
  <c r="D497" i="3"/>
  <c r="D497" i="4" s="1"/>
  <c r="P497" i="3"/>
  <c r="P497" i="4" s="1"/>
  <c r="AB497" i="3"/>
  <c r="AB497" i="4" s="1"/>
  <c r="G498" i="3"/>
  <c r="G498" i="4" s="1"/>
  <c r="S498" i="3"/>
  <c r="S498" i="4" s="1"/>
  <c r="AE498" i="3"/>
  <c r="AE498" i="4" s="1"/>
  <c r="J499" i="3"/>
  <c r="J499" i="4" s="1"/>
  <c r="V499" i="3"/>
  <c r="V499" i="4" s="1"/>
  <c r="A500" i="3"/>
  <c r="A500" i="4" s="1"/>
  <c r="M500" i="3"/>
  <c r="M500" i="4" s="1"/>
  <c r="Y500" i="3"/>
  <c r="Y500" i="4" s="1"/>
  <c r="D501" i="3"/>
  <c r="D501" i="4" s="1"/>
  <c r="P501" i="3"/>
  <c r="P501" i="4" s="1"/>
  <c r="AB501" i="3"/>
  <c r="AB501" i="4" s="1"/>
  <c r="G502" i="3"/>
  <c r="G502" i="4" s="1"/>
  <c r="S502" i="3"/>
  <c r="S502" i="4" s="1"/>
  <c r="J503" i="3"/>
  <c r="J503" i="4" s="1"/>
  <c r="V503" i="3"/>
  <c r="V503" i="4" s="1"/>
  <c r="A504" i="3"/>
  <c r="A504" i="4" s="1"/>
  <c r="M504" i="3"/>
  <c r="M504" i="4" s="1"/>
  <c r="Y504" i="3"/>
  <c r="Y504" i="4" s="1"/>
  <c r="D505" i="3"/>
  <c r="D505" i="4" s="1"/>
  <c r="P505" i="3"/>
  <c r="P505" i="4" s="1"/>
  <c r="AB505" i="3"/>
  <c r="AB505" i="4" s="1"/>
  <c r="G506" i="3"/>
  <c r="G506" i="4" s="1"/>
  <c r="S506" i="3"/>
  <c r="S506" i="4" s="1"/>
  <c r="AE506" i="3"/>
  <c r="AE506" i="4" s="1"/>
  <c r="J507" i="3"/>
  <c r="J507" i="4" s="1"/>
  <c r="V507" i="3"/>
  <c r="V507" i="4" s="1"/>
  <c r="A508" i="3"/>
  <c r="A508" i="4" s="1"/>
  <c r="M508" i="3"/>
  <c r="M508" i="4" s="1"/>
  <c r="Y508" i="3"/>
  <c r="Y508" i="4" s="1"/>
  <c r="D509" i="3"/>
  <c r="D509" i="4" s="1"/>
  <c r="P509" i="3"/>
  <c r="P509" i="4" s="1"/>
  <c r="AB509" i="3"/>
  <c r="AB509" i="4" s="1"/>
  <c r="G510" i="3"/>
  <c r="G510" i="4" s="1"/>
  <c r="S510" i="3"/>
  <c r="S510" i="4" s="1"/>
  <c r="AE510" i="3"/>
  <c r="AE510" i="4" s="1"/>
  <c r="J511" i="3"/>
  <c r="J511" i="4" s="1"/>
  <c r="V511" i="3"/>
  <c r="V511" i="4" s="1"/>
  <c r="A512" i="3"/>
  <c r="A512" i="4" s="1"/>
  <c r="M512" i="3"/>
  <c r="M512" i="4" s="1"/>
  <c r="Y512" i="3"/>
  <c r="Y512" i="4" s="1"/>
  <c r="D513" i="3"/>
  <c r="D513" i="4" s="1"/>
  <c r="P513" i="3"/>
  <c r="P513" i="4" s="1"/>
  <c r="AB513" i="3"/>
  <c r="AB513" i="4" s="1"/>
  <c r="G514" i="3"/>
  <c r="G514" i="4" s="1"/>
  <c r="S514" i="3"/>
  <c r="S514" i="4" s="1"/>
  <c r="J515" i="3"/>
  <c r="J515" i="4" s="1"/>
  <c r="V515" i="3"/>
  <c r="V515" i="4" s="1"/>
  <c r="A516" i="3"/>
  <c r="A516" i="4" s="1"/>
  <c r="M516" i="3"/>
  <c r="M516" i="4" s="1"/>
  <c r="Y516" i="3"/>
  <c r="Y516" i="4" s="1"/>
  <c r="D517" i="3"/>
  <c r="D517" i="4" s="1"/>
  <c r="P517" i="3"/>
  <c r="P517" i="4" s="1"/>
  <c r="AB517" i="3"/>
  <c r="AB517" i="4" s="1"/>
  <c r="G518" i="3"/>
  <c r="G518" i="4" s="1"/>
  <c r="S518" i="3"/>
  <c r="S518" i="4" s="1"/>
  <c r="J519" i="3"/>
  <c r="J519" i="4" s="1"/>
  <c r="V519" i="3"/>
  <c r="V519" i="4" s="1"/>
  <c r="A520" i="3"/>
  <c r="A520" i="4" s="1"/>
  <c r="M520" i="3"/>
  <c r="M520" i="4" s="1"/>
  <c r="Y520" i="3"/>
  <c r="Y520" i="4" s="1"/>
  <c r="D521" i="3"/>
  <c r="D521" i="4" s="1"/>
  <c r="P521" i="3"/>
  <c r="P521" i="4" s="1"/>
  <c r="AB521" i="3"/>
  <c r="AB521" i="4" s="1"/>
  <c r="G522" i="3"/>
  <c r="G522" i="4" s="1"/>
  <c r="S522" i="3"/>
  <c r="S522" i="4" s="1"/>
  <c r="AE522" i="3"/>
  <c r="AE522" i="4" s="1"/>
  <c r="J523" i="3"/>
  <c r="J523" i="4" s="1"/>
  <c r="V523" i="3"/>
  <c r="V523" i="4" s="1"/>
  <c r="A524" i="3"/>
  <c r="A524" i="4" s="1"/>
  <c r="M524" i="3"/>
  <c r="M524" i="4" s="1"/>
  <c r="Y524" i="3"/>
  <c r="Y524" i="4" s="1"/>
  <c r="D525" i="3"/>
  <c r="D525" i="4" s="1"/>
  <c r="P525" i="3"/>
  <c r="P525" i="4" s="1"/>
  <c r="AB525" i="3"/>
  <c r="AB525" i="4" s="1"/>
  <c r="G526" i="3"/>
  <c r="G526" i="4" s="1"/>
  <c r="S526" i="3"/>
  <c r="S526" i="4" s="1"/>
  <c r="J527" i="3"/>
  <c r="J527" i="4" s="1"/>
  <c r="V527" i="3"/>
  <c r="V527" i="4" s="1"/>
  <c r="A528" i="3"/>
  <c r="A528" i="4" s="1"/>
  <c r="M528" i="3"/>
  <c r="M528" i="4" s="1"/>
  <c r="Y528" i="3"/>
  <c r="Y528" i="4" s="1"/>
  <c r="D529" i="3"/>
  <c r="D529" i="4" s="1"/>
  <c r="P529" i="3"/>
  <c r="P529" i="4" s="1"/>
  <c r="AB529" i="3"/>
  <c r="AB529" i="4" s="1"/>
  <c r="G530" i="3"/>
  <c r="G530" i="4" s="1"/>
  <c r="S530" i="3"/>
  <c r="S530" i="4" s="1"/>
  <c r="AE530" i="3"/>
  <c r="AE530" i="4" s="1"/>
  <c r="J531" i="3"/>
  <c r="J531" i="4" s="1"/>
  <c r="V531" i="3"/>
  <c r="V531" i="4" s="1"/>
  <c r="A532" i="3"/>
  <c r="A532" i="4" s="1"/>
  <c r="M532" i="3"/>
  <c r="M532" i="4" s="1"/>
  <c r="Y532" i="3"/>
  <c r="Y532" i="4" s="1"/>
  <c r="D533" i="3"/>
  <c r="D533" i="4" s="1"/>
  <c r="P533" i="3"/>
  <c r="P533" i="4" s="1"/>
  <c r="AB533" i="3"/>
  <c r="AB533" i="4" s="1"/>
  <c r="G534" i="3"/>
  <c r="G534" i="4" s="1"/>
  <c r="S534" i="3"/>
  <c r="S534" i="4" s="1"/>
  <c r="AE534" i="3"/>
  <c r="AE534" i="4" s="1"/>
  <c r="J535" i="3"/>
  <c r="J535" i="4" s="1"/>
  <c r="V535" i="3"/>
  <c r="V535" i="4" s="1"/>
  <c r="A536" i="3"/>
  <c r="A536" i="4" s="1"/>
  <c r="M536" i="3"/>
  <c r="M536" i="4" s="1"/>
  <c r="Y536" i="3"/>
  <c r="Y536" i="4" s="1"/>
  <c r="D537" i="3"/>
  <c r="D537" i="4" s="1"/>
  <c r="P537" i="3"/>
  <c r="P537" i="4" s="1"/>
  <c r="AB537" i="3"/>
  <c r="AB537" i="4" s="1"/>
  <c r="G538" i="3"/>
  <c r="G538" i="4" s="1"/>
  <c r="S538" i="3"/>
  <c r="S538" i="4" s="1"/>
  <c r="J539" i="3"/>
  <c r="J539" i="4" s="1"/>
  <c r="V539" i="3"/>
  <c r="V539" i="4" s="1"/>
  <c r="A540" i="3"/>
  <c r="A540" i="4" s="1"/>
  <c r="M540" i="3"/>
  <c r="M540" i="4" s="1"/>
  <c r="Y540" i="3"/>
  <c r="Y540" i="4" s="1"/>
  <c r="D541" i="3"/>
  <c r="D541" i="4" s="1"/>
  <c r="P541" i="3"/>
  <c r="P541" i="4" s="1"/>
  <c r="AB541" i="3"/>
  <c r="AB541" i="4" s="1"/>
  <c r="G542" i="3"/>
  <c r="G542" i="4" s="1"/>
  <c r="S542" i="3"/>
  <c r="S542" i="4" s="1"/>
  <c r="J543" i="3"/>
  <c r="J543" i="4" s="1"/>
  <c r="V543" i="3"/>
  <c r="V543" i="4" s="1"/>
  <c r="A544" i="3"/>
  <c r="A544" i="4" s="1"/>
  <c r="M544" i="3"/>
  <c r="M544" i="4" s="1"/>
  <c r="Y544" i="3"/>
  <c r="Y544" i="4" s="1"/>
  <c r="D545" i="3"/>
  <c r="D545" i="4" s="1"/>
  <c r="P545" i="3"/>
  <c r="P545" i="4" s="1"/>
  <c r="AB545" i="3"/>
  <c r="AB545" i="4" s="1"/>
  <c r="G546" i="3"/>
  <c r="G546" i="4" s="1"/>
  <c r="S546" i="3"/>
  <c r="S546" i="4" s="1"/>
  <c r="AE546" i="3"/>
  <c r="AE546" i="4" s="1"/>
  <c r="J547" i="3"/>
  <c r="J547" i="4" s="1"/>
  <c r="V547" i="3"/>
  <c r="V547" i="4" s="1"/>
  <c r="A548" i="3"/>
  <c r="A548" i="4" s="1"/>
  <c r="M548" i="3"/>
  <c r="M548" i="4" s="1"/>
  <c r="Y548" i="3"/>
  <c r="Y548" i="4" s="1"/>
  <c r="AE558" i="3"/>
  <c r="AE558" i="4" s="1"/>
  <c r="AE566" i="3"/>
  <c r="AE566" i="4" s="1"/>
  <c r="AE570" i="3"/>
  <c r="AE570" i="4" s="1"/>
  <c r="AE574" i="3"/>
  <c r="AE574" i="4" s="1"/>
  <c r="AE582" i="3"/>
  <c r="AE582" i="4" s="1"/>
  <c r="J583" i="3"/>
  <c r="J583" i="4" s="1"/>
  <c r="V583" i="3"/>
  <c r="V583" i="4" s="1"/>
  <c r="A584" i="3"/>
  <c r="A584" i="4" s="1"/>
  <c r="M584" i="3"/>
  <c r="M584" i="4" s="1"/>
  <c r="Y584" i="3"/>
  <c r="Y584" i="4" s="1"/>
  <c r="D585" i="3"/>
  <c r="D585" i="4" s="1"/>
  <c r="P585" i="3"/>
  <c r="P585" i="4" s="1"/>
  <c r="AB585" i="3"/>
  <c r="AB585" i="4" s="1"/>
  <c r="G586" i="3"/>
  <c r="G586" i="4" s="1"/>
  <c r="S586" i="3"/>
  <c r="S586" i="4" s="1"/>
  <c r="J587" i="3"/>
  <c r="J587" i="4" s="1"/>
  <c r="V587" i="3"/>
  <c r="V587" i="4" s="1"/>
  <c r="A588" i="3"/>
  <c r="A588" i="4" s="1"/>
  <c r="M588" i="3"/>
  <c r="M588" i="4" s="1"/>
  <c r="Y588" i="3"/>
  <c r="Y588" i="4" s="1"/>
  <c r="D589" i="3"/>
  <c r="D589" i="4" s="1"/>
  <c r="P589" i="3"/>
  <c r="P589" i="4" s="1"/>
  <c r="AB589" i="3"/>
  <c r="AB589" i="4" s="1"/>
  <c r="G590" i="3"/>
  <c r="G590" i="4" s="1"/>
  <c r="S590" i="3"/>
  <c r="S590" i="4" s="1"/>
  <c r="J591" i="3"/>
  <c r="J591" i="4" s="1"/>
  <c r="V591" i="3"/>
  <c r="V591" i="4" s="1"/>
  <c r="A592" i="3"/>
  <c r="A592" i="4" s="1"/>
  <c r="M592" i="3"/>
  <c r="M592" i="4" s="1"/>
  <c r="Y592" i="3"/>
  <c r="Y592" i="4" s="1"/>
  <c r="D593" i="3"/>
  <c r="D593" i="4" s="1"/>
  <c r="P593" i="3"/>
  <c r="P593" i="4" s="1"/>
  <c r="AB593" i="3"/>
  <c r="AB593" i="4" s="1"/>
  <c r="G594" i="3"/>
  <c r="G594" i="4" s="1"/>
  <c r="S594" i="3"/>
  <c r="S594" i="4" s="1"/>
  <c r="AE594" i="3"/>
  <c r="AE594" i="4" s="1"/>
  <c r="J595" i="3"/>
  <c r="J595" i="4" s="1"/>
  <c r="V595" i="3"/>
  <c r="V595" i="4" s="1"/>
  <c r="A596" i="3"/>
  <c r="A596" i="4" s="1"/>
  <c r="M596" i="3"/>
  <c r="M596" i="4" s="1"/>
  <c r="Y596" i="3"/>
  <c r="Y596" i="4" s="1"/>
  <c r="D597" i="3"/>
  <c r="D597" i="4" s="1"/>
  <c r="P597" i="3"/>
  <c r="P597" i="4" s="1"/>
  <c r="AB597" i="3"/>
  <c r="AB597" i="4" s="1"/>
  <c r="G598" i="3"/>
  <c r="G598" i="4" s="1"/>
  <c r="S598" i="3"/>
  <c r="S598" i="4" s="1"/>
  <c r="J599" i="3"/>
  <c r="J599" i="4" s="1"/>
  <c r="V599" i="3"/>
  <c r="V599" i="4" s="1"/>
  <c r="A600" i="3"/>
  <c r="A600" i="4" s="1"/>
  <c r="M600" i="3"/>
  <c r="M600" i="4" s="1"/>
  <c r="Y600" i="3"/>
  <c r="Y600" i="4" s="1"/>
  <c r="D601" i="3"/>
  <c r="D601" i="4" s="1"/>
  <c r="P601" i="3"/>
  <c r="P601" i="4" s="1"/>
  <c r="AB601" i="3"/>
  <c r="AB601" i="4" s="1"/>
  <c r="G602" i="3"/>
  <c r="G602" i="4" s="1"/>
  <c r="S602" i="3"/>
  <c r="S602" i="4" s="1"/>
  <c r="AE602" i="3"/>
  <c r="AE602" i="4" s="1"/>
  <c r="J603" i="3"/>
  <c r="J603" i="4" s="1"/>
  <c r="V603" i="3"/>
  <c r="V603" i="4" s="1"/>
  <c r="A604" i="3"/>
  <c r="A604" i="4" s="1"/>
  <c r="M604" i="3"/>
  <c r="M604" i="4" s="1"/>
  <c r="Y604" i="3"/>
  <c r="Y604" i="4" s="1"/>
  <c r="D605" i="3"/>
  <c r="D605" i="4" s="1"/>
  <c r="P605" i="3"/>
  <c r="P605" i="4" s="1"/>
  <c r="AB605" i="3"/>
  <c r="AB605" i="4" s="1"/>
  <c r="G606" i="3"/>
  <c r="G606" i="4" s="1"/>
  <c r="S606" i="3"/>
  <c r="S606" i="4" s="1"/>
  <c r="AE606" i="3"/>
  <c r="AE606" i="4" s="1"/>
  <c r="J607" i="3"/>
  <c r="J607" i="4" s="1"/>
  <c r="V607" i="3"/>
  <c r="V607" i="4" s="1"/>
  <c r="A608" i="3"/>
  <c r="A608" i="4" s="1"/>
  <c r="M608" i="3"/>
  <c r="M608" i="4" s="1"/>
  <c r="Y608" i="3"/>
  <c r="Y608" i="4" s="1"/>
  <c r="D609" i="3"/>
  <c r="D609" i="4" s="1"/>
  <c r="P609" i="3"/>
  <c r="P609" i="4" s="1"/>
  <c r="AB609" i="3"/>
  <c r="AB609" i="4" s="1"/>
  <c r="G610" i="3"/>
  <c r="G610" i="4" s="1"/>
  <c r="S610" i="3"/>
  <c r="S610" i="4" s="1"/>
  <c r="AE610" i="3"/>
  <c r="AE610" i="4" s="1"/>
  <c r="J611" i="3"/>
  <c r="J611" i="4" s="1"/>
  <c r="V611" i="3"/>
  <c r="V611" i="4" s="1"/>
  <c r="A612" i="3"/>
  <c r="A612" i="4" s="1"/>
  <c r="M612" i="3"/>
  <c r="M612" i="4" s="1"/>
  <c r="Y612" i="3"/>
  <c r="Y612" i="4" s="1"/>
  <c r="D613" i="3"/>
  <c r="D613" i="4" s="1"/>
  <c r="P613" i="3"/>
  <c r="P613" i="4" s="1"/>
  <c r="AB613" i="3"/>
  <c r="AB613" i="4" s="1"/>
  <c r="G614" i="3"/>
  <c r="G614" i="4" s="1"/>
  <c r="S614" i="3"/>
  <c r="S614" i="4" s="1"/>
  <c r="J615" i="3"/>
  <c r="J615" i="4" s="1"/>
  <c r="V615" i="3"/>
  <c r="V615" i="4" s="1"/>
  <c r="A616" i="3"/>
  <c r="A616" i="4" s="1"/>
  <c r="M616" i="3"/>
  <c r="M616" i="4" s="1"/>
  <c r="Y616" i="3"/>
  <c r="Y616" i="4" s="1"/>
  <c r="D617" i="3"/>
  <c r="D617" i="4" s="1"/>
  <c r="P617" i="3"/>
  <c r="P617" i="4" s="1"/>
  <c r="AB617" i="3"/>
  <c r="AB617" i="4" s="1"/>
  <c r="G618" i="3"/>
  <c r="G618" i="4" s="1"/>
  <c r="S618" i="3"/>
  <c r="S618" i="4" s="1"/>
  <c r="AE618" i="3"/>
  <c r="AE618" i="4" s="1"/>
  <c r="J619" i="3"/>
  <c r="J619" i="4" s="1"/>
  <c r="V619" i="3"/>
  <c r="V619" i="4" s="1"/>
  <c r="A620" i="3"/>
  <c r="A620" i="4" s="1"/>
  <c r="M620" i="3"/>
  <c r="M620" i="4" s="1"/>
  <c r="Y620" i="3"/>
  <c r="Y620" i="4" s="1"/>
  <c r="D621" i="3"/>
  <c r="D621" i="4" s="1"/>
  <c r="P621" i="3"/>
  <c r="P621" i="4" s="1"/>
  <c r="AB621" i="3"/>
  <c r="AB621" i="4" s="1"/>
  <c r="G622" i="3"/>
  <c r="G622" i="4" s="1"/>
  <c r="S622" i="3"/>
  <c r="S622" i="4" s="1"/>
  <c r="AE622" i="3"/>
  <c r="AE622" i="4" s="1"/>
  <c r="J623" i="3"/>
  <c r="J623" i="4" s="1"/>
  <c r="V623" i="3"/>
  <c r="V623" i="4" s="1"/>
  <c r="A624" i="3"/>
  <c r="A624" i="4" s="1"/>
  <c r="M624" i="3"/>
  <c r="M624" i="4" s="1"/>
  <c r="Y624" i="3"/>
  <c r="Y624" i="4" s="1"/>
  <c r="D625" i="3"/>
  <c r="D625" i="4" s="1"/>
  <c r="P625" i="3"/>
  <c r="P625" i="4" s="1"/>
  <c r="AB625" i="3"/>
  <c r="AB625" i="4" s="1"/>
  <c r="G626" i="3"/>
  <c r="G626" i="4" s="1"/>
  <c r="S626" i="3"/>
  <c r="S626" i="4" s="1"/>
  <c r="J627" i="3"/>
  <c r="J627" i="4" s="1"/>
  <c r="V627" i="3"/>
  <c r="V627" i="4" s="1"/>
  <c r="A628" i="3"/>
  <c r="A628" i="4" s="1"/>
  <c r="M628" i="3"/>
  <c r="M628" i="4" s="1"/>
  <c r="Y628" i="3"/>
  <c r="Y628" i="4" s="1"/>
  <c r="D629" i="3"/>
  <c r="D629" i="4" s="1"/>
  <c r="P629" i="3"/>
  <c r="P629" i="4" s="1"/>
  <c r="AB629" i="3"/>
  <c r="AB629" i="4" s="1"/>
  <c r="G630" i="3"/>
  <c r="G630" i="4" s="1"/>
  <c r="S630" i="3"/>
  <c r="S630" i="4" s="1"/>
  <c r="AE630" i="3"/>
  <c r="AE630" i="4" s="1"/>
  <c r="J631" i="3"/>
  <c r="J631" i="4" s="1"/>
  <c r="V631" i="3"/>
  <c r="V631" i="4" s="1"/>
  <c r="A632" i="3"/>
  <c r="A632" i="4" s="1"/>
  <c r="M632" i="3"/>
  <c r="M632" i="4" s="1"/>
  <c r="Y632" i="3"/>
  <c r="Y632" i="4" s="1"/>
  <c r="D633" i="3"/>
  <c r="D633" i="4" s="1"/>
  <c r="P633" i="3"/>
  <c r="P633" i="4" s="1"/>
  <c r="AB633" i="3"/>
  <c r="AB633" i="4" s="1"/>
  <c r="G634" i="3"/>
  <c r="G634" i="4" s="1"/>
  <c r="S634" i="3"/>
  <c r="S634" i="4" s="1"/>
  <c r="J635" i="3"/>
  <c r="J635" i="4" s="1"/>
  <c r="V635" i="3"/>
  <c r="V635" i="4" s="1"/>
  <c r="A636" i="3"/>
  <c r="A636" i="4" s="1"/>
  <c r="M636" i="3"/>
  <c r="M636" i="4" s="1"/>
  <c r="Y636" i="3"/>
  <c r="Y636" i="4" s="1"/>
  <c r="D637" i="3"/>
  <c r="D637" i="4" s="1"/>
  <c r="P637" i="3"/>
  <c r="P637" i="4" s="1"/>
  <c r="AB637" i="3"/>
  <c r="AB637" i="4" s="1"/>
  <c r="G638" i="3"/>
  <c r="G638" i="4" s="1"/>
  <c r="S638" i="3"/>
  <c r="S638" i="4" s="1"/>
  <c r="AE638" i="3"/>
  <c r="AE638" i="4" s="1"/>
  <c r="J639" i="3"/>
  <c r="J639" i="4" s="1"/>
  <c r="V639" i="3"/>
  <c r="V639" i="4" s="1"/>
  <c r="A640" i="3"/>
  <c r="A640" i="4" s="1"/>
  <c r="M640" i="3"/>
  <c r="M640" i="4" s="1"/>
  <c r="Y640" i="3"/>
  <c r="Y640" i="4" s="1"/>
  <c r="D641" i="3"/>
  <c r="D641" i="4" s="1"/>
  <c r="P641" i="3"/>
  <c r="P641" i="4" s="1"/>
  <c r="AB641" i="3"/>
  <c r="AB641" i="4" s="1"/>
  <c r="G642" i="3"/>
  <c r="G642" i="4" s="1"/>
  <c r="S642" i="3"/>
  <c r="S642" i="4" s="1"/>
  <c r="AE642" i="3"/>
  <c r="AE642" i="4" s="1"/>
  <c r="J643" i="3"/>
  <c r="J643" i="4" s="1"/>
  <c r="V643" i="3"/>
  <c r="V643" i="4" s="1"/>
  <c r="A644" i="3"/>
  <c r="A644" i="4" s="1"/>
  <c r="M644" i="3"/>
  <c r="M644" i="4" s="1"/>
  <c r="Y644" i="3"/>
  <c r="Y644" i="4" s="1"/>
  <c r="D645" i="3"/>
  <c r="D645" i="4" s="1"/>
  <c r="P645" i="3"/>
  <c r="P645" i="4" s="1"/>
  <c r="AB645" i="3"/>
  <c r="AB645" i="4" s="1"/>
  <c r="G646" i="3"/>
  <c r="G646" i="4" s="1"/>
  <c r="S646" i="3"/>
  <c r="S646" i="4" s="1"/>
  <c r="J647" i="3"/>
  <c r="J647" i="4" s="1"/>
  <c r="V647" i="3"/>
  <c r="V647" i="4" s="1"/>
  <c r="A648" i="3"/>
  <c r="A648" i="4" s="1"/>
  <c r="M648" i="3"/>
  <c r="M648" i="4" s="1"/>
  <c r="Y648" i="3"/>
  <c r="Y648" i="4" s="1"/>
  <c r="D649" i="3"/>
  <c r="D649" i="4" s="1"/>
  <c r="P649" i="3"/>
  <c r="P649" i="4" s="1"/>
  <c r="AB649" i="3"/>
  <c r="AB649" i="4" s="1"/>
  <c r="G650" i="3"/>
  <c r="G650" i="4" s="1"/>
  <c r="S650" i="3"/>
  <c r="S650" i="4" s="1"/>
  <c r="AE650" i="3"/>
  <c r="AE650" i="4" s="1"/>
  <c r="J651" i="3"/>
  <c r="J651" i="4" s="1"/>
  <c r="V651" i="3"/>
  <c r="V651" i="4" s="1"/>
  <c r="A652" i="3"/>
  <c r="A652" i="4" s="1"/>
  <c r="M652" i="3"/>
  <c r="M652" i="4" s="1"/>
  <c r="Y652" i="3"/>
  <c r="Y652" i="4" s="1"/>
  <c r="D653" i="3"/>
  <c r="D653" i="4" s="1"/>
  <c r="P653" i="3"/>
  <c r="P653" i="4" s="1"/>
  <c r="AB653" i="3"/>
  <c r="AB653" i="4" s="1"/>
  <c r="G654" i="3"/>
  <c r="G654" i="4" s="1"/>
  <c r="S654" i="3"/>
  <c r="S654" i="4" s="1"/>
  <c r="AE654" i="3"/>
  <c r="AE654" i="4" s="1"/>
  <c r="J655" i="3"/>
  <c r="J655" i="4" s="1"/>
  <c r="V655" i="3"/>
  <c r="V655" i="4" s="1"/>
  <c r="A656" i="3"/>
  <c r="A656" i="4" s="1"/>
  <c r="M656" i="3"/>
  <c r="M656" i="4" s="1"/>
  <c r="Y656" i="3"/>
  <c r="Y656" i="4" s="1"/>
  <c r="D657" i="3"/>
  <c r="D657" i="4" s="1"/>
  <c r="P657" i="3"/>
  <c r="P657" i="4" s="1"/>
  <c r="AB657" i="3"/>
  <c r="AB657" i="4" s="1"/>
  <c r="G658" i="3"/>
  <c r="G658" i="4" s="1"/>
  <c r="S658" i="3"/>
  <c r="S658" i="4" s="1"/>
  <c r="J659" i="3"/>
  <c r="J659" i="4" s="1"/>
  <c r="V659" i="3"/>
  <c r="V659" i="4" s="1"/>
  <c r="A660" i="3"/>
  <c r="A660" i="4" s="1"/>
  <c r="M660" i="3"/>
  <c r="M660" i="4" s="1"/>
  <c r="Y660" i="3"/>
  <c r="Y660" i="4" s="1"/>
  <c r="D661" i="3"/>
  <c r="D661" i="4" s="1"/>
  <c r="P661" i="3"/>
  <c r="P661" i="4" s="1"/>
  <c r="AB661" i="3"/>
  <c r="AB661" i="4" s="1"/>
  <c r="G662" i="3"/>
  <c r="G662" i="4" s="1"/>
  <c r="S662" i="3"/>
  <c r="S662" i="4" s="1"/>
  <c r="J663" i="3"/>
  <c r="J663" i="4" s="1"/>
  <c r="V663" i="3"/>
  <c r="V663" i="4" s="1"/>
  <c r="A664" i="3"/>
  <c r="A664" i="4" s="1"/>
  <c r="M664" i="3"/>
  <c r="M664" i="4" s="1"/>
  <c r="Y664" i="3"/>
  <c r="Y664" i="4" s="1"/>
  <c r="D665" i="3"/>
  <c r="D665" i="4" s="1"/>
  <c r="P665" i="3"/>
  <c r="P665" i="4" s="1"/>
  <c r="AB665" i="3"/>
  <c r="AB665" i="4" s="1"/>
  <c r="G666" i="3"/>
  <c r="G666" i="4" s="1"/>
  <c r="S666" i="3"/>
  <c r="S666" i="4" s="1"/>
  <c r="AE666" i="3"/>
  <c r="AE666" i="4" s="1"/>
  <c r="J667" i="3"/>
  <c r="J667" i="4" s="1"/>
  <c r="V667" i="3"/>
  <c r="V667" i="4" s="1"/>
  <c r="A668" i="3"/>
  <c r="A668" i="4" s="1"/>
  <c r="M668" i="3"/>
  <c r="M668" i="4" s="1"/>
  <c r="Y668" i="3"/>
  <c r="Y668" i="4" s="1"/>
  <c r="D669" i="3"/>
  <c r="D669" i="4" s="1"/>
  <c r="P669" i="3"/>
  <c r="P669" i="4" s="1"/>
  <c r="AB669" i="3"/>
  <c r="AB669" i="4" s="1"/>
  <c r="G670" i="3"/>
  <c r="G670" i="4" s="1"/>
  <c r="S670" i="3"/>
  <c r="S670" i="4" s="1"/>
  <c r="AE670" i="3"/>
  <c r="AE670" i="4" s="1"/>
  <c r="J671" i="3"/>
  <c r="J671" i="4" s="1"/>
  <c r="V671" i="3"/>
  <c r="V671" i="4" s="1"/>
  <c r="A672" i="3"/>
  <c r="A672" i="4" s="1"/>
  <c r="M672" i="3"/>
  <c r="M672" i="4" s="1"/>
  <c r="Y672" i="3"/>
  <c r="Y672" i="4" s="1"/>
  <c r="D673" i="3"/>
  <c r="D673" i="4" s="1"/>
  <c r="P673" i="3"/>
  <c r="P673" i="4" s="1"/>
  <c r="AB673" i="3"/>
  <c r="AB673" i="4" s="1"/>
  <c r="G674" i="3"/>
  <c r="G674" i="4" s="1"/>
  <c r="S674" i="3"/>
  <c r="S674" i="4" s="1"/>
  <c r="AE674" i="3"/>
  <c r="AE674" i="4" s="1"/>
  <c r="J675" i="3"/>
  <c r="J675" i="4" s="1"/>
  <c r="V675" i="3"/>
  <c r="V675" i="4" s="1"/>
  <c r="A676" i="3"/>
  <c r="A676" i="4" s="1"/>
  <c r="M676" i="3"/>
  <c r="M676" i="4" s="1"/>
  <c r="Y676" i="3"/>
  <c r="Y676" i="4" s="1"/>
  <c r="D677" i="3"/>
  <c r="D677" i="4" s="1"/>
  <c r="P677" i="3"/>
  <c r="P677" i="4" s="1"/>
  <c r="AB677" i="3"/>
  <c r="AB677" i="4" s="1"/>
  <c r="G678" i="3"/>
  <c r="G678" i="4" s="1"/>
  <c r="S678" i="3"/>
  <c r="S678" i="4" s="1"/>
  <c r="AE678" i="3"/>
  <c r="AE678" i="4" s="1"/>
  <c r="J679" i="3"/>
  <c r="J679" i="4" s="1"/>
  <c r="V679" i="3"/>
  <c r="V679" i="4" s="1"/>
  <c r="A680" i="3"/>
  <c r="A680" i="4" s="1"/>
  <c r="M680" i="3"/>
  <c r="M680" i="4" s="1"/>
  <c r="Y680" i="3"/>
  <c r="Y680" i="4" s="1"/>
  <c r="D681" i="3"/>
  <c r="D681" i="4" s="1"/>
  <c r="P681" i="3"/>
  <c r="P681" i="4" s="1"/>
  <c r="AB681" i="3"/>
  <c r="AB681" i="4" s="1"/>
  <c r="G682" i="3"/>
  <c r="G682" i="4" s="1"/>
  <c r="S682" i="3"/>
  <c r="S682" i="4" s="1"/>
  <c r="J683" i="3"/>
  <c r="J683" i="4" s="1"/>
  <c r="V683" i="3"/>
  <c r="V683" i="4" s="1"/>
  <c r="A684" i="3"/>
  <c r="A684" i="4" s="1"/>
  <c r="M684" i="3"/>
  <c r="M684" i="4" s="1"/>
  <c r="Y684" i="3"/>
  <c r="Y684" i="4" s="1"/>
  <c r="D685" i="3"/>
  <c r="D685" i="4" s="1"/>
  <c r="P685" i="3"/>
  <c r="P685" i="4" s="1"/>
  <c r="AB685" i="3"/>
  <c r="AB685" i="4" s="1"/>
  <c r="G686" i="3"/>
  <c r="G686" i="4" s="1"/>
  <c r="S686" i="3"/>
  <c r="S686" i="4" s="1"/>
  <c r="AE686" i="3"/>
  <c r="AE686" i="4" s="1"/>
  <c r="J687" i="3"/>
  <c r="J687" i="4" s="1"/>
  <c r="V687" i="3"/>
  <c r="V687" i="4" s="1"/>
  <c r="A688" i="3"/>
  <c r="A688" i="4" s="1"/>
  <c r="AC534" i="3"/>
  <c r="AC534" i="4" s="1"/>
  <c r="AC538" i="3"/>
  <c r="AC538" i="4" s="1"/>
  <c r="AF539" i="3"/>
  <c r="AF539" i="4" s="1"/>
  <c r="AC542" i="3"/>
  <c r="AC542" i="4" s="1"/>
  <c r="AF543" i="3"/>
  <c r="AF543" i="4" s="1"/>
  <c r="AC546" i="3"/>
  <c r="AC546" i="4" s="1"/>
  <c r="AF547" i="3"/>
  <c r="AF547" i="4" s="1"/>
  <c r="AF181" i="3"/>
  <c r="AF181" i="4" s="1"/>
  <c r="AC184" i="3"/>
  <c r="AC184" i="4" s="1"/>
  <c r="AF185" i="3"/>
  <c r="AF185" i="4" s="1"/>
  <c r="AC188" i="3"/>
  <c r="AC188" i="4" s="1"/>
  <c r="AF189" i="3"/>
  <c r="AF189" i="4" s="1"/>
  <c r="AC192" i="3"/>
  <c r="AC192" i="4" s="1"/>
  <c r="AF193" i="3"/>
  <c r="AF193" i="4" s="1"/>
  <c r="AC196" i="3"/>
  <c r="AC196" i="4" s="1"/>
  <c r="AF197" i="3"/>
  <c r="AF197" i="4" s="1"/>
  <c r="AC200" i="3"/>
  <c r="AC200" i="4" s="1"/>
  <c r="AF201" i="3"/>
  <c r="AF201" i="4" s="1"/>
  <c r="AC204" i="3"/>
  <c r="AC204" i="4" s="1"/>
  <c r="AF205" i="3"/>
  <c r="AF205" i="4" s="1"/>
  <c r="AC208" i="3"/>
  <c r="AC208" i="4" s="1"/>
  <c r="AF209" i="3"/>
  <c r="AF209" i="4" s="1"/>
  <c r="AC212" i="3"/>
  <c r="AC212" i="4" s="1"/>
  <c r="AF213" i="3"/>
  <c r="AF213" i="4" s="1"/>
  <c r="AC216" i="3"/>
  <c r="AC216" i="4" s="1"/>
  <c r="AF217" i="3"/>
  <c r="AF217" i="4" s="1"/>
  <c r="AC220" i="3"/>
  <c r="AC220" i="4" s="1"/>
  <c r="AF221" i="3"/>
  <c r="AF221" i="4" s="1"/>
  <c r="AC224" i="3"/>
  <c r="AC224" i="4" s="1"/>
  <c r="AF225" i="3"/>
  <c r="AF225" i="4" s="1"/>
  <c r="AC228" i="3"/>
  <c r="AC228" i="4" s="1"/>
  <c r="AF229" i="3"/>
  <c r="AF229" i="4" s="1"/>
  <c r="AC232" i="3"/>
  <c r="AC232" i="4" s="1"/>
  <c r="AF233" i="3"/>
  <c r="AF233" i="4" s="1"/>
  <c r="AC236" i="3"/>
  <c r="AC236" i="4" s="1"/>
  <c r="AF237" i="3"/>
  <c r="AF237" i="4" s="1"/>
  <c r="AC240" i="3"/>
  <c r="AC240" i="4" s="1"/>
  <c r="AF241" i="3"/>
  <c r="AF241" i="4" s="1"/>
  <c r="AC244" i="3"/>
  <c r="AC244" i="4" s="1"/>
  <c r="AF245" i="3"/>
  <c r="AF245" i="4" s="1"/>
  <c r="AC248" i="3"/>
  <c r="AC248" i="4" s="1"/>
  <c r="AF249" i="3"/>
  <c r="AF249" i="4" s="1"/>
  <c r="AC252" i="3"/>
  <c r="AC252" i="4" s="1"/>
  <c r="AF253" i="3"/>
  <c r="AF253" i="4" s="1"/>
  <c r="AC256" i="3"/>
  <c r="AC256" i="4" s="1"/>
  <c r="AF257" i="3"/>
  <c r="AF257" i="4" s="1"/>
  <c r="AC260" i="3"/>
  <c r="AC260" i="4" s="1"/>
  <c r="AF261" i="3"/>
  <c r="AF261" i="4" s="1"/>
  <c r="AC264" i="3"/>
  <c r="AC264" i="4" s="1"/>
  <c r="AF265" i="3"/>
  <c r="AF265" i="4" s="1"/>
  <c r="AC268" i="3"/>
  <c r="AC268" i="4" s="1"/>
  <c r="AF269" i="3"/>
  <c r="AF269" i="4" s="1"/>
  <c r="AC272" i="3"/>
  <c r="AC272" i="4" s="1"/>
  <c r="AF273" i="3"/>
  <c r="AF273" i="4" s="1"/>
  <c r="AC276" i="3"/>
  <c r="AC276" i="4" s="1"/>
  <c r="AF277" i="3"/>
  <c r="AF277" i="4" s="1"/>
  <c r="AC280" i="3"/>
  <c r="AC280" i="4" s="1"/>
  <c r="AF281" i="3"/>
  <c r="AF281" i="4" s="1"/>
  <c r="AC284" i="3"/>
  <c r="AC284" i="4" s="1"/>
  <c r="AF285" i="3"/>
  <c r="AF285" i="4" s="1"/>
  <c r="AC288" i="3"/>
  <c r="AC288" i="4" s="1"/>
  <c r="AF289" i="3"/>
  <c r="AF289" i="4" s="1"/>
  <c r="AC292" i="3"/>
  <c r="AC292" i="4" s="1"/>
  <c r="AF293" i="3"/>
  <c r="AF293" i="4" s="1"/>
  <c r="AC296" i="3"/>
  <c r="AC296" i="4" s="1"/>
  <c r="AF297" i="3"/>
  <c r="AF297" i="4" s="1"/>
  <c r="AC300" i="3"/>
  <c r="AC300" i="4" s="1"/>
  <c r="AF301" i="3"/>
  <c r="AF301" i="4" s="1"/>
  <c r="AC304" i="3"/>
  <c r="AC304" i="4" s="1"/>
  <c r="AF305" i="3"/>
  <c r="AF305" i="4" s="1"/>
  <c r="AC308" i="3"/>
  <c r="AC308" i="4" s="1"/>
  <c r="AF309" i="3"/>
  <c r="AF309" i="4" s="1"/>
  <c r="AC312" i="3"/>
  <c r="AC312" i="4" s="1"/>
  <c r="AF313" i="3"/>
  <c r="AF313" i="4" s="1"/>
  <c r="AC316" i="3"/>
  <c r="AC316" i="4" s="1"/>
  <c r="AF317" i="3"/>
  <c r="AF317" i="4" s="1"/>
  <c r="AC320" i="3"/>
  <c r="AC320" i="4" s="1"/>
  <c r="AF321" i="3"/>
  <c r="AF321" i="4" s="1"/>
  <c r="AC324" i="3"/>
  <c r="AC324" i="4" s="1"/>
  <c r="AF325" i="3"/>
  <c r="AF325" i="4" s="1"/>
  <c r="AC328" i="3"/>
  <c r="AC328" i="4" s="1"/>
  <c r="AF329" i="3"/>
  <c r="AF329" i="4" s="1"/>
  <c r="AC332" i="3"/>
  <c r="AC332" i="4" s="1"/>
  <c r="AF333" i="3"/>
  <c r="AF333" i="4" s="1"/>
  <c r="AC336" i="3"/>
  <c r="AC336" i="4" s="1"/>
  <c r="AF337" i="3"/>
  <c r="AF337" i="4" s="1"/>
  <c r="AC340" i="3"/>
  <c r="AC340" i="4" s="1"/>
  <c r="AF341" i="3"/>
  <c r="AF341" i="4" s="1"/>
  <c r="AC344" i="3"/>
  <c r="AC344" i="4" s="1"/>
  <c r="AF345" i="3"/>
  <c r="AF345" i="4" s="1"/>
  <c r="AC348" i="3"/>
  <c r="AC348" i="4" s="1"/>
  <c r="J505" i="3"/>
  <c r="J505" i="4" s="1"/>
  <c r="A506" i="3"/>
  <c r="A506" i="4" s="1"/>
  <c r="Y506" i="3"/>
  <c r="Y506" i="4" s="1"/>
  <c r="P507" i="3"/>
  <c r="P507" i="4" s="1"/>
  <c r="AB507" i="3"/>
  <c r="AB507" i="4" s="1"/>
  <c r="S508" i="3"/>
  <c r="S508" i="4" s="1"/>
  <c r="J509" i="3"/>
  <c r="J509" i="4" s="1"/>
  <c r="A510" i="3"/>
  <c r="A510" i="4" s="1"/>
  <c r="Y510" i="3"/>
  <c r="Y510" i="4" s="1"/>
  <c r="P511" i="3"/>
  <c r="P511" i="4" s="1"/>
  <c r="G512" i="3"/>
  <c r="G512" i="4" s="1"/>
  <c r="AE512" i="3"/>
  <c r="AE512" i="4" s="1"/>
  <c r="V513" i="3"/>
  <c r="V513" i="4" s="1"/>
  <c r="M514" i="3"/>
  <c r="M514" i="4" s="1"/>
  <c r="D515" i="3"/>
  <c r="D515" i="4" s="1"/>
  <c r="AB515" i="3"/>
  <c r="AB515" i="4" s="1"/>
  <c r="S516" i="3"/>
  <c r="S516" i="4" s="1"/>
  <c r="J517" i="3"/>
  <c r="J517" i="4" s="1"/>
  <c r="V517" i="3"/>
  <c r="V517" i="4" s="1"/>
  <c r="M518" i="3"/>
  <c r="M518" i="4" s="1"/>
  <c r="D519" i="3"/>
  <c r="D519" i="4" s="1"/>
  <c r="AB519" i="3"/>
  <c r="AB519" i="4" s="1"/>
  <c r="S520" i="3"/>
  <c r="S520" i="4" s="1"/>
  <c r="J521" i="3"/>
  <c r="J521" i="4" s="1"/>
  <c r="A522" i="3"/>
  <c r="A522" i="4" s="1"/>
  <c r="Y522" i="3"/>
  <c r="Y522" i="4" s="1"/>
  <c r="P523" i="3"/>
  <c r="P523" i="4" s="1"/>
  <c r="G524" i="3"/>
  <c r="G524" i="4" s="1"/>
  <c r="AE524" i="3"/>
  <c r="AE524" i="4" s="1"/>
  <c r="V525" i="3"/>
  <c r="V525" i="4" s="1"/>
  <c r="M526" i="3"/>
  <c r="M526" i="4" s="1"/>
  <c r="D527" i="3"/>
  <c r="D527" i="4" s="1"/>
  <c r="AB527" i="3"/>
  <c r="AB527" i="4" s="1"/>
  <c r="S528" i="3"/>
  <c r="S528" i="4" s="1"/>
  <c r="J529" i="3"/>
  <c r="J529" i="4" s="1"/>
  <c r="V529" i="3"/>
  <c r="V529" i="4" s="1"/>
  <c r="M530" i="3"/>
  <c r="M530" i="4" s="1"/>
  <c r="D531" i="3"/>
  <c r="D531" i="4" s="1"/>
  <c r="AB531" i="3"/>
  <c r="AB531" i="4" s="1"/>
  <c r="S532" i="3"/>
  <c r="S532" i="4" s="1"/>
  <c r="J533" i="3"/>
  <c r="J533" i="4" s="1"/>
  <c r="A534" i="3"/>
  <c r="A534" i="4" s="1"/>
  <c r="Y534" i="3"/>
  <c r="Y534" i="4" s="1"/>
  <c r="AE540" i="3"/>
  <c r="AE540" i="4" s="1"/>
  <c r="AE544" i="3"/>
  <c r="AE544" i="4" s="1"/>
  <c r="AE548" i="3"/>
  <c r="AE548" i="4" s="1"/>
  <c r="AE556" i="3"/>
  <c r="AE556" i="4" s="1"/>
  <c r="AE564" i="3"/>
  <c r="AE564" i="4" s="1"/>
  <c r="AE580" i="3"/>
  <c r="AE580" i="4" s="1"/>
  <c r="AE596" i="3"/>
  <c r="AE596" i="4" s="1"/>
  <c r="AE600" i="3"/>
  <c r="AE600" i="4" s="1"/>
  <c r="AE608" i="3"/>
  <c r="AE608" i="4" s="1"/>
  <c r="AE612" i="3"/>
  <c r="AE612" i="4" s="1"/>
  <c r="AE620" i="3"/>
  <c r="AE620" i="4" s="1"/>
  <c r="AE624" i="3"/>
  <c r="AE624" i="4" s="1"/>
  <c r="AE628" i="3"/>
  <c r="AE628" i="4" s="1"/>
  <c r="AE640" i="3"/>
  <c r="AE640" i="4" s="1"/>
  <c r="AE652" i="3"/>
  <c r="AE652" i="4" s="1"/>
  <c r="AE660" i="3"/>
  <c r="AE660" i="4" s="1"/>
  <c r="AE668" i="3"/>
  <c r="AE668" i="4" s="1"/>
  <c r="AE676" i="3"/>
  <c r="AE676" i="4" s="1"/>
  <c r="AE680" i="3"/>
  <c r="AE680" i="4" s="1"/>
  <c r="AE684" i="3"/>
  <c r="AE684" i="4" s="1"/>
  <c r="AE692" i="3"/>
  <c r="AE692" i="4" s="1"/>
  <c r="AE696" i="3"/>
  <c r="AE696" i="4" s="1"/>
  <c r="AE704" i="3"/>
  <c r="AE704" i="4" s="1"/>
  <c r="AE712" i="3"/>
  <c r="AE712" i="4" s="1"/>
  <c r="AE716" i="3"/>
  <c r="AE716" i="4" s="1"/>
  <c r="AE724" i="3"/>
  <c r="AE724" i="4" s="1"/>
  <c r="AE728" i="3"/>
  <c r="AE728" i="4" s="1"/>
  <c r="AE736" i="3"/>
  <c r="AE736" i="4" s="1"/>
  <c r="AE744" i="3"/>
  <c r="AE744" i="4" s="1"/>
  <c r="AE748" i="3"/>
  <c r="AE748" i="4" s="1"/>
  <c r="AE504" i="3"/>
  <c r="AE504" i="4" s="1"/>
  <c r="V505" i="3"/>
  <c r="V505" i="4" s="1"/>
  <c r="M506" i="3"/>
  <c r="M506" i="4" s="1"/>
  <c r="D507" i="3"/>
  <c r="D507" i="4" s="1"/>
  <c r="G508" i="3"/>
  <c r="G508" i="4" s="1"/>
  <c r="AE508" i="3"/>
  <c r="AE508" i="4" s="1"/>
  <c r="V509" i="3"/>
  <c r="V509" i="4" s="1"/>
  <c r="M510" i="3"/>
  <c r="M510" i="4" s="1"/>
  <c r="D511" i="3"/>
  <c r="D511" i="4" s="1"/>
  <c r="AB511" i="3"/>
  <c r="AB511" i="4" s="1"/>
  <c r="S512" i="3"/>
  <c r="S512" i="4" s="1"/>
  <c r="J513" i="3"/>
  <c r="J513" i="4" s="1"/>
  <c r="A514" i="3"/>
  <c r="A514" i="4" s="1"/>
  <c r="Y514" i="3"/>
  <c r="Y514" i="4" s="1"/>
  <c r="P515" i="3"/>
  <c r="P515" i="4" s="1"/>
  <c r="G516" i="3"/>
  <c r="G516" i="4" s="1"/>
  <c r="AE516" i="3"/>
  <c r="AE516" i="4" s="1"/>
  <c r="A518" i="3"/>
  <c r="A518" i="4" s="1"/>
  <c r="Y518" i="3"/>
  <c r="Y518" i="4" s="1"/>
  <c r="P519" i="3"/>
  <c r="P519" i="4" s="1"/>
  <c r="G520" i="3"/>
  <c r="G520" i="4" s="1"/>
  <c r="AE520" i="3"/>
  <c r="AE520" i="4" s="1"/>
  <c r="V521" i="3"/>
  <c r="V521" i="4" s="1"/>
  <c r="M522" i="3"/>
  <c r="M522" i="4" s="1"/>
  <c r="D523" i="3"/>
  <c r="D523" i="4" s="1"/>
  <c r="AB523" i="3"/>
  <c r="AB523" i="4" s="1"/>
  <c r="S524" i="3"/>
  <c r="S524" i="4" s="1"/>
  <c r="J525" i="3"/>
  <c r="J525" i="4" s="1"/>
  <c r="A526" i="3"/>
  <c r="A526" i="4" s="1"/>
  <c r="Y526" i="3"/>
  <c r="Y526" i="4" s="1"/>
  <c r="P527" i="3"/>
  <c r="P527" i="4" s="1"/>
  <c r="G528" i="3"/>
  <c r="G528" i="4" s="1"/>
  <c r="AE528" i="3"/>
  <c r="AE528" i="4" s="1"/>
  <c r="A530" i="3"/>
  <c r="A530" i="4" s="1"/>
  <c r="Y530" i="3"/>
  <c r="Y530" i="4" s="1"/>
  <c r="P531" i="3"/>
  <c r="P531" i="4" s="1"/>
  <c r="G532" i="3"/>
  <c r="G532" i="4" s="1"/>
  <c r="AE532" i="3"/>
  <c r="AE532" i="4" s="1"/>
  <c r="V533" i="3"/>
  <c r="V533" i="4" s="1"/>
  <c r="M534" i="3"/>
  <c r="M534" i="4" s="1"/>
  <c r="D535" i="3"/>
  <c r="D535" i="4" s="1"/>
  <c r="AE536" i="3"/>
  <c r="AE536" i="4" s="1"/>
  <c r="AE552" i="3"/>
  <c r="AE552" i="4" s="1"/>
  <c r="AE572" i="3"/>
  <c r="AE572" i="4" s="1"/>
  <c r="AE576" i="3"/>
  <c r="AE576" i="4" s="1"/>
  <c r="AE584" i="3"/>
  <c r="AE584" i="4" s="1"/>
  <c r="AE588" i="3"/>
  <c r="AE588" i="4" s="1"/>
  <c r="AE592" i="3"/>
  <c r="AE592" i="4" s="1"/>
  <c r="AE632" i="3"/>
  <c r="AE632" i="4" s="1"/>
  <c r="AE636" i="3"/>
  <c r="AE636" i="4" s="1"/>
  <c r="AE648" i="3"/>
  <c r="AE648" i="4" s="1"/>
  <c r="AE656" i="3"/>
  <c r="AE656" i="4" s="1"/>
  <c r="AE672" i="3"/>
  <c r="AE672" i="4" s="1"/>
  <c r="AE663" i="3"/>
  <c r="AE663" i="4" s="1"/>
  <c r="AD753" i="3"/>
  <c r="AD753" i="4" s="1"/>
  <c r="AC550" i="3"/>
  <c r="AC550" i="4" s="1"/>
  <c r="AD527" i="3"/>
  <c r="AD527" i="4" s="1"/>
  <c r="AD555" i="3"/>
  <c r="AD555" i="4" s="1"/>
  <c r="AD563" i="3"/>
  <c r="AD563" i="4" s="1"/>
  <c r="AD579" i="3"/>
  <c r="AD579" i="4" s="1"/>
  <c r="AD591" i="3"/>
  <c r="AD591" i="4" s="1"/>
  <c r="AD631" i="3"/>
  <c r="AD631" i="4" s="1"/>
  <c r="M688" i="3"/>
  <c r="M688" i="4" s="1"/>
  <c r="Y688" i="3"/>
  <c r="Y688" i="4" s="1"/>
  <c r="D689" i="3"/>
  <c r="D689" i="4" s="1"/>
  <c r="P689" i="3"/>
  <c r="P689" i="4" s="1"/>
  <c r="AB689" i="3"/>
  <c r="AB689" i="4" s="1"/>
  <c r="G690" i="3"/>
  <c r="G690" i="4" s="1"/>
  <c r="S690" i="3"/>
  <c r="S690" i="4" s="1"/>
  <c r="AE690" i="3"/>
  <c r="AE690" i="4" s="1"/>
  <c r="J691" i="3"/>
  <c r="J691" i="4" s="1"/>
  <c r="V691" i="3"/>
  <c r="V691" i="4" s="1"/>
  <c r="A692" i="3"/>
  <c r="A692" i="4" s="1"/>
  <c r="M692" i="3"/>
  <c r="M692" i="4" s="1"/>
  <c r="Y692" i="3"/>
  <c r="Y692" i="4" s="1"/>
  <c r="D693" i="3"/>
  <c r="D693" i="4" s="1"/>
  <c r="P693" i="3"/>
  <c r="P693" i="4" s="1"/>
  <c r="AB693" i="3"/>
  <c r="AB693" i="4" s="1"/>
  <c r="G694" i="3"/>
  <c r="G694" i="4" s="1"/>
  <c r="S694" i="3"/>
  <c r="S694" i="4" s="1"/>
  <c r="J695" i="3"/>
  <c r="J695" i="4" s="1"/>
  <c r="V695" i="3"/>
  <c r="V695" i="4" s="1"/>
  <c r="A696" i="3"/>
  <c r="A696" i="4" s="1"/>
  <c r="M696" i="3"/>
  <c r="M696" i="4" s="1"/>
  <c r="Y696" i="3"/>
  <c r="Y696" i="4" s="1"/>
  <c r="D697" i="3"/>
  <c r="D697" i="4" s="1"/>
  <c r="P697" i="3"/>
  <c r="P697" i="4" s="1"/>
  <c r="AB697" i="3"/>
  <c r="AB697" i="4" s="1"/>
  <c r="G698" i="3"/>
  <c r="G698" i="4" s="1"/>
  <c r="S698" i="3"/>
  <c r="S698" i="4" s="1"/>
  <c r="J699" i="3"/>
  <c r="J699" i="4" s="1"/>
  <c r="V699" i="3"/>
  <c r="V699" i="4" s="1"/>
  <c r="A700" i="3"/>
  <c r="A700" i="4" s="1"/>
  <c r="M700" i="3"/>
  <c r="M700" i="4" s="1"/>
  <c r="Y700" i="3"/>
  <c r="Y700" i="4" s="1"/>
  <c r="D701" i="3"/>
  <c r="D701" i="4" s="1"/>
  <c r="P701" i="3"/>
  <c r="P701" i="4" s="1"/>
  <c r="AB701" i="3"/>
  <c r="AB701" i="4" s="1"/>
  <c r="G702" i="3"/>
  <c r="G702" i="4" s="1"/>
  <c r="S702" i="3"/>
  <c r="S702" i="4" s="1"/>
  <c r="AE702" i="3"/>
  <c r="AE702" i="4" s="1"/>
  <c r="J703" i="3"/>
  <c r="J703" i="4" s="1"/>
  <c r="V703" i="3"/>
  <c r="V703" i="4" s="1"/>
  <c r="A704" i="3"/>
  <c r="A704" i="4" s="1"/>
  <c r="M704" i="3"/>
  <c r="M704" i="4" s="1"/>
  <c r="Y704" i="3"/>
  <c r="Y704" i="4" s="1"/>
  <c r="AD711" i="3"/>
  <c r="AD711" i="4" s="1"/>
  <c r="AD727" i="3"/>
  <c r="AD727" i="4" s="1"/>
  <c r="AD735" i="3"/>
  <c r="AD735" i="4" s="1"/>
  <c r="AC707" i="3"/>
  <c r="AC707" i="4" s="1"/>
  <c r="AF494" i="3"/>
  <c r="AF494" i="4" s="1"/>
  <c r="AC497" i="3"/>
  <c r="AC497" i="4" s="1"/>
  <c r="AF498" i="3"/>
  <c r="AF498" i="4" s="1"/>
  <c r="AC501" i="3"/>
  <c r="AC501" i="4" s="1"/>
  <c r="AF502" i="3"/>
  <c r="AF502" i="4" s="1"/>
  <c r="AC505" i="3"/>
  <c r="AC505" i="4" s="1"/>
  <c r="AF506" i="3"/>
  <c r="AF506" i="4" s="1"/>
  <c r="AC509" i="3"/>
  <c r="AC509" i="4" s="1"/>
  <c r="AF510" i="3"/>
  <c r="AF510" i="4" s="1"/>
  <c r="AC513" i="3"/>
  <c r="AC513" i="4" s="1"/>
  <c r="AF514" i="3"/>
  <c r="AF514" i="4" s="1"/>
  <c r="AC517" i="3"/>
  <c r="AC517" i="4" s="1"/>
  <c r="AF518" i="3"/>
  <c r="AF518" i="4" s="1"/>
  <c r="AC521" i="3"/>
  <c r="AC521" i="4" s="1"/>
  <c r="AF522" i="3"/>
  <c r="AF522" i="4" s="1"/>
  <c r="AC525" i="3"/>
  <c r="AC525" i="4" s="1"/>
  <c r="AF526" i="3"/>
  <c r="AF526" i="4" s="1"/>
  <c r="AC529" i="3"/>
  <c r="AC529" i="4" s="1"/>
  <c r="AF530" i="3"/>
  <c r="AF530" i="4" s="1"/>
  <c r="AE752" i="3"/>
  <c r="AE752" i="4" s="1"/>
  <c r="AE750" i="3"/>
  <c r="AE750" i="4" s="1"/>
  <c r="AF349" i="3"/>
  <c r="AF349" i="4" s="1"/>
  <c r="AC352" i="3"/>
  <c r="AC352" i="4" s="1"/>
  <c r="AF353" i="3"/>
  <c r="AF353" i="4" s="1"/>
  <c r="AC356" i="3"/>
  <c r="AC356" i="4" s="1"/>
  <c r="AF357" i="3"/>
  <c r="AF357" i="4" s="1"/>
  <c r="AC360" i="3"/>
  <c r="AC360" i="4" s="1"/>
  <c r="AF361" i="3"/>
  <c r="AF361" i="4" s="1"/>
  <c r="AC364" i="3"/>
  <c r="AC364" i="4" s="1"/>
  <c r="AF365" i="3"/>
  <c r="AF365" i="4" s="1"/>
  <c r="AC368" i="3"/>
  <c r="AC368" i="4" s="1"/>
  <c r="AF369" i="3"/>
  <c r="AF369" i="4" s="1"/>
  <c r="AC372" i="3"/>
  <c r="AC372" i="4" s="1"/>
  <c r="AF373" i="3"/>
  <c r="AF373" i="4" s="1"/>
  <c r="AC376" i="3"/>
  <c r="AC376" i="4" s="1"/>
  <c r="AF377" i="3"/>
  <c r="AF377" i="4" s="1"/>
  <c r="AC380" i="3"/>
  <c r="AC380" i="4" s="1"/>
  <c r="AF381" i="3"/>
  <c r="AF381" i="4" s="1"/>
  <c r="AC384" i="3"/>
  <c r="AC384" i="4" s="1"/>
  <c r="AF385" i="3"/>
  <c r="AF385" i="4" s="1"/>
  <c r="AC388" i="3"/>
  <c r="AC388" i="4" s="1"/>
  <c r="AF389" i="3"/>
  <c r="AF389" i="4" s="1"/>
  <c r="AC392" i="3"/>
  <c r="AC392" i="4" s="1"/>
  <c r="AF393" i="3"/>
  <c r="AF393" i="4" s="1"/>
  <c r="AC396" i="3"/>
  <c r="AC396" i="4" s="1"/>
  <c r="AF397" i="3"/>
  <c r="AF397" i="4" s="1"/>
  <c r="AC400" i="3"/>
  <c r="AC400" i="4" s="1"/>
  <c r="AF401" i="3"/>
  <c r="AF401" i="4" s="1"/>
  <c r="AC404" i="3"/>
  <c r="AC404" i="4" s="1"/>
  <c r="AF405" i="3"/>
  <c r="AF405" i="4" s="1"/>
  <c r="AC408" i="3"/>
  <c r="AC408" i="4" s="1"/>
  <c r="AF409" i="3"/>
  <c r="AF409" i="4" s="1"/>
  <c r="AC412" i="3"/>
  <c r="AC412" i="4" s="1"/>
  <c r="AF413" i="3"/>
  <c r="AF413" i="4" s="1"/>
  <c r="AC420" i="3"/>
  <c r="AC420" i="4" s="1"/>
  <c r="AF425" i="3"/>
  <c r="AF425" i="4" s="1"/>
  <c r="AF433" i="3"/>
  <c r="AF433" i="4" s="1"/>
  <c r="AF437" i="3"/>
  <c r="AF437" i="4" s="1"/>
  <c r="AF441" i="3"/>
  <c r="AF441" i="4" s="1"/>
  <c r="AF445" i="3"/>
  <c r="AF445" i="4" s="1"/>
  <c r="AC452" i="3"/>
  <c r="AC452" i="4" s="1"/>
  <c r="AF453" i="3"/>
  <c r="AF453" i="4" s="1"/>
  <c r="AC456" i="3"/>
  <c r="AC456" i="4" s="1"/>
  <c r="AF465" i="3"/>
  <c r="AF465" i="4" s="1"/>
  <c r="AF473" i="3"/>
  <c r="AF473" i="4" s="1"/>
  <c r="AF481" i="3"/>
  <c r="AF481" i="4" s="1"/>
  <c r="AC484" i="3"/>
  <c r="AC484" i="4" s="1"/>
  <c r="AF485" i="3"/>
  <c r="AF485" i="4" s="1"/>
  <c r="AF489" i="3"/>
  <c r="AF489" i="4" s="1"/>
  <c r="AC492" i="3"/>
  <c r="AC492" i="4" s="1"/>
  <c r="AF509" i="3"/>
  <c r="AF509" i="4" s="1"/>
  <c r="AC516" i="3"/>
  <c r="AC516" i="4" s="1"/>
  <c r="AC520" i="3"/>
  <c r="AC520" i="4" s="1"/>
  <c r="AF521" i="3"/>
  <c r="AF521" i="4" s="1"/>
  <c r="AF525" i="3"/>
  <c r="AF525" i="4" s="1"/>
  <c r="AC532" i="3"/>
  <c r="AC532" i="4" s="1"/>
  <c r="AF533" i="3"/>
  <c r="AF533" i="4" s="1"/>
  <c r="AC536" i="3"/>
  <c r="AC536" i="4" s="1"/>
  <c r="AF545" i="3"/>
  <c r="AF545" i="4" s="1"/>
  <c r="AF557" i="3"/>
  <c r="AF557" i="4" s="1"/>
  <c r="AF561" i="3"/>
  <c r="AF561" i="4" s="1"/>
  <c r="AF569" i="3"/>
  <c r="AF569" i="4" s="1"/>
  <c r="AF573" i="3"/>
  <c r="AF573" i="4" s="1"/>
  <c r="AC576" i="3"/>
  <c r="AC576" i="4" s="1"/>
  <c r="AC580" i="3"/>
  <c r="AC580" i="4" s="1"/>
  <c r="AF581" i="3"/>
  <c r="AF581" i="4" s="1"/>
  <c r="AC588" i="3"/>
  <c r="AC588" i="4" s="1"/>
  <c r="AF689" i="3"/>
  <c r="AF689" i="4" s="1"/>
  <c r="AC696" i="3"/>
  <c r="AC696" i="4" s="1"/>
  <c r="AC700" i="3"/>
  <c r="AC700" i="4" s="1"/>
  <c r="AF701" i="3"/>
  <c r="AF701" i="4" s="1"/>
  <c r="AF705" i="3"/>
  <c r="AF705" i="4" s="1"/>
  <c r="AC712" i="3"/>
  <c r="AC712" i="4" s="1"/>
  <c r="AC716" i="3"/>
  <c r="AC716" i="4" s="1"/>
  <c r="AF717" i="3"/>
  <c r="AF717" i="4" s="1"/>
  <c r="AC720" i="3"/>
  <c r="AC720" i="4" s="1"/>
  <c r="AF721" i="3"/>
  <c r="AF721" i="4" s="1"/>
  <c r="AC724" i="3"/>
  <c r="AC724" i="4" s="1"/>
  <c r="AC728" i="3"/>
  <c r="AC728" i="4" s="1"/>
  <c r="AF729" i="3"/>
  <c r="AF729" i="4" s="1"/>
  <c r="AC732" i="3"/>
  <c r="AC732" i="4" s="1"/>
  <c r="AF733" i="3"/>
  <c r="AF733" i="4" s="1"/>
  <c r="AF741" i="3"/>
  <c r="AF741" i="4" s="1"/>
  <c r="AF745" i="3"/>
  <c r="AF745" i="4" s="1"/>
  <c r="AC748" i="3"/>
  <c r="AC748" i="4" s="1"/>
  <c r="G440" i="3"/>
  <c r="G440" i="4" s="1"/>
  <c r="AE4" i="3"/>
  <c r="AE4" i="4" s="1"/>
  <c r="AE8" i="3"/>
  <c r="AE8" i="4" s="1"/>
  <c r="AE12" i="3"/>
  <c r="AE12" i="4" s="1"/>
  <c r="AE16" i="3"/>
  <c r="AE16" i="4" s="1"/>
  <c r="AE20" i="3"/>
  <c r="AE20" i="4" s="1"/>
  <c r="AE24" i="3"/>
  <c r="AE24" i="4" s="1"/>
  <c r="AE28" i="3"/>
  <c r="AE28" i="4" s="1"/>
  <c r="AE32" i="3"/>
  <c r="AE32" i="4" s="1"/>
  <c r="AE36" i="3"/>
  <c r="AE36" i="4" s="1"/>
  <c r="AE40" i="3"/>
  <c r="AE40" i="4" s="1"/>
  <c r="AE44" i="3"/>
  <c r="AE44" i="4" s="1"/>
  <c r="AE48" i="3"/>
  <c r="AE48" i="4" s="1"/>
  <c r="AE52" i="3"/>
  <c r="AE52" i="4" s="1"/>
  <c r="AE56" i="3"/>
  <c r="AE56" i="4" s="1"/>
  <c r="AE60" i="3"/>
  <c r="AE60" i="4" s="1"/>
  <c r="AE64" i="3"/>
  <c r="AE64" i="4" s="1"/>
  <c r="AE68" i="3"/>
  <c r="AE68" i="4" s="1"/>
  <c r="AB471" i="3"/>
  <c r="AB471" i="4" s="1"/>
  <c r="AE72" i="3"/>
  <c r="AE72" i="4" s="1"/>
  <c r="AE76" i="3"/>
  <c r="AE76" i="4" s="1"/>
  <c r="AE80" i="3"/>
  <c r="AE80" i="4" s="1"/>
  <c r="AE84" i="3"/>
  <c r="AE84" i="4" s="1"/>
  <c r="AE88" i="3"/>
  <c r="AE88" i="4" s="1"/>
  <c r="AE92" i="3"/>
  <c r="AE92" i="4" s="1"/>
  <c r="AE96" i="3"/>
  <c r="AE96" i="4" s="1"/>
  <c r="AE100" i="3"/>
  <c r="AE100" i="4" s="1"/>
  <c r="AE104" i="3"/>
  <c r="AE104" i="4" s="1"/>
  <c r="AE108" i="3"/>
  <c r="AE108" i="4" s="1"/>
  <c r="AE112" i="3"/>
  <c r="AE112" i="4" s="1"/>
  <c r="AE116" i="3"/>
  <c r="AE116" i="4" s="1"/>
  <c r="AE120" i="3"/>
  <c r="AE120" i="4" s="1"/>
  <c r="AE124" i="3"/>
  <c r="AE124" i="4" s="1"/>
  <c r="AE128" i="3"/>
  <c r="AE128" i="4" s="1"/>
  <c r="AE132" i="3"/>
  <c r="AE132" i="4" s="1"/>
  <c r="AE136" i="3"/>
  <c r="AE136" i="4" s="1"/>
  <c r="AE140" i="3"/>
  <c r="AE140" i="4" s="1"/>
  <c r="AE144" i="3"/>
  <c r="AE144" i="4" s="1"/>
  <c r="AE148" i="3"/>
  <c r="AE148" i="4" s="1"/>
  <c r="AE152" i="3"/>
  <c r="AE152" i="4" s="1"/>
  <c r="AE156" i="3"/>
  <c r="AE156" i="4" s="1"/>
  <c r="AE160" i="3"/>
  <c r="AE160" i="4" s="1"/>
  <c r="AE164" i="3"/>
  <c r="AE164" i="4" s="1"/>
  <c r="AE168" i="3"/>
  <c r="AE168" i="4" s="1"/>
  <c r="AE172" i="3"/>
  <c r="AE172" i="4" s="1"/>
  <c r="AE176" i="3"/>
  <c r="AE176" i="4" s="1"/>
  <c r="AE180" i="3"/>
  <c r="AE180" i="4" s="1"/>
  <c r="AE184" i="3"/>
  <c r="AE184" i="4" s="1"/>
  <c r="AE188" i="3"/>
  <c r="AE188" i="4" s="1"/>
  <c r="AE192" i="3"/>
  <c r="AE192" i="4" s="1"/>
  <c r="AE196" i="3"/>
  <c r="AE196" i="4" s="1"/>
  <c r="AE200" i="3"/>
  <c r="AE200" i="4" s="1"/>
  <c r="AE204" i="3"/>
  <c r="AE204" i="4" s="1"/>
  <c r="AE208" i="3"/>
  <c r="AE208" i="4" s="1"/>
  <c r="AE212" i="3"/>
  <c r="AE212" i="4" s="1"/>
  <c r="AE216" i="3"/>
  <c r="AE216" i="4" s="1"/>
  <c r="AE220" i="3"/>
  <c r="AE220" i="4" s="1"/>
  <c r="AE224" i="3"/>
  <c r="AE224" i="4" s="1"/>
  <c r="AE228" i="3"/>
  <c r="AE228" i="4" s="1"/>
  <c r="AE232" i="3"/>
  <c r="AE232" i="4" s="1"/>
  <c r="AE236" i="3"/>
  <c r="AE236" i="4" s="1"/>
  <c r="AE240" i="3"/>
  <c r="AE240" i="4" s="1"/>
  <c r="AE244" i="3"/>
  <c r="AE244" i="4" s="1"/>
  <c r="AE248" i="3"/>
  <c r="AE248" i="4" s="1"/>
  <c r="AE252" i="3"/>
  <c r="AE252" i="4" s="1"/>
  <c r="AE256" i="3"/>
  <c r="AE256" i="4" s="1"/>
  <c r="AE260" i="3"/>
  <c r="AE260" i="4" s="1"/>
  <c r="AE264" i="3"/>
  <c r="AE264" i="4" s="1"/>
  <c r="AE268" i="3"/>
  <c r="AE268" i="4" s="1"/>
  <c r="AE272" i="3"/>
  <c r="AE272" i="4" s="1"/>
  <c r="AE276" i="3"/>
  <c r="AE276" i="4" s="1"/>
  <c r="AE280" i="3"/>
  <c r="AE280" i="4" s="1"/>
  <c r="AE284" i="3"/>
  <c r="AE284" i="4" s="1"/>
  <c r="AE288" i="3"/>
  <c r="AE288" i="4" s="1"/>
  <c r="AE292" i="3"/>
  <c r="AE292" i="4" s="1"/>
  <c r="AE296" i="3"/>
  <c r="AE296" i="4" s="1"/>
  <c r="AE300" i="3"/>
  <c r="AE300" i="4" s="1"/>
  <c r="AE304" i="3"/>
  <c r="AE304" i="4" s="1"/>
  <c r="AE308" i="3"/>
  <c r="AE308" i="4" s="1"/>
  <c r="AE312" i="3"/>
  <c r="AE312" i="4" s="1"/>
  <c r="AE316" i="3"/>
  <c r="AE316" i="4" s="1"/>
  <c r="AE320" i="3"/>
  <c r="AE320" i="4" s="1"/>
  <c r="AE324" i="3"/>
  <c r="AE324" i="4" s="1"/>
  <c r="AE328" i="3"/>
  <c r="AE328" i="4" s="1"/>
  <c r="AE332" i="3"/>
  <c r="AE332" i="4" s="1"/>
  <c r="AE336" i="3"/>
  <c r="AE336" i="4" s="1"/>
  <c r="AE340" i="3"/>
  <c r="AE340" i="4" s="1"/>
  <c r="AE344" i="3"/>
  <c r="AE344" i="4" s="1"/>
  <c r="AE348" i="3"/>
  <c r="AE348" i="4" s="1"/>
  <c r="AE352" i="3"/>
  <c r="AE352" i="4" s="1"/>
  <c r="AE356" i="3"/>
  <c r="AE356" i="4" s="1"/>
  <c r="AE360" i="3"/>
  <c r="AE360" i="4" s="1"/>
  <c r="AE364" i="3"/>
  <c r="AE364" i="4" s="1"/>
  <c r="AE368" i="3"/>
  <c r="AE368" i="4" s="1"/>
  <c r="AE372" i="3"/>
  <c r="AE372" i="4" s="1"/>
  <c r="AE376" i="3"/>
  <c r="AE376" i="4" s="1"/>
  <c r="AE380" i="3"/>
  <c r="AE380" i="4" s="1"/>
  <c r="AE384" i="3"/>
  <c r="AE384" i="4" s="1"/>
  <c r="AE388" i="3"/>
  <c r="AE388" i="4" s="1"/>
  <c r="AE392" i="3"/>
  <c r="AE392" i="4" s="1"/>
  <c r="AE396" i="3"/>
  <c r="AE396" i="4" s="1"/>
  <c r="AE400" i="3"/>
  <c r="AE400" i="4" s="1"/>
  <c r="AE404" i="3"/>
  <c r="AE404" i="4" s="1"/>
  <c r="AE408" i="3"/>
  <c r="AE408" i="4" s="1"/>
  <c r="J409" i="3"/>
  <c r="J409" i="4" s="1"/>
  <c r="V409" i="3"/>
  <c r="V409" i="4" s="1"/>
  <c r="A410" i="3"/>
  <c r="A410" i="4" s="1"/>
  <c r="M410" i="3"/>
  <c r="M410" i="4" s="1"/>
  <c r="Y410" i="3"/>
  <c r="Y410" i="4" s="1"/>
  <c r="D411" i="3"/>
  <c r="D411" i="4" s="1"/>
  <c r="P411" i="3"/>
  <c r="P411" i="4" s="1"/>
  <c r="AB411" i="3"/>
  <c r="AB411" i="4" s="1"/>
  <c r="G412" i="3"/>
  <c r="G412" i="4" s="1"/>
  <c r="S412" i="3"/>
  <c r="S412" i="4" s="1"/>
  <c r="AE412" i="3"/>
  <c r="AE412" i="4" s="1"/>
  <c r="J413" i="3"/>
  <c r="J413" i="4" s="1"/>
  <c r="V413" i="3"/>
  <c r="V413" i="4" s="1"/>
  <c r="A414" i="3"/>
  <c r="A414" i="4" s="1"/>
  <c r="M414" i="3"/>
  <c r="M414" i="4" s="1"/>
  <c r="Y414" i="3"/>
  <c r="Y414" i="4" s="1"/>
  <c r="D415" i="3"/>
  <c r="D415" i="4" s="1"/>
  <c r="P415" i="3"/>
  <c r="P415" i="4" s="1"/>
  <c r="AB415" i="3"/>
  <c r="AB415" i="4" s="1"/>
  <c r="G416" i="3"/>
  <c r="G416" i="4" s="1"/>
  <c r="S416" i="3"/>
  <c r="S416" i="4" s="1"/>
  <c r="AE416" i="3"/>
  <c r="AE416" i="4" s="1"/>
  <c r="J417" i="3"/>
  <c r="J417" i="4" s="1"/>
  <c r="V417" i="3"/>
  <c r="V417" i="4" s="1"/>
  <c r="A418" i="3"/>
  <c r="A418" i="4" s="1"/>
  <c r="M418" i="3"/>
  <c r="M418" i="4" s="1"/>
  <c r="Y418" i="3"/>
  <c r="Y418" i="4" s="1"/>
  <c r="D419" i="3"/>
  <c r="D419" i="4" s="1"/>
  <c r="P419" i="3"/>
  <c r="P419" i="4" s="1"/>
  <c r="AB419" i="3"/>
  <c r="AB419" i="4" s="1"/>
  <c r="G420" i="3"/>
  <c r="G420" i="4" s="1"/>
  <c r="S420" i="3"/>
  <c r="S420" i="4" s="1"/>
  <c r="AE420" i="3"/>
  <c r="AE420" i="4" s="1"/>
  <c r="J421" i="3"/>
  <c r="J421" i="4" s="1"/>
  <c r="V421" i="3"/>
  <c r="V421" i="4" s="1"/>
  <c r="A422" i="3"/>
  <c r="A422" i="4" s="1"/>
  <c r="M422" i="3"/>
  <c r="M422" i="4" s="1"/>
  <c r="Y422" i="3"/>
  <c r="Y422" i="4" s="1"/>
  <c r="D423" i="3"/>
  <c r="D423" i="4" s="1"/>
  <c r="P423" i="3"/>
  <c r="P423" i="4" s="1"/>
  <c r="AB423" i="3"/>
  <c r="AB423" i="4" s="1"/>
  <c r="G424" i="3"/>
  <c r="G424" i="4" s="1"/>
  <c r="S424" i="3"/>
  <c r="S424" i="4" s="1"/>
  <c r="J425" i="3"/>
  <c r="J425" i="4" s="1"/>
  <c r="V425" i="3"/>
  <c r="V425" i="4" s="1"/>
  <c r="A426" i="3"/>
  <c r="A426" i="4" s="1"/>
  <c r="M426" i="3"/>
  <c r="M426" i="4" s="1"/>
  <c r="Y426" i="3"/>
  <c r="Y426" i="4" s="1"/>
  <c r="D427" i="3"/>
  <c r="D427" i="4" s="1"/>
  <c r="P427" i="3"/>
  <c r="P427" i="4" s="1"/>
  <c r="AB427" i="3"/>
  <c r="AB427" i="4" s="1"/>
  <c r="G428" i="3"/>
  <c r="G428" i="4" s="1"/>
  <c r="S428" i="3"/>
  <c r="S428" i="4" s="1"/>
  <c r="AE428" i="3"/>
  <c r="AE428" i="4" s="1"/>
  <c r="J429" i="3"/>
  <c r="J429" i="4" s="1"/>
  <c r="V429" i="3"/>
  <c r="V429" i="4" s="1"/>
  <c r="A430" i="3"/>
  <c r="A430" i="4" s="1"/>
  <c r="M430" i="3"/>
  <c r="M430" i="4" s="1"/>
  <c r="Y430" i="3"/>
  <c r="Y430" i="4" s="1"/>
  <c r="D431" i="3"/>
  <c r="D431" i="4" s="1"/>
  <c r="P431" i="3"/>
  <c r="P431" i="4" s="1"/>
  <c r="AB431" i="3"/>
  <c r="AB431" i="4" s="1"/>
  <c r="G432" i="3"/>
  <c r="G432" i="4" s="1"/>
  <c r="S432" i="3"/>
  <c r="S432" i="4" s="1"/>
  <c r="AE432" i="3"/>
  <c r="AE432" i="4" s="1"/>
  <c r="J433" i="3"/>
  <c r="J433" i="4" s="1"/>
  <c r="V433" i="3"/>
  <c r="V433" i="4" s="1"/>
  <c r="A434" i="3"/>
  <c r="A434" i="4" s="1"/>
  <c r="M434" i="3"/>
  <c r="M434" i="4" s="1"/>
  <c r="Y434" i="3"/>
  <c r="Y434" i="4" s="1"/>
  <c r="D435" i="3"/>
  <c r="D435" i="4" s="1"/>
  <c r="P435" i="3"/>
  <c r="P435" i="4" s="1"/>
  <c r="AB435" i="3"/>
  <c r="AB435" i="4" s="1"/>
  <c r="G436" i="3"/>
  <c r="G436" i="4" s="1"/>
  <c r="S436" i="3"/>
  <c r="S436" i="4" s="1"/>
  <c r="AE436" i="3"/>
  <c r="AE436" i="4" s="1"/>
  <c r="J437" i="3"/>
  <c r="J437" i="4" s="1"/>
  <c r="V437" i="3"/>
  <c r="V437" i="4" s="1"/>
  <c r="A438" i="3"/>
  <c r="A438" i="4" s="1"/>
  <c r="M438" i="3"/>
  <c r="M438" i="4" s="1"/>
  <c r="Y438" i="3"/>
  <c r="Y438" i="4" s="1"/>
  <c r="D439" i="3"/>
  <c r="D439" i="4" s="1"/>
  <c r="P439" i="3"/>
  <c r="P439" i="4" s="1"/>
  <c r="AB439" i="3"/>
  <c r="AB439" i="4" s="1"/>
  <c r="S440" i="3"/>
  <c r="S440" i="4" s="1"/>
  <c r="G472" i="3"/>
  <c r="G472" i="4" s="1"/>
  <c r="AE440" i="3"/>
  <c r="AE440" i="4" s="1"/>
  <c r="J441" i="3"/>
  <c r="J441" i="4" s="1"/>
  <c r="V441" i="3"/>
  <c r="V441" i="4" s="1"/>
  <c r="A442" i="3"/>
  <c r="A442" i="4" s="1"/>
  <c r="M442" i="3"/>
  <c r="M442" i="4" s="1"/>
  <c r="Y442" i="3"/>
  <c r="Y442" i="4" s="1"/>
  <c r="D443" i="3"/>
  <c r="D443" i="4" s="1"/>
  <c r="P443" i="3"/>
  <c r="P443" i="4" s="1"/>
  <c r="AB443" i="3"/>
  <c r="AB443" i="4" s="1"/>
  <c r="G444" i="3"/>
  <c r="G444" i="4" s="1"/>
  <c r="S444" i="3"/>
  <c r="S444" i="4" s="1"/>
  <c r="AE444" i="3"/>
  <c r="AE444" i="4" s="1"/>
  <c r="J445" i="3"/>
  <c r="J445" i="4" s="1"/>
  <c r="V445" i="3"/>
  <c r="V445" i="4" s="1"/>
  <c r="A446" i="3"/>
  <c r="A446" i="4" s="1"/>
  <c r="M446" i="3"/>
  <c r="M446" i="4" s="1"/>
  <c r="Y446" i="3"/>
  <c r="Y446" i="4" s="1"/>
  <c r="D447" i="3"/>
  <c r="D447" i="4" s="1"/>
  <c r="P447" i="3"/>
  <c r="P447" i="4" s="1"/>
  <c r="AB447" i="3"/>
  <c r="AB447" i="4" s="1"/>
  <c r="G448" i="3"/>
  <c r="G448" i="4" s="1"/>
  <c r="S448" i="3"/>
  <c r="S448" i="4" s="1"/>
  <c r="AE448" i="3"/>
  <c r="AE448" i="4" s="1"/>
  <c r="J449" i="3"/>
  <c r="J449" i="4" s="1"/>
  <c r="V449" i="3"/>
  <c r="V449" i="4" s="1"/>
  <c r="A450" i="3"/>
  <c r="A450" i="4" s="1"/>
  <c r="M450" i="3"/>
  <c r="M450" i="4" s="1"/>
  <c r="Y450" i="3"/>
  <c r="Y450" i="4" s="1"/>
  <c r="D451" i="3"/>
  <c r="D451" i="4" s="1"/>
  <c r="P451" i="3"/>
  <c r="P451" i="4" s="1"/>
  <c r="AB451" i="3"/>
  <c r="AB451" i="4" s="1"/>
  <c r="G452" i="3"/>
  <c r="G452" i="4" s="1"/>
  <c r="S452" i="3"/>
  <c r="S452" i="4" s="1"/>
  <c r="AE452" i="3"/>
  <c r="AE452" i="4" s="1"/>
  <c r="J453" i="3"/>
  <c r="J453" i="4" s="1"/>
  <c r="V453" i="3"/>
  <c r="V453" i="4" s="1"/>
  <c r="A454" i="3"/>
  <c r="A454" i="4" s="1"/>
  <c r="M454" i="3"/>
  <c r="M454" i="4" s="1"/>
  <c r="Y454" i="3"/>
  <c r="Y454" i="4" s="1"/>
  <c r="D455" i="3"/>
  <c r="D455" i="4" s="1"/>
  <c r="P455" i="3"/>
  <c r="P455" i="4" s="1"/>
  <c r="AB455" i="3"/>
  <c r="AB455" i="4" s="1"/>
  <c r="G456" i="3"/>
  <c r="G456" i="4" s="1"/>
  <c r="S456" i="3"/>
  <c r="S456" i="4" s="1"/>
  <c r="AE456" i="3"/>
  <c r="AE456" i="4" s="1"/>
  <c r="J457" i="3"/>
  <c r="J457" i="4" s="1"/>
  <c r="V457" i="3"/>
  <c r="V457" i="4" s="1"/>
  <c r="A458" i="3"/>
  <c r="A458" i="4" s="1"/>
  <c r="M458" i="3"/>
  <c r="M458" i="4" s="1"/>
  <c r="Y458" i="3"/>
  <c r="Y458" i="4" s="1"/>
  <c r="D459" i="3"/>
  <c r="D459" i="4" s="1"/>
  <c r="P459" i="3"/>
  <c r="P459" i="4" s="1"/>
  <c r="AB459" i="3"/>
  <c r="AB459" i="4" s="1"/>
  <c r="G460" i="3"/>
  <c r="G460" i="4" s="1"/>
  <c r="S460" i="3"/>
  <c r="S460" i="4" s="1"/>
  <c r="AE460" i="3"/>
  <c r="AE460" i="4" s="1"/>
  <c r="J461" i="3"/>
  <c r="J461" i="4" s="1"/>
  <c r="V461" i="3"/>
  <c r="V461" i="4" s="1"/>
  <c r="A462" i="3"/>
  <c r="A462" i="4" s="1"/>
  <c r="M462" i="3"/>
  <c r="M462" i="4" s="1"/>
  <c r="Y462" i="3"/>
  <c r="Y462" i="4" s="1"/>
  <c r="D463" i="3"/>
  <c r="D463" i="4" s="1"/>
  <c r="P463" i="3"/>
  <c r="P463" i="4" s="1"/>
  <c r="AB463" i="3"/>
  <c r="AB463" i="4" s="1"/>
  <c r="G464" i="3"/>
  <c r="G464" i="4" s="1"/>
  <c r="S464" i="3"/>
  <c r="S464" i="4" s="1"/>
  <c r="AE464" i="3"/>
  <c r="AE464" i="4" s="1"/>
  <c r="J465" i="3"/>
  <c r="J465" i="4" s="1"/>
  <c r="V465" i="3"/>
  <c r="V465" i="4" s="1"/>
  <c r="A466" i="3"/>
  <c r="A466" i="4" s="1"/>
  <c r="M466" i="3"/>
  <c r="M466" i="4" s="1"/>
  <c r="Y466" i="3"/>
  <c r="Y466" i="4" s="1"/>
  <c r="D467" i="3"/>
  <c r="D467" i="4" s="1"/>
  <c r="P467" i="3"/>
  <c r="P467" i="4" s="1"/>
  <c r="AB467" i="3"/>
  <c r="AB467" i="4" s="1"/>
  <c r="G468" i="3"/>
  <c r="G468" i="4" s="1"/>
  <c r="S468" i="3"/>
  <c r="S468" i="4" s="1"/>
  <c r="AE468" i="3"/>
  <c r="AE468" i="4" s="1"/>
  <c r="J469" i="3"/>
  <c r="J469" i="4" s="1"/>
  <c r="V469" i="3"/>
  <c r="V469" i="4" s="1"/>
  <c r="A470" i="3"/>
  <c r="A470" i="4" s="1"/>
  <c r="M470" i="3"/>
  <c r="M470" i="4" s="1"/>
  <c r="Y470" i="3"/>
  <c r="Y470" i="4" s="1"/>
  <c r="D471" i="3"/>
  <c r="D471" i="4" s="1"/>
  <c r="P471" i="3"/>
  <c r="P471" i="4" s="1"/>
  <c r="AE267" i="3"/>
  <c r="AE267" i="4" s="1"/>
  <c r="S472" i="3"/>
  <c r="S472" i="4" s="1"/>
  <c r="J473" i="3"/>
  <c r="J473" i="4" s="1"/>
  <c r="A474" i="3"/>
  <c r="A474" i="4" s="1"/>
  <c r="M474" i="3"/>
  <c r="M474" i="4" s="1"/>
  <c r="D475" i="3"/>
  <c r="D475" i="4" s="1"/>
  <c r="P475" i="3"/>
  <c r="P475" i="4" s="1"/>
  <c r="AB475" i="3"/>
  <c r="AB475" i="4" s="1"/>
  <c r="G476" i="3"/>
  <c r="G476" i="4" s="1"/>
  <c r="S476" i="3"/>
  <c r="S476" i="4" s="1"/>
  <c r="AE476" i="3"/>
  <c r="AE476" i="4" s="1"/>
  <c r="J477" i="3"/>
  <c r="J477" i="4" s="1"/>
  <c r="V477" i="3"/>
  <c r="V477" i="4" s="1"/>
  <c r="A478" i="3"/>
  <c r="A478" i="4" s="1"/>
  <c r="M478" i="3"/>
  <c r="M478" i="4" s="1"/>
  <c r="Y478" i="3"/>
  <c r="Y478" i="4" s="1"/>
  <c r="D479" i="3"/>
  <c r="D479" i="4" s="1"/>
  <c r="AB479" i="3"/>
  <c r="AB479" i="4" s="1"/>
  <c r="G480" i="3"/>
  <c r="G480" i="4" s="1"/>
  <c r="S480" i="3"/>
  <c r="S480" i="4" s="1"/>
  <c r="AE480" i="3"/>
  <c r="AE480" i="4" s="1"/>
  <c r="J481" i="3"/>
  <c r="J481" i="4" s="1"/>
  <c r="V481" i="3"/>
  <c r="V481" i="4" s="1"/>
  <c r="A482" i="3"/>
  <c r="A482" i="4" s="1"/>
  <c r="M482" i="3"/>
  <c r="M482" i="4" s="1"/>
  <c r="Y482" i="3"/>
  <c r="Y482" i="4" s="1"/>
  <c r="D483" i="3"/>
  <c r="D483" i="4" s="1"/>
  <c r="P483" i="3"/>
  <c r="P483" i="4" s="1"/>
  <c r="AB483" i="3"/>
  <c r="AB483" i="4" s="1"/>
  <c r="G484" i="3"/>
  <c r="G484" i="4" s="1"/>
  <c r="S484" i="3"/>
  <c r="S484" i="4" s="1"/>
  <c r="AE484" i="3"/>
  <c r="AE484" i="4" s="1"/>
  <c r="J485" i="3"/>
  <c r="J485" i="4" s="1"/>
  <c r="V485" i="3"/>
  <c r="V485" i="4" s="1"/>
  <c r="A486" i="3"/>
  <c r="A486" i="4" s="1"/>
  <c r="M486" i="3"/>
  <c r="M486" i="4" s="1"/>
  <c r="Y486" i="3"/>
  <c r="Y486" i="4" s="1"/>
  <c r="D487" i="3"/>
  <c r="D487" i="4" s="1"/>
  <c r="P487" i="3"/>
  <c r="P487" i="4" s="1"/>
  <c r="AB487" i="3"/>
  <c r="AB487" i="4" s="1"/>
  <c r="G488" i="3"/>
  <c r="G488" i="4" s="1"/>
  <c r="S488" i="3"/>
  <c r="S488" i="4" s="1"/>
  <c r="AE488" i="3"/>
  <c r="AE488" i="4" s="1"/>
  <c r="J489" i="3"/>
  <c r="J489" i="4" s="1"/>
  <c r="V489" i="3"/>
  <c r="V489" i="4" s="1"/>
  <c r="A490" i="3"/>
  <c r="A490" i="4" s="1"/>
  <c r="M490" i="3"/>
  <c r="M490" i="4" s="1"/>
  <c r="Y490" i="3"/>
  <c r="Y490" i="4" s="1"/>
  <c r="D491" i="3"/>
  <c r="D491" i="4" s="1"/>
  <c r="P491" i="3"/>
  <c r="P491" i="4" s="1"/>
  <c r="AB491" i="3"/>
  <c r="AB491" i="4" s="1"/>
  <c r="G492" i="3"/>
  <c r="G492" i="4" s="1"/>
  <c r="S492" i="3"/>
  <c r="S492" i="4" s="1"/>
  <c r="AE492" i="3"/>
  <c r="AE492" i="4" s="1"/>
  <c r="J493" i="3"/>
  <c r="J493" i="4" s="1"/>
  <c r="V493" i="3"/>
  <c r="V493" i="4" s="1"/>
  <c r="A494" i="3"/>
  <c r="A494" i="4" s="1"/>
  <c r="M494" i="3"/>
  <c r="M494" i="4" s="1"/>
  <c r="Y494" i="3"/>
  <c r="Y494" i="4" s="1"/>
  <c r="D495" i="3"/>
  <c r="D495" i="4" s="1"/>
  <c r="P495" i="3"/>
  <c r="P495" i="4" s="1"/>
  <c r="AB495" i="3"/>
  <c r="AB495" i="4" s="1"/>
  <c r="G496" i="3"/>
  <c r="G496" i="4" s="1"/>
  <c r="S496" i="3"/>
  <c r="S496" i="4" s="1"/>
  <c r="AE496" i="3"/>
  <c r="AE496" i="4" s="1"/>
  <c r="J497" i="3"/>
  <c r="J497" i="4" s="1"/>
  <c r="V497" i="3"/>
  <c r="V497" i="4" s="1"/>
  <c r="A498" i="3"/>
  <c r="A498" i="4" s="1"/>
  <c r="M498" i="3"/>
  <c r="M498" i="4" s="1"/>
  <c r="Y498" i="3"/>
  <c r="Y498" i="4" s="1"/>
  <c r="D499" i="3"/>
  <c r="D499" i="4" s="1"/>
  <c r="P499" i="3"/>
  <c r="P499" i="4" s="1"/>
  <c r="AB499" i="3"/>
  <c r="AB499" i="4" s="1"/>
  <c r="G500" i="3"/>
  <c r="G500" i="4" s="1"/>
  <c r="S500" i="3"/>
  <c r="S500" i="4" s="1"/>
  <c r="AE500" i="3"/>
  <c r="AE500" i="4" s="1"/>
  <c r="J501" i="3"/>
  <c r="J501" i="4" s="1"/>
  <c r="V501" i="3"/>
  <c r="V501" i="4" s="1"/>
  <c r="A502" i="3"/>
  <c r="A502" i="4" s="1"/>
  <c r="M502" i="3"/>
  <c r="M502" i="4" s="1"/>
  <c r="Y502" i="3"/>
  <c r="Y502" i="4" s="1"/>
  <c r="D503" i="3"/>
  <c r="D503" i="4" s="1"/>
  <c r="P503" i="3"/>
  <c r="P503" i="4" s="1"/>
  <c r="AB503" i="3"/>
  <c r="AB503" i="4" s="1"/>
  <c r="G504" i="3"/>
  <c r="G504" i="4" s="1"/>
  <c r="S504" i="3"/>
  <c r="S504" i="4" s="1"/>
  <c r="AE472" i="3"/>
  <c r="AE472" i="4" s="1"/>
  <c r="V473" i="3"/>
  <c r="V473" i="4" s="1"/>
  <c r="Y474" i="3"/>
  <c r="Y474" i="4" s="1"/>
  <c r="P479" i="3"/>
  <c r="P479" i="4" s="1"/>
  <c r="B2" i="3"/>
  <c r="B2" i="4" s="1"/>
  <c r="N2" i="3"/>
  <c r="N2" i="4" s="1"/>
  <c r="Z2" i="3"/>
  <c r="Z2" i="4" s="1"/>
  <c r="E3" i="3"/>
  <c r="E3" i="4" s="1"/>
  <c r="Q3" i="3"/>
  <c r="Q3" i="4" s="1"/>
  <c r="AC3" i="3"/>
  <c r="AC3" i="4" s="1"/>
  <c r="H4" i="3"/>
  <c r="H4" i="4" s="1"/>
  <c r="T4" i="3"/>
  <c r="T4" i="4" s="1"/>
  <c r="AF4" i="3"/>
  <c r="AF4" i="4" s="1"/>
  <c r="K5" i="3"/>
  <c r="K5" i="4" s="1"/>
  <c r="W5" i="3"/>
  <c r="W5" i="4" s="1"/>
  <c r="B6" i="3"/>
  <c r="B6" i="4" s="1"/>
  <c r="N6" i="3"/>
  <c r="N6" i="4" s="1"/>
  <c r="Z6" i="3"/>
  <c r="Z6" i="4" s="1"/>
  <c r="E7" i="3"/>
  <c r="E7" i="4" s="1"/>
  <c r="Q7" i="3"/>
  <c r="Q7" i="4" s="1"/>
  <c r="AC7" i="3"/>
  <c r="AC7" i="4" s="1"/>
  <c r="H8" i="3"/>
  <c r="H8" i="4" s="1"/>
  <c r="T8" i="3"/>
  <c r="T8" i="4" s="1"/>
  <c r="AF8" i="3"/>
  <c r="AF8" i="4" s="1"/>
  <c r="K9" i="3"/>
  <c r="K9" i="4" s="1"/>
  <c r="W9" i="3"/>
  <c r="W9" i="4" s="1"/>
  <c r="B10" i="3"/>
  <c r="B10" i="4" s="1"/>
  <c r="N10" i="3"/>
  <c r="N10" i="4" s="1"/>
  <c r="Z10" i="3"/>
  <c r="Z10" i="4" s="1"/>
  <c r="E11" i="3"/>
  <c r="E11" i="4" s="1"/>
  <c r="Q11" i="3"/>
  <c r="Q11" i="4" s="1"/>
  <c r="AC11" i="3"/>
  <c r="AC11" i="4" s="1"/>
  <c r="H12" i="3"/>
  <c r="H12" i="4" s="1"/>
  <c r="T12" i="3"/>
  <c r="T12" i="4" s="1"/>
  <c r="AF12" i="3"/>
  <c r="AF12" i="4" s="1"/>
  <c r="K13" i="3"/>
  <c r="K13" i="4" s="1"/>
  <c r="W13" i="3"/>
  <c r="W13" i="4" s="1"/>
  <c r="B14" i="3"/>
  <c r="B14" i="4" s="1"/>
  <c r="N14" i="3"/>
  <c r="N14" i="4" s="1"/>
  <c r="Z14" i="3"/>
  <c r="Z14" i="4" s="1"/>
  <c r="E15" i="3"/>
  <c r="E15" i="4" s="1"/>
  <c r="Q15" i="3"/>
  <c r="Q15" i="4" s="1"/>
  <c r="AC15" i="3"/>
  <c r="AC15" i="4" s="1"/>
  <c r="H16" i="3"/>
  <c r="H16" i="4" s="1"/>
  <c r="T16" i="3"/>
  <c r="T16" i="4" s="1"/>
  <c r="AF16" i="3"/>
  <c r="AF16" i="4" s="1"/>
  <c r="K17" i="3"/>
  <c r="K17" i="4" s="1"/>
  <c r="W17" i="3"/>
  <c r="W17" i="4" s="1"/>
  <c r="B18" i="3"/>
  <c r="B18" i="4" s="1"/>
  <c r="N18" i="3"/>
  <c r="N18" i="4" s="1"/>
  <c r="Z18" i="3"/>
  <c r="Z18" i="4" s="1"/>
  <c r="E19" i="3"/>
  <c r="E19" i="4" s="1"/>
  <c r="Q19" i="3"/>
  <c r="Q19" i="4" s="1"/>
  <c r="AC19" i="3"/>
  <c r="AC19" i="4" s="1"/>
  <c r="H20" i="3"/>
  <c r="H20" i="4" s="1"/>
  <c r="T20" i="3"/>
  <c r="T20" i="4" s="1"/>
  <c r="AF20" i="3"/>
  <c r="AF20" i="4" s="1"/>
  <c r="K21" i="3"/>
  <c r="K21" i="4" s="1"/>
  <c r="W21" i="3"/>
  <c r="W21" i="4" s="1"/>
  <c r="B22" i="3"/>
  <c r="B22" i="4" s="1"/>
  <c r="N22" i="3"/>
  <c r="N22" i="4" s="1"/>
  <c r="Z22" i="3"/>
  <c r="Z22" i="4" s="1"/>
  <c r="E23" i="3"/>
  <c r="E23" i="4" s="1"/>
  <c r="Q23" i="3"/>
  <c r="Q23" i="4" s="1"/>
  <c r="AC23" i="3"/>
  <c r="AC23" i="4" s="1"/>
  <c r="H24" i="3"/>
  <c r="H24" i="4" s="1"/>
  <c r="T24" i="3"/>
  <c r="T24" i="4" s="1"/>
  <c r="AF24" i="3"/>
  <c r="AF24" i="4" s="1"/>
  <c r="K25" i="3"/>
  <c r="K25" i="4" s="1"/>
  <c r="W25" i="3"/>
  <c r="W25" i="4" s="1"/>
  <c r="B26" i="3"/>
  <c r="B26" i="4" s="1"/>
  <c r="N26" i="3"/>
  <c r="N26" i="4" s="1"/>
  <c r="Z26" i="3"/>
  <c r="Z26" i="4" s="1"/>
  <c r="E27" i="3"/>
  <c r="E27" i="4" s="1"/>
  <c r="Q27" i="3"/>
  <c r="Q27" i="4" s="1"/>
  <c r="AC27" i="3"/>
  <c r="AC27" i="4" s="1"/>
  <c r="H28" i="3"/>
  <c r="H28" i="4" s="1"/>
  <c r="T28" i="3"/>
  <c r="T28" i="4" s="1"/>
  <c r="AF28" i="3"/>
  <c r="AF28" i="4" s="1"/>
  <c r="K29" i="3"/>
  <c r="K29" i="4" s="1"/>
  <c r="W29" i="3"/>
  <c r="W29" i="4" s="1"/>
  <c r="B30" i="3"/>
  <c r="B30" i="4" s="1"/>
  <c r="N30" i="3"/>
  <c r="N30" i="4" s="1"/>
  <c r="Z30" i="3"/>
  <c r="Z30" i="4" s="1"/>
  <c r="E31" i="3"/>
  <c r="E31" i="4" s="1"/>
  <c r="Q31" i="3"/>
  <c r="Q31" i="4" s="1"/>
  <c r="AC31" i="3"/>
  <c r="AC31" i="4" s="1"/>
  <c r="H32" i="3"/>
  <c r="H32" i="4" s="1"/>
  <c r="T32" i="3"/>
  <c r="T32" i="4" s="1"/>
  <c r="AF32" i="3"/>
  <c r="AF32" i="4" s="1"/>
  <c r="K33" i="3"/>
  <c r="K33" i="4" s="1"/>
  <c r="W33" i="3"/>
  <c r="W33" i="4" s="1"/>
  <c r="B34" i="3"/>
  <c r="B34" i="4" s="1"/>
  <c r="N34" i="3"/>
  <c r="N34" i="4" s="1"/>
  <c r="Z34" i="3"/>
  <c r="Z34" i="4" s="1"/>
  <c r="E35" i="3"/>
  <c r="E35" i="4" s="1"/>
  <c r="Q35" i="3"/>
  <c r="Q35" i="4" s="1"/>
  <c r="AC35" i="3"/>
  <c r="AC35" i="4" s="1"/>
  <c r="H36" i="3"/>
  <c r="H36" i="4" s="1"/>
  <c r="T36" i="3"/>
  <c r="T36" i="4" s="1"/>
  <c r="AF36" i="3"/>
  <c r="AF36" i="4" s="1"/>
  <c r="K37" i="3"/>
  <c r="K37" i="4" s="1"/>
  <c r="W37" i="3"/>
  <c r="W37" i="4" s="1"/>
  <c r="B38" i="3"/>
  <c r="B38" i="4" s="1"/>
  <c r="N38" i="3"/>
  <c r="N38" i="4" s="1"/>
  <c r="Z38" i="3"/>
  <c r="Z38" i="4" s="1"/>
  <c r="E39" i="3"/>
  <c r="E39" i="4" s="1"/>
  <c r="Q39" i="3"/>
  <c r="Q39" i="4" s="1"/>
  <c r="AC39" i="3"/>
  <c r="AC39" i="4" s="1"/>
  <c r="H40" i="3"/>
  <c r="H40" i="4" s="1"/>
  <c r="T40" i="3"/>
  <c r="T40" i="4" s="1"/>
  <c r="AF40" i="3"/>
  <c r="AF40" i="4" s="1"/>
  <c r="K41" i="3"/>
  <c r="K41" i="4" s="1"/>
  <c r="W41" i="3"/>
  <c r="W41" i="4" s="1"/>
  <c r="B42" i="3"/>
  <c r="B42" i="4" s="1"/>
  <c r="N42" i="3"/>
  <c r="N42" i="4" s="1"/>
  <c r="Z42" i="3"/>
  <c r="Z42" i="4" s="1"/>
  <c r="AE5" i="3"/>
  <c r="AE5" i="4" s="1"/>
  <c r="AE9" i="3"/>
  <c r="AE9" i="4" s="1"/>
  <c r="AE13" i="3"/>
  <c r="AE13" i="4" s="1"/>
  <c r="AE17" i="3"/>
  <c r="AE17" i="4" s="1"/>
  <c r="AE21" i="3"/>
  <c r="AE21" i="4" s="1"/>
  <c r="AE25" i="3"/>
  <c r="AE25" i="4" s="1"/>
  <c r="AE29" i="3"/>
  <c r="AE29" i="4" s="1"/>
  <c r="AE33" i="3"/>
  <c r="AE33" i="4" s="1"/>
  <c r="E43" i="3"/>
  <c r="E43" i="4" s="1"/>
  <c r="Q43" i="3"/>
  <c r="Q43" i="4" s="1"/>
  <c r="AC43" i="3"/>
  <c r="AC43" i="4" s="1"/>
  <c r="H44" i="3"/>
  <c r="H44" i="4" s="1"/>
  <c r="T44" i="3"/>
  <c r="T44" i="4" s="1"/>
  <c r="AF44" i="3"/>
  <c r="AF44" i="4" s="1"/>
  <c r="K45" i="3"/>
  <c r="K45" i="4" s="1"/>
  <c r="W45" i="3"/>
  <c r="W45" i="4" s="1"/>
  <c r="B46" i="3"/>
  <c r="B46" i="4" s="1"/>
  <c r="N46" i="3"/>
  <c r="N46" i="4" s="1"/>
  <c r="Z46" i="3"/>
  <c r="Z46" i="4" s="1"/>
  <c r="E47" i="3"/>
  <c r="E47" i="4" s="1"/>
  <c r="Q47" i="3"/>
  <c r="Q47" i="4" s="1"/>
  <c r="AC47" i="3"/>
  <c r="AC47" i="4" s="1"/>
  <c r="H48" i="3"/>
  <c r="H48" i="4" s="1"/>
  <c r="T48" i="3"/>
  <c r="T48" i="4" s="1"/>
  <c r="AF48" i="3"/>
  <c r="AF48" i="4" s="1"/>
  <c r="K49" i="3"/>
  <c r="K49" i="4" s="1"/>
  <c r="W49" i="3"/>
  <c r="W49" i="4" s="1"/>
  <c r="B50" i="3"/>
  <c r="B50" i="4" s="1"/>
  <c r="N50" i="3"/>
  <c r="N50" i="4" s="1"/>
  <c r="Z50" i="3"/>
  <c r="Z50" i="4" s="1"/>
  <c r="E51" i="3"/>
  <c r="E51" i="4" s="1"/>
  <c r="Q51" i="3"/>
  <c r="Q51" i="4" s="1"/>
  <c r="AC51" i="3"/>
  <c r="AC51" i="4" s="1"/>
  <c r="H52" i="3"/>
  <c r="H52" i="4" s="1"/>
  <c r="T52" i="3"/>
  <c r="T52" i="4" s="1"/>
  <c r="AF52" i="3"/>
  <c r="AF52" i="4" s="1"/>
  <c r="K53" i="3"/>
  <c r="K53" i="4" s="1"/>
  <c r="W53" i="3"/>
  <c r="W53" i="4" s="1"/>
  <c r="B54" i="3"/>
  <c r="B54" i="4" s="1"/>
  <c r="N54" i="3"/>
  <c r="N54" i="4" s="1"/>
  <c r="Z54" i="3"/>
  <c r="Z54" i="4" s="1"/>
  <c r="E55" i="3"/>
  <c r="E55" i="4" s="1"/>
  <c r="Q55" i="3"/>
  <c r="Q55" i="4" s="1"/>
  <c r="AC55" i="3"/>
  <c r="AC55" i="4" s="1"/>
  <c r="H56" i="3"/>
  <c r="H56" i="4" s="1"/>
  <c r="T56" i="3"/>
  <c r="T56" i="4" s="1"/>
  <c r="AF56" i="3"/>
  <c r="AF56" i="4" s="1"/>
  <c r="K57" i="3"/>
  <c r="K57" i="4" s="1"/>
  <c r="W57" i="3"/>
  <c r="W57" i="4" s="1"/>
  <c r="B58" i="3"/>
  <c r="B58" i="4" s="1"/>
  <c r="N58" i="3"/>
  <c r="N58" i="4" s="1"/>
  <c r="Z58" i="3"/>
  <c r="Z58" i="4" s="1"/>
  <c r="E59" i="3"/>
  <c r="E59" i="4" s="1"/>
  <c r="Q59" i="3"/>
  <c r="Q59" i="4" s="1"/>
  <c r="AC59" i="3"/>
  <c r="AC59" i="4" s="1"/>
  <c r="H60" i="3"/>
  <c r="H60" i="4" s="1"/>
  <c r="T60" i="3"/>
  <c r="T60" i="4" s="1"/>
  <c r="AF60" i="3"/>
  <c r="AF60" i="4" s="1"/>
  <c r="K61" i="3"/>
  <c r="K61" i="4" s="1"/>
  <c r="W61" i="3"/>
  <c r="W61" i="4" s="1"/>
  <c r="B62" i="3"/>
  <c r="B62" i="4" s="1"/>
  <c r="N62" i="3"/>
  <c r="N62" i="4" s="1"/>
  <c r="Z62" i="3"/>
  <c r="Z62" i="4" s="1"/>
  <c r="E63" i="3"/>
  <c r="E63" i="4" s="1"/>
  <c r="Q63" i="3"/>
  <c r="Q63" i="4" s="1"/>
  <c r="AC63" i="3"/>
  <c r="AC63" i="4" s="1"/>
  <c r="H64" i="3"/>
  <c r="H64" i="4" s="1"/>
  <c r="T64" i="3"/>
  <c r="T64" i="4" s="1"/>
  <c r="AF64" i="3"/>
  <c r="AF64" i="4" s="1"/>
  <c r="K65" i="3"/>
  <c r="K65" i="4" s="1"/>
  <c r="W65" i="3"/>
  <c r="W65" i="4" s="1"/>
  <c r="B66" i="3"/>
  <c r="B66" i="4" s="1"/>
  <c r="N66" i="3"/>
  <c r="N66" i="4" s="1"/>
  <c r="Z66" i="3"/>
  <c r="Z66" i="4" s="1"/>
  <c r="E67" i="3"/>
  <c r="E67" i="4" s="1"/>
  <c r="Q67" i="3"/>
  <c r="Q67" i="4" s="1"/>
  <c r="AC67" i="3"/>
  <c r="AC67" i="4" s="1"/>
  <c r="H68" i="3"/>
  <c r="H68" i="4" s="1"/>
  <c r="T68" i="3"/>
  <c r="T68" i="4" s="1"/>
  <c r="AF92" i="3"/>
  <c r="AF92" i="4" s="1"/>
  <c r="AF148" i="3"/>
  <c r="AF148" i="4" s="1"/>
  <c r="AF156" i="3"/>
  <c r="AF156" i="4" s="1"/>
  <c r="AC175" i="3"/>
  <c r="AC175" i="4" s="1"/>
  <c r="AC199" i="3"/>
  <c r="AC199" i="4" s="1"/>
  <c r="AF252" i="3"/>
  <c r="AF252" i="4" s="1"/>
  <c r="AF260" i="3"/>
  <c r="AF260" i="4" s="1"/>
  <c r="AF272" i="3"/>
  <c r="AF272" i="4" s="1"/>
  <c r="AF280" i="3"/>
  <c r="AF280" i="4" s="1"/>
  <c r="AF332" i="3"/>
  <c r="AF332" i="4" s="1"/>
  <c r="AF376" i="3"/>
  <c r="AF376" i="4" s="1"/>
  <c r="AF380" i="3"/>
  <c r="AF380" i="4" s="1"/>
  <c r="AF416" i="3"/>
  <c r="AF416" i="4" s="1"/>
  <c r="AF472" i="3"/>
  <c r="AF472" i="4" s="1"/>
  <c r="AE407" i="3"/>
  <c r="AE407" i="4" s="1"/>
  <c r="D705" i="3"/>
  <c r="D705" i="4" s="1"/>
  <c r="P705" i="3"/>
  <c r="P705" i="4" s="1"/>
  <c r="AB705" i="3"/>
  <c r="AB705" i="4" s="1"/>
  <c r="G706" i="3"/>
  <c r="G706" i="4" s="1"/>
  <c r="S706" i="3"/>
  <c r="S706" i="4" s="1"/>
  <c r="AE706" i="3"/>
  <c r="AE706" i="4" s="1"/>
  <c r="J707" i="3"/>
  <c r="J707" i="4" s="1"/>
  <c r="V707" i="3"/>
  <c r="V707" i="4" s="1"/>
  <c r="A708" i="3"/>
  <c r="A708" i="4" s="1"/>
  <c r="M708" i="3"/>
  <c r="M708" i="4" s="1"/>
  <c r="Y708" i="3"/>
  <c r="Y708" i="4" s="1"/>
  <c r="D709" i="3"/>
  <c r="D709" i="4" s="1"/>
  <c r="P709" i="3"/>
  <c r="P709" i="4" s="1"/>
  <c r="AB709" i="3"/>
  <c r="AB709" i="4" s="1"/>
  <c r="G710" i="3"/>
  <c r="G710" i="4" s="1"/>
  <c r="S710" i="3"/>
  <c r="S710" i="4" s="1"/>
  <c r="J711" i="3"/>
  <c r="J711" i="4" s="1"/>
  <c r="V711" i="3"/>
  <c r="V711" i="4" s="1"/>
  <c r="A712" i="3"/>
  <c r="A712" i="4" s="1"/>
  <c r="M712" i="3"/>
  <c r="M712" i="4" s="1"/>
  <c r="Y712" i="3"/>
  <c r="Y712" i="4" s="1"/>
  <c r="D713" i="3"/>
  <c r="D713" i="4" s="1"/>
  <c r="P713" i="3"/>
  <c r="P713" i="4" s="1"/>
  <c r="AB713" i="3"/>
  <c r="AB713" i="4" s="1"/>
  <c r="G714" i="3"/>
  <c r="G714" i="4" s="1"/>
  <c r="S714" i="3"/>
  <c r="S714" i="4" s="1"/>
  <c r="J715" i="3"/>
  <c r="J715" i="4" s="1"/>
  <c r="V715" i="3"/>
  <c r="V715" i="4" s="1"/>
  <c r="A716" i="3"/>
  <c r="A716" i="4" s="1"/>
  <c r="M716" i="3"/>
  <c r="M716" i="4" s="1"/>
  <c r="Y716" i="3"/>
  <c r="Y716" i="4" s="1"/>
  <c r="D717" i="3"/>
  <c r="D717" i="4" s="1"/>
  <c r="P717" i="3"/>
  <c r="P717" i="4" s="1"/>
  <c r="AD577" i="3"/>
  <c r="AD577" i="4" s="1"/>
  <c r="AD581" i="3"/>
  <c r="AD581" i="4" s="1"/>
  <c r="AD585" i="3"/>
  <c r="AD585" i="4" s="1"/>
  <c r="AD589" i="3"/>
  <c r="AD589" i="4" s="1"/>
  <c r="AD593" i="3"/>
  <c r="AD593" i="4" s="1"/>
  <c r="AD597" i="3"/>
  <c r="AD597" i="4" s="1"/>
  <c r="AD601" i="3"/>
  <c r="AD601" i="4" s="1"/>
  <c r="AD605" i="3"/>
  <c r="AD605" i="4" s="1"/>
  <c r="AD609" i="3"/>
  <c r="AD609" i="4" s="1"/>
  <c r="AD613" i="3"/>
  <c r="AD613" i="4" s="1"/>
  <c r="AD617" i="3"/>
  <c r="AD617" i="4" s="1"/>
  <c r="AD621" i="3"/>
  <c r="AD621" i="4" s="1"/>
  <c r="AD625" i="3"/>
  <c r="AD625" i="4" s="1"/>
  <c r="AD629" i="3"/>
  <c r="AD629" i="4" s="1"/>
  <c r="AD633" i="3"/>
  <c r="AD633" i="4" s="1"/>
  <c r="AD637" i="3"/>
  <c r="AD637" i="4" s="1"/>
  <c r="AD641" i="3"/>
  <c r="AD641" i="4" s="1"/>
  <c r="AD645" i="3"/>
  <c r="AD645" i="4" s="1"/>
  <c r="AD649" i="3"/>
  <c r="AD649" i="4" s="1"/>
  <c r="AD653" i="3"/>
  <c r="AD653" i="4" s="1"/>
  <c r="AD657" i="3"/>
  <c r="AD657" i="4" s="1"/>
  <c r="AD661" i="3"/>
  <c r="AD661" i="4" s="1"/>
  <c r="AD665" i="3"/>
  <c r="AD665" i="4" s="1"/>
  <c r="AD669" i="3"/>
  <c r="AD669" i="4" s="1"/>
  <c r="AD673" i="3"/>
  <c r="AD673" i="4" s="1"/>
  <c r="AD677" i="3"/>
  <c r="AD677" i="4" s="1"/>
  <c r="AE37" i="3"/>
  <c r="AE37" i="4" s="1"/>
  <c r="AE41" i="3"/>
  <c r="AE41" i="4" s="1"/>
  <c r="AE45" i="3"/>
  <c r="AE45" i="4" s="1"/>
  <c r="AE49" i="3"/>
  <c r="AE49" i="4" s="1"/>
  <c r="AE53" i="3"/>
  <c r="AE53" i="4" s="1"/>
  <c r="AE57" i="3"/>
  <c r="AE57" i="4" s="1"/>
  <c r="AE61" i="3"/>
  <c r="AE61" i="4" s="1"/>
  <c r="AE65" i="3"/>
  <c r="AE65" i="4" s="1"/>
  <c r="AE69" i="3"/>
  <c r="AE69" i="4" s="1"/>
  <c r="AE73" i="3"/>
  <c r="AE73" i="4" s="1"/>
  <c r="AE77" i="3"/>
  <c r="AE77" i="4" s="1"/>
  <c r="AE81" i="3"/>
  <c r="AE81" i="4" s="1"/>
  <c r="AE85" i="3"/>
  <c r="AE85" i="4" s="1"/>
  <c r="AE89" i="3"/>
  <c r="AE89" i="4" s="1"/>
  <c r="AE93" i="3"/>
  <c r="AE93" i="4" s="1"/>
  <c r="AE97" i="3"/>
  <c r="AE97" i="4" s="1"/>
  <c r="AE101" i="3"/>
  <c r="AE101" i="4" s="1"/>
  <c r="AE105" i="3"/>
  <c r="AE105" i="4" s="1"/>
  <c r="AE109" i="3"/>
  <c r="AE109" i="4" s="1"/>
  <c r="AE113" i="3"/>
  <c r="AE113" i="4" s="1"/>
  <c r="AE117" i="3"/>
  <c r="AE117" i="4" s="1"/>
  <c r="AE121" i="3"/>
  <c r="AE121" i="4" s="1"/>
  <c r="AE125" i="3"/>
  <c r="AE125" i="4" s="1"/>
  <c r="AE129" i="3"/>
  <c r="AE129" i="4" s="1"/>
  <c r="AE133" i="3"/>
  <c r="AE133" i="4" s="1"/>
  <c r="AE137" i="3"/>
  <c r="AE137" i="4" s="1"/>
  <c r="AE141" i="3"/>
  <c r="AE141" i="4" s="1"/>
  <c r="AB717" i="3"/>
  <c r="AB717" i="4" s="1"/>
  <c r="G718" i="3"/>
  <c r="G718" i="4" s="1"/>
  <c r="S718" i="3"/>
  <c r="S718" i="4" s="1"/>
  <c r="AE718" i="3"/>
  <c r="AE718" i="4" s="1"/>
  <c r="J719" i="3"/>
  <c r="J719" i="4" s="1"/>
  <c r="V719" i="3"/>
  <c r="V719" i="4" s="1"/>
  <c r="A720" i="3"/>
  <c r="A720" i="4" s="1"/>
  <c r="M720" i="3"/>
  <c r="M720" i="4" s="1"/>
  <c r="Y720" i="3"/>
  <c r="Y720" i="4" s="1"/>
  <c r="D721" i="3"/>
  <c r="D721" i="4" s="1"/>
  <c r="P721" i="3"/>
  <c r="P721" i="4" s="1"/>
  <c r="AB721" i="3"/>
  <c r="AB721" i="4" s="1"/>
  <c r="G722" i="3"/>
  <c r="G722" i="4" s="1"/>
  <c r="S722" i="3"/>
  <c r="S722" i="4" s="1"/>
  <c r="J723" i="3"/>
  <c r="J723" i="4" s="1"/>
  <c r="V723" i="3"/>
  <c r="V723" i="4" s="1"/>
  <c r="A724" i="3"/>
  <c r="A724" i="4" s="1"/>
  <c r="M724" i="3"/>
  <c r="M724" i="4" s="1"/>
  <c r="Y724" i="3"/>
  <c r="Y724" i="4" s="1"/>
  <c r="D725" i="3"/>
  <c r="D725" i="4" s="1"/>
  <c r="P725" i="3"/>
  <c r="P725" i="4" s="1"/>
  <c r="AB725" i="3"/>
  <c r="AB725" i="4" s="1"/>
  <c r="G726" i="3"/>
  <c r="G726" i="4" s="1"/>
  <c r="S726" i="3"/>
  <c r="S726" i="4" s="1"/>
  <c r="AE726" i="3"/>
  <c r="AE726" i="4" s="1"/>
  <c r="J727" i="3"/>
  <c r="J727" i="4" s="1"/>
  <c r="V727" i="3"/>
  <c r="V727" i="4" s="1"/>
  <c r="A728" i="3"/>
  <c r="A728" i="4" s="1"/>
  <c r="M728" i="3"/>
  <c r="M728" i="4" s="1"/>
  <c r="Y728" i="3"/>
  <c r="Y728" i="4" s="1"/>
  <c r="D729" i="3"/>
  <c r="D729" i="4" s="1"/>
  <c r="P729" i="3"/>
  <c r="P729" i="4" s="1"/>
  <c r="AB729" i="3"/>
  <c r="AB729" i="4" s="1"/>
  <c r="G730" i="3"/>
  <c r="G730" i="4" s="1"/>
  <c r="S730" i="3"/>
  <c r="S730" i="4" s="1"/>
  <c r="AE730" i="3"/>
  <c r="AE730" i="4" s="1"/>
  <c r="J731" i="3"/>
  <c r="J731" i="4" s="1"/>
  <c r="V731" i="3"/>
  <c r="V731" i="4" s="1"/>
  <c r="A732" i="3"/>
  <c r="A732" i="4" s="1"/>
  <c r="M732" i="3"/>
  <c r="M732" i="4" s="1"/>
  <c r="Y732" i="3"/>
  <c r="Y732" i="4" s="1"/>
  <c r="D733" i="3"/>
  <c r="D733" i="4" s="1"/>
  <c r="P733" i="3"/>
  <c r="P733" i="4" s="1"/>
  <c r="AB733" i="3"/>
  <c r="AB733" i="4" s="1"/>
  <c r="G734" i="3"/>
  <c r="G734" i="4" s="1"/>
  <c r="S734" i="3"/>
  <c r="S734" i="4" s="1"/>
  <c r="AE734" i="3"/>
  <c r="AE734" i="4" s="1"/>
  <c r="J735" i="3"/>
  <c r="J735" i="4" s="1"/>
  <c r="V735" i="3"/>
  <c r="V735" i="4" s="1"/>
  <c r="A736" i="3"/>
  <c r="A736" i="4" s="1"/>
  <c r="M736" i="3"/>
  <c r="M736" i="4" s="1"/>
  <c r="Y736" i="3"/>
  <c r="Y736" i="4" s="1"/>
  <c r="D737" i="3"/>
  <c r="D737" i="4" s="1"/>
  <c r="P737" i="3"/>
  <c r="P737" i="4" s="1"/>
  <c r="AB737" i="3"/>
  <c r="AB737" i="4" s="1"/>
  <c r="G738" i="3"/>
  <c r="G738" i="4" s="1"/>
  <c r="S738" i="3"/>
  <c r="S738" i="4" s="1"/>
  <c r="AE738" i="3"/>
  <c r="AE738" i="4" s="1"/>
  <c r="J739" i="3"/>
  <c r="J739" i="4" s="1"/>
  <c r="V739" i="3"/>
  <c r="V739" i="4" s="1"/>
  <c r="A740" i="3"/>
  <c r="A740" i="4" s="1"/>
  <c r="M740" i="3"/>
  <c r="M740" i="4" s="1"/>
  <c r="Y740" i="3"/>
  <c r="Y740" i="4" s="1"/>
  <c r="D741" i="3"/>
  <c r="D741" i="4" s="1"/>
  <c r="P741" i="3"/>
  <c r="P741" i="4" s="1"/>
  <c r="AB741" i="3"/>
  <c r="AB741" i="4" s="1"/>
  <c r="G742" i="3"/>
  <c r="G742" i="4" s="1"/>
  <c r="S742" i="3"/>
  <c r="S742" i="4" s="1"/>
  <c r="AE742" i="3"/>
  <c r="AE742" i="4" s="1"/>
  <c r="J743" i="3"/>
  <c r="J743" i="4" s="1"/>
  <c r="V743" i="3"/>
  <c r="V743" i="4" s="1"/>
  <c r="A744" i="3"/>
  <c r="A744" i="4" s="1"/>
  <c r="M744" i="3"/>
  <c r="M744" i="4" s="1"/>
  <c r="Y744" i="3"/>
  <c r="Y744" i="4" s="1"/>
  <c r="D745" i="3"/>
  <c r="D745" i="4" s="1"/>
  <c r="P745" i="3"/>
  <c r="P745" i="4" s="1"/>
  <c r="AB745" i="3"/>
  <c r="AB745" i="4" s="1"/>
  <c r="G746" i="3"/>
  <c r="G746" i="4" s="1"/>
  <c r="S746" i="3"/>
  <c r="S746" i="4" s="1"/>
  <c r="J747" i="3"/>
  <c r="J747" i="4" s="1"/>
  <c r="V747" i="3"/>
  <c r="V747" i="4" s="1"/>
  <c r="A748" i="3"/>
  <c r="A748" i="4" s="1"/>
  <c r="M748" i="3"/>
  <c r="M748" i="4" s="1"/>
  <c r="Y748" i="3"/>
  <c r="Y748" i="4" s="1"/>
  <c r="D749" i="3"/>
  <c r="D749" i="4" s="1"/>
  <c r="AD681" i="3"/>
  <c r="AD681" i="4" s="1"/>
  <c r="AD685" i="3"/>
  <c r="AD685" i="4" s="1"/>
  <c r="AD689" i="3"/>
  <c r="AD689" i="4" s="1"/>
  <c r="AD693" i="3"/>
  <c r="AD693" i="4" s="1"/>
  <c r="AD697" i="3"/>
  <c r="AD697" i="4" s="1"/>
  <c r="AD701" i="3"/>
  <c r="AD701" i="4" s="1"/>
  <c r="AD705" i="3"/>
  <c r="AD705" i="4" s="1"/>
  <c r="AD709" i="3"/>
  <c r="AD709" i="4" s="1"/>
  <c r="AD713" i="3"/>
  <c r="AD713" i="4" s="1"/>
  <c r="AD717" i="3"/>
  <c r="AD717" i="4" s="1"/>
  <c r="AD721" i="3"/>
  <c r="AD721" i="4" s="1"/>
  <c r="AD725" i="3"/>
  <c r="AD725" i="4" s="1"/>
  <c r="AD729" i="3"/>
  <c r="AD729" i="4" s="1"/>
  <c r="AD733" i="3"/>
  <c r="AD733" i="4" s="1"/>
  <c r="AD737" i="3"/>
  <c r="AD737" i="4" s="1"/>
  <c r="AD741" i="3"/>
  <c r="AD741" i="4" s="1"/>
  <c r="AD745" i="3"/>
  <c r="AD745" i="4" s="1"/>
  <c r="AD749" i="3"/>
  <c r="AD749" i="4" s="1"/>
  <c r="AF504" i="3"/>
  <c r="AF504" i="4" s="1"/>
  <c r="AF597" i="3"/>
  <c r="AF597" i="4" s="1"/>
  <c r="AF636" i="3"/>
  <c r="AF636" i="4" s="1"/>
  <c r="AF645" i="3"/>
  <c r="AF645" i="4" s="1"/>
  <c r="AF660" i="3"/>
  <c r="AF660" i="4" s="1"/>
  <c r="AC671" i="3"/>
  <c r="AC671" i="4" s="1"/>
  <c r="AC727" i="3"/>
  <c r="AC727" i="4" s="1"/>
  <c r="AC743" i="3"/>
  <c r="AC743" i="4" s="1"/>
  <c r="AF551" i="3"/>
  <c r="AF551" i="4" s="1"/>
  <c r="AC554" i="3"/>
  <c r="AC554" i="4" s="1"/>
  <c r="AF555" i="3"/>
  <c r="AF555" i="4" s="1"/>
  <c r="AC558" i="3"/>
  <c r="AC558" i="4" s="1"/>
  <c r="AF559" i="3"/>
  <c r="AF559" i="4" s="1"/>
  <c r="AC562" i="3"/>
  <c r="AC562" i="4" s="1"/>
  <c r="AF563" i="3"/>
  <c r="AF563" i="4" s="1"/>
  <c r="AC566" i="3"/>
  <c r="AC566" i="4" s="1"/>
  <c r="AF567" i="3"/>
  <c r="AF567" i="4" s="1"/>
  <c r="AC570" i="3"/>
  <c r="AC570" i="4" s="1"/>
  <c r="AF571" i="3"/>
  <c r="AF571" i="4" s="1"/>
  <c r="AC574" i="3"/>
  <c r="AC574" i="4" s="1"/>
  <c r="AF575" i="3"/>
  <c r="AF575" i="4" s="1"/>
  <c r="AC578" i="3"/>
  <c r="AC578" i="4" s="1"/>
  <c r="AF579" i="3"/>
  <c r="AF579" i="4" s="1"/>
  <c r="AF583" i="3"/>
  <c r="AF583" i="4" s="1"/>
  <c r="AC586" i="3"/>
  <c r="AC586" i="4" s="1"/>
  <c r="AF587" i="3"/>
  <c r="AF587" i="4" s="1"/>
  <c r="AC590" i="3"/>
  <c r="AC590" i="4" s="1"/>
  <c r="AF591" i="3"/>
  <c r="AF591" i="4" s="1"/>
  <c r="AC594" i="3"/>
  <c r="AC594" i="4" s="1"/>
  <c r="AF595" i="3"/>
  <c r="AF595" i="4" s="1"/>
  <c r="AC598" i="3"/>
  <c r="AC598" i="4" s="1"/>
  <c r="AC602" i="3"/>
  <c r="AC602" i="4" s="1"/>
  <c r="AF603" i="3"/>
  <c r="AF603" i="4" s="1"/>
  <c r="AC606" i="3"/>
  <c r="AC606" i="4" s="1"/>
  <c r="AF607" i="3"/>
  <c r="AF607" i="4" s="1"/>
  <c r="AC610" i="3"/>
  <c r="AC610" i="4" s="1"/>
  <c r="AF611" i="3"/>
  <c r="AF611" i="4" s="1"/>
  <c r="AF615" i="3"/>
  <c r="AF615" i="4" s="1"/>
  <c r="AC618" i="3"/>
  <c r="AC618" i="4" s="1"/>
  <c r="AF619" i="3"/>
  <c r="AF619" i="4" s="1"/>
  <c r="AC622" i="3"/>
  <c r="AC622" i="4" s="1"/>
  <c r="AF623" i="3"/>
  <c r="AF623" i="4" s="1"/>
  <c r="AC626" i="3"/>
  <c r="AC626" i="4" s="1"/>
  <c r="AF627" i="3"/>
  <c r="AF627" i="4" s="1"/>
  <c r="AC630" i="3"/>
  <c r="AC630" i="4" s="1"/>
  <c r="AF631" i="3"/>
  <c r="AF631" i="4" s="1"/>
  <c r="AF635" i="3"/>
  <c r="AF635" i="4" s="1"/>
  <c r="AC638" i="3"/>
  <c r="AC638" i="4" s="1"/>
  <c r="AF639" i="3"/>
  <c r="AF639" i="4" s="1"/>
  <c r="AC642" i="3"/>
  <c r="AC642" i="4" s="1"/>
  <c r="AC646" i="3"/>
  <c r="AC646" i="4" s="1"/>
  <c r="AF647" i="3"/>
  <c r="AF647" i="4" s="1"/>
  <c r="AC650" i="3"/>
  <c r="AC650" i="4" s="1"/>
  <c r="AF651" i="3"/>
  <c r="AF651" i="4" s="1"/>
  <c r="AC654" i="3"/>
  <c r="AC654" i="4" s="1"/>
  <c r="AF655" i="3"/>
  <c r="AF655" i="4" s="1"/>
  <c r="AC658" i="3"/>
  <c r="AC658" i="4" s="1"/>
  <c r="AF659" i="3"/>
  <c r="AF659" i="4" s="1"/>
  <c r="AC662" i="3"/>
  <c r="AC662" i="4" s="1"/>
  <c r="AF663" i="3"/>
  <c r="AF663" i="4" s="1"/>
  <c r="AC666" i="3"/>
  <c r="AC666" i="4" s="1"/>
  <c r="AF667" i="3"/>
  <c r="AF667" i="4" s="1"/>
  <c r="AC670" i="3"/>
  <c r="AC670" i="4" s="1"/>
  <c r="AF671" i="3"/>
  <c r="AF671" i="4" s="1"/>
  <c r="AF675" i="3"/>
  <c r="AF675" i="4" s="1"/>
  <c r="AC678" i="3"/>
  <c r="AC678" i="4" s="1"/>
  <c r="AF679" i="3"/>
  <c r="AF679" i="4" s="1"/>
  <c r="AC682" i="3"/>
  <c r="AC682" i="4" s="1"/>
  <c r="AF683" i="3"/>
  <c r="AF683" i="4" s="1"/>
  <c r="AC686" i="3"/>
  <c r="AC686" i="4" s="1"/>
  <c r="AF687" i="3"/>
  <c r="AF687" i="4" s="1"/>
  <c r="AC690" i="3"/>
  <c r="AC690" i="4" s="1"/>
  <c r="AF691" i="3"/>
  <c r="AF691" i="4" s="1"/>
  <c r="B693" i="3"/>
  <c r="B693" i="4" s="1"/>
  <c r="N693" i="3"/>
  <c r="N693" i="4" s="1"/>
  <c r="Z693" i="3"/>
  <c r="Z693" i="4" s="1"/>
  <c r="E694" i="3"/>
  <c r="E694" i="4" s="1"/>
  <c r="Q694" i="3"/>
  <c r="Q694" i="4" s="1"/>
  <c r="AC694" i="3"/>
  <c r="AC694" i="4" s="1"/>
  <c r="H695" i="3"/>
  <c r="H695" i="4" s="1"/>
  <c r="T695" i="3"/>
  <c r="T695" i="4" s="1"/>
  <c r="AF695" i="3"/>
  <c r="AF695" i="4" s="1"/>
  <c r="K696" i="3"/>
  <c r="K696" i="4" s="1"/>
  <c r="W696" i="3"/>
  <c r="W696" i="4" s="1"/>
  <c r="B697" i="3"/>
  <c r="B697" i="4" s="1"/>
  <c r="N697" i="3"/>
  <c r="N697" i="4" s="1"/>
  <c r="Z697" i="3"/>
  <c r="Z697" i="4" s="1"/>
  <c r="E698" i="3"/>
  <c r="E698" i="4" s="1"/>
  <c r="Q698" i="3"/>
  <c r="Q698" i="4" s="1"/>
  <c r="AC698" i="3"/>
  <c r="AC698" i="4" s="1"/>
  <c r="H699" i="3"/>
  <c r="H699" i="4" s="1"/>
  <c r="A752" i="3"/>
  <c r="A752" i="4" s="1"/>
  <c r="F658" i="3"/>
  <c r="F658" i="4" s="1"/>
  <c r="R658" i="3"/>
  <c r="R658" i="4" s="1"/>
  <c r="I659" i="3"/>
  <c r="I659" i="4" s="1"/>
  <c r="U659" i="3"/>
  <c r="U659" i="4" s="1"/>
  <c r="L660" i="3"/>
  <c r="L660" i="4" s="1"/>
  <c r="X660" i="3"/>
  <c r="X660" i="4" s="1"/>
  <c r="C661" i="3"/>
  <c r="C661" i="4" s="1"/>
  <c r="O661" i="3"/>
  <c r="O661" i="4" s="1"/>
  <c r="AA661" i="3"/>
  <c r="AA661" i="4" s="1"/>
  <c r="F662" i="3"/>
  <c r="F662" i="4" s="1"/>
  <c r="R662" i="3"/>
  <c r="R662" i="4" s="1"/>
  <c r="AD663" i="3"/>
  <c r="AD663" i="4" s="1"/>
  <c r="I663" i="3"/>
  <c r="I663" i="4" s="1"/>
  <c r="U663" i="3"/>
  <c r="U663" i="4" s="1"/>
  <c r="L664" i="3"/>
  <c r="L664" i="4" s="1"/>
  <c r="X664" i="3"/>
  <c r="X664" i="4" s="1"/>
  <c r="C665" i="3"/>
  <c r="C665" i="4" s="1"/>
  <c r="O665" i="3"/>
  <c r="O665" i="4" s="1"/>
  <c r="AA665" i="3"/>
  <c r="AA665" i="4" s="1"/>
  <c r="F666" i="3"/>
  <c r="F666" i="4" s="1"/>
  <c r="R666" i="3"/>
  <c r="R666" i="4" s="1"/>
  <c r="AD666" i="3"/>
  <c r="AD666" i="4" s="1"/>
  <c r="I667" i="3"/>
  <c r="I667" i="4" s="1"/>
  <c r="U667" i="3"/>
  <c r="U667" i="4" s="1"/>
  <c r="L668" i="3"/>
  <c r="L668" i="4" s="1"/>
  <c r="X668" i="3"/>
  <c r="X668" i="4" s="1"/>
  <c r="C669" i="3"/>
  <c r="C669" i="4" s="1"/>
  <c r="O669" i="3"/>
  <c r="O669" i="4" s="1"/>
  <c r="AD670" i="3"/>
  <c r="AD670" i="4" s="1"/>
  <c r="AE395" i="3"/>
  <c r="AE395" i="4" s="1"/>
  <c r="AE394" i="3"/>
  <c r="AE394" i="4" s="1"/>
  <c r="AE519" i="3"/>
  <c r="AE519" i="4" s="1"/>
  <c r="AE518" i="3"/>
  <c r="AE518" i="4" s="1"/>
  <c r="AC5" i="3"/>
  <c r="AC5" i="4" s="1"/>
  <c r="AC13" i="3"/>
  <c r="AC13" i="4" s="1"/>
  <c r="AF18" i="3"/>
  <c r="AF18" i="4" s="1"/>
  <c r="AC21" i="3"/>
  <c r="AC21" i="4" s="1"/>
  <c r="AF26" i="3"/>
  <c r="AF26" i="4" s="1"/>
  <c r="AC29" i="3"/>
  <c r="AC29" i="4" s="1"/>
  <c r="AF34" i="3"/>
  <c r="AF34" i="4" s="1"/>
  <c r="AF42" i="3"/>
  <c r="AF42" i="4" s="1"/>
  <c r="AF54" i="3"/>
  <c r="AF54" i="4" s="1"/>
  <c r="AF58" i="3"/>
  <c r="AF58" i="4" s="1"/>
  <c r="AC61" i="3"/>
  <c r="AC61" i="4" s="1"/>
  <c r="AF70" i="3"/>
  <c r="AF70" i="4" s="1"/>
  <c r="AF78" i="3"/>
  <c r="AF78" i="4" s="1"/>
  <c r="AC81" i="3"/>
  <c r="AC81" i="4" s="1"/>
  <c r="AC85" i="3"/>
  <c r="AC85" i="4" s="1"/>
  <c r="AC93" i="3"/>
  <c r="AC93" i="4" s="1"/>
  <c r="AC97" i="3"/>
  <c r="AC97" i="4" s="1"/>
  <c r="AC101" i="3"/>
  <c r="AC101" i="4" s="1"/>
  <c r="AF102" i="3"/>
  <c r="AF102" i="4" s="1"/>
  <c r="AC105" i="3"/>
  <c r="AC105" i="4" s="1"/>
  <c r="AC109" i="3"/>
  <c r="AC109" i="4" s="1"/>
  <c r="AF114" i="3"/>
  <c r="AF114" i="4" s="1"/>
  <c r="AF122" i="3"/>
  <c r="AF122" i="4" s="1"/>
  <c r="AF130" i="3"/>
  <c r="AF130" i="4" s="1"/>
  <c r="AF138" i="3"/>
  <c r="AF138" i="4" s="1"/>
  <c r="AC141" i="3"/>
  <c r="AC141" i="4" s="1"/>
  <c r="AC149" i="3"/>
  <c r="AC149" i="4" s="1"/>
  <c r="AF154" i="3"/>
  <c r="AF154" i="4" s="1"/>
  <c r="AC157" i="3"/>
  <c r="AC157" i="4" s="1"/>
  <c r="AF158" i="3"/>
  <c r="AF158" i="4" s="1"/>
  <c r="AC161" i="3"/>
  <c r="AC161" i="4" s="1"/>
  <c r="AC165" i="3"/>
  <c r="AC165" i="4" s="1"/>
  <c r="AF166" i="3"/>
  <c r="AF166" i="4" s="1"/>
  <c r="AF178" i="3"/>
  <c r="AF178" i="4" s="1"/>
  <c r="AC181" i="3"/>
  <c r="AC181" i="4" s="1"/>
  <c r="AF182" i="3"/>
  <c r="AF182" i="4" s="1"/>
  <c r="AC185" i="3"/>
  <c r="AC185" i="4" s="1"/>
  <c r="AF186" i="3"/>
  <c r="AF186" i="4" s="1"/>
  <c r="AC189" i="3"/>
  <c r="AC189" i="4" s="1"/>
  <c r="AF190" i="3"/>
  <c r="AF190" i="4" s="1"/>
  <c r="AC193" i="3"/>
  <c r="AC193" i="4" s="1"/>
  <c r="AF194" i="3"/>
  <c r="AF194" i="4" s="1"/>
  <c r="AF198" i="3"/>
  <c r="AF198" i="4" s="1"/>
  <c r="AC201" i="3"/>
  <c r="AC201" i="4" s="1"/>
  <c r="AF202" i="3"/>
  <c r="AF202" i="4" s="1"/>
  <c r="AC205" i="3"/>
  <c r="AC205" i="4" s="1"/>
  <c r="AF206" i="3"/>
  <c r="AF206" i="4" s="1"/>
  <c r="AC209" i="3"/>
  <c r="AC209" i="4" s="1"/>
  <c r="AF210" i="3"/>
  <c r="AF210" i="4" s="1"/>
  <c r="AC213" i="3"/>
  <c r="AC213" i="4" s="1"/>
  <c r="AF214" i="3"/>
  <c r="AF214" i="4" s="1"/>
  <c r="AC217" i="3"/>
  <c r="AC217" i="4" s="1"/>
  <c r="AF218" i="3"/>
  <c r="AF218" i="4" s="1"/>
  <c r="AC221" i="3"/>
  <c r="AC221" i="4" s="1"/>
  <c r="AF222" i="3"/>
  <c r="AF222" i="4" s="1"/>
  <c r="AC225" i="3"/>
  <c r="AC225" i="4" s="1"/>
  <c r="AF226" i="3"/>
  <c r="AF226" i="4" s="1"/>
  <c r="AC229" i="3"/>
  <c r="AC229" i="4" s="1"/>
  <c r="AF230" i="3"/>
  <c r="AF230" i="4" s="1"/>
  <c r="AC233" i="3"/>
  <c r="AC233" i="4" s="1"/>
  <c r="AF234" i="3"/>
  <c r="AF234" i="4" s="1"/>
  <c r="AC237" i="3"/>
  <c r="AC237" i="4" s="1"/>
  <c r="AF238" i="3"/>
  <c r="AF238" i="4" s="1"/>
  <c r="AC241" i="3"/>
  <c r="AC241" i="4" s="1"/>
  <c r="AF242" i="3"/>
  <c r="AF242" i="4" s="1"/>
  <c r="AC245" i="3"/>
  <c r="AC245" i="4" s="1"/>
  <c r="AF246" i="3"/>
  <c r="AF246" i="4" s="1"/>
  <c r="AC249" i="3"/>
  <c r="AC249" i="4" s="1"/>
  <c r="AF250" i="3"/>
  <c r="AF250" i="4" s="1"/>
  <c r="AC253" i="3"/>
  <c r="AC253" i="4" s="1"/>
  <c r="AF254" i="3"/>
  <c r="AF254" i="4" s="1"/>
  <c r="AC257" i="3"/>
  <c r="AC257" i="4" s="1"/>
  <c r="AF258" i="3"/>
  <c r="AF258" i="4" s="1"/>
  <c r="AC261" i="3"/>
  <c r="AC261" i="4" s="1"/>
  <c r="AF262" i="3"/>
  <c r="AF262" i="4" s="1"/>
  <c r="AC265" i="3"/>
  <c r="AC265" i="4" s="1"/>
  <c r="AF266" i="3"/>
  <c r="AF266" i="4" s="1"/>
  <c r="AC269" i="3"/>
  <c r="AC269" i="4" s="1"/>
  <c r="AF270" i="3"/>
  <c r="AF270" i="4" s="1"/>
  <c r="AC273" i="3"/>
  <c r="AC273" i="4" s="1"/>
  <c r="AF274" i="3"/>
  <c r="AF274" i="4" s="1"/>
  <c r="AC277" i="3"/>
  <c r="AC277" i="4" s="1"/>
  <c r="AF278" i="3"/>
  <c r="AF278" i="4" s="1"/>
  <c r="AC281" i="3"/>
  <c r="AC281" i="4" s="1"/>
  <c r="AF282" i="3"/>
  <c r="AF282" i="4" s="1"/>
  <c r="AC285" i="3"/>
  <c r="AC285" i="4" s="1"/>
  <c r="AF286" i="3"/>
  <c r="AF286" i="4" s="1"/>
  <c r="AC289" i="3"/>
  <c r="AC289" i="4" s="1"/>
  <c r="AF290" i="3"/>
  <c r="AF290" i="4" s="1"/>
  <c r="AC293" i="3"/>
  <c r="AC293" i="4" s="1"/>
  <c r="AF294" i="3"/>
  <c r="AF294" i="4" s="1"/>
  <c r="AC297" i="3"/>
  <c r="AC297" i="4" s="1"/>
  <c r="AF298" i="3"/>
  <c r="AF298" i="4" s="1"/>
  <c r="AC301" i="3"/>
  <c r="AC301" i="4" s="1"/>
  <c r="AF302" i="3"/>
  <c r="AF302" i="4" s="1"/>
  <c r="AC305" i="3"/>
  <c r="AC305" i="4" s="1"/>
  <c r="AF306" i="3"/>
  <c r="AF306" i="4" s="1"/>
  <c r="AC309" i="3"/>
  <c r="AC309" i="4" s="1"/>
  <c r="AF310" i="3"/>
  <c r="AF310" i="4" s="1"/>
  <c r="AC313" i="3"/>
  <c r="AC313" i="4" s="1"/>
  <c r="AF314" i="3"/>
  <c r="AF314" i="4" s="1"/>
  <c r="AC317" i="3"/>
  <c r="AC317" i="4" s="1"/>
  <c r="AF318" i="3"/>
  <c r="AF318" i="4" s="1"/>
  <c r="AC321" i="3"/>
  <c r="AC321" i="4" s="1"/>
  <c r="AF322" i="3"/>
  <c r="AF322" i="4" s="1"/>
  <c r="AC9" i="3"/>
  <c r="AC9" i="4" s="1"/>
  <c r="AF22" i="3"/>
  <c r="AF22" i="4" s="1"/>
  <c r="AC25" i="3"/>
  <c r="AC25" i="4" s="1"/>
  <c r="AC33" i="3"/>
  <c r="AC33" i="4" s="1"/>
  <c r="AC37" i="3"/>
  <c r="AC37" i="4" s="1"/>
  <c r="AC41" i="3"/>
  <c r="AC41" i="4" s="1"/>
  <c r="AF46" i="3"/>
  <c r="AF46" i="4" s="1"/>
  <c r="AF50" i="3"/>
  <c r="AF50" i="4" s="1"/>
  <c r="AC53" i="3"/>
  <c r="AC53" i="4" s="1"/>
  <c r="AF62" i="3"/>
  <c r="AF62" i="4" s="1"/>
  <c r="AF66" i="3"/>
  <c r="AF66" i="4" s="1"/>
  <c r="AC69" i="3"/>
  <c r="AC69" i="4" s="1"/>
  <c r="AF74" i="3"/>
  <c r="AF74" i="4" s="1"/>
  <c r="AC77" i="3"/>
  <c r="AC77" i="4" s="1"/>
  <c r="AF86" i="3"/>
  <c r="AF86" i="4" s="1"/>
  <c r="AC89" i="3"/>
  <c r="AC89" i="4" s="1"/>
  <c r="AF94" i="3"/>
  <c r="AF94" i="4" s="1"/>
  <c r="AC113" i="3"/>
  <c r="AC113" i="4" s="1"/>
  <c r="AF118" i="3"/>
  <c r="AF118" i="4" s="1"/>
  <c r="AC121" i="3"/>
  <c r="AC121" i="4" s="1"/>
  <c r="AC125" i="3"/>
  <c r="AC125" i="4" s="1"/>
  <c r="AF134" i="3"/>
  <c r="AF134" i="4" s="1"/>
  <c r="AC145" i="3"/>
  <c r="AC145" i="4" s="1"/>
  <c r="AC153" i="3"/>
  <c r="AC153" i="4" s="1"/>
  <c r="AC169" i="3"/>
  <c r="AC169" i="4" s="1"/>
  <c r="AF170" i="3"/>
  <c r="AF170" i="4" s="1"/>
  <c r="AC173" i="3"/>
  <c r="AC173" i="4" s="1"/>
  <c r="AF174" i="3"/>
  <c r="AF174" i="4" s="1"/>
  <c r="AC177" i="3"/>
  <c r="AC177" i="4" s="1"/>
  <c r="AD5" i="3"/>
  <c r="AD5" i="4" s="1"/>
  <c r="AD9" i="3"/>
  <c r="AD9" i="4" s="1"/>
  <c r="AD13" i="3"/>
  <c r="AD13" i="4" s="1"/>
  <c r="AD17" i="3"/>
  <c r="AD17" i="4" s="1"/>
  <c r="AD21" i="3"/>
  <c r="AD21" i="4" s="1"/>
  <c r="AD25" i="3"/>
  <c r="AD25" i="4" s="1"/>
  <c r="AD29" i="3"/>
  <c r="AD29" i="4" s="1"/>
  <c r="AD33" i="3"/>
  <c r="AD33" i="4" s="1"/>
  <c r="AD37" i="3"/>
  <c r="AD37" i="4" s="1"/>
  <c r="AD41" i="3"/>
  <c r="AD41" i="4" s="1"/>
  <c r="AD45" i="3"/>
  <c r="AD45" i="4" s="1"/>
  <c r="AD49" i="3"/>
  <c r="AD49" i="4" s="1"/>
  <c r="AD53" i="3"/>
  <c r="AD53" i="4" s="1"/>
  <c r="AD57" i="3"/>
  <c r="AD57" i="4" s="1"/>
  <c r="AD61" i="3"/>
  <c r="AD61" i="4" s="1"/>
  <c r="AD65" i="3"/>
  <c r="AD65" i="4" s="1"/>
  <c r="AD69" i="3"/>
  <c r="AD69" i="4" s="1"/>
  <c r="AD73" i="3"/>
  <c r="AD73" i="4" s="1"/>
  <c r="AD77" i="3"/>
  <c r="AD77" i="4" s="1"/>
  <c r="AD81" i="3"/>
  <c r="AD81" i="4" s="1"/>
  <c r="AD85" i="3"/>
  <c r="AD85" i="4" s="1"/>
  <c r="AD89" i="3"/>
  <c r="AD89" i="4" s="1"/>
  <c r="AD93" i="3"/>
  <c r="AD93" i="4" s="1"/>
  <c r="AD97" i="3"/>
  <c r="AD97" i="4" s="1"/>
  <c r="AD101" i="3"/>
  <c r="AD101" i="4" s="1"/>
  <c r="AD105" i="3"/>
  <c r="AD105" i="4" s="1"/>
  <c r="AD109" i="3"/>
  <c r="AD109" i="4" s="1"/>
  <c r="AD113" i="3"/>
  <c r="AD113" i="4" s="1"/>
  <c r="AD117" i="3"/>
  <c r="AD117" i="4" s="1"/>
  <c r="AD121" i="3"/>
  <c r="AD121" i="4" s="1"/>
  <c r="AD125" i="3"/>
  <c r="AD125" i="4" s="1"/>
  <c r="AD129" i="3"/>
  <c r="AD129" i="4" s="1"/>
  <c r="AD133" i="3"/>
  <c r="AD133" i="4" s="1"/>
  <c r="AD137" i="3"/>
  <c r="AD137" i="4" s="1"/>
  <c r="AD141" i="3"/>
  <c r="AD141" i="4" s="1"/>
  <c r="AF6" i="3"/>
  <c r="AF6" i="4" s="1"/>
  <c r="AF10" i="3"/>
  <c r="AF10" i="4" s="1"/>
  <c r="AF14" i="3"/>
  <c r="AF14" i="4" s="1"/>
  <c r="AC17" i="3"/>
  <c r="AC17" i="4" s="1"/>
  <c r="AF30" i="3"/>
  <c r="AF30" i="4" s="1"/>
  <c r="AF38" i="3"/>
  <c r="AF38" i="4" s="1"/>
  <c r="AC45" i="3"/>
  <c r="AC45" i="4" s="1"/>
  <c r="AC49" i="3"/>
  <c r="AC49" i="4" s="1"/>
  <c r="AC57" i="3"/>
  <c r="AC57" i="4" s="1"/>
  <c r="AC65" i="3"/>
  <c r="AC65" i="4" s="1"/>
  <c r="AC73" i="3"/>
  <c r="AC73" i="4" s="1"/>
  <c r="AF82" i="3"/>
  <c r="AF82" i="4" s="1"/>
  <c r="AF90" i="3"/>
  <c r="AF90" i="4" s="1"/>
  <c r="AF98" i="3"/>
  <c r="AF98" i="4" s="1"/>
  <c r="AF106" i="3"/>
  <c r="AF106" i="4" s="1"/>
  <c r="AF110" i="3"/>
  <c r="AF110" i="4" s="1"/>
  <c r="AC117" i="3"/>
  <c r="AC117" i="4" s="1"/>
  <c r="AF126" i="3"/>
  <c r="AF126" i="4" s="1"/>
  <c r="AC129" i="3"/>
  <c r="AC129" i="4" s="1"/>
  <c r="AC133" i="3"/>
  <c r="AC133" i="4" s="1"/>
  <c r="AC137" i="3"/>
  <c r="AC137" i="4" s="1"/>
  <c r="AF142" i="3"/>
  <c r="AF142" i="4" s="1"/>
  <c r="AF146" i="3"/>
  <c r="AF146" i="4" s="1"/>
  <c r="AF150" i="3"/>
  <c r="AF150" i="4" s="1"/>
  <c r="AF162" i="3"/>
  <c r="AF162" i="4" s="1"/>
  <c r="AC197" i="3"/>
  <c r="AC197" i="4" s="1"/>
  <c r="AD67" i="3"/>
  <c r="AD67" i="4" s="1"/>
  <c r="AD91" i="3"/>
  <c r="AD91" i="4" s="1"/>
  <c r="AC2" i="3"/>
  <c r="AC2" i="4" s="1"/>
  <c r="AF3" i="3"/>
  <c r="AF3" i="4" s="1"/>
  <c r="AC6" i="3"/>
  <c r="AC6" i="4" s="1"/>
  <c r="AF7" i="3"/>
  <c r="AF7" i="4" s="1"/>
  <c r="AC10" i="3"/>
  <c r="AC10" i="4" s="1"/>
  <c r="AF11" i="3"/>
  <c r="AF11" i="4" s="1"/>
  <c r="AC14" i="3"/>
  <c r="AC14" i="4" s="1"/>
  <c r="AF15" i="3"/>
  <c r="AF15" i="4" s="1"/>
  <c r="AC18" i="3"/>
  <c r="AC18" i="4" s="1"/>
  <c r="AF19" i="3"/>
  <c r="AF19" i="4" s="1"/>
  <c r="AC22" i="3"/>
  <c r="AC22" i="4" s="1"/>
  <c r="AF23" i="3"/>
  <c r="AF23" i="4" s="1"/>
  <c r="AC26" i="3"/>
  <c r="AC26" i="4" s="1"/>
  <c r="AF27" i="3"/>
  <c r="AF27" i="4" s="1"/>
  <c r="AC30" i="3"/>
  <c r="AC30" i="4" s="1"/>
  <c r="AF31" i="3"/>
  <c r="AF31" i="4" s="1"/>
  <c r="AC34" i="3"/>
  <c r="AC34" i="4" s="1"/>
  <c r="AF35" i="3"/>
  <c r="AF35" i="4" s="1"/>
  <c r="AC38" i="3"/>
  <c r="AC38" i="4" s="1"/>
  <c r="AF39" i="3"/>
  <c r="AF39" i="4" s="1"/>
  <c r="AC42" i="3"/>
  <c r="AC42" i="4" s="1"/>
  <c r="AF43" i="3"/>
  <c r="AF43" i="4" s="1"/>
  <c r="AC46" i="3"/>
  <c r="AC46" i="4" s="1"/>
  <c r="AF47" i="3"/>
  <c r="AF47" i="4" s="1"/>
  <c r="AC50" i="3"/>
  <c r="AC50" i="4" s="1"/>
  <c r="AF51" i="3"/>
  <c r="AF51" i="4" s="1"/>
  <c r="AC54" i="3"/>
  <c r="AC54" i="4" s="1"/>
  <c r="AF55" i="3"/>
  <c r="AF55" i="4" s="1"/>
  <c r="AC58" i="3"/>
  <c r="AC58" i="4" s="1"/>
  <c r="AF59" i="3"/>
  <c r="AF59" i="4" s="1"/>
  <c r="AC62" i="3"/>
  <c r="AC62" i="4" s="1"/>
  <c r="AF63" i="3"/>
  <c r="AF63" i="4" s="1"/>
  <c r="AC66" i="3"/>
  <c r="AC66" i="4" s="1"/>
  <c r="AF67" i="3"/>
  <c r="AF67" i="4" s="1"/>
  <c r="AC70" i="3"/>
  <c r="AC70" i="4" s="1"/>
  <c r="AF71" i="3"/>
  <c r="AF71" i="4" s="1"/>
  <c r="AC74" i="3"/>
  <c r="AC74" i="4" s="1"/>
  <c r="AF75" i="3"/>
  <c r="AF75" i="4" s="1"/>
  <c r="AC78" i="3"/>
  <c r="AC78" i="4" s="1"/>
  <c r="AF79" i="3"/>
  <c r="AF79" i="4" s="1"/>
  <c r="AC82" i="3"/>
  <c r="AC82" i="4" s="1"/>
  <c r="AF83" i="3"/>
  <c r="AF83" i="4" s="1"/>
  <c r="AC86" i="3"/>
  <c r="AC86" i="4" s="1"/>
  <c r="AF87" i="3"/>
  <c r="AF87" i="4" s="1"/>
  <c r="AC90" i="3"/>
  <c r="AC90" i="4" s="1"/>
  <c r="AF91" i="3"/>
  <c r="AF91" i="4" s="1"/>
  <c r="AC94" i="3"/>
  <c r="AC94" i="4" s="1"/>
  <c r="AF95" i="3"/>
  <c r="AF95" i="4" s="1"/>
  <c r="AC98" i="3"/>
  <c r="AC98" i="4" s="1"/>
  <c r="AF99" i="3"/>
  <c r="AF99" i="4" s="1"/>
  <c r="AC102" i="3"/>
  <c r="AC102" i="4" s="1"/>
  <c r="AF103" i="3"/>
  <c r="AF103" i="4" s="1"/>
  <c r="AC106" i="3"/>
  <c r="AC106" i="4" s="1"/>
  <c r="AF107" i="3"/>
  <c r="AF107" i="4" s="1"/>
  <c r="AC110" i="3"/>
  <c r="AC110" i="4" s="1"/>
  <c r="AF111" i="3"/>
  <c r="AF111" i="4" s="1"/>
  <c r="AC114" i="3"/>
  <c r="AC114" i="4" s="1"/>
  <c r="AF115" i="3"/>
  <c r="AF115" i="4" s="1"/>
  <c r="AC118" i="3"/>
  <c r="AC118" i="4" s="1"/>
  <c r="AF119" i="3"/>
  <c r="AF119" i="4" s="1"/>
  <c r="AC122" i="3"/>
  <c r="AC122" i="4" s="1"/>
  <c r="AF123" i="3"/>
  <c r="AF123" i="4" s="1"/>
  <c r="AC126" i="3"/>
  <c r="AC126" i="4" s="1"/>
  <c r="AF127" i="3"/>
  <c r="AF127" i="4" s="1"/>
  <c r="AC130" i="3"/>
  <c r="AC130" i="4" s="1"/>
  <c r="AF131" i="3"/>
  <c r="AF131" i="4" s="1"/>
  <c r="AC134" i="3"/>
  <c r="AC134" i="4" s="1"/>
  <c r="AF135" i="3"/>
  <c r="AF135" i="4" s="1"/>
  <c r="AC138" i="3"/>
  <c r="AC138" i="4" s="1"/>
  <c r="AF139" i="3"/>
  <c r="AF139" i="4" s="1"/>
  <c r="AC142" i="3"/>
  <c r="AC142" i="4" s="1"/>
  <c r="AF143" i="3"/>
  <c r="AF143" i="4" s="1"/>
  <c r="AC146" i="3"/>
  <c r="AC146" i="4" s="1"/>
  <c r="AE555" i="3"/>
  <c r="AE555" i="4" s="1"/>
  <c r="AE554" i="3"/>
  <c r="AE554" i="4" s="1"/>
  <c r="AC325" i="3"/>
  <c r="AC325" i="4" s="1"/>
  <c r="AF326" i="3"/>
  <c r="AF326" i="4" s="1"/>
  <c r="AC329" i="3"/>
  <c r="AC329" i="4" s="1"/>
  <c r="AF330" i="3"/>
  <c r="AF330" i="4" s="1"/>
  <c r="AC333" i="3"/>
  <c r="AC333" i="4" s="1"/>
  <c r="AF334" i="3"/>
  <c r="AF334" i="4" s="1"/>
  <c r="AC337" i="3"/>
  <c r="AC337" i="4" s="1"/>
  <c r="AF338" i="3"/>
  <c r="AF338" i="4" s="1"/>
  <c r="AC341" i="3"/>
  <c r="AC341" i="4" s="1"/>
  <c r="AF342" i="3"/>
  <c r="AF342" i="4" s="1"/>
  <c r="AC345" i="3"/>
  <c r="AC345" i="4" s="1"/>
  <c r="AF346" i="3"/>
  <c r="AF346" i="4" s="1"/>
  <c r="AC349" i="3"/>
  <c r="AC349" i="4" s="1"/>
  <c r="AF350" i="3"/>
  <c r="AF350" i="4" s="1"/>
  <c r="AC353" i="3"/>
  <c r="AC353" i="4" s="1"/>
  <c r="AF354" i="3"/>
  <c r="AF354" i="4" s="1"/>
  <c r="AC357" i="3"/>
  <c r="AC357" i="4" s="1"/>
  <c r="AF358" i="3"/>
  <c r="AF358" i="4" s="1"/>
  <c r="AC361" i="3"/>
  <c r="AC361" i="4" s="1"/>
  <c r="AF362" i="3"/>
  <c r="AF362" i="4" s="1"/>
  <c r="AC365" i="3"/>
  <c r="AC365" i="4" s="1"/>
  <c r="AF366" i="3"/>
  <c r="AF366" i="4" s="1"/>
  <c r="AC369" i="3"/>
  <c r="AC369" i="4" s="1"/>
  <c r="AF370" i="3"/>
  <c r="AF370" i="4" s="1"/>
  <c r="AC373" i="3"/>
  <c r="AC373" i="4" s="1"/>
  <c r="AF374" i="3"/>
  <c r="AF374" i="4" s="1"/>
  <c r="AC377" i="3"/>
  <c r="AC377" i="4" s="1"/>
  <c r="AF378" i="3"/>
  <c r="AF378" i="4" s="1"/>
  <c r="AC381" i="3"/>
  <c r="AC381" i="4" s="1"/>
  <c r="AF382" i="3"/>
  <c r="AF382" i="4" s="1"/>
  <c r="AC385" i="3"/>
  <c r="AC385" i="4" s="1"/>
  <c r="AF386" i="3"/>
  <c r="AF386" i="4" s="1"/>
  <c r="AC389" i="3"/>
  <c r="AC389" i="4" s="1"/>
  <c r="AF390" i="3"/>
  <c r="AF390" i="4" s="1"/>
  <c r="AC393" i="3"/>
  <c r="AC393" i="4" s="1"/>
  <c r="AF394" i="3"/>
  <c r="AF394" i="4" s="1"/>
  <c r="AC397" i="3"/>
  <c r="AC397" i="4" s="1"/>
  <c r="AF398" i="3"/>
  <c r="AF398" i="4" s="1"/>
  <c r="AC401" i="3"/>
  <c r="AC401" i="4" s="1"/>
  <c r="AF402" i="3"/>
  <c r="AF402" i="4" s="1"/>
  <c r="AC405" i="3"/>
  <c r="AC405" i="4" s="1"/>
  <c r="AF406" i="3"/>
  <c r="AF406" i="4" s="1"/>
  <c r="AC409" i="3"/>
  <c r="AC409" i="4" s="1"/>
  <c r="AF410" i="3"/>
  <c r="AF410" i="4" s="1"/>
  <c r="AC413" i="3"/>
  <c r="AC413" i="4" s="1"/>
  <c r="AF414" i="3"/>
  <c r="AF414" i="4" s="1"/>
  <c r="AC417" i="3"/>
  <c r="AC417" i="4" s="1"/>
  <c r="AF418" i="3"/>
  <c r="AF418" i="4" s="1"/>
  <c r="AC421" i="3"/>
  <c r="AC421" i="4" s="1"/>
  <c r="AF422" i="3"/>
  <c r="AF422" i="4" s="1"/>
  <c r="AC425" i="3"/>
  <c r="AC425" i="4" s="1"/>
  <c r="AF426" i="3"/>
  <c r="AF426" i="4" s="1"/>
  <c r="AC429" i="3"/>
  <c r="AC429" i="4" s="1"/>
  <c r="AF430" i="3"/>
  <c r="AF430" i="4" s="1"/>
  <c r="AC433" i="3"/>
  <c r="AC433" i="4" s="1"/>
  <c r="AF434" i="3"/>
  <c r="AF434" i="4" s="1"/>
  <c r="AC437" i="3"/>
  <c r="AC437" i="4" s="1"/>
  <c r="AF438" i="3"/>
  <c r="AF438" i="4" s="1"/>
  <c r="AC441" i="3"/>
  <c r="AC441" i="4" s="1"/>
  <c r="AF442" i="3"/>
  <c r="AF442" i="4" s="1"/>
  <c r="AC445" i="3"/>
  <c r="AC445" i="4" s="1"/>
  <c r="AF446" i="3"/>
  <c r="AF446" i="4" s="1"/>
  <c r="AC449" i="3"/>
  <c r="AC449" i="4" s="1"/>
  <c r="AF450" i="3"/>
  <c r="AF450" i="4" s="1"/>
  <c r="AC453" i="3"/>
  <c r="AC453" i="4" s="1"/>
  <c r="AF454" i="3"/>
  <c r="AF454" i="4" s="1"/>
  <c r="AC457" i="3"/>
  <c r="AC457" i="4" s="1"/>
  <c r="AF458" i="3"/>
  <c r="AF458" i="4" s="1"/>
  <c r="AC461" i="3"/>
  <c r="AC461" i="4" s="1"/>
  <c r="AF462" i="3"/>
  <c r="AF462" i="4" s="1"/>
  <c r="AC465" i="3"/>
  <c r="AC465" i="4" s="1"/>
  <c r="AF466" i="3"/>
  <c r="AF466" i="4" s="1"/>
  <c r="AC469" i="3"/>
  <c r="AC469" i="4" s="1"/>
  <c r="AF470" i="3"/>
  <c r="AF470" i="4" s="1"/>
  <c r="AC473" i="3"/>
  <c r="AC473" i="4" s="1"/>
  <c r="AF474" i="3"/>
  <c r="AF474" i="4" s="1"/>
  <c r="AC477" i="3"/>
  <c r="AC477" i="4" s="1"/>
  <c r="AF478" i="3"/>
  <c r="AF478" i="4" s="1"/>
  <c r="AC481" i="3"/>
  <c r="AC481" i="4" s="1"/>
  <c r="AF482" i="3"/>
  <c r="AF482" i="4" s="1"/>
  <c r="AC485" i="3"/>
  <c r="AC485" i="4" s="1"/>
  <c r="AF486" i="3"/>
  <c r="AF486" i="4" s="1"/>
  <c r="AC489" i="3"/>
  <c r="AC489" i="4" s="1"/>
  <c r="AF490" i="3"/>
  <c r="AF490" i="4" s="1"/>
  <c r="AC493" i="3"/>
  <c r="AC493" i="4" s="1"/>
  <c r="AD145" i="3"/>
  <c r="AD145" i="4" s="1"/>
  <c r="AD149" i="3"/>
  <c r="AD149" i="4" s="1"/>
  <c r="AD153" i="3"/>
  <c r="AD153" i="4" s="1"/>
  <c r="AD157" i="3"/>
  <c r="AD157" i="4" s="1"/>
  <c r="AD161" i="3"/>
  <c r="AD161" i="4" s="1"/>
  <c r="AD165" i="3"/>
  <c r="AD165" i="4" s="1"/>
  <c r="AD169" i="3"/>
  <c r="AD169" i="4" s="1"/>
  <c r="AD173" i="3"/>
  <c r="AD173" i="4" s="1"/>
  <c r="AD177" i="3"/>
  <c r="AD177" i="4" s="1"/>
  <c r="AD181" i="3"/>
  <c r="AD181" i="4" s="1"/>
  <c r="AD185" i="3"/>
  <c r="AD185" i="4" s="1"/>
  <c r="AD189" i="3"/>
  <c r="AD189" i="4" s="1"/>
  <c r="AD193" i="3"/>
  <c r="AD193" i="4" s="1"/>
  <c r="AD197" i="3"/>
  <c r="AD197" i="4" s="1"/>
  <c r="AD201" i="3"/>
  <c r="AD201" i="4" s="1"/>
  <c r="AD205" i="3"/>
  <c r="AD205" i="4" s="1"/>
  <c r="AD209" i="3"/>
  <c r="AD209" i="4" s="1"/>
  <c r="AD213" i="3"/>
  <c r="AD213" i="4" s="1"/>
  <c r="AD217" i="3"/>
  <c r="AD217" i="4" s="1"/>
  <c r="AD221" i="3"/>
  <c r="AD221" i="4" s="1"/>
  <c r="AD225" i="3"/>
  <c r="AD225" i="4" s="1"/>
  <c r="AD229" i="3"/>
  <c r="AD229" i="4" s="1"/>
  <c r="AD233" i="3"/>
  <c r="AD233" i="4" s="1"/>
  <c r="AD237" i="3"/>
  <c r="AD237" i="4" s="1"/>
  <c r="AD241" i="3"/>
  <c r="AD241" i="4" s="1"/>
  <c r="AD245" i="3"/>
  <c r="AD245" i="4" s="1"/>
  <c r="AD249" i="3"/>
  <c r="AD249" i="4" s="1"/>
  <c r="AD253" i="3"/>
  <c r="AD253" i="4" s="1"/>
  <c r="AD257" i="3"/>
  <c r="AD257" i="4" s="1"/>
  <c r="AD261" i="3"/>
  <c r="AD261" i="4" s="1"/>
  <c r="AD265" i="3"/>
  <c r="AD265" i="4" s="1"/>
  <c r="AD269" i="3"/>
  <c r="AD269" i="4" s="1"/>
  <c r="AD273" i="3"/>
  <c r="AD273" i="4" s="1"/>
  <c r="AD277" i="3"/>
  <c r="AD277" i="4" s="1"/>
  <c r="AD281" i="3"/>
  <c r="AD281" i="4" s="1"/>
  <c r="AD285" i="3"/>
  <c r="AD285" i="4" s="1"/>
  <c r="AD289" i="3"/>
  <c r="AD289" i="4" s="1"/>
  <c r="AD293" i="3"/>
  <c r="AD293" i="4" s="1"/>
  <c r="AD297" i="3"/>
  <c r="AD297" i="4" s="1"/>
  <c r="AD301" i="3"/>
  <c r="AD301" i="4" s="1"/>
  <c r="AD305" i="3"/>
  <c r="AD305" i="4" s="1"/>
  <c r="AD309" i="3"/>
  <c r="AD309" i="4" s="1"/>
  <c r="AD313" i="3"/>
  <c r="AD313" i="4" s="1"/>
  <c r="AD317" i="3"/>
  <c r="AD317" i="4" s="1"/>
  <c r="AD321" i="3"/>
  <c r="AD321" i="4" s="1"/>
  <c r="AD325" i="3"/>
  <c r="AD325" i="4" s="1"/>
  <c r="AD329" i="3"/>
  <c r="AD329" i="4" s="1"/>
  <c r="AD333" i="3"/>
  <c r="AD333" i="4" s="1"/>
  <c r="AD337" i="3"/>
  <c r="AD337" i="4" s="1"/>
  <c r="AE145" i="3"/>
  <c r="AE145" i="4" s="1"/>
  <c r="AE149" i="3"/>
  <c r="AE149" i="4" s="1"/>
  <c r="AE153" i="3"/>
  <c r="AE153" i="4" s="1"/>
  <c r="AE157" i="3"/>
  <c r="AE157" i="4" s="1"/>
  <c r="AE161" i="3"/>
  <c r="AE161" i="4" s="1"/>
  <c r="AE165" i="3"/>
  <c r="AE165" i="4" s="1"/>
  <c r="AE169" i="3"/>
  <c r="AE169" i="4" s="1"/>
  <c r="AE173" i="3"/>
  <c r="AE173" i="4" s="1"/>
  <c r="AE177" i="3"/>
  <c r="AE177" i="4" s="1"/>
  <c r="AE181" i="3"/>
  <c r="AE181" i="4" s="1"/>
  <c r="AE185" i="3"/>
  <c r="AE185" i="4" s="1"/>
  <c r="AE189" i="3"/>
  <c r="AE189" i="4" s="1"/>
  <c r="AE193" i="3"/>
  <c r="AE193" i="4" s="1"/>
  <c r="AE197" i="3"/>
  <c r="AE197" i="4" s="1"/>
  <c r="AE201" i="3"/>
  <c r="AE201" i="4" s="1"/>
  <c r="AE205" i="3"/>
  <c r="AE205" i="4" s="1"/>
  <c r="AE209" i="3"/>
  <c r="AE209" i="4" s="1"/>
  <c r="AE213" i="3"/>
  <c r="AE213" i="4" s="1"/>
  <c r="AE217" i="3"/>
  <c r="AE217" i="4" s="1"/>
  <c r="AE221" i="3"/>
  <c r="AE221" i="4" s="1"/>
  <c r="AE225" i="3"/>
  <c r="AE225" i="4" s="1"/>
  <c r="AE229" i="3"/>
  <c r="AE229" i="4" s="1"/>
  <c r="AE233" i="3"/>
  <c r="AE233" i="4" s="1"/>
  <c r="AE237" i="3"/>
  <c r="AE237" i="4" s="1"/>
  <c r="AE241" i="3"/>
  <c r="AE241" i="4" s="1"/>
  <c r="AE245" i="3"/>
  <c r="AE245" i="4" s="1"/>
  <c r="AE249" i="3"/>
  <c r="AE249" i="4" s="1"/>
  <c r="AE253" i="3"/>
  <c r="AE253" i="4" s="1"/>
  <c r="AE257" i="3"/>
  <c r="AE257" i="4" s="1"/>
  <c r="AE261" i="3"/>
  <c r="AE261" i="4" s="1"/>
  <c r="AE265" i="3"/>
  <c r="AE265" i="4" s="1"/>
  <c r="AE269" i="3"/>
  <c r="AE269" i="4" s="1"/>
  <c r="AE273" i="3"/>
  <c r="AE273" i="4" s="1"/>
  <c r="AE277" i="3"/>
  <c r="AE277" i="4" s="1"/>
  <c r="AE281" i="3"/>
  <c r="AE281" i="4" s="1"/>
  <c r="AE285" i="3"/>
  <c r="AE285" i="4" s="1"/>
  <c r="AE289" i="3"/>
  <c r="AE289" i="4" s="1"/>
  <c r="AE293" i="3"/>
  <c r="AE293" i="4" s="1"/>
  <c r="AE297" i="3"/>
  <c r="AE297" i="4" s="1"/>
  <c r="AE301" i="3"/>
  <c r="AE301" i="4" s="1"/>
  <c r="AE305" i="3"/>
  <c r="AE305" i="4" s="1"/>
  <c r="AE309" i="3"/>
  <c r="AE309" i="4" s="1"/>
  <c r="AE313" i="3"/>
  <c r="AE313" i="4" s="1"/>
  <c r="AE317" i="3"/>
  <c r="AE317" i="4" s="1"/>
  <c r="AE321" i="3"/>
  <c r="AE321" i="4" s="1"/>
  <c r="AE325" i="3"/>
  <c r="AE325" i="4" s="1"/>
  <c r="AE329" i="3"/>
  <c r="AE329" i="4" s="1"/>
  <c r="AE333" i="3"/>
  <c r="AE333" i="4" s="1"/>
  <c r="AE337" i="3"/>
  <c r="AE337" i="4" s="1"/>
  <c r="AE341" i="3"/>
  <c r="AE341" i="4" s="1"/>
  <c r="AD175" i="3"/>
  <c r="AD175" i="4" s="1"/>
  <c r="AE303" i="3"/>
  <c r="AE303" i="4" s="1"/>
  <c r="AF147" i="3"/>
  <c r="AF147" i="4" s="1"/>
  <c r="AC150" i="3"/>
  <c r="AC150" i="4" s="1"/>
  <c r="AF151" i="3"/>
  <c r="AF151" i="4" s="1"/>
  <c r="AC154" i="3"/>
  <c r="AC154" i="4" s="1"/>
  <c r="AF155" i="3"/>
  <c r="AF155" i="4" s="1"/>
  <c r="AC158" i="3"/>
  <c r="AC158" i="4" s="1"/>
  <c r="AF159" i="3"/>
  <c r="AF159" i="4" s="1"/>
  <c r="AC162" i="3"/>
  <c r="AC162" i="4" s="1"/>
  <c r="AF163" i="3"/>
  <c r="AF163" i="4" s="1"/>
  <c r="AC166" i="3"/>
  <c r="AC166" i="4" s="1"/>
  <c r="AF167" i="3"/>
  <c r="AF167" i="4" s="1"/>
  <c r="AC170" i="3"/>
  <c r="AC170" i="4" s="1"/>
  <c r="AF171" i="3"/>
  <c r="AF171" i="4" s="1"/>
  <c r="AC174" i="3"/>
  <c r="AC174" i="4" s="1"/>
  <c r="AF175" i="3"/>
  <c r="AF175" i="4" s="1"/>
  <c r="AC178" i="3"/>
  <c r="AC178" i="4" s="1"/>
  <c r="AF179" i="3"/>
  <c r="AF179" i="4" s="1"/>
  <c r="AC182" i="3"/>
  <c r="AC182" i="4" s="1"/>
  <c r="AF183" i="3"/>
  <c r="AF183" i="4" s="1"/>
  <c r="AC186" i="3"/>
  <c r="AC186" i="4" s="1"/>
  <c r="AF187" i="3"/>
  <c r="AF187" i="4" s="1"/>
  <c r="AC190" i="3"/>
  <c r="AC190" i="4" s="1"/>
  <c r="AF191" i="3"/>
  <c r="AF191" i="4" s="1"/>
  <c r="AC194" i="3"/>
  <c r="AC194" i="4" s="1"/>
  <c r="AF195" i="3"/>
  <c r="AF195" i="4" s="1"/>
  <c r="AC198" i="3"/>
  <c r="AC198" i="4" s="1"/>
  <c r="AF199" i="3"/>
  <c r="AF199" i="4" s="1"/>
  <c r="AC202" i="3"/>
  <c r="AC202" i="4" s="1"/>
  <c r="AF203" i="3"/>
  <c r="AF203" i="4" s="1"/>
  <c r="AC206" i="3"/>
  <c r="AC206" i="4" s="1"/>
  <c r="AF207" i="3"/>
  <c r="AF207" i="4" s="1"/>
  <c r="AC210" i="3"/>
  <c r="AC210" i="4" s="1"/>
  <c r="AF211" i="3"/>
  <c r="AF211" i="4" s="1"/>
  <c r="AC214" i="3"/>
  <c r="AC214" i="4" s="1"/>
  <c r="AF215" i="3"/>
  <c r="AF215" i="4" s="1"/>
  <c r="AC218" i="3"/>
  <c r="AC218" i="4" s="1"/>
  <c r="AF219" i="3"/>
  <c r="AF219" i="4" s="1"/>
  <c r="AC222" i="3"/>
  <c r="AC222" i="4" s="1"/>
  <c r="AF223" i="3"/>
  <c r="AF223" i="4" s="1"/>
  <c r="AC226" i="3"/>
  <c r="AC226" i="4" s="1"/>
  <c r="AF227" i="3"/>
  <c r="AF227" i="4" s="1"/>
  <c r="AC230" i="3"/>
  <c r="AC230" i="4" s="1"/>
  <c r="AF231" i="3"/>
  <c r="AF231" i="4" s="1"/>
  <c r="AC234" i="3"/>
  <c r="AC234" i="4" s="1"/>
  <c r="AF235" i="3"/>
  <c r="AF235" i="4" s="1"/>
  <c r="AC238" i="3"/>
  <c r="AC238" i="4" s="1"/>
  <c r="AF239" i="3"/>
  <c r="AF239" i="4" s="1"/>
  <c r="AC242" i="3"/>
  <c r="AC242" i="4" s="1"/>
  <c r="AF243" i="3"/>
  <c r="AF243" i="4" s="1"/>
  <c r="AC246" i="3"/>
  <c r="AC246" i="4" s="1"/>
  <c r="AF247" i="3"/>
  <c r="AF247" i="4" s="1"/>
  <c r="AC250" i="3"/>
  <c r="AC250" i="4" s="1"/>
  <c r="AF251" i="3"/>
  <c r="AF251" i="4" s="1"/>
  <c r="AC254" i="3"/>
  <c r="AC254" i="4" s="1"/>
  <c r="AF255" i="3"/>
  <c r="AF255" i="4" s="1"/>
  <c r="AC258" i="3"/>
  <c r="AC258" i="4" s="1"/>
  <c r="AF259" i="3"/>
  <c r="AF259" i="4" s="1"/>
  <c r="AC262" i="3"/>
  <c r="AC262" i="4" s="1"/>
  <c r="AF263" i="3"/>
  <c r="AF263" i="4" s="1"/>
  <c r="AC266" i="3"/>
  <c r="AC266" i="4" s="1"/>
  <c r="AF267" i="3"/>
  <c r="AF267" i="4" s="1"/>
  <c r="AC270" i="3"/>
  <c r="AC270" i="4" s="1"/>
  <c r="AF271" i="3"/>
  <c r="AF271" i="4" s="1"/>
  <c r="AC274" i="3"/>
  <c r="AC274" i="4" s="1"/>
  <c r="AF275" i="3"/>
  <c r="AF275" i="4" s="1"/>
  <c r="AC278" i="3"/>
  <c r="AC278" i="4" s="1"/>
  <c r="AF279" i="3"/>
  <c r="AF279" i="4" s="1"/>
  <c r="AC282" i="3"/>
  <c r="AC282" i="4" s="1"/>
  <c r="AF283" i="3"/>
  <c r="AF283" i="4" s="1"/>
  <c r="AC286" i="3"/>
  <c r="AC286" i="4" s="1"/>
  <c r="AF287" i="3"/>
  <c r="AF287" i="4" s="1"/>
  <c r="AC290" i="3"/>
  <c r="AC290" i="4" s="1"/>
  <c r="AF291" i="3"/>
  <c r="AF291" i="4" s="1"/>
  <c r="AC294" i="3"/>
  <c r="AC294" i="4" s="1"/>
  <c r="AF295" i="3"/>
  <c r="AF295" i="4" s="1"/>
  <c r="AC298" i="3"/>
  <c r="AC298" i="4" s="1"/>
  <c r="AF299" i="3"/>
  <c r="AF299" i="4" s="1"/>
  <c r="AC302" i="3"/>
  <c r="AC302" i="4" s="1"/>
  <c r="AF303" i="3"/>
  <c r="AF303" i="4" s="1"/>
  <c r="AC306" i="3"/>
  <c r="AC306" i="4" s="1"/>
  <c r="AF307" i="3"/>
  <c r="AF307" i="4" s="1"/>
  <c r="AC310" i="3"/>
  <c r="AC310" i="4" s="1"/>
  <c r="AF311" i="3"/>
  <c r="AF311" i="4" s="1"/>
  <c r="AC314" i="3"/>
  <c r="AC314" i="4" s="1"/>
  <c r="AF315" i="3"/>
  <c r="AF315" i="4" s="1"/>
  <c r="AC318" i="3"/>
  <c r="AC318" i="4" s="1"/>
  <c r="AF319" i="3"/>
  <c r="AF319" i="4" s="1"/>
  <c r="AC322" i="3"/>
  <c r="AC322" i="4" s="1"/>
  <c r="AF323" i="3"/>
  <c r="AF323" i="4" s="1"/>
  <c r="AC326" i="3"/>
  <c r="AC326" i="4" s="1"/>
  <c r="AF327" i="3"/>
  <c r="AF327" i="4" s="1"/>
  <c r="AC330" i="3"/>
  <c r="AC330" i="4" s="1"/>
  <c r="AF331" i="3"/>
  <c r="AF331" i="4" s="1"/>
  <c r="AC334" i="3"/>
  <c r="AC334" i="4" s="1"/>
  <c r="AF335" i="3"/>
  <c r="AF335" i="4" s="1"/>
  <c r="AC338" i="3"/>
  <c r="AC338" i="4" s="1"/>
  <c r="AF339" i="3"/>
  <c r="AF339" i="4" s="1"/>
  <c r="AC342" i="3"/>
  <c r="AC342" i="4" s="1"/>
  <c r="AF343" i="3"/>
  <c r="AF343" i="4" s="1"/>
  <c r="AC346" i="3"/>
  <c r="AC346" i="4" s="1"/>
  <c r="AF347" i="3"/>
  <c r="AF347" i="4" s="1"/>
  <c r="AC350" i="3"/>
  <c r="AC350" i="4" s="1"/>
  <c r="AF351" i="3"/>
  <c r="AF351" i="4" s="1"/>
  <c r="AD341" i="3"/>
  <c r="AD341" i="4" s="1"/>
  <c r="AD345" i="3"/>
  <c r="AD345" i="4" s="1"/>
  <c r="AD349" i="3"/>
  <c r="AD349" i="4" s="1"/>
  <c r="AD353" i="3"/>
  <c r="AD353" i="4" s="1"/>
  <c r="AD357" i="3"/>
  <c r="AD357" i="4" s="1"/>
  <c r="AD361" i="3"/>
  <c r="AD361" i="4" s="1"/>
  <c r="AD365" i="3"/>
  <c r="AD365" i="4" s="1"/>
  <c r="AD369" i="3"/>
  <c r="AD369" i="4" s="1"/>
  <c r="AD373" i="3"/>
  <c r="AD373" i="4" s="1"/>
  <c r="AD377" i="3"/>
  <c r="AD377" i="4" s="1"/>
  <c r="AD381" i="3"/>
  <c r="AD381" i="4" s="1"/>
  <c r="AD385" i="3"/>
  <c r="AD385" i="4" s="1"/>
  <c r="AD389" i="3"/>
  <c r="AD389" i="4" s="1"/>
  <c r="AD393" i="3"/>
  <c r="AD393" i="4" s="1"/>
  <c r="AD397" i="3"/>
  <c r="AD397" i="4" s="1"/>
  <c r="AD401" i="3"/>
  <c r="AD401" i="4" s="1"/>
  <c r="AD405" i="3"/>
  <c r="AD405" i="4" s="1"/>
  <c r="AD409" i="3"/>
  <c r="AD409" i="4" s="1"/>
  <c r="AD413" i="3"/>
  <c r="AD413" i="4" s="1"/>
  <c r="AD417" i="3"/>
  <c r="AD417" i="4" s="1"/>
  <c r="AD421" i="3"/>
  <c r="AD421" i="4" s="1"/>
  <c r="AD425" i="3"/>
  <c r="AD425" i="4" s="1"/>
  <c r="AD429" i="3"/>
  <c r="AD429" i="4" s="1"/>
  <c r="AD433" i="3"/>
  <c r="AD433" i="4" s="1"/>
  <c r="AD437" i="3"/>
  <c r="AD437" i="4" s="1"/>
  <c r="AD441" i="3"/>
  <c r="AD441" i="4" s="1"/>
  <c r="AD445" i="3"/>
  <c r="AD445" i="4" s="1"/>
  <c r="AD449" i="3"/>
  <c r="AD449" i="4" s="1"/>
  <c r="AD453" i="3"/>
  <c r="AD453" i="4" s="1"/>
  <c r="AD457" i="3"/>
  <c r="AD457" i="4" s="1"/>
  <c r="AD461" i="3"/>
  <c r="AD461" i="4" s="1"/>
  <c r="AD465" i="3"/>
  <c r="AD465" i="4" s="1"/>
  <c r="AD469" i="3"/>
  <c r="AD469" i="4" s="1"/>
  <c r="AD473" i="3"/>
  <c r="AD473" i="4" s="1"/>
  <c r="AD477" i="3"/>
  <c r="AD477" i="4" s="1"/>
  <c r="AD481" i="3"/>
  <c r="AD481" i="4" s="1"/>
  <c r="AD485" i="3"/>
  <c r="AD485" i="4" s="1"/>
  <c r="AD489" i="3"/>
  <c r="AD489" i="4" s="1"/>
  <c r="AD493" i="3"/>
  <c r="AD493" i="4" s="1"/>
  <c r="AD497" i="3"/>
  <c r="AD497" i="4" s="1"/>
  <c r="AD501" i="3"/>
  <c r="AD501" i="4" s="1"/>
  <c r="AD505" i="3"/>
  <c r="AD505" i="4" s="1"/>
  <c r="AD509" i="3"/>
  <c r="AD509" i="4" s="1"/>
  <c r="AD513" i="3"/>
  <c r="AD513" i="4" s="1"/>
  <c r="AD517" i="3"/>
  <c r="AD517" i="4" s="1"/>
  <c r="AD521" i="3"/>
  <c r="AD521" i="4" s="1"/>
  <c r="AD525" i="3"/>
  <c r="AD525" i="4" s="1"/>
  <c r="AD529" i="3"/>
  <c r="AD529" i="4" s="1"/>
  <c r="AD533" i="3"/>
  <c r="AD533" i="4" s="1"/>
  <c r="AD537" i="3"/>
  <c r="AD537" i="4" s="1"/>
  <c r="AD541" i="3"/>
  <c r="AD541" i="4" s="1"/>
  <c r="AD545" i="3"/>
  <c r="AD545" i="4" s="1"/>
  <c r="AD549" i="3"/>
  <c r="AD549" i="4" s="1"/>
  <c r="AD553" i="3"/>
  <c r="AD553" i="4" s="1"/>
  <c r="AD557" i="3"/>
  <c r="AD557" i="4" s="1"/>
  <c r="AD561" i="3"/>
  <c r="AD561" i="4" s="1"/>
  <c r="AD565" i="3"/>
  <c r="AD565" i="4" s="1"/>
  <c r="AD569" i="3"/>
  <c r="AD569" i="4" s="1"/>
  <c r="AD573" i="3"/>
  <c r="AD573" i="4" s="1"/>
  <c r="AE345" i="3"/>
  <c r="AE345" i="4" s="1"/>
  <c r="AE349" i="3"/>
  <c r="AE349" i="4" s="1"/>
  <c r="AE353" i="3"/>
  <c r="AE353" i="4" s="1"/>
  <c r="AE357" i="3"/>
  <c r="AE357" i="4" s="1"/>
  <c r="AE361" i="3"/>
  <c r="AE361" i="4" s="1"/>
  <c r="AE365" i="3"/>
  <c r="AE365" i="4" s="1"/>
  <c r="AE369" i="3"/>
  <c r="AE369" i="4" s="1"/>
  <c r="AE373" i="3"/>
  <c r="AE373" i="4" s="1"/>
  <c r="AE377" i="3"/>
  <c r="AE377" i="4" s="1"/>
  <c r="AE381" i="3"/>
  <c r="AE381" i="4" s="1"/>
  <c r="AE385" i="3"/>
  <c r="AE385" i="4" s="1"/>
  <c r="AE389" i="3"/>
  <c r="AE389" i="4" s="1"/>
  <c r="AE393" i="3"/>
  <c r="AE393" i="4" s="1"/>
  <c r="AE397" i="3"/>
  <c r="AE397" i="4" s="1"/>
  <c r="AE401" i="3"/>
  <c r="AE401" i="4" s="1"/>
  <c r="AE405" i="3"/>
  <c r="AE405" i="4" s="1"/>
  <c r="AE409" i="3"/>
  <c r="AE409" i="4" s="1"/>
  <c r="AE437" i="3"/>
  <c r="AE437" i="4" s="1"/>
  <c r="AE445" i="3"/>
  <c r="AE445" i="4" s="1"/>
  <c r="AE481" i="3"/>
  <c r="AE481" i="4" s="1"/>
  <c r="AE497" i="3"/>
  <c r="AE497" i="4" s="1"/>
  <c r="AE509" i="3"/>
  <c r="AE509" i="4" s="1"/>
  <c r="AF477" i="3"/>
  <c r="AF477" i="4" s="1"/>
  <c r="AF501" i="3"/>
  <c r="AF501" i="4" s="1"/>
  <c r="AF537" i="3"/>
  <c r="AF537" i="4" s="1"/>
  <c r="AC544" i="3"/>
  <c r="AC544" i="4" s="1"/>
  <c r="AC568" i="3"/>
  <c r="AC568" i="4" s="1"/>
  <c r="AC584" i="3"/>
  <c r="AC584" i="4" s="1"/>
  <c r="AC624" i="3"/>
  <c r="AC624" i="4" s="1"/>
  <c r="AC623" i="3"/>
  <c r="AC623" i="4" s="1"/>
  <c r="AD307" i="3"/>
  <c r="AD307" i="4" s="1"/>
  <c r="AD359" i="3"/>
  <c r="AD359" i="4" s="1"/>
  <c r="AD451" i="3"/>
  <c r="AD451" i="4" s="1"/>
  <c r="AD488" i="3"/>
  <c r="AD488" i="4" s="1"/>
  <c r="AD487" i="3"/>
  <c r="AD487" i="4" s="1"/>
  <c r="AD491" i="3"/>
  <c r="AD491" i="4" s="1"/>
  <c r="AD567" i="3"/>
  <c r="AD567" i="4" s="1"/>
  <c r="AE327" i="3"/>
  <c r="AE327" i="4" s="1"/>
  <c r="AE451" i="3"/>
  <c r="AE451" i="4" s="1"/>
  <c r="AC354" i="3"/>
  <c r="AC354" i="4" s="1"/>
  <c r="AF355" i="3"/>
  <c r="AF355" i="4" s="1"/>
  <c r="AC358" i="3"/>
  <c r="AC358" i="4" s="1"/>
  <c r="AF359" i="3"/>
  <c r="AF359" i="4" s="1"/>
  <c r="AC362" i="3"/>
  <c r="AC362" i="4" s="1"/>
  <c r="AF363" i="3"/>
  <c r="AF363" i="4" s="1"/>
  <c r="AC366" i="3"/>
  <c r="AC366" i="4" s="1"/>
  <c r="AF367" i="3"/>
  <c r="AF367" i="4" s="1"/>
  <c r="AC370" i="3"/>
  <c r="AC370" i="4" s="1"/>
  <c r="AF371" i="3"/>
  <c r="AF371" i="4" s="1"/>
  <c r="AC374" i="3"/>
  <c r="AC374" i="4" s="1"/>
  <c r="AF375" i="3"/>
  <c r="AF375" i="4" s="1"/>
  <c r="AC378" i="3"/>
  <c r="AC378" i="4" s="1"/>
  <c r="AF379" i="3"/>
  <c r="AF379" i="4" s="1"/>
  <c r="AC382" i="3"/>
  <c r="AC382" i="4" s="1"/>
  <c r="AF383" i="3"/>
  <c r="AF383" i="4" s="1"/>
  <c r="AC386" i="3"/>
  <c r="AC386" i="4" s="1"/>
  <c r="AF387" i="3"/>
  <c r="AF387" i="4" s="1"/>
  <c r="AC390" i="3"/>
  <c r="AC390" i="4" s="1"/>
  <c r="AF391" i="3"/>
  <c r="AF391" i="4" s="1"/>
  <c r="AC394" i="3"/>
  <c r="AC394" i="4" s="1"/>
  <c r="AF395" i="3"/>
  <c r="AF395" i="4" s="1"/>
  <c r="AC398" i="3"/>
  <c r="AC398" i="4" s="1"/>
  <c r="AF399" i="3"/>
  <c r="AF399" i="4" s="1"/>
  <c r="AC402" i="3"/>
  <c r="AC402" i="4" s="1"/>
  <c r="AF403" i="3"/>
  <c r="AF403" i="4" s="1"/>
  <c r="AC406" i="3"/>
  <c r="AC406" i="4" s="1"/>
  <c r="AF407" i="3"/>
  <c r="AF407" i="4" s="1"/>
  <c r="AF411" i="3"/>
  <c r="AF411" i="4" s="1"/>
  <c r="AC414" i="3"/>
  <c r="AC414" i="4" s="1"/>
  <c r="AF415" i="3"/>
  <c r="AF415" i="4" s="1"/>
  <c r="AC418" i="3"/>
  <c r="AC418" i="4" s="1"/>
  <c r="AF419" i="3"/>
  <c r="AF419" i="4" s="1"/>
  <c r="AC422" i="3"/>
  <c r="AC422" i="4" s="1"/>
  <c r="AC426" i="3"/>
  <c r="AC426" i="4" s="1"/>
  <c r="AF427" i="3"/>
  <c r="AF427" i="4" s="1"/>
  <c r="AC430" i="3"/>
  <c r="AC430" i="4" s="1"/>
  <c r="AF431" i="3"/>
  <c r="AF431" i="4" s="1"/>
  <c r="AC434" i="3"/>
  <c r="AC434" i="4" s="1"/>
  <c r="AF435" i="3"/>
  <c r="AF435" i="4" s="1"/>
  <c r="AC438" i="3"/>
  <c r="AC438" i="4" s="1"/>
  <c r="AC442" i="3"/>
  <c r="AC442" i="4" s="1"/>
  <c r="AF443" i="3"/>
  <c r="AF443" i="4" s="1"/>
  <c r="AC446" i="3"/>
  <c r="AC446" i="4" s="1"/>
  <c r="AF447" i="3"/>
  <c r="AF447" i="4" s="1"/>
  <c r="AC450" i="3"/>
  <c r="AC450" i="4" s="1"/>
  <c r="AF451" i="3"/>
  <c r="AF451" i="4" s="1"/>
  <c r="AC454" i="3"/>
  <c r="AC454" i="4" s="1"/>
  <c r="AF455" i="3"/>
  <c r="AF455" i="4" s="1"/>
  <c r="AC458" i="3"/>
  <c r="AC458" i="4" s="1"/>
  <c r="AF459" i="3"/>
  <c r="AF459" i="4" s="1"/>
  <c r="AC462" i="3"/>
  <c r="AC462" i="4" s="1"/>
  <c r="AF463" i="3"/>
  <c r="AF463" i="4" s="1"/>
  <c r="AC466" i="3"/>
  <c r="AC466" i="4" s="1"/>
  <c r="AF467" i="3"/>
  <c r="AF467" i="4" s="1"/>
  <c r="AF471" i="3"/>
  <c r="AF471" i="4" s="1"/>
  <c r="AC474" i="3"/>
  <c r="AC474" i="4" s="1"/>
  <c r="AF475" i="3"/>
  <c r="AF475" i="4" s="1"/>
  <c r="AC478" i="3"/>
  <c r="AC478" i="4" s="1"/>
  <c r="AF479" i="3"/>
  <c r="AF479" i="4" s="1"/>
  <c r="AC482" i="3"/>
  <c r="AC482" i="4" s="1"/>
  <c r="AF483" i="3"/>
  <c r="AF483" i="4" s="1"/>
  <c r="AC486" i="3"/>
  <c r="AC486" i="4" s="1"/>
  <c r="AF487" i="3"/>
  <c r="AF487" i="4" s="1"/>
  <c r="AC490" i="3"/>
  <c r="AC490" i="4" s="1"/>
  <c r="AF491" i="3"/>
  <c r="AF491" i="4" s="1"/>
  <c r="AC494" i="3"/>
  <c r="AC494" i="4" s="1"/>
  <c r="AF495" i="3"/>
  <c r="AF495" i="4" s="1"/>
  <c r="AC498" i="3"/>
  <c r="AC498" i="4" s="1"/>
  <c r="AC502" i="3"/>
  <c r="AC502" i="4" s="1"/>
  <c r="AF503" i="3"/>
  <c r="AF503" i="4" s="1"/>
  <c r="AC506" i="3"/>
  <c r="AC506" i="4" s="1"/>
  <c r="AF507" i="3"/>
  <c r="AF507" i="4" s="1"/>
  <c r="AC510" i="3"/>
  <c r="AC510" i="4" s="1"/>
  <c r="AF511" i="3"/>
  <c r="AF511" i="4" s="1"/>
  <c r="AC514" i="3"/>
  <c r="AC514" i="4" s="1"/>
  <c r="AF515" i="3"/>
  <c r="AF515" i="4" s="1"/>
  <c r="AC518" i="3"/>
  <c r="AC518" i="4" s="1"/>
  <c r="AF519" i="3"/>
  <c r="AF519" i="4" s="1"/>
  <c r="AC522" i="3"/>
  <c r="AC522" i="4" s="1"/>
  <c r="AF523" i="3"/>
  <c r="AF523" i="4" s="1"/>
  <c r="AC526" i="3"/>
  <c r="AC526" i="4" s="1"/>
  <c r="AF527" i="3"/>
  <c r="AF527" i="4" s="1"/>
  <c r="AC530" i="3"/>
  <c r="AC530" i="4" s="1"/>
  <c r="AF531" i="3"/>
  <c r="AF531" i="4" s="1"/>
  <c r="AD519" i="3"/>
  <c r="AD519" i="4" s="1"/>
  <c r="AD518" i="3"/>
  <c r="AD518" i="4" s="1"/>
  <c r="AD531" i="3"/>
  <c r="AD531" i="4" s="1"/>
  <c r="AD530" i="3"/>
  <c r="AD530" i="4" s="1"/>
  <c r="AD543" i="3"/>
  <c r="AD543" i="4" s="1"/>
  <c r="AD542" i="3"/>
  <c r="AD542" i="4" s="1"/>
  <c r="AD635" i="3"/>
  <c r="AD635" i="4" s="1"/>
  <c r="AD634" i="3"/>
  <c r="AD634" i="4" s="1"/>
  <c r="AD650" i="3"/>
  <c r="AD650" i="4" s="1"/>
  <c r="AD651" i="3"/>
  <c r="AD651" i="4" s="1"/>
  <c r="AD583" i="3"/>
  <c r="AD583" i="4" s="1"/>
  <c r="AD595" i="3"/>
  <c r="AD595" i="4" s="1"/>
  <c r="AD623" i="3"/>
  <c r="AD623" i="4" s="1"/>
  <c r="AE611" i="3"/>
  <c r="AE611" i="4" s="1"/>
  <c r="AE623" i="3"/>
  <c r="AE623" i="4" s="1"/>
  <c r="AF600" i="3"/>
  <c r="AF600" i="4" s="1"/>
  <c r="AC635" i="3"/>
  <c r="AC635" i="4" s="1"/>
  <c r="AC533" i="3"/>
  <c r="AC533" i="4" s="1"/>
  <c r="AF534" i="3"/>
  <c r="AF534" i="4" s="1"/>
  <c r="AC537" i="3"/>
  <c r="AC537" i="4" s="1"/>
  <c r="AF538" i="3"/>
  <c r="AF538" i="4" s="1"/>
  <c r="AC541" i="3"/>
  <c r="AC541" i="4" s="1"/>
  <c r="AF542" i="3"/>
  <c r="AF542" i="4" s="1"/>
  <c r="AC545" i="3"/>
  <c r="AC545" i="4" s="1"/>
  <c r="AF546" i="3"/>
  <c r="AF546" i="4" s="1"/>
  <c r="AC549" i="3"/>
  <c r="AC549" i="4" s="1"/>
  <c r="AF550" i="3"/>
  <c r="AF550" i="4" s="1"/>
  <c r="AC553" i="3"/>
  <c r="AC553" i="4" s="1"/>
  <c r="AF554" i="3"/>
  <c r="AF554" i="4" s="1"/>
  <c r="AC557" i="3"/>
  <c r="AC557" i="4" s="1"/>
  <c r="AF558" i="3"/>
  <c r="AF558" i="4" s="1"/>
  <c r="AC561" i="3"/>
  <c r="AC561" i="4" s="1"/>
  <c r="AF562" i="3"/>
  <c r="AF562" i="4" s="1"/>
  <c r="AC565" i="3"/>
  <c r="AC565" i="4" s="1"/>
  <c r="AF566" i="3"/>
  <c r="AF566" i="4" s="1"/>
  <c r="AC569" i="3"/>
  <c r="AC569" i="4" s="1"/>
  <c r="AF570" i="3"/>
  <c r="AF570" i="4" s="1"/>
  <c r="AC573" i="3"/>
  <c r="AC573" i="4" s="1"/>
  <c r="AF574" i="3"/>
  <c r="AF574" i="4" s="1"/>
  <c r="AC577" i="3"/>
  <c r="AC577" i="4" s="1"/>
  <c r="AF578" i="3"/>
  <c r="AF578" i="4" s="1"/>
  <c r="AC581" i="3"/>
  <c r="AC581" i="4" s="1"/>
  <c r="AF582" i="3"/>
  <c r="AF582" i="4" s="1"/>
  <c r="AC585" i="3"/>
  <c r="AC585" i="4" s="1"/>
  <c r="AF586" i="3"/>
  <c r="AF586" i="4" s="1"/>
  <c r="AC589" i="3"/>
  <c r="AC589" i="4" s="1"/>
  <c r="AF590" i="3"/>
  <c r="AF590" i="4" s="1"/>
  <c r="AC593" i="3"/>
  <c r="AC593" i="4" s="1"/>
  <c r="AF594" i="3"/>
  <c r="AF594" i="4" s="1"/>
  <c r="AC597" i="3"/>
  <c r="AC597" i="4" s="1"/>
  <c r="AF598" i="3"/>
  <c r="AF598" i="4" s="1"/>
  <c r="AC601" i="3"/>
  <c r="AC601" i="4" s="1"/>
  <c r="AF602" i="3"/>
  <c r="AF602" i="4" s="1"/>
  <c r="AC605" i="3"/>
  <c r="AC605" i="4" s="1"/>
  <c r="AF606" i="3"/>
  <c r="AF606" i="4" s="1"/>
  <c r="AC609" i="3"/>
  <c r="AC609" i="4" s="1"/>
  <c r="AF610" i="3"/>
  <c r="AF610" i="4" s="1"/>
  <c r="AC613" i="3"/>
  <c r="AC613" i="4" s="1"/>
  <c r="AF614" i="3"/>
  <c r="AF614" i="4" s="1"/>
  <c r="AC617" i="3"/>
  <c r="AC617" i="4" s="1"/>
  <c r="AF618" i="3"/>
  <c r="AF618" i="4" s="1"/>
  <c r="AC621" i="3"/>
  <c r="AC621" i="4" s="1"/>
  <c r="AF622" i="3"/>
  <c r="AF622" i="4" s="1"/>
  <c r="AC625" i="3"/>
  <c r="AC625" i="4" s="1"/>
  <c r="AF626" i="3"/>
  <c r="AF626" i="4" s="1"/>
  <c r="AC629" i="3"/>
  <c r="AC629" i="4" s="1"/>
  <c r="AF630" i="3"/>
  <c r="AF630" i="4" s="1"/>
  <c r="AC633" i="3"/>
  <c r="AC633" i="4" s="1"/>
  <c r="AF634" i="3"/>
  <c r="AF634" i="4" s="1"/>
  <c r="AC637" i="3"/>
  <c r="AC637" i="4" s="1"/>
  <c r="AF638" i="3"/>
  <c r="AF638" i="4" s="1"/>
  <c r="AC641" i="3"/>
  <c r="AC641" i="4" s="1"/>
  <c r="AF642" i="3"/>
  <c r="AF642" i="4" s="1"/>
  <c r="AC645" i="3"/>
  <c r="AC645" i="4" s="1"/>
  <c r="AF646" i="3"/>
  <c r="AF646" i="4" s="1"/>
  <c r="AC649" i="3"/>
  <c r="AC649" i="4" s="1"/>
  <c r="AF650" i="3"/>
  <c r="AF650" i="4" s="1"/>
  <c r="AC653" i="3"/>
  <c r="AC653" i="4" s="1"/>
  <c r="AF654" i="3"/>
  <c r="AF654" i="4" s="1"/>
  <c r="AC657" i="3"/>
  <c r="AC657" i="4" s="1"/>
  <c r="AF658" i="3"/>
  <c r="AF658" i="4" s="1"/>
  <c r="AC661" i="3"/>
  <c r="AC661" i="4" s="1"/>
  <c r="AF662" i="3"/>
  <c r="AF662" i="4" s="1"/>
  <c r="AC665" i="3"/>
  <c r="AC665" i="4" s="1"/>
  <c r="AF666" i="3"/>
  <c r="AF666" i="4" s="1"/>
  <c r="AC669" i="3"/>
  <c r="AC669" i="4" s="1"/>
  <c r="AF670" i="3"/>
  <c r="AF670" i="4" s="1"/>
  <c r="AC673" i="3"/>
  <c r="AC673" i="4" s="1"/>
  <c r="AF674" i="3"/>
  <c r="AF674" i="4" s="1"/>
  <c r="AC677" i="3"/>
  <c r="AC677" i="4" s="1"/>
  <c r="AF678" i="3"/>
  <c r="AF678" i="4" s="1"/>
  <c r="AC681" i="3"/>
  <c r="AC681" i="4" s="1"/>
  <c r="AF682" i="3"/>
  <c r="AF682" i="4" s="1"/>
  <c r="AC685" i="3"/>
  <c r="AC685" i="4" s="1"/>
  <c r="AF686" i="3"/>
  <c r="AF686" i="4" s="1"/>
  <c r="AC689" i="3"/>
  <c r="AC689" i="4" s="1"/>
  <c r="AF690" i="3"/>
  <c r="AF690" i="4" s="1"/>
  <c r="AC693" i="3"/>
  <c r="AC693" i="4" s="1"/>
  <c r="AF694" i="3"/>
  <c r="AF694" i="4" s="1"/>
  <c r="AC697" i="3"/>
  <c r="AC697" i="4" s="1"/>
  <c r="AF698" i="3"/>
  <c r="AF698" i="4" s="1"/>
  <c r="AE533" i="3"/>
  <c r="AE533" i="4" s="1"/>
  <c r="AE557" i="3"/>
  <c r="AE557" i="4" s="1"/>
  <c r="AE593" i="3"/>
  <c r="AE593" i="4" s="1"/>
  <c r="AE609" i="3"/>
  <c r="AE609" i="4" s="1"/>
  <c r="AE641" i="3"/>
  <c r="AE641" i="4" s="1"/>
  <c r="AE653" i="3"/>
  <c r="AE653" i="4" s="1"/>
  <c r="AE669" i="3"/>
  <c r="AE669" i="4" s="1"/>
  <c r="AE681" i="3"/>
  <c r="AE681" i="4" s="1"/>
  <c r="AC592" i="3"/>
  <c r="AC592" i="4" s="1"/>
  <c r="AC596" i="3"/>
  <c r="AC596" i="4" s="1"/>
  <c r="AC604" i="3"/>
  <c r="AC604" i="4" s="1"/>
  <c r="AF605" i="3"/>
  <c r="AF605" i="4" s="1"/>
  <c r="AF609" i="3"/>
  <c r="AF609" i="4" s="1"/>
  <c r="AC620" i="3"/>
  <c r="AC620" i="4" s="1"/>
  <c r="AC628" i="3"/>
  <c r="AC628" i="4" s="1"/>
  <c r="AF629" i="3"/>
  <c r="AF629" i="4" s="1"/>
  <c r="AF633" i="3"/>
  <c r="AF633" i="4" s="1"/>
  <c r="AC640" i="3"/>
  <c r="AC640" i="4" s="1"/>
  <c r="AF641" i="3"/>
  <c r="AF641" i="4" s="1"/>
  <c r="AC644" i="3"/>
  <c r="AC644" i="4" s="1"/>
  <c r="AC648" i="3"/>
  <c r="AC648" i="4" s="1"/>
  <c r="AF653" i="3"/>
  <c r="AF653" i="4" s="1"/>
  <c r="AC656" i="3"/>
  <c r="AC656" i="4" s="1"/>
  <c r="AF665" i="3"/>
  <c r="AF665" i="4" s="1"/>
  <c r="AF669" i="3"/>
  <c r="AF669" i="4" s="1"/>
  <c r="AC676" i="3"/>
  <c r="AC676" i="4" s="1"/>
  <c r="AF677" i="3"/>
  <c r="AF677" i="4" s="1"/>
  <c r="AF681" i="3"/>
  <c r="AF681" i="4" s="1"/>
  <c r="AC684" i="3"/>
  <c r="AC684" i="4" s="1"/>
  <c r="AC688" i="3"/>
  <c r="AC688" i="4" s="1"/>
  <c r="AE645" i="3"/>
  <c r="AE645" i="4" s="1"/>
  <c r="AE644" i="3"/>
  <c r="AE644" i="4" s="1"/>
  <c r="AE733" i="3"/>
  <c r="AE733" i="4" s="1"/>
  <c r="AE732" i="3"/>
  <c r="AE732" i="4" s="1"/>
  <c r="AE677" i="3"/>
  <c r="AE677" i="4" s="1"/>
  <c r="AE705" i="3"/>
  <c r="AE705" i="4" s="1"/>
  <c r="AE717" i="3"/>
  <c r="AE717" i="4" s="1"/>
  <c r="AF709" i="3"/>
  <c r="AF709" i="4" s="1"/>
  <c r="AC736" i="3"/>
  <c r="AC736" i="4" s="1"/>
  <c r="AC735" i="3"/>
  <c r="AC735" i="4" s="1"/>
  <c r="AD671" i="3"/>
  <c r="AD671" i="4" s="1"/>
  <c r="AF751" i="3"/>
  <c r="AF751" i="4" s="1"/>
  <c r="AE727" i="3"/>
  <c r="AE727" i="4" s="1"/>
  <c r="T699" i="3"/>
  <c r="T699" i="4" s="1"/>
  <c r="AF699" i="3"/>
  <c r="AF699" i="4" s="1"/>
  <c r="K700" i="3"/>
  <c r="K700" i="4" s="1"/>
  <c r="W700" i="3"/>
  <c r="W700" i="4" s="1"/>
  <c r="B701" i="3"/>
  <c r="B701" i="4" s="1"/>
  <c r="N701" i="3"/>
  <c r="N701" i="4" s="1"/>
  <c r="Z701" i="3"/>
  <c r="Z701" i="4" s="1"/>
  <c r="E702" i="3"/>
  <c r="E702" i="4" s="1"/>
  <c r="Q702" i="3"/>
  <c r="Q702" i="4" s="1"/>
  <c r="AC702" i="3"/>
  <c r="AC702" i="4" s="1"/>
  <c r="H703" i="3"/>
  <c r="H703" i="4" s="1"/>
  <c r="T703" i="3"/>
  <c r="T703" i="4" s="1"/>
  <c r="AF703" i="3"/>
  <c r="AF703" i="4" s="1"/>
  <c r="K704" i="3"/>
  <c r="K704" i="4" s="1"/>
  <c r="W704" i="3"/>
  <c r="W704" i="4" s="1"/>
  <c r="B705" i="3"/>
  <c r="B705" i="4" s="1"/>
  <c r="N705" i="3"/>
  <c r="N705" i="4" s="1"/>
  <c r="Z705" i="3"/>
  <c r="Z705" i="4" s="1"/>
  <c r="E706" i="3"/>
  <c r="E706" i="4" s="1"/>
  <c r="Q706" i="3"/>
  <c r="Q706" i="4" s="1"/>
  <c r="H707" i="3"/>
  <c r="H707" i="4" s="1"/>
  <c r="T707" i="3"/>
  <c r="T707" i="4" s="1"/>
  <c r="K708" i="3"/>
  <c r="K708" i="4" s="1"/>
  <c r="W708" i="3"/>
  <c r="W708" i="4" s="1"/>
  <c r="B709" i="3"/>
  <c r="B709" i="4" s="1"/>
  <c r="N709" i="3"/>
  <c r="N709" i="4" s="1"/>
  <c r="Z709" i="3"/>
  <c r="Z709" i="4" s="1"/>
  <c r="E710" i="3"/>
  <c r="E710" i="4" s="1"/>
  <c r="Q710" i="3"/>
  <c r="Q710" i="4" s="1"/>
  <c r="AC710" i="3"/>
  <c r="AC710" i="4" s="1"/>
  <c r="H711" i="3"/>
  <c r="H711" i="4" s="1"/>
  <c r="T711" i="3"/>
  <c r="T711" i="4" s="1"/>
  <c r="AF712" i="3"/>
  <c r="AF712" i="4" s="1"/>
  <c r="AF711" i="3"/>
  <c r="AF711" i="4" s="1"/>
  <c r="K712" i="3"/>
  <c r="K712" i="4" s="1"/>
  <c r="W712" i="3"/>
  <c r="W712" i="4" s="1"/>
  <c r="B713" i="3"/>
  <c r="B713" i="4" s="1"/>
  <c r="N713" i="3"/>
  <c r="N713" i="4" s="1"/>
  <c r="Z713" i="3"/>
  <c r="Z713" i="4" s="1"/>
  <c r="E714" i="3"/>
  <c r="E714" i="4" s="1"/>
  <c r="Q714" i="3"/>
  <c r="Q714" i="4" s="1"/>
  <c r="AC714" i="3"/>
  <c r="AC714" i="4" s="1"/>
  <c r="H715" i="3"/>
  <c r="H715" i="4" s="1"/>
  <c r="T715" i="3"/>
  <c r="T715" i="4" s="1"/>
  <c r="AF715" i="3"/>
  <c r="AF715" i="4" s="1"/>
  <c r="K716" i="3"/>
  <c r="K716" i="4" s="1"/>
  <c r="W716" i="3"/>
  <c r="W716" i="4" s="1"/>
  <c r="B717" i="3"/>
  <c r="B717" i="4" s="1"/>
  <c r="N717" i="3"/>
  <c r="N717" i="4" s="1"/>
  <c r="Z717" i="3"/>
  <c r="Z717" i="4" s="1"/>
  <c r="E718" i="3"/>
  <c r="E718" i="4" s="1"/>
  <c r="Q718" i="3"/>
  <c r="Q718" i="4" s="1"/>
  <c r="AC718" i="3"/>
  <c r="AC718" i="4" s="1"/>
  <c r="H719" i="3"/>
  <c r="H719" i="4" s="1"/>
  <c r="T719" i="3"/>
  <c r="T719" i="4" s="1"/>
  <c r="AF719" i="3"/>
  <c r="AF719" i="4" s="1"/>
  <c r="K720" i="3"/>
  <c r="K720" i="4" s="1"/>
  <c r="W720" i="3"/>
  <c r="W720" i="4" s="1"/>
  <c r="B721" i="3"/>
  <c r="B721" i="4" s="1"/>
  <c r="N721" i="3"/>
  <c r="N721" i="4" s="1"/>
  <c r="Z721" i="3"/>
  <c r="Z721" i="4" s="1"/>
  <c r="E722" i="3"/>
  <c r="E722" i="4" s="1"/>
  <c r="Q722" i="3"/>
  <c r="Q722" i="4" s="1"/>
  <c r="AC722" i="3"/>
  <c r="AC722" i="4" s="1"/>
  <c r="H723" i="3"/>
  <c r="H723" i="4" s="1"/>
  <c r="T723" i="3"/>
  <c r="T723" i="4" s="1"/>
  <c r="AF723" i="3"/>
  <c r="AF723" i="4" s="1"/>
  <c r="K724" i="3"/>
  <c r="K724" i="4" s="1"/>
  <c r="W724" i="3"/>
  <c r="W724" i="4" s="1"/>
  <c r="B725" i="3"/>
  <c r="B725" i="4" s="1"/>
  <c r="N725" i="3"/>
  <c r="N725" i="4" s="1"/>
  <c r="Z725" i="3"/>
  <c r="Z725" i="4" s="1"/>
  <c r="E726" i="3"/>
  <c r="E726" i="4" s="1"/>
  <c r="Q726" i="3"/>
  <c r="Q726" i="4" s="1"/>
  <c r="AC726" i="3"/>
  <c r="AC726" i="4" s="1"/>
  <c r="H727" i="3"/>
  <c r="H727" i="4" s="1"/>
  <c r="T727" i="3"/>
  <c r="T727" i="4" s="1"/>
  <c r="AF727" i="3"/>
  <c r="AF727" i="4" s="1"/>
  <c r="K728" i="3"/>
  <c r="K728" i="4" s="1"/>
  <c r="W728" i="3"/>
  <c r="W728" i="4" s="1"/>
  <c r="B729" i="3"/>
  <c r="B729" i="4" s="1"/>
  <c r="N729" i="3"/>
  <c r="N729" i="4" s="1"/>
  <c r="Z729" i="3"/>
  <c r="Z729" i="4" s="1"/>
  <c r="AD678" i="3"/>
  <c r="AD678" i="4" s="1"/>
  <c r="AD682" i="3"/>
  <c r="AD682" i="4" s="1"/>
  <c r="AD686" i="3"/>
  <c r="AD686" i="4" s="1"/>
  <c r="X692" i="3"/>
  <c r="X692" i="4" s="1"/>
  <c r="C693" i="3"/>
  <c r="C693" i="4" s="1"/>
  <c r="O693" i="3"/>
  <c r="O693" i="4" s="1"/>
  <c r="AA693" i="3"/>
  <c r="AA693" i="4" s="1"/>
  <c r="F694" i="3"/>
  <c r="F694" i="4" s="1"/>
  <c r="R694" i="3"/>
  <c r="R694" i="4" s="1"/>
  <c r="AD694" i="3"/>
  <c r="AD694" i="4" s="1"/>
  <c r="I695" i="3"/>
  <c r="I695" i="4" s="1"/>
  <c r="U695" i="3"/>
  <c r="U695" i="4" s="1"/>
  <c r="L696" i="3"/>
  <c r="L696" i="4" s="1"/>
  <c r="X696" i="3"/>
  <c r="X696" i="4" s="1"/>
  <c r="C697" i="3"/>
  <c r="C697" i="4" s="1"/>
  <c r="O697" i="3"/>
  <c r="O697" i="4" s="1"/>
  <c r="AA697" i="3"/>
  <c r="AA697" i="4" s="1"/>
  <c r="F698" i="3"/>
  <c r="F698" i="4" s="1"/>
  <c r="R698" i="3"/>
  <c r="R698" i="4" s="1"/>
  <c r="AD698" i="3"/>
  <c r="AD698" i="4" s="1"/>
  <c r="I699" i="3"/>
  <c r="I699" i="4" s="1"/>
  <c r="U699" i="3"/>
  <c r="U699" i="4" s="1"/>
  <c r="L700" i="3"/>
  <c r="L700" i="4" s="1"/>
  <c r="X700" i="3"/>
  <c r="X700" i="4" s="1"/>
  <c r="C701" i="3"/>
  <c r="C701" i="4" s="1"/>
  <c r="O701" i="3"/>
  <c r="O701" i="4" s="1"/>
  <c r="AA701" i="3"/>
  <c r="AA701" i="4" s="1"/>
  <c r="F702" i="3"/>
  <c r="F702" i="4" s="1"/>
  <c r="R702" i="3"/>
  <c r="R702" i="4" s="1"/>
  <c r="AD702" i="3"/>
  <c r="AD702" i="4" s="1"/>
  <c r="I703" i="3"/>
  <c r="I703" i="4" s="1"/>
  <c r="U703" i="3"/>
  <c r="U703" i="4" s="1"/>
  <c r="L704" i="3"/>
  <c r="L704" i="4" s="1"/>
  <c r="X704" i="3"/>
  <c r="X704" i="4" s="1"/>
  <c r="C705" i="3"/>
  <c r="C705" i="4" s="1"/>
  <c r="O705" i="3"/>
  <c r="O705" i="4" s="1"/>
  <c r="AA705" i="3"/>
  <c r="AA705" i="4" s="1"/>
  <c r="F706" i="3"/>
  <c r="F706" i="4" s="1"/>
  <c r="R706" i="3"/>
  <c r="R706" i="4" s="1"/>
  <c r="AD706" i="3"/>
  <c r="AD706" i="4" s="1"/>
  <c r="I707" i="3"/>
  <c r="I707" i="4" s="1"/>
  <c r="U707" i="3"/>
  <c r="U707" i="4" s="1"/>
  <c r="L708" i="3"/>
  <c r="L708" i="4" s="1"/>
  <c r="X708" i="3"/>
  <c r="X708" i="4" s="1"/>
  <c r="C709" i="3"/>
  <c r="C709" i="4" s="1"/>
  <c r="O709" i="3"/>
  <c r="O709" i="4" s="1"/>
  <c r="AA709" i="3"/>
  <c r="AA709" i="4" s="1"/>
  <c r="F710" i="3"/>
  <c r="F710" i="4" s="1"/>
  <c r="R710" i="3"/>
  <c r="R710" i="4" s="1"/>
  <c r="AD710" i="3"/>
  <c r="AD710" i="4" s="1"/>
  <c r="AC701" i="3"/>
  <c r="AC701" i="4" s="1"/>
  <c r="AF702" i="3"/>
  <c r="AF702" i="4" s="1"/>
  <c r="AC705" i="3"/>
  <c r="AC705" i="4" s="1"/>
  <c r="AF706" i="3"/>
  <c r="AF706" i="4" s="1"/>
  <c r="AC709" i="3"/>
  <c r="AC709" i="4" s="1"/>
  <c r="AF710" i="3"/>
  <c r="AF710" i="4" s="1"/>
  <c r="AC713" i="3"/>
  <c r="AC713" i="4" s="1"/>
  <c r="AF714" i="3"/>
  <c r="AF714" i="4" s="1"/>
  <c r="AC717" i="3"/>
  <c r="AC717" i="4" s="1"/>
  <c r="AF718" i="3"/>
  <c r="AF718" i="4" s="1"/>
  <c r="AC721" i="3"/>
  <c r="AC721" i="4" s="1"/>
  <c r="AF722" i="3"/>
  <c r="AF722" i="4" s="1"/>
  <c r="AC725" i="3"/>
  <c r="AC725" i="4" s="1"/>
  <c r="AF726" i="3"/>
  <c r="AF726" i="4" s="1"/>
  <c r="AC729" i="3"/>
  <c r="AC729" i="4" s="1"/>
  <c r="AF730" i="3"/>
  <c r="AF730" i="4" s="1"/>
  <c r="AC733" i="3"/>
  <c r="AC733" i="4" s="1"/>
  <c r="AF734" i="3"/>
  <c r="AF734" i="4" s="1"/>
  <c r="AC737" i="3"/>
  <c r="AC737" i="4" s="1"/>
  <c r="AF738" i="3"/>
  <c r="AF738" i="4" s="1"/>
  <c r="AC741" i="3"/>
  <c r="AC741" i="4" s="1"/>
  <c r="AF742" i="3"/>
  <c r="AF742" i="4" s="1"/>
  <c r="AC745" i="3"/>
  <c r="AC745" i="4" s="1"/>
  <c r="AC749" i="3"/>
  <c r="AC749" i="4" s="1"/>
  <c r="AF750" i="3"/>
  <c r="AF750" i="4" s="1"/>
  <c r="AE745" i="3"/>
  <c r="AE745" i="4" s="1"/>
  <c r="AF752" i="3"/>
  <c r="AF752" i="4" s="1"/>
  <c r="E730" i="3"/>
  <c r="E730" i="4" s="1"/>
  <c r="Q730" i="3"/>
  <c r="Q730" i="4" s="1"/>
  <c r="AC730" i="3"/>
  <c r="AC730" i="4" s="1"/>
  <c r="H731" i="3"/>
  <c r="H731" i="4" s="1"/>
  <c r="T731" i="3"/>
  <c r="T731" i="4" s="1"/>
  <c r="AF731" i="3"/>
  <c r="AF731" i="4" s="1"/>
  <c r="K732" i="3"/>
  <c r="K732" i="4" s="1"/>
  <c r="W732" i="3"/>
  <c r="W732" i="4" s="1"/>
  <c r="B733" i="3"/>
  <c r="B733" i="4" s="1"/>
  <c r="N733" i="3"/>
  <c r="N733" i="4" s="1"/>
  <c r="Z733" i="3"/>
  <c r="Z733" i="4" s="1"/>
  <c r="E734" i="3"/>
  <c r="E734" i="4" s="1"/>
  <c r="Q734" i="3"/>
  <c r="Q734" i="4" s="1"/>
  <c r="AC734" i="3"/>
  <c r="AC734" i="4" s="1"/>
  <c r="H735" i="3"/>
  <c r="H735" i="4" s="1"/>
  <c r="T735" i="3"/>
  <c r="T735" i="4" s="1"/>
  <c r="K736" i="3"/>
  <c r="K736" i="4" s="1"/>
  <c r="W736" i="3"/>
  <c r="W736" i="4" s="1"/>
  <c r="B737" i="3"/>
  <c r="B737" i="4" s="1"/>
  <c r="N737" i="3"/>
  <c r="N737" i="4" s="1"/>
  <c r="Z737" i="3"/>
  <c r="Z737" i="4" s="1"/>
  <c r="E738" i="3"/>
  <c r="E738" i="4" s="1"/>
  <c r="Q738" i="3"/>
  <c r="Q738" i="4" s="1"/>
  <c r="AC738" i="3"/>
  <c r="AC738" i="4" s="1"/>
  <c r="H739" i="3"/>
  <c r="H739" i="4" s="1"/>
  <c r="T739" i="3"/>
  <c r="T739" i="4" s="1"/>
  <c r="AF739" i="3"/>
  <c r="AF739" i="4" s="1"/>
  <c r="K740" i="3"/>
  <c r="K740" i="4" s="1"/>
  <c r="W740" i="3"/>
  <c r="W740" i="4" s="1"/>
  <c r="B741" i="3"/>
  <c r="B741" i="4" s="1"/>
  <c r="N741" i="3"/>
  <c r="N741" i="4" s="1"/>
  <c r="Z741" i="3"/>
  <c r="Z741" i="4" s="1"/>
  <c r="E742" i="3"/>
  <c r="E742" i="4" s="1"/>
  <c r="Q742" i="3"/>
  <c r="Q742" i="4" s="1"/>
  <c r="AC742" i="3"/>
  <c r="AC742" i="4" s="1"/>
  <c r="H743" i="3"/>
  <c r="H743" i="4" s="1"/>
  <c r="T743" i="3"/>
  <c r="T743" i="4" s="1"/>
  <c r="K744" i="3"/>
  <c r="K744" i="4" s="1"/>
  <c r="W744" i="3"/>
  <c r="W744" i="4" s="1"/>
  <c r="B745" i="3"/>
  <c r="B745" i="4" s="1"/>
  <c r="N745" i="3"/>
  <c r="N745" i="4" s="1"/>
  <c r="Z745" i="3"/>
  <c r="Z745" i="4" s="1"/>
  <c r="E746" i="3"/>
  <c r="E746" i="4" s="1"/>
  <c r="Q746" i="3"/>
  <c r="Q746" i="4" s="1"/>
  <c r="AC746" i="3"/>
  <c r="AC746" i="4" s="1"/>
  <c r="H747" i="3"/>
  <c r="H747" i="4" s="1"/>
  <c r="T747" i="3"/>
  <c r="T747" i="4" s="1"/>
  <c r="AF748" i="3"/>
  <c r="AF748" i="4" s="1"/>
  <c r="K748" i="3"/>
  <c r="K748" i="4" s="1"/>
  <c r="W748" i="3"/>
  <c r="W748" i="4" s="1"/>
  <c r="B749" i="3"/>
  <c r="B749" i="4" s="1"/>
  <c r="N749" i="3"/>
  <c r="N749" i="4" s="1"/>
  <c r="Z749" i="3"/>
  <c r="Z749" i="4" s="1"/>
  <c r="E750" i="3"/>
  <c r="E750" i="4" s="1"/>
  <c r="Q750" i="3"/>
  <c r="Q750" i="4" s="1"/>
  <c r="AC750" i="3"/>
  <c r="AC750" i="4" s="1"/>
  <c r="I751" i="3"/>
  <c r="I751" i="4" s="1"/>
  <c r="U751" i="3"/>
  <c r="U751" i="4" s="1"/>
  <c r="N752" i="3"/>
  <c r="N752" i="4" s="1"/>
  <c r="Z752" i="3"/>
  <c r="Z752" i="4" s="1"/>
  <c r="G753" i="3"/>
  <c r="G753" i="4" s="1"/>
  <c r="AD718" i="3"/>
  <c r="AD718" i="4" s="1"/>
  <c r="AD726" i="3"/>
  <c r="AD726" i="4" s="1"/>
  <c r="AD734" i="3"/>
  <c r="AD734" i="4" s="1"/>
  <c r="AD750" i="3"/>
  <c r="AD750" i="4" s="1"/>
  <c r="P749" i="3"/>
  <c r="P749" i="4" s="1"/>
  <c r="AB749" i="3"/>
  <c r="AB749" i="4" s="1"/>
  <c r="G750" i="3"/>
  <c r="G750" i="4" s="1"/>
  <c r="S750" i="3"/>
  <c r="S750" i="4" s="1"/>
  <c r="AC752" i="3"/>
  <c r="AC752" i="4" s="1"/>
  <c r="AC470" i="3"/>
  <c r="AC470" i="4" s="1"/>
  <c r="AC471" i="3"/>
  <c r="AC471" i="4" s="1"/>
  <c r="AC674" i="3"/>
  <c r="AC674" i="4" s="1"/>
  <c r="AC675" i="3"/>
  <c r="AC675" i="4" s="1"/>
  <c r="AF707" i="3"/>
  <c r="AF707" i="4" s="1"/>
  <c r="AF708" i="3"/>
  <c r="AF708" i="4" s="1"/>
  <c r="AF648" i="3"/>
  <c r="AF648" i="4" s="1"/>
  <c r="AF528" i="3"/>
  <c r="AF528" i="4" s="1"/>
  <c r="AF328" i="3"/>
  <c r="AF328" i="4" s="1"/>
  <c r="AD290" i="3"/>
  <c r="AD290" i="4" s="1"/>
  <c r="AD291" i="3"/>
  <c r="AD291" i="4" s="1"/>
  <c r="AD394" i="3"/>
  <c r="AD394" i="4" s="1"/>
  <c r="AD395" i="3"/>
  <c r="AD395" i="4" s="1"/>
  <c r="AD510" i="3"/>
  <c r="AD510" i="4" s="1"/>
  <c r="AD511" i="3"/>
  <c r="AD511" i="4" s="1"/>
  <c r="AC582" i="3"/>
  <c r="AC582" i="4" s="1"/>
  <c r="AC583" i="3"/>
  <c r="AC583" i="4" s="1"/>
  <c r="AC614" i="3"/>
  <c r="AC614" i="4" s="1"/>
  <c r="AC615" i="3"/>
  <c r="AC615" i="4" s="1"/>
  <c r="AD546" i="3"/>
  <c r="AD546" i="4" s="1"/>
  <c r="AD547" i="3"/>
  <c r="AD547" i="4" s="1"/>
  <c r="AF499" i="3"/>
  <c r="AF499" i="4" s="1"/>
  <c r="AF500" i="3"/>
  <c r="AF500" i="4" s="1"/>
  <c r="AF735" i="3"/>
  <c r="AF735" i="4" s="1"/>
  <c r="AF736" i="3"/>
  <c r="AF736" i="4" s="1"/>
  <c r="AF743" i="3"/>
  <c r="AF743" i="4" s="1"/>
  <c r="AF744" i="3"/>
  <c r="AF744" i="4" s="1"/>
  <c r="AF732" i="3"/>
  <c r="AF732" i="4" s="1"/>
  <c r="AC634" i="3"/>
  <c r="AC634" i="4" s="1"/>
  <c r="AD454" i="3"/>
  <c r="AD454" i="4" s="1"/>
  <c r="AD455" i="3"/>
  <c r="AD455" i="4" s="1"/>
  <c r="AD522" i="3"/>
  <c r="AD522" i="4" s="1"/>
  <c r="AD523" i="3"/>
  <c r="AD523" i="4" s="1"/>
  <c r="AD587" i="3"/>
  <c r="AD587" i="4" s="1"/>
  <c r="AD586" i="3"/>
  <c r="AD586" i="4" s="1"/>
  <c r="AD598" i="3"/>
  <c r="AD598" i="4" s="1"/>
  <c r="AD599" i="3"/>
  <c r="AD599" i="4" s="1"/>
  <c r="AD602" i="3"/>
  <c r="AD602" i="4" s="1"/>
  <c r="AD603" i="3"/>
  <c r="AD603" i="4" s="1"/>
  <c r="AD627" i="3"/>
  <c r="AD627" i="4" s="1"/>
  <c r="AD626" i="3"/>
  <c r="AD626" i="4" s="1"/>
  <c r="AD674" i="3"/>
  <c r="AD674" i="4" s="1"/>
  <c r="AD675" i="3"/>
  <c r="AD675" i="4" s="1"/>
  <c r="AD690" i="3"/>
  <c r="AD690" i="4" s="1"/>
  <c r="AD691" i="3"/>
  <c r="AD691" i="4" s="1"/>
  <c r="AE322" i="3"/>
  <c r="AE322" i="4" s="1"/>
  <c r="AE323" i="3"/>
  <c r="AE323" i="4" s="1"/>
  <c r="AE390" i="3"/>
  <c r="AE390" i="4" s="1"/>
  <c r="AE391" i="3"/>
  <c r="AE391" i="4" s="1"/>
  <c r="AE426" i="3"/>
  <c r="AE426" i="4" s="1"/>
  <c r="AE427" i="3"/>
  <c r="AE427" i="4" s="1"/>
  <c r="AE562" i="3"/>
  <c r="AE562" i="4" s="1"/>
  <c r="AE563" i="3"/>
  <c r="AE563" i="4" s="1"/>
  <c r="AE586" i="3"/>
  <c r="AE586" i="4" s="1"/>
  <c r="AE587" i="3"/>
  <c r="AE587" i="4" s="1"/>
  <c r="AE598" i="3"/>
  <c r="AE598" i="4" s="1"/>
  <c r="AE599" i="3"/>
  <c r="AE599" i="4" s="1"/>
  <c r="AE646" i="3"/>
  <c r="AE646" i="4" s="1"/>
  <c r="AE647" i="3"/>
  <c r="AE647" i="4" s="1"/>
  <c r="AE658" i="3"/>
  <c r="AE658" i="4" s="1"/>
  <c r="AE659" i="3"/>
  <c r="AE659" i="4" s="1"/>
  <c r="AE699" i="3"/>
  <c r="AE699" i="4" s="1"/>
  <c r="AE698" i="3"/>
  <c r="AE698" i="4" s="1"/>
  <c r="AE714" i="3"/>
  <c r="AE714" i="4" s="1"/>
  <c r="AE715" i="3"/>
  <c r="AE715" i="4" s="1"/>
  <c r="AD699" i="3"/>
  <c r="AD699" i="4" s="1"/>
  <c r="AC667" i="3"/>
  <c r="AC667" i="4" s="1"/>
  <c r="AF656" i="3"/>
  <c r="AF656" i="4" s="1"/>
  <c r="AC619" i="3"/>
  <c r="AC619" i="4" s="1"/>
  <c r="AD590" i="3"/>
  <c r="AD590" i="4" s="1"/>
  <c r="AD551" i="3"/>
  <c r="AD551" i="4" s="1"/>
  <c r="AF412" i="3"/>
  <c r="AF412" i="4" s="1"/>
  <c r="AC275" i="3"/>
  <c r="AC275" i="4" s="1"/>
  <c r="AD211" i="3"/>
  <c r="AD211" i="4" s="1"/>
  <c r="AE739" i="3"/>
  <c r="AE739" i="4" s="1"/>
  <c r="AC706" i="3"/>
  <c r="AC706" i="4" s="1"/>
  <c r="AE687" i="3"/>
  <c r="AE687" i="4" s="1"/>
  <c r="AD630" i="3"/>
  <c r="AD630" i="4" s="1"/>
  <c r="AF576" i="3"/>
  <c r="AF576" i="4" s="1"/>
  <c r="AC551" i="3"/>
  <c r="AC551" i="4" s="1"/>
  <c r="AD495" i="3"/>
  <c r="AD495" i="4" s="1"/>
  <c r="AE463" i="3"/>
  <c r="AE463" i="4" s="1"/>
  <c r="AE431" i="3"/>
  <c r="AE431" i="4" s="1"/>
  <c r="AE406" i="3"/>
  <c r="AE406" i="4" s="1"/>
  <c r="AF372" i="3"/>
  <c r="AF372" i="4" s="1"/>
  <c r="AC267" i="3"/>
  <c r="AC267" i="4" s="1"/>
  <c r="AD687" i="3"/>
  <c r="AD687" i="4" s="1"/>
  <c r="AF588" i="3"/>
  <c r="AF588" i="4" s="1"/>
  <c r="AF57" i="3"/>
  <c r="AF57" i="4" s="1"/>
  <c r="AF747" i="3"/>
  <c r="AF747" i="4" s="1"/>
  <c r="AD562" i="3"/>
  <c r="AD562" i="4" s="1"/>
  <c r="AC463" i="3"/>
  <c r="AC463" i="4" s="1"/>
  <c r="AF404" i="3"/>
  <c r="AF404" i="4" s="1"/>
  <c r="AD343" i="3"/>
  <c r="AD343" i="4" s="1"/>
  <c r="AD295" i="3"/>
  <c r="AD295" i="4" s="1"/>
  <c r="AC163" i="3"/>
  <c r="AC163" i="4" s="1"/>
  <c r="AC4" i="3"/>
  <c r="AC4" i="4" s="1"/>
  <c r="AF5" i="3"/>
  <c r="AF5" i="4" s="1"/>
  <c r="AC8" i="3"/>
  <c r="AC8" i="4" s="1"/>
  <c r="AF9" i="3"/>
  <c r="AF9" i="4" s="1"/>
  <c r="AC12" i="3"/>
  <c r="AC12" i="4" s="1"/>
  <c r="AF13" i="3"/>
  <c r="AF13" i="4" s="1"/>
  <c r="AC16" i="3"/>
  <c r="AC16" i="4" s="1"/>
  <c r="AF17" i="3"/>
  <c r="AF17" i="4" s="1"/>
  <c r="AC20" i="3"/>
  <c r="AC20" i="4" s="1"/>
  <c r="AF21" i="3"/>
  <c r="AF21" i="4" s="1"/>
  <c r="AC24" i="3"/>
  <c r="AC24" i="4" s="1"/>
  <c r="AF25" i="3"/>
  <c r="AF25" i="4" s="1"/>
  <c r="AC28" i="3"/>
  <c r="AC28" i="4" s="1"/>
  <c r="AF29" i="3"/>
  <c r="AF29" i="4" s="1"/>
  <c r="AF33" i="3"/>
  <c r="AF33" i="4" s="1"/>
  <c r="AC36" i="3"/>
  <c r="AC36" i="4" s="1"/>
  <c r="AF37" i="3"/>
  <c r="AF37" i="4" s="1"/>
  <c r="AC40" i="3"/>
  <c r="AC40" i="4" s="1"/>
  <c r="AF41" i="3"/>
  <c r="AF41" i="4" s="1"/>
  <c r="AC44" i="3"/>
  <c r="AC44" i="4" s="1"/>
  <c r="AF45" i="3"/>
  <c r="AF45" i="4" s="1"/>
  <c r="AC48" i="3"/>
  <c r="AC48" i="4" s="1"/>
  <c r="AF49" i="3"/>
  <c r="AF49" i="4" s="1"/>
  <c r="AC52" i="3"/>
  <c r="AC52" i="4" s="1"/>
  <c r="AF53" i="3"/>
  <c r="AF53" i="4" s="1"/>
  <c r="AC56" i="3"/>
  <c r="AC56" i="4" s="1"/>
  <c r="AC60" i="3"/>
  <c r="AC60" i="4" s="1"/>
  <c r="AF61" i="3"/>
  <c r="AF61" i="4" s="1"/>
  <c r="AC64" i="3"/>
  <c r="AC64" i="4" s="1"/>
  <c r="AF65" i="3"/>
  <c r="AF65" i="4" s="1"/>
  <c r="AC68" i="3"/>
  <c r="AC68" i="4" s="1"/>
  <c r="AD695" i="3"/>
  <c r="AD695" i="4" s="1"/>
  <c r="AF684" i="3"/>
  <c r="AF684" i="4" s="1"/>
  <c r="AE662" i="3"/>
  <c r="AE662" i="4" s="1"/>
  <c r="AF612" i="3"/>
  <c r="AF612" i="4" s="1"/>
  <c r="AF599" i="3"/>
  <c r="AF599" i="4" s="1"/>
  <c r="AE507" i="3"/>
  <c r="AE507" i="4" s="1"/>
  <c r="AC291" i="3"/>
  <c r="AC291" i="4" s="1"/>
  <c r="AF160" i="3"/>
  <c r="AF160" i="4" s="1"/>
  <c r="AF439" i="3"/>
  <c r="AF439" i="4" s="1"/>
  <c r="AF440" i="3"/>
  <c r="AF440" i="4" s="1"/>
  <c r="AF535" i="3"/>
  <c r="AF535" i="4" s="1"/>
  <c r="AF536" i="3"/>
  <c r="AF536" i="4" s="1"/>
  <c r="AF643" i="3"/>
  <c r="AF643" i="4" s="1"/>
  <c r="AF644" i="3"/>
  <c r="AF644" i="4" s="1"/>
  <c r="AF680" i="3"/>
  <c r="AF680" i="4" s="1"/>
  <c r="AF108" i="3"/>
  <c r="AF108" i="4" s="1"/>
  <c r="AD558" i="3"/>
  <c r="AD558" i="4" s="1"/>
  <c r="AD559" i="3"/>
  <c r="AD559" i="4" s="1"/>
  <c r="AD615" i="3"/>
  <c r="AD615" i="4" s="1"/>
  <c r="AD614" i="3"/>
  <c r="AD614" i="4" s="1"/>
  <c r="AD654" i="3"/>
  <c r="AD654" i="4" s="1"/>
  <c r="AD655" i="3"/>
  <c r="AD655" i="4" s="1"/>
  <c r="AD658" i="3"/>
  <c r="AD658" i="4" s="1"/>
  <c r="AD659" i="3"/>
  <c r="AD659" i="4" s="1"/>
  <c r="AD714" i="3"/>
  <c r="AD714" i="4" s="1"/>
  <c r="AD715" i="3"/>
  <c r="AD715" i="4" s="1"/>
  <c r="AD722" i="3"/>
  <c r="AD722" i="4" s="1"/>
  <c r="AD723" i="3"/>
  <c r="AD723" i="4" s="1"/>
  <c r="AD730" i="3"/>
  <c r="AD730" i="4" s="1"/>
  <c r="AD731" i="3"/>
  <c r="AD731" i="4" s="1"/>
  <c r="AD738" i="3"/>
  <c r="AD738" i="4" s="1"/>
  <c r="AD739" i="3"/>
  <c r="AD739" i="4" s="1"/>
  <c r="AD742" i="3"/>
  <c r="AD742" i="4" s="1"/>
  <c r="AD743" i="3"/>
  <c r="AD743" i="4" s="1"/>
  <c r="AD746" i="3"/>
  <c r="AD746" i="4" s="1"/>
  <c r="AD747" i="3"/>
  <c r="AD747" i="4" s="1"/>
  <c r="AD707" i="3"/>
  <c r="AD707" i="4" s="1"/>
  <c r="AD667" i="3"/>
  <c r="AD667" i="4" s="1"/>
  <c r="AD619" i="3"/>
  <c r="AD619" i="4" s="1"/>
  <c r="AD578" i="3"/>
  <c r="AD578" i="4" s="1"/>
  <c r="AC567" i="3"/>
  <c r="AC567" i="4" s="1"/>
  <c r="AD554" i="3"/>
  <c r="AD554" i="4" s="1"/>
  <c r="AD526" i="3"/>
  <c r="AD526" i="4" s="1"/>
  <c r="AF512" i="3"/>
  <c r="AF512" i="4" s="1"/>
  <c r="AC451" i="3"/>
  <c r="AC451" i="4" s="1"/>
  <c r="AD391" i="3"/>
  <c r="AD391" i="4" s="1"/>
  <c r="AC351" i="3"/>
  <c r="AC351" i="4" s="1"/>
  <c r="AF244" i="3"/>
  <c r="AF244" i="4" s="1"/>
  <c r="AE270" i="3"/>
  <c r="AE270" i="4" s="1"/>
  <c r="AE271" i="3"/>
  <c r="AE271" i="4" s="1"/>
  <c r="AE274" i="3"/>
  <c r="AE274" i="4" s="1"/>
  <c r="AE275" i="3"/>
  <c r="AE275" i="4" s="1"/>
  <c r="AE295" i="3"/>
  <c r="AE295" i="4" s="1"/>
  <c r="AE294" i="3"/>
  <c r="AE294" i="4" s="1"/>
  <c r="AE298" i="3"/>
  <c r="AE298" i="4" s="1"/>
  <c r="AE299" i="3"/>
  <c r="AE299" i="4" s="1"/>
  <c r="AE310" i="3"/>
  <c r="AE310" i="4" s="1"/>
  <c r="AE311" i="3"/>
  <c r="AE311" i="4" s="1"/>
  <c r="AE414" i="3"/>
  <c r="AE414" i="4" s="1"/>
  <c r="AE415" i="3"/>
  <c r="AE415" i="4" s="1"/>
  <c r="AE443" i="3"/>
  <c r="AE443" i="4" s="1"/>
  <c r="AE442" i="3"/>
  <c r="AE442" i="4" s="1"/>
  <c r="AE502" i="3"/>
  <c r="AE502" i="4" s="1"/>
  <c r="AE503" i="3"/>
  <c r="AE503" i="4" s="1"/>
  <c r="AE514" i="3"/>
  <c r="AE514" i="4" s="1"/>
  <c r="AE515" i="3"/>
  <c r="AE515" i="4" s="1"/>
  <c r="AE538" i="3"/>
  <c r="AE538" i="4" s="1"/>
  <c r="AE539" i="3"/>
  <c r="AE539" i="4" s="1"/>
  <c r="AE578" i="3"/>
  <c r="AE578" i="4" s="1"/>
  <c r="AE579" i="3"/>
  <c r="AE579" i="4" s="1"/>
  <c r="AE590" i="3"/>
  <c r="AE590" i="4" s="1"/>
  <c r="AE591" i="3"/>
  <c r="AE591" i="4" s="1"/>
  <c r="AE614" i="3"/>
  <c r="AE614" i="4" s="1"/>
  <c r="AE615" i="3"/>
  <c r="AE615" i="4" s="1"/>
  <c r="AE694" i="3"/>
  <c r="AE694" i="4" s="1"/>
  <c r="AE695" i="3"/>
  <c r="AE695" i="4" s="1"/>
  <c r="AE710" i="3"/>
  <c r="AE710" i="4" s="1"/>
  <c r="AE711" i="3"/>
  <c r="AE711" i="4" s="1"/>
  <c r="AE722" i="3"/>
  <c r="AE722" i="4" s="1"/>
  <c r="AE723" i="3"/>
  <c r="AE723" i="4" s="1"/>
  <c r="AE746" i="3"/>
  <c r="AE746" i="4" s="1"/>
  <c r="AE747" i="3"/>
  <c r="AE747" i="4" s="1"/>
  <c r="AD31" i="3"/>
  <c r="AD31" i="4" s="1"/>
  <c r="AD103" i="3"/>
  <c r="AD103" i="4" s="1"/>
  <c r="AC103" i="3"/>
  <c r="AC103" i="4" s="1"/>
  <c r="AC753" i="3"/>
  <c r="AC753" i="4" s="1"/>
  <c r="AD719" i="3"/>
  <c r="AD719" i="4" s="1"/>
  <c r="AD703" i="3"/>
  <c r="AD703" i="4" s="1"/>
  <c r="AC695" i="3"/>
  <c r="AC695" i="4" s="1"/>
  <c r="AD662" i="3"/>
  <c r="AD662" i="4" s="1"/>
  <c r="AE597" i="3"/>
  <c r="AE597" i="4" s="1"/>
  <c r="AF584" i="3"/>
  <c r="AF584" i="4" s="1"/>
  <c r="AE573" i="3"/>
  <c r="AE573" i="4" s="1"/>
  <c r="AE545" i="3"/>
  <c r="AE545" i="4" s="1"/>
  <c r="AD507" i="3"/>
  <c r="AD507" i="4" s="1"/>
  <c r="AF476" i="3"/>
  <c r="AF476" i="4" s="1"/>
  <c r="AF460" i="3"/>
  <c r="AF460" i="4" s="1"/>
  <c r="AD403" i="3"/>
  <c r="AD403" i="4" s="1"/>
  <c r="AD383" i="3"/>
  <c r="AD383" i="4" s="1"/>
  <c r="AE287" i="3"/>
  <c r="AE287" i="4" s="1"/>
  <c r="AC263" i="3"/>
  <c r="AC263" i="4" s="1"/>
  <c r="AC410" i="3"/>
  <c r="AC410" i="4" s="1"/>
  <c r="AC411" i="3"/>
  <c r="AC411" i="4" s="1"/>
  <c r="AF423" i="3"/>
  <c r="AF423" i="4" s="1"/>
  <c r="AF424" i="3"/>
  <c r="AF424" i="4" s="1"/>
  <c r="AD366" i="3"/>
  <c r="AD366" i="4" s="1"/>
  <c r="AD367" i="3"/>
  <c r="AD367" i="4" s="1"/>
  <c r="AD638" i="3"/>
  <c r="AD638" i="4" s="1"/>
  <c r="AD639" i="3"/>
  <c r="AD639" i="4" s="1"/>
  <c r="AC32" i="3"/>
  <c r="AC32" i="4" s="1"/>
  <c r="AE290" i="3"/>
  <c r="AE290" i="4" s="1"/>
  <c r="AE291" i="3"/>
  <c r="AE291" i="4" s="1"/>
  <c r="AE330" i="3"/>
  <c r="AE330" i="4" s="1"/>
  <c r="AE331" i="3"/>
  <c r="AE331" i="4" s="1"/>
  <c r="AE370" i="3"/>
  <c r="AE370" i="4" s="1"/>
  <c r="AE371" i="3"/>
  <c r="AE371" i="4" s="1"/>
  <c r="AE418" i="3"/>
  <c r="AE418" i="4" s="1"/>
  <c r="AE419" i="3"/>
  <c r="AE419" i="4" s="1"/>
  <c r="AE454" i="3"/>
  <c r="AE454" i="4" s="1"/>
  <c r="AE455" i="3"/>
  <c r="AE455" i="4" s="1"/>
  <c r="AE467" i="3"/>
  <c r="AE467" i="4" s="1"/>
  <c r="AE466" i="3"/>
  <c r="AE466" i="4" s="1"/>
  <c r="AE478" i="3"/>
  <c r="AE478" i="4" s="1"/>
  <c r="AE479" i="3"/>
  <c r="AE479" i="4" s="1"/>
  <c r="AE526" i="3"/>
  <c r="AE526" i="4" s="1"/>
  <c r="AE527" i="3"/>
  <c r="AE527" i="4" s="1"/>
  <c r="AE542" i="3"/>
  <c r="AE542" i="4" s="1"/>
  <c r="AE543" i="3"/>
  <c r="AE543" i="4" s="1"/>
  <c r="AE550" i="3"/>
  <c r="AE550" i="4" s="1"/>
  <c r="AE551" i="3"/>
  <c r="AE551" i="4" s="1"/>
  <c r="AE627" i="3"/>
  <c r="AE627" i="4" s="1"/>
  <c r="AE626" i="3"/>
  <c r="AE626" i="4" s="1"/>
  <c r="AE634" i="3"/>
  <c r="AE634" i="4" s="1"/>
  <c r="AE635" i="3"/>
  <c r="AE635" i="4" s="1"/>
  <c r="AE682" i="3"/>
  <c r="AE682" i="4" s="1"/>
  <c r="AE683" i="3"/>
  <c r="AE683" i="4" s="1"/>
  <c r="AF344" i="3"/>
  <c r="AF344" i="4" s="1"/>
  <c r="AC211" i="3"/>
  <c r="AC211" i="4" s="1"/>
  <c r="AC739" i="3"/>
  <c r="AC739" i="4" s="1"/>
  <c r="AE575" i="3"/>
  <c r="AE575" i="4" s="1"/>
  <c r="AD463" i="3"/>
  <c r="AD463" i="4" s="1"/>
  <c r="AE266" i="3"/>
  <c r="AE266" i="4" s="1"/>
  <c r="AF208" i="3"/>
  <c r="AF208" i="4" s="1"/>
  <c r="AC131" i="3"/>
  <c r="AC131" i="4" s="1"/>
  <c r="AE424" i="3"/>
  <c r="AE424" i="4" s="1"/>
  <c r="AE425" i="3"/>
  <c r="AE425" i="4" s="1"/>
  <c r="AE560" i="3"/>
  <c r="AE560" i="4" s="1"/>
  <c r="AE561" i="3"/>
  <c r="AE561" i="4" s="1"/>
  <c r="AE568" i="3"/>
  <c r="AE568" i="4" s="1"/>
  <c r="AE569" i="3"/>
  <c r="AE569" i="4" s="1"/>
  <c r="AE604" i="3"/>
  <c r="AE604" i="4" s="1"/>
  <c r="AE605" i="3"/>
  <c r="AE605" i="4" s="1"/>
  <c r="AE616" i="3"/>
  <c r="AE616" i="4" s="1"/>
  <c r="AE617" i="3"/>
  <c r="AE617" i="4" s="1"/>
  <c r="AE664" i="3"/>
  <c r="AE664" i="4" s="1"/>
  <c r="AE665" i="3"/>
  <c r="AE665" i="4" s="1"/>
  <c r="AE688" i="3"/>
  <c r="AE688" i="4" s="1"/>
  <c r="AE689" i="3"/>
  <c r="AE689" i="4" s="1"/>
  <c r="AE700" i="3"/>
  <c r="AE700" i="4" s="1"/>
  <c r="AE701" i="3"/>
  <c r="AE701" i="4" s="1"/>
  <c r="AE709" i="3"/>
  <c r="AE709" i="4" s="1"/>
  <c r="AE708" i="3"/>
  <c r="AE708" i="4" s="1"/>
  <c r="AE720" i="3"/>
  <c r="AE720" i="4" s="1"/>
  <c r="AE721" i="3"/>
  <c r="AE721" i="4" s="1"/>
  <c r="AE740" i="3"/>
  <c r="AE740" i="4" s="1"/>
  <c r="AE741" i="3"/>
  <c r="AE741" i="4" s="1"/>
  <c r="AD751" i="3"/>
  <c r="AD751" i="4" s="1"/>
  <c r="AD752" i="3"/>
  <c r="AD752" i="4" s="1"/>
  <c r="AE735" i="3"/>
  <c r="AE735" i="4" s="1"/>
  <c r="AC719" i="3"/>
  <c r="AC719" i="4" s="1"/>
  <c r="AC703" i="3"/>
  <c r="AC703" i="4" s="1"/>
  <c r="AE671" i="3"/>
  <c r="AE671" i="4" s="1"/>
  <c r="AE651" i="3"/>
  <c r="AE651" i="4" s="1"/>
  <c r="AF572" i="3"/>
  <c r="AF572" i="4" s="1"/>
  <c r="AF492" i="3"/>
  <c r="AF492" i="4" s="1"/>
  <c r="AF456" i="3"/>
  <c r="AF456" i="4" s="1"/>
  <c r="AF436" i="3"/>
  <c r="AF436" i="4" s="1"/>
  <c r="AF420" i="3"/>
  <c r="AF420" i="4" s="1"/>
  <c r="AC383" i="3"/>
  <c r="AC383" i="4" s="1"/>
  <c r="AF360" i="3"/>
  <c r="AF360" i="4" s="1"/>
  <c r="K69" i="3"/>
  <c r="K69" i="4" s="1"/>
  <c r="Z70" i="3"/>
  <c r="Z70" i="4" s="1"/>
  <c r="Q71" i="3"/>
  <c r="Q71" i="4" s="1"/>
  <c r="T72" i="3"/>
  <c r="T72" i="4" s="1"/>
  <c r="B74" i="3"/>
  <c r="B74" i="4" s="1"/>
  <c r="E75" i="3"/>
  <c r="E75" i="4" s="1"/>
  <c r="H76" i="3"/>
  <c r="H76" i="4" s="1"/>
  <c r="K77" i="3"/>
  <c r="K77" i="4" s="1"/>
  <c r="N78" i="3"/>
  <c r="N78" i="4" s="1"/>
  <c r="Q79" i="3"/>
  <c r="Q79" i="4" s="1"/>
  <c r="T80" i="3"/>
  <c r="T80" i="4" s="1"/>
  <c r="W81" i="3"/>
  <c r="W81" i="4" s="1"/>
  <c r="Z82" i="3"/>
  <c r="Z82" i="4" s="1"/>
  <c r="AC83" i="3"/>
  <c r="AC83" i="4" s="1"/>
  <c r="AF84" i="3"/>
  <c r="AF84" i="4" s="1"/>
  <c r="B86" i="3"/>
  <c r="B86" i="4" s="1"/>
  <c r="E87" i="3"/>
  <c r="E87" i="4" s="1"/>
  <c r="H88" i="3"/>
  <c r="H88" i="4" s="1"/>
  <c r="AF88" i="3"/>
  <c r="AF88" i="4" s="1"/>
  <c r="B90" i="3"/>
  <c r="B90" i="4" s="1"/>
  <c r="Q91" i="3"/>
  <c r="Q91" i="4" s="1"/>
  <c r="H92" i="3"/>
  <c r="H92" i="4" s="1"/>
  <c r="K93" i="3"/>
  <c r="K93" i="4" s="1"/>
  <c r="Z94" i="3"/>
  <c r="Z94" i="4" s="1"/>
  <c r="AC95" i="3"/>
  <c r="AC95" i="4" s="1"/>
  <c r="AF96" i="3"/>
  <c r="AF96" i="4" s="1"/>
  <c r="B98" i="3"/>
  <c r="B98" i="4" s="1"/>
  <c r="E99" i="3"/>
  <c r="E99" i="4" s="1"/>
  <c r="H100" i="3"/>
  <c r="H100" i="4" s="1"/>
  <c r="AF100" i="3"/>
  <c r="AF100" i="4" s="1"/>
  <c r="B102" i="3"/>
  <c r="B102" i="4" s="1"/>
  <c r="E103" i="3"/>
  <c r="E103" i="4" s="1"/>
  <c r="AF104" i="3"/>
  <c r="AF104" i="4" s="1"/>
  <c r="B106" i="3"/>
  <c r="B106" i="4" s="1"/>
  <c r="E107" i="3"/>
  <c r="E107" i="4" s="1"/>
  <c r="H108" i="3"/>
  <c r="H108" i="4" s="1"/>
  <c r="W109" i="3"/>
  <c r="W109" i="4" s="1"/>
  <c r="E111" i="3"/>
  <c r="E111" i="4" s="1"/>
  <c r="H112" i="3"/>
  <c r="H112" i="4" s="1"/>
  <c r="AC119" i="3"/>
  <c r="AC119" i="4" s="1"/>
  <c r="AF128" i="3"/>
  <c r="AF128" i="4" s="1"/>
  <c r="AF132" i="3"/>
  <c r="AF132" i="4" s="1"/>
  <c r="AC135" i="3"/>
  <c r="AC135" i="4" s="1"/>
  <c r="AC143" i="3"/>
  <c r="AC143" i="4" s="1"/>
  <c r="AC147" i="3"/>
  <c r="AC147" i="4" s="1"/>
  <c r="AC151" i="3"/>
  <c r="AC151" i="4" s="1"/>
  <c r="AF152" i="3"/>
  <c r="AF152" i="4" s="1"/>
  <c r="AC155" i="3"/>
  <c r="AC155" i="4" s="1"/>
  <c r="AC159" i="3"/>
  <c r="AC159" i="4" s="1"/>
  <c r="AF164" i="3"/>
  <c r="AF164" i="4" s="1"/>
  <c r="AC167" i="3"/>
  <c r="AC167" i="4" s="1"/>
  <c r="AF168" i="3"/>
  <c r="AF168" i="4" s="1"/>
  <c r="AC171" i="3"/>
  <c r="AC171" i="4" s="1"/>
  <c r="AF172" i="3"/>
  <c r="AF172" i="4" s="1"/>
  <c r="AF176" i="3"/>
  <c r="AF176" i="4" s="1"/>
  <c r="AC179" i="3"/>
  <c r="AC179" i="4" s="1"/>
  <c r="AF180" i="3"/>
  <c r="AF180" i="4" s="1"/>
  <c r="AC183" i="3"/>
  <c r="AC183" i="4" s="1"/>
  <c r="AF184" i="3"/>
  <c r="AF184" i="4" s="1"/>
  <c r="AC187" i="3"/>
  <c r="AC187" i="4" s="1"/>
  <c r="AF188" i="3"/>
  <c r="AF188" i="4" s="1"/>
  <c r="AC191" i="3"/>
  <c r="AC191" i="4" s="1"/>
  <c r="AF192" i="3"/>
  <c r="AF192" i="4" s="1"/>
  <c r="AC195" i="3"/>
  <c r="AC195" i="4" s="1"/>
  <c r="AF196" i="3"/>
  <c r="AF196" i="4" s="1"/>
  <c r="AF200" i="3"/>
  <c r="AF200" i="4" s="1"/>
  <c r="AC203" i="3"/>
  <c r="AC203" i="4" s="1"/>
  <c r="AF204" i="3"/>
  <c r="AF204" i="4" s="1"/>
  <c r="AC207" i="3"/>
  <c r="AC207" i="4" s="1"/>
  <c r="AF212" i="3"/>
  <c r="AF212" i="4" s="1"/>
  <c r="AC215" i="3"/>
  <c r="AC215" i="4" s="1"/>
  <c r="AF216" i="3"/>
  <c r="AF216" i="4" s="1"/>
  <c r="AC219" i="3"/>
  <c r="AC219" i="4" s="1"/>
  <c r="AF220" i="3"/>
  <c r="AF220" i="4" s="1"/>
  <c r="AC223" i="3"/>
  <c r="AC223" i="4" s="1"/>
  <c r="AF224" i="3"/>
  <c r="AF224" i="4" s="1"/>
  <c r="AC227" i="3"/>
  <c r="AC227" i="4" s="1"/>
  <c r="AF228" i="3"/>
  <c r="AF228" i="4" s="1"/>
  <c r="AC231" i="3"/>
  <c r="AC231" i="4" s="1"/>
  <c r="AF232" i="3"/>
  <c r="AF232" i="4" s="1"/>
  <c r="AC235" i="3"/>
  <c r="AC235" i="4" s="1"/>
  <c r="AF236" i="3"/>
  <c r="AF236" i="4" s="1"/>
  <c r="AC239" i="3"/>
  <c r="AC239" i="4" s="1"/>
  <c r="AF240" i="3"/>
  <c r="AF240" i="4" s="1"/>
  <c r="AC243" i="3"/>
  <c r="AC243" i="4" s="1"/>
  <c r="AC247" i="3"/>
  <c r="AC247" i="4" s="1"/>
  <c r="AF248" i="3"/>
  <c r="AF248" i="4" s="1"/>
  <c r="AC251" i="3"/>
  <c r="AC251" i="4" s="1"/>
  <c r="AC255" i="3"/>
  <c r="AC255" i="4" s="1"/>
  <c r="AF256" i="3"/>
  <c r="AF256" i="4" s="1"/>
  <c r="AC259" i="3"/>
  <c r="AC259" i="4" s="1"/>
  <c r="AF264" i="3"/>
  <c r="AF264" i="4" s="1"/>
  <c r="AF268" i="3"/>
  <c r="AF268" i="4" s="1"/>
  <c r="AC271" i="3"/>
  <c r="AC271" i="4" s="1"/>
  <c r="AF276" i="3"/>
  <c r="AF276" i="4" s="1"/>
  <c r="AC279" i="3"/>
  <c r="AC279" i="4" s="1"/>
  <c r="AC283" i="3"/>
  <c r="AC283" i="4" s="1"/>
  <c r="AF284" i="3"/>
  <c r="AF284" i="4" s="1"/>
  <c r="AC287" i="3"/>
  <c r="AC287" i="4" s="1"/>
  <c r="AF288" i="3"/>
  <c r="AF288" i="4" s="1"/>
  <c r="AF292" i="3"/>
  <c r="AF292" i="4" s="1"/>
  <c r="AC295" i="3"/>
  <c r="AC295" i="4" s="1"/>
  <c r="AF296" i="3"/>
  <c r="AF296" i="4" s="1"/>
  <c r="AC299" i="3"/>
  <c r="AC299" i="4" s="1"/>
  <c r="AF300" i="3"/>
  <c r="AF300" i="4" s="1"/>
  <c r="AC303" i="3"/>
  <c r="AC303" i="4" s="1"/>
  <c r="AF304" i="3"/>
  <c r="AF304" i="4" s="1"/>
  <c r="AC307" i="3"/>
  <c r="AC307" i="4" s="1"/>
  <c r="AF308" i="3"/>
  <c r="AF308" i="4" s="1"/>
  <c r="AC311" i="3"/>
  <c r="AC311" i="4" s="1"/>
  <c r="AF312" i="3"/>
  <c r="AF312" i="4" s="1"/>
  <c r="AC315" i="3"/>
  <c r="AC315" i="4" s="1"/>
  <c r="AF316" i="3"/>
  <c r="AF316" i="4" s="1"/>
  <c r="AC319" i="3"/>
  <c r="AC319" i="4" s="1"/>
  <c r="AF320" i="3"/>
  <c r="AF320" i="4" s="1"/>
  <c r="AC323" i="3"/>
  <c r="AC323" i="4" s="1"/>
  <c r="AF324" i="3"/>
  <c r="AF324" i="4" s="1"/>
  <c r="AC327" i="3"/>
  <c r="AC327" i="4" s="1"/>
  <c r="AC331" i="3"/>
  <c r="AC331" i="4" s="1"/>
  <c r="AC335" i="3"/>
  <c r="AC335" i="4" s="1"/>
  <c r="AF336" i="3"/>
  <c r="AF336" i="4" s="1"/>
  <c r="AC339" i="3"/>
  <c r="AC339" i="4" s="1"/>
  <c r="AF340" i="3"/>
  <c r="AF340" i="4" s="1"/>
  <c r="AC343" i="3"/>
  <c r="AC343" i="4" s="1"/>
  <c r="AC347" i="3"/>
  <c r="AC347" i="4" s="1"/>
  <c r="AF348" i="3"/>
  <c r="AF348" i="4" s="1"/>
  <c r="AF352" i="3"/>
  <c r="AF352" i="4" s="1"/>
  <c r="AC355" i="3"/>
  <c r="AC355" i="4" s="1"/>
  <c r="AF356" i="3"/>
  <c r="AF356" i="4" s="1"/>
  <c r="AC359" i="3"/>
  <c r="AC359" i="4" s="1"/>
  <c r="AC363" i="3"/>
  <c r="AC363" i="4" s="1"/>
  <c r="AF364" i="3"/>
  <c r="AF364" i="4" s="1"/>
  <c r="AC367" i="3"/>
  <c r="AC367" i="4" s="1"/>
  <c r="AF368" i="3"/>
  <c r="AF368" i="4" s="1"/>
  <c r="AC371" i="3"/>
  <c r="AC371" i="4" s="1"/>
  <c r="AC375" i="3"/>
  <c r="AC375" i="4" s="1"/>
  <c r="AC379" i="3"/>
  <c r="AC379" i="4" s="1"/>
  <c r="AF388" i="3"/>
  <c r="AF388" i="4" s="1"/>
  <c r="AC395" i="3"/>
  <c r="AC395" i="4" s="1"/>
  <c r="AC415" i="3"/>
  <c r="AC415" i="4" s="1"/>
  <c r="AF484" i="3"/>
  <c r="AF484" i="4" s="1"/>
  <c r="AC511" i="3"/>
  <c r="AC511" i="4" s="1"/>
  <c r="AC515" i="3"/>
  <c r="AC515" i="4" s="1"/>
  <c r="AC523" i="3"/>
  <c r="AC523" i="4" s="1"/>
  <c r="AC527" i="3"/>
  <c r="AC527" i="4" s="1"/>
  <c r="AC531" i="3"/>
  <c r="AC531" i="4" s="1"/>
  <c r="AF548" i="3"/>
  <c r="AF548" i="4" s="1"/>
  <c r="AC563" i="3"/>
  <c r="AC563" i="4" s="1"/>
  <c r="AC579" i="3"/>
  <c r="AC579" i="4" s="1"/>
  <c r="AC587" i="3"/>
  <c r="AC587" i="4" s="1"/>
  <c r="AC591" i="3"/>
  <c r="AC591" i="4" s="1"/>
  <c r="AC595" i="3"/>
  <c r="AC595" i="4" s="1"/>
  <c r="AF608" i="3"/>
  <c r="AF608" i="4" s="1"/>
  <c r="AF620" i="3"/>
  <c r="AF620" i="4" s="1"/>
  <c r="AC639" i="3"/>
  <c r="AC639" i="4" s="1"/>
  <c r="AF672" i="3"/>
  <c r="AF672" i="4" s="1"/>
  <c r="AC699" i="3"/>
  <c r="AC699" i="4" s="1"/>
  <c r="AF720" i="3"/>
  <c r="AF720" i="4" s="1"/>
  <c r="AF724" i="3"/>
  <c r="AF724" i="4" s="1"/>
  <c r="AC731" i="3"/>
  <c r="AC731" i="4" s="1"/>
  <c r="AC747" i="3"/>
  <c r="AC747" i="4" s="1"/>
  <c r="AE751" i="3"/>
  <c r="AE751" i="4" s="1"/>
  <c r="AF68" i="3"/>
  <c r="AF68" i="4" s="1"/>
  <c r="B70" i="3"/>
  <c r="B70" i="4" s="1"/>
  <c r="E71" i="3"/>
  <c r="E71" i="4" s="1"/>
  <c r="H72" i="3"/>
  <c r="H72" i="4" s="1"/>
  <c r="K73" i="3"/>
  <c r="K73" i="4" s="1"/>
  <c r="N74" i="3"/>
  <c r="N74" i="4" s="1"/>
  <c r="Q75" i="3"/>
  <c r="Q75" i="4" s="1"/>
  <c r="T76" i="3"/>
  <c r="T76" i="4" s="1"/>
  <c r="W77" i="3"/>
  <c r="W77" i="4" s="1"/>
  <c r="E79" i="3"/>
  <c r="E79" i="4" s="1"/>
  <c r="H80" i="3"/>
  <c r="H80" i="4" s="1"/>
  <c r="K81" i="3"/>
  <c r="K81" i="4" s="1"/>
  <c r="N82" i="3"/>
  <c r="N82" i="4" s="1"/>
  <c r="Q83" i="3"/>
  <c r="Q83" i="4" s="1"/>
  <c r="T84" i="3"/>
  <c r="T84" i="4" s="1"/>
  <c r="W85" i="3"/>
  <c r="W85" i="4" s="1"/>
  <c r="Z86" i="3"/>
  <c r="Z86" i="4" s="1"/>
  <c r="Q87" i="3"/>
  <c r="Q87" i="4" s="1"/>
  <c r="T88" i="3"/>
  <c r="T88" i="4" s="1"/>
  <c r="W89" i="3"/>
  <c r="W89" i="4" s="1"/>
  <c r="Z90" i="3"/>
  <c r="Z90" i="4" s="1"/>
  <c r="AC91" i="3"/>
  <c r="AC91" i="4" s="1"/>
  <c r="B94" i="3"/>
  <c r="B94" i="4" s="1"/>
  <c r="E95" i="3"/>
  <c r="E95" i="4" s="1"/>
  <c r="H96" i="3"/>
  <c r="H96" i="4" s="1"/>
  <c r="K97" i="3"/>
  <c r="K97" i="4" s="1"/>
  <c r="N98" i="3"/>
  <c r="N98" i="4" s="1"/>
  <c r="Q99" i="3"/>
  <c r="Q99" i="4" s="1"/>
  <c r="T100" i="3"/>
  <c r="T100" i="4" s="1"/>
  <c r="N102" i="3"/>
  <c r="N102" i="4" s="1"/>
  <c r="Q103" i="3"/>
  <c r="Q103" i="4" s="1"/>
  <c r="T104" i="3"/>
  <c r="T104" i="4" s="1"/>
  <c r="W105" i="3"/>
  <c r="W105" i="4" s="1"/>
  <c r="Z106" i="3"/>
  <c r="Z106" i="4" s="1"/>
  <c r="AC107" i="3"/>
  <c r="AC107" i="4" s="1"/>
  <c r="B110" i="3"/>
  <c r="B110" i="4" s="1"/>
  <c r="Z110" i="3"/>
  <c r="Z110" i="4" s="1"/>
  <c r="AC111" i="3"/>
  <c r="AC111" i="4" s="1"/>
  <c r="AF124" i="3"/>
  <c r="AF124" i="4" s="1"/>
  <c r="AF136" i="3"/>
  <c r="AF136" i="4" s="1"/>
  <c r="O2" i="3"/>
  <c r="O2" i="4" s="1"/>
  <c r="F3" i="3"/>
  <c r="F3" i="4" s="1"/>
  <c r="AD3" i="3"/>
  <c r="AD3" i="4" s="1"/>
  <c r="U4" i="3"/>
  <c r="U4" i="4" s="1"/>
  <c r="L5" i="3"/>
  <c r="L5" i="4" s="1"/>
  <c r="C6" i="3"/>
  <c r="C6" i="4" s="1"/>
  <c r="AA6" i="3"/>
  <c r="AA6" i="4" s="1"/>
  <c r="R7" i="3"/>
  <c r="R7" i="4" s="1"/>
  <c r="I8" i="3"/>
  <c r="I8" i="4" s="1"/>
  <c r="X9" i="3"/>
  <c r="X9" i="4" s="1"/>
  <c r="O10" i="3"/>
  <c r="O10" i="4" s="1"/>
  <c r="F11" i="3"/>
  <c r="F11" i="4" s="1"/>
  <c r="AD11" i="3"/>
  <c r="AD11" i="4" s="1"/>
  <c r="U12" i="3"/>
  <c r="U12" i="4" s="1"/>
  <c r="C14" i="3"/>
  <c r="C14" i="4" s="1"/>
  <c r="AA14" i="3"/>
  <c r="AA14" i="4" s="1"/>
  <c r="R15" i="3"/>
  <c r="R15" i="4" s="1"/>
  <c r="U16" i="3"/>
  <c r="U16" i="4" s="1"/>
  <c r="L17" i="3"/>
  <c r="L17" i="4" s="1"/>
  <c r="C18" i="3"/>
  <c r="C18" i="4" s="1"/>
  <c r="AA18" i="3"/>
  <c r="AA18" i="4" s="1"/>
  <c r="R19" i="3"/>
  <c r="R19" i="4" s="1"/>
  <c r="U20" i="3"/>
  <c r="U20" i="4" s="1"/>
  <c r="L21" i="3"/>
  <c r="L21" i="4" s="1"/>
  <c r="C22" i="3"/>
  <c r="C22" i="4" s="1"/>
  <c r="AA22" i="3"/>
  <c r="AA22" i="4" s="1"/>
  <c r="R23" i="3"/>
  <c r="R23" i="4" s="1"/>
  <c r="I24" i="3"/>
  <c r="I24" i="4" s="1"/>
  <c r="C26" i="3"/>
  <c r="C26" i="4" s="1"/>
  <c r="AA26" i="3"/>
  <c r="AA26" i="4" s="1"/>
  <c r="R27" i="3"/>
  <c r="R27" i="4" s="1"/>
  <c r="AD27" i="3"/>
  <c r="AD27" i="4" s="1"/>
  <c r="U28" i="3"/>
  <c r="U28" i="4" s="1"/>
  <c r="L29" i="3"/>
  <c r="L29" i="4" s="1"/>
  <c r="O30" i="3"/>
  <c r="O30" i="4" s="1"/>
  <c r="F31" i="3"/>
  <c r="F31" i="4" s="1"/>
  <c r="U32" i="3"/>
  <c r="U32" i="4" s="1"/>
  <c r="L33" i="3"/>
  <c r="L33" i="4" s="1"/>
  <c r="C34" i="3"/>
  <c r="C34" i="4" s="1"/>
  <c r="F35" i="3"/>
  <c r="F35" i="4" s="1"/>
  <c r="AD35" i="3"/>
  <c r="AD35" i="4" s="1"/>
  <c r="U36" i="3"/>
  <c r="U36" i="4" s="1"/>
  <c r="L37" i="3"/>
  <c r="L37" i="4" s="1"/>
  <c r="C38" i="3"/>
  <c r="C38" i="4" s="1"/>
  <c r="AA38" i="3"/>
  <c r="AA38" i="4" s="1"/>
  <c r="R39" i="3"/>
  <c r="R39" i="4" s="1"/>
  <c r="I40" i="3"/>
  <c r="I40" i="4" s="1"/>
  <c r="X41" i="3"/>
  <c r="X41" i="4" s="1"/>
  <c r="O42" i="3"/>
  <c r="O42" i="4" s="1"/>
  <c r="F43" i="3"/>
  <c r="F43" i="4" s="1"/>
  <c r="AD43" i="3"/>
  <c r="AD43" i="4" s="1"/>
  <c r="U44" i="3"/>
  <c r="U44" i="4" s="1"/>
  <c r="L45" i="3"/>
  <c r="L45" i="4" s="1"/>
  <c r="C46" i="3"/>
  <c r="C46" i="4" s="1"/>
  <c r="AA46" i="3"/>
  <c r="AA46" i="4" s="1"/>
  <c r="R47" i="3"/>
  <c r="R47" i="4" s="1"/>
  <c r="I48" i="3"/>
  <c r="I48" i="4" s="1"/>
  <c r="L49" i="3"/>
  <c r="L49" i="4" s="1"/>
  <c r="C50" i="3"/>
  <c r="C50" i="4" s="1"/>
  <c r="AA50" i="3"/>
  <c r="AA50" i="4" s="1"/>
  <c r="R51" i="3"/>
  <c r="R51" i="4" s="1"/>
  <c r="I52" i="3"/>
  <c r="I52" i="4" s="1"/>
  <c r="X53" i="3"/>
  <c r="X53" i="4" s="1"/>
  <c r="O54" i="3"/>
  <c r="O54" i="4" s="1"/>
  <c r="F55" i="3"/>
  <c r="F55" i="4" s="1"/>
  <c r="AD55" i="3"/>
  <c r="AD55" i="4" s="1"/>
  <c r="U56" i="3"/>
  <c r="U56" i="4" s="1"/>
  <c r="L57" i="3"/>
  <c r="L57" i="4" s="1"/>
  <c r="C58" i="3"/>
  <c r="C58" i="4" s="1"/>
  <c r="AA58" i="3"/>
  <c r="AA58" i="4" s="1"/>
  <c r="R59" i="3"/>
  <c r="R59" i="4" s="1"/>
  <c r="I60" i="3"/>
  <c r="I60" i="4" s="1"/>
  <c r="X61" i="3"/>
  <c r="X61" i="4" s="1"/>
  <c r="O62" i="3"/>
  <c r="O62" i="4" s="1"/>
  <c r="F63" i="3"/>
  <c r="F63" i="4" s="1"/>
  <c r="AD63" i="3"/>
  <c r="AD63" i="4" s="1"/>
  <c r="U64" i="3"/>
  <c r="U64" i="4" s="1"/>
  <c r="X65" i="3"/>
  <c r="X65" i="4" s="1"/>
  <c r="O66" i="3"/>
  <c r="O66" i="4" s="1"/>
  <c r="F67" i="3"/>
  <c r="F67" i="4" s="1"/>
  <c r="U68" i="3"/>
  <c r="U68" i="4" s="1"/>
  <c r="L69" i="3"/>
  <c r="L69" i="4" s="1"/>
  <c r="C70" i="3"/>
  <c r="C70" i="4" s="1"/>
  <c r="AA70" i="3"/>
  <c r="AA70" i="4" s="1"/>
  <c r="R71" i="3"/>
  <c r="R71" i="4" s="1"/>
  <c r="I72" i="3"/>
  <c r="I72" i="4" s="1"/>
  <c r="X73" i="3"/>
  <c r="X73" i="4" s="1"/>
  <c r="O74" i="3"/>
  <c r="O74" i="4" s="1"/>
  <c r="F75" i="3"/>
  <c r="F75" i="4" s="1"/>
  <c r="AD75" i="3"/>
  <c r="AD75" i="4" s="1"/>
  <c r="U76" i="3"/>
  <c r="U76" i="4" s="1"/>
  <c r="L77" i="3"/>
  <c r="L77" i="4" s="1"/>
  <c r="C78" i="3"/>
  <c r="C78" i="4" s="1"/>
  <c r="AA78" i="3"/>
  <c r="AA78" i="4" s="1"/>
  <c r="R79" i="3"/>
  <c r="R79" i="4" s="1"/>
  <c r="I80" i="3"/>
  <c r="I80" i="4" s="1"/>
  <c r="X81" i="3"/>
  <c r="X81" i="4" s="1"/>
  <c r="O82" i="3"/>
  <c r="O82" i="4" s="1"/>
  <c r="F83" i="3"/>
  <c r="F83" i="4" s="1"/>
  <c r="AD83" i="3"/>
  <c r="AD83" i="4" s="1"/>
  <c r="U84" i="3"/>
  <c r="U84" i="4" s="1"/>
  <c r="L85" i="3"/>
  <c r="L85" i="4" s="1"/>
  <c r="O86" i="3"/>
  <c r="O86" i="4" s="1"/>
  <c r="F87" i="3"/>
  <c r="F87" i="4" s="1"/>
  <c r="I88" i="3"/>
  <c r="I88" i="4" s="1"/>
  <c r="L89" i="3"/>
  <c r="L89" i="4" s="1"/>
  <c r="C90" i="3"/>
  <c r="C90" i="4" s="1"/>
  <c r="AA90" i="3"/>
  <c r="AA90" i="4" s="1"/>
  <c r="F91" i="3"/>
  <c r="F91" i="4" s="1"/>
  <c r="I92" i="3"/>
  <c r="I92" i="4" s="1"/>
  <c r="L93" i="3"/>
  <c r="L93" i="4" s="1"/>
  <c r="C94" i="3"/>
  <c r="C94" i="4" s="1"/>
  <c r="AA94" i="3"/>
  <c r="AA94" i="4" s="1"/>
  <c r="R95" i="3"/>
  <c r="R95" i="4" s="1"/>
  <c r="I96" i="3"/>
  <c r="I96" i="4" s="1"/>
  <c r="L97" i="3"/>
  <c r="L97" i="4" s="1"/>
  <c r="C98" i="3"/>
  <c r="C98" i="4" s="1"/>
  <c r="AA98" i="3"/>
  <c r="AA98" i="4" s="1"/>
  <c r="R99" i="3"/>
  <c r="R99" i="4" s="1"/>
  <c r="I100" i="3"/>
  <c r="I100" i="4" s="1"/>
  <c r="X101" i="3"/>
  <c r="X101" i="4" s="1"/>
  <c r="O102" i="3"/>
  <c r="O102" i="4" s="1"/>
  <c r="F103" i="3"/>
  <c r="F103" i="4" s="1"/>
  <c r="I104" i="3"/>
  <c r="I104" i="4" s="1"/>
  <c r="X105" i="3"/>
  <c r="X105" i="4" s="1"/>
  <c r="O106" i="3"/>
  <c r="O106" i="4" s="1"/>
  <c r="F107" i="3"/>
  <c r="F107" i="4" s="1"/>
  <c r="AD107" i="3"/>
  <c r="AD107" i="4" s="1"/>
  <c r="U108" i="3"/>
  <c r="U108" i="4" s="1"/>
  <c r="X109" i="3"/>
  <c r="X109" i="4" s="1"/>
  <c r="AA110" i="3"/>
  <c r="AA110" i="4" s="1"/>
  <c r="F111" i="3"/>
  <c r="F111" i="4" s="1"/>
  <c r="AD111" i="3"/>
  <c r="AD111" i="4" s="1"/>
  <c r="U112" i="3"/>
  <c r="U112" i="4" s="1"/>
  <c r="L113" i="3"/>
  <c r="L113" i="4" s="1"/>
  <c r="C114" i="3"/>
  <c r="C114" i="4" s="1"/>
  <c r="AA114" i="3"/>
  <c r="AA114" i="4" s="1"/>
  <c r="R115" i="3"/>
  <c r="R115" i="4" s="1"/>
  <c r="I116" i="3"/>
  <c r="I116" i="4" s="1"/>
  <c r="X117" i="3"/>
  <c r="X117" i="4" s="1"/>
  <c r="O118" i="3"/>
  <c r="O118" i="4" s="1"/>
  <c r="F119" i="3"/>
  <c r="F119" i="4" s="1"/>
  <c r="AD119" i="3"/>
  <c r="AD119" i="4" s="1"/>
  <c r="U120" i="3"/>
  <c r="U120" i="4" s="1"/>
  <c r="L121" i="3"/>
  <c r="L121" i="4" s="1"/>
  <c r="C122" i="3"/>
  <c r="C122" i="4" s="1"/>
  <c r="AA122" i="3"/>
  <c r="AA122" i="4" s="1"/>
  <c r="R123" i="3"/>
  <c r="R123" i="4" s="1"/>
  <c r="I124" i="3"/>
  <c r="I124" i="4" s="1"/>
  <c r="X125" i="3"/>
  <c r="X125" i="4" s="1"/>
  <c r="O126" i="3"/>
  <c r="O126" i="4" s="1"/>
  <c r="F127" i="3"/>
  <c r="F127" i="4" s="1"/>
  <c r="AD127" i="3"/>
  <c r="AD127" i="4" s="1"/>
  <c r="U128" i="3"/>
  <c r="U128" i="4" s="1"/>
  <c r="L129" i="3"/>
  <c r="L129" i="4" s="1"/>
  <c r="C130" i="3"/>
  <c r="C130" i="4" s="1"/>
  <c r="AA130" i="3"/>
  <c r="AA130" i="4" s="1"/>
  <c r="R131" i="3"/>
  <c r="R131" i="4" s="1"/>
  <c r="I132" i="3"/>
  <c r="I132" i="4" s="1"/>
  <c r="X133" i="3"/>
  <c r="X133" i="4" s="1"/>
  <c r="O134" i="3"/>
  <c r="O134" i="4" s="1"/>
  <c r="F135" i="3"/>
  <c r="F135" i="4" s="1"/>
  <c r="AD135" i="3"/>
  <c r="AD135" i="4" s="1"/>
  <c r="U136" i="3"/>
  <c r="U136" i="4" s="1"/>
  <c r="L137" i="3"/>
  <c r="L137" i="4" s="1"/>
  <c r="C138" i="3"/>
  <c r="C138" i="4" s="1"/>
  <c r="AA138" i="3"/>
  <c r="AA138" i="4" s="1"/>
  <c r="R139" i="3"/>
  <c r="R139" i="4" s="1"/>
  <c r="I140" i="3"/>
  <c r="I140" i="4" s="1"/>
  <c r="X141" i="3"/>
  <c r="X141" i="4" s="1"/>
  <c r="O142" i="3"/>
  <c r="O142" i="4" s="1"/>
  <c r="F143" i="3"/>
  <c r="F143" i="4" s="1"/>
  <c r="AD143" i="3"/>
  <c r="AD143" i="4" s="1"/>
  <c r="U144" i="3"/>
  <c r="U144" i="4" s="1"/>
  <c r="L145" i="3"/>
  <c r="L145" i="4" s="1"/>
  <c r="O146" i="3"/>
  <c r="O146" i="4" s="1"/>
  <c r="F147" i="3"/>
  <c r="F147" i="4" s="1"/>
  <c r="AD147" i="3"/>
  <c r="AD147" i="4" s="1"/>
  <c r="U148" i="3"/>
  <c r="U148" i="4" s="1"/>
  <c r="L149" i="3"/>
  <c r="L149" i="4" s="1"/>
  <c r="C150" i="3"/>
  <c r="C150" i="4" s="1"/>
  <c r="AA150" i="3"/>
  <c r="AA150" i="4" s="1"/>
  <c r="R151" i="3"/>
  <c r="R151" i="4" s="1"/>
  <c r="U152" i="3"/>
  <c r="U152" i="4" s="1"/>
  <c r="L153" i="3"/>
  <c r="L153" i="4" s="1"/>
  <c r="C154" i="3"/>
  <c r="C154" i="4" s="1"/>
  <c r="AA154" i="3"/>
  <c r="AA154" i="4" s="1"/>
  <c r="R155" i="3"/>
  <c r="R155" i="4" s="1"/>
  <c r="I156" i="3"/>
  <c r="I156" i="4" s="1"/>
  <c r="X157" i="3"/>
  <c r="X157" i="4" s="1"/>
  <c r="O158" i="3"/>
  <c r="O158" i="4" s="1"/>
  <c r="F159" i="3"/>
  <c r="F159" i="4" s="1"/>
  <c r="AD159" i="3"/>
  <c r="AD159" i="4" s="1"/>
  <c r="U160" i="3"/>
  <c r="U160" i="4" s="1"/>
  <c r="X161" i="3"/>
  <c r="X161" i="4" s="1"/>
  <c r="O162" i="3"/>
  <c r="O162" i="4" s="1"/>
  <c r="F163" i="3"/>
  <c r="F163" i="4" s="1"/>
  <c r="AD163" i="3"/>
  <c r="AD163" i="4" s="1"/>
  <c r="U164" i="3"/>
  <c r="U164" i="4" s="1"/>
  <c r="L165" i="3"/>
  <c r="L165" i="4" s="1"/>
  <c r="O166" i="3"/>
  <c r="O166" i="4" s="1"/>
  <c r="F167" i="3"/>
  <c r="F167" i="4" s="1"/>
  <c r="AD167" i="3"/>
  <c r="AD167" i="4" s="1"/>
  <c r="U168" i="3"/>
  <c r="U168" i="4" s="1"/>
  <c r="L169" i="3"/>
  <c r="L169" i="4" s="1"/>
  <c r="C170" i="3"/>
  <c r="C170" i="4" s="1"/>
  <c r="AA170" i="3"/>
  <c r="AA170" i="4" s="1"/>
  <c r="R171" i="3"/>
  <c r="R171" i="4" s="1"/>
  <c r="I172" i="3"/>
  <c r="I172" i="4" s="1"/>
  <c r="L173" i="3"/>
  <c r="L173" i="4" s="1"/>
  <c r="C174" i="3"/>
  <c r="C174" i="4" s="1"/>
  <c r="AA174" i="3"/>
  <c r="AA174" i="4" s="1"/>
  <c r="R175" i="3"/>
  <c r="R175" i="4" s="1"/>
  <c r="I176" i="3"/>
  <c r="I176" i="4" s="1"/>
  <c r="L177" i="3"/>
  <c r="L177" i="4" s="1"/>
  <c r="C178" i="3"/>
  <c r="C178" i="4" s="1"/>
  <c r="AA178" i="3"/>
  <c r="AA178" i="4" s="1"/>
  <c r="R179" i="3"/>
  <c r="R179" i="4" s="1"/>
  <c r="I180" i="3"/>
  <c r="I180" i="4" s="1"/>
  <c r="L181" i="3"/>
  <c r="L181" i="4" s="1"/>
  <c r="C182" i="3"/>
  <c r="C182" i="4" s="1"/>
  <c r="O182" i="3"/>
  <c r="O182" i="4" s="1"/>
  <c r="AA182" i="3"/>
  <c r="AA182" i="4" s="1"/>
  <c r="F183" i="3"/>
  <c r="F183" i="4" s="1"/>
  <c r="R183" i="3"/>
  <c r="R183" i="4" s="1"/>
  <c r="AD183" i="3"/>
  <c r="AD183" i="4" s="1"/>
  <c r="I184" i="3"/>
  <c r="I184" i="4" s="1"/>
  <c r="U184" i="3"/>
  <c r="U184" i="4" s="1"/>
  <c r="L185" i="3"/>
  <c r="L185" i="4" s="1"/>
  <c r="X185" i="3"/>
  <c r="X185" i="4" s="1"/>
  <c r="C186" i="3"/>
  <c r="C186" i="4" s="1"/>
  <c r="O186" i="3"/>
  <c r="O186" i="4" s="1"/>
  <c r="AA186" i="3"/>
  <c r="AA186" i="4" s="1"/>
  <c r="F187" i="3"/>
  <c r="F187" i="4" s="1"/>
  <c r="R187" i="3"/>
  <c r="R187" i="4" s="1"/>
  <c r="I188" i="3"/>
  <c r="I188" i="4" s="1"/>
  <c r="U188" i="3"/>
  <c r="U188" i="4" s="1"/>
  <c r="L189" i="3"/>
  <c r="L189" i="4" s="1"/>
  <c r="X189" i="3"/>
  <c r="X189" i="4" s="1"/>
  <c r="C190" i="3"/>
  <c r="C190" i="4" s="1"/>
  <c r="O190" i="3"/>
  <c r="O190" i="4" s="1"/>
  <c r="AA190" i="3"/>
  <c r="AA190" i="4" s="1"/>
  <c r="F191" i="3"/>
  <c r="F191" i="4" s="1"/>
  <c r="R191" i="3"/>
  <c r="R191" i="4" s="1"/>
  <c r="AD191" i="3"/>
  <c r="AD191" i="4" s="1"/>
  <c r="I192" i="3"/>
  <c r="I192" i="4" s="1"/>
  <c r="U192" i="3"/>
  <c r="U192" i="4" s="1"/>
  <c r="L193" i="3"/>
  <c r="L193" i="4" s="1"/>
  <c r="X193" i="3"/>
  <c r="X193" i="4" s="1"/>
  <c r="C194" i="3"/>
  <c r="C194" i="4" s="1"/>
  <c r="O194" i="3"/>
  <c r="O194" i="4" s="1"/>
  <c r="AA194" i="3"/>
  <c r="AA194" i="4" s="1"/>
  <c r="F195" i="3"/>
  <c r="F195" i="4" s="1"/>
  <c r="R195" i="3"/>
  <c r="R195" i="4" s="1"/>
  <c r="AD195" i="3"/>
  <c r="AD195" i="4" s="1"/>
  <c r="I196" i="3"/>
  <c r="I196" i="4" s="1"/>
  <c r="U196" i="3"/>
  <c r="U196" i="4" s="1"/>
  <c r="L197" i="3"/>
  <c r="L197" i="4" s="1"/>
  <c r="AD223" i="3"/>
  <c r="AD223" i="4" s="1"/>
  <c r="AD335" i="3"/>
  <c r="AD335" i="4" s="1"/>
  <c r="AD379" i="3"/>
  <c r="AD379" i="4" s="1"/>
  <c r="AD419" i="3"/>
  <c r="AD419" i="4" s="1"/>
  <c r="AD439" i="3"/>
  <c r="AD439" i="4" s="1"/>
  <c r="W69" i="3"/>
  <c r="W69" i="4" s="1"/>
  <c r="N70" i="3"/>
  <c r="N70" i="4" s="1"/>
  <c r="AC71" i="3"/>
  <c r="AC71" i="4" s="1"/>
  <c r="AF72" i="3"/>
  <c r="AF72" i="4" s="1"/>
  <c r="W73" i="3"/>
  <c r="W73" i="4" s="1"/>
  <c r="Z74" i="3"/>
  <c r="Z74" i="4" s="1"/>
  <c r="AC75" i="3"/>
  <c r="AC75" i="4" s="1"/>
  <c r="AF76" i="3"/>
  <c r="AF76" i="4" s="1"/>
  <c r="B78" i="3"/>
  <c r="B78" i="4" s="1"/>
  <c r="Z78" i="3"/>
  <c r="Z78" i="4" s="1"/>
  <c r="AC79" i="3"/>
  <c r="AC79" i="4" s="1"/>
  <c r="AF80" i="3"/>
  <c r="AF80" i="4" s="1"/>
  <c r="B82" i="3"/>
  <c r="B82" i="4" s="1"/>
  <c r="E83" i="3"/>
  <c r="E83" i="4" s="1"/>
  <c r="H84" i="3"/>
  <c r="H84" i="4" s="1"/>
  <c r="K85" i="3"/>
  <c r="K85" i="4" s="1"/>
  <c r="N86" i="3"/>
  <c r="N86" i="4" s="1"/>
  <c r="AC87" i="3"/>
  <c r="AC87" i="4" s="1"/>
  <c r="K89" i="3"/>
  <c r="K89" i="4" s="1"/>
  <c r="N90" i="3"/>
  <c r="N90" i="4" s="1"/>
  <c r="E91" i="3"/>
  <c r="E91" i="4" s="1"/>
  <c r="T92" i="3"/>
  <c r="T92" i="4" s="1"/>
  <c r="W93" i="3"/>
  <c r="W93" i="4" s="1"/>
  <c r="N94" i="3"/>
  <c r="N94" i="4" s="1"/>
  <c r="Q95" i="3"/>
  <c r="Q95" i="4" s="1"/>
  <c r="T96" i="3"/>
  <c r="T96" i="4" s="1"/>
  <c r="W97" i="3"/>
  <c r="W97" i="4" s="1"/>
  <c r="Z98" i="3"/>
  <c r="Z98" i="4" s="1"/>
  <c r="AC99" i="3"/>
  <c r="AC99" i="4" s="1"/>
  <c r="K101" i="3"/>
  <c r="K101" i="4" s="1"/>
  <c r="W101" i="3"/>
  <c r="W101" i="4" s="1"/>
  <c r="Z102" i="3"/>
  <c r="Z102" i="4" s="1"/>
  <c r="H104" i="3"/>
  <c r="H104" i="4" s="1"/>
  <c r="K105" i="3"/>
  <c r="K105" i="4" s="1"/>
  <c r="N106" i="3"/>
  <c r="N106" i="4" s="1"/>
  <c r="Q107" i="3"/>
  <c r="Q107" i="4" s="1"/>
  <c r="T108" i="3"/>
  <c r="T108" i="4" s="1"/>
  <c r="K109" i="3"/>
  <c r="K109" i="4" s="1"/>
  <c r="N110" i="3"/>
  <c r="N110" i="4" s="1"/>
  <c r="Q111" i="3"/>
  <c r="Q111" i="4" s="1"/>
  <c r="AF112" i="3"/>
  <c r="AF112" i="4" s="1"/>
  <c r="AC115" i="3"/>
  <c r="AC115" i="4" s="1"/>
  <c r="AF116" i="3"/>
  <c r="AF116" i="4" s="1"/>
  <c r="AF120" i="3"/>
  <c r="AF120" i="4" s="1"/>
  <c r="AC123" i="3"/>
  <c r="AC123" i="4" s="1"/>
  <c r="AC127" i="3"/>
  <c r="AC127" i="4" s="1"/>
  <c r="AC139" i="3"/>
  <c r="AC139" i="4" s="1"/>
  <c r="AF140" i="3"/>
  <c r="AF140" i="4" s="1"/>
  <c r="AF144" i="3"/>
  <c r="AF144" i="4" s="1"/>
  <c r="C2" i="3"/>
  <c r="C2" i="4" s="1"/>
  <c r="AA2" i="3"/>
  <c r="AA2" i="4" s="1"/>
  <c r="R3" i="3"/>
  <c r="R3" i="4" s="1"/>
  <c r="I4" i="3"/>
  <c r="I4" i="4" s="1"/>
  <c r="X5" i="3"/>
  <c r="X5" i="4" s="1"/>
  <c r="O6" i="3"/>
  <c r="O6" i="4" s="1"/>
  <c r="F7" i="3"/>
  <c r="F7" i="4" s="1"/>
  <c r="AD7" i="3"/>
  <c r="AD7" i="4" s="1"/>
  <c r="U8" i="3"/>
  <c r="U8" i="4" s="1"/>
  <c r="L9" i="3"/>
  <c r="L9" i="4" s="1"/>
  <c r="C10" i="3"/>
  <c r="C10" i="4" s="1"/>
  <c r="AA10" i="3"/>
  <c r="AA10" i="4" s="1"/>
  <c r="R11" i="3"/>
  <c r="R11" i="4" s="1"/>
  <c r="I12" i="3"/>
  <c r="I12" i="4" s="1"/>
  <c r="L13" i="3"/>
  <c r="L13" i="4" s="1"/>
  <c r="X13" i="3"/>
  <c r="X13" i="4" s="1"/>
  <c r="O14" i="3"/>
  <c r="O14" i="4" s="1"/>
  <c r="F15" i="3"/>
  <c r="F15" i="4" s="1"/>
  <c r="AD15" i="3"/>
  <c r="AD15" i="4" s="1"/>
  <c r="I16" i="3"/>
  <c r="I16" i="4" s="1"/>
  <c r="X17" i="3"/>
  <c r="X17" i="4" s="1"/>
  <c r="O18" i="3"/>
  <c r="O18" i="4" s="1"/>
  <c r="F19" i="3"/>
  <c r="F19" i="4" s="1"/>
  <c r="AD19" i="3"/>
  <c r="AD19" i="4" s="1"/>
  <c r="I20" i="3"/>
  <c r="I20" i="4" s="1"/>
  <c r="X21" i="3"/>
  <c r="X21" i="4" s="1"/>
  <c r="O22" i="3"/>
  <c r="O22" i="4" s="1"/>
  <c r="F23" i="3"/>
  <c r="F23" i="4" s="1"/>
  <c r="AD23" i="3"/>
  <c r="AD23" i="4" s="1"/>
  <c r="U24" i="3"/>
  <c r="U24" i="4" s="1"/>
  <c r="L25" i="3"/>
  <c r="L25" i="4" s="1"/>
  <c r="X25" i="3"/>
  <c r="X25" i="4" s="1"/>
  <c r="O26" i="3"/>
  <c r="O26" i="4" s="1"/>
  <c r="F27" i="3"/>
  <c r="F27" i="4" s="1"/>
  <c r="I28" i="3"/>
  <c r="I28" i="4" s="1"/>
  <c r="X29" i="3"/>
  <c r="X29" i="4" s="1"/>
  <c r="C30" i="3"/>
  <c r="C30" i="4" s="1"/>
  <c r="AA30" i="3"/>
  <c r="AA30" i="4" s="1"/>
  <c r="R31" i="3"/>
  <c r="R31" i="4" s="1"/>
  <c r="I32" i="3"/>
  <c r="I32" i="4" s="1"/>
  <c r="X33" i="3"/>
  <c r="X33" i="4" s="1"/>
  <c r="O34" i="3"/>
  <c r="O34" i="4" s="1"/>
  <c r="AA34" i="3"/>
  <c r="AA34" i="4" s="1"/>
  <c r="R35" i="3"/>
  <c r="R35" i="4" s="1"/>
  <c r="I36" i="3"/>
  <c r="I36" i="4" s="1"/>
  <c r="X37" i="3"/>
  <c r="X37" i="4" s="1"/>
  <c r="O38" i="3"/>
  <c r="O38" i="4" s="1"/>
  <c r="F39" i="3"/>
  <c r="F39" i="4" s="1"/>
  <c r="AD39" i="3"/>
  <c r="AD39" i="4" s="1"/>
  <c r="U40" i="3"/>
  <c r="U40" i="4" s="1"/>
  <c r="L41" i="3"/>
  <c r="L41" i="4" s="1"/>
  <c r="C42" i="3"/>
  <c r="C42" i="4" s="1"/>
  <c r="AA42" i="3"/>
  <c r="AA42" i="4" s="1"/>
  <c r="R43" i="3"/>
  <c r="R43" i="4" s="1"/>
  <c r="I44" i="3"/>
  <c r="I44" i="4" s="1"/>
  <c r="X45" i="3"/>
  <c r="X45" i="4" s="1"/>
  <c r="O46" i="3"/>
  <c r="O46" i="4" s="1"/>
  <c r="F47" i="3"/>
  <c r="F47" i="4" s="1"/>
  <c r="AD47" i="3"/>
  <c r="AD47" i="4" s="1"/>
  <c r="U48" i="3"/>
  <c r="U48" i="4" s="1"/>
  <c r="X49" i="3"/>
  <c r="X49" i="4" s="1"/>
  <c r="O50" i="3"/>
  <c r="O50" i="4" s="1"/>
  <c r="F51" i="3"/>
  <c r="F51" i="4" s="1"/>
  <c r="AD51" i="3"/>
  <c r="AD51" i="4" s="1"/>
  <c r="U52" i="3"/>
  <c r="U52" i="4" s="1"/>
  <c r="L53" i="3"/>
  <c r="L53" i="4" s="1"/>
  <c r="C54" i="3"/>
  <c r="C54" i="4" s="1"/>
  <c r="AA54" i="3"/>
  <c r="AA54" i="4" s="1"/>
  <c r="R55" i="3"/>
  <c r="R55" i="4" s="1"/>
  <c r="I56" i="3"/>
  <c r="I56" i="4" s="1"/>
  <c r="X57" i="3"/>
  <c r="X57" i="4" s="1"/>
  <c r="O58" i="3"/>
  <c r="O58" i="4" s="1"/>
  <c r="F59" i="3"/>
  <c r="F59" i="4" s="1"/>
  <c r="AD59" i="3"/>
  <c r="AD59" i="4" s="1"/>
  <c r="U60" i="3"/>
  <c r="U60" i="4" s="1"/>
  <c r="L61" i="3"/>
  <c r="L61" i="4" s="1"/>
  <c r="C62" i="3"/>
  <c r="C62" i="4" s="1"/>
  <c r="AA62" i="3"/>
  <c r="AA62" i="4" s="1"/>
  <c r="R63" i="3"/>
  <c r="R63" i="4" s="1"/>
  <c r="I64" i="3"/>
  <c r="I64" i="4" s="1"/>
  <c r="L65" i="3"/>
  <c r="L65" i="4" s="1"/>
  <c r="C66" i="3"/>
  <c r="C66" i="4" s="1"/>
  <c r="AA66" i="3"/>
  <c r="AA66" i="4" s="1"/>
  <c r="R67" i="3"/>
  <c r="R67" i="4" s="1"/>
  <c r="I68" i="3"/>
  <c r="I68" i="4" s="1"/>
  <c r="X69" i="3"/>
  <c r="X69" i="4" s="1"/>
  <c r="O70" i="3"/>
  <c r="O70" i="4" s="1"/>
  <c r="F71" i="3"/>
  <c r="F71" i="4" s="1"/>
  <c r="AD71" i="3"/>
  <c r="AD71" i="4" s="1"/>
  <c r="U72" i="3"/>
  <c r="U72" i="4" s="1"/>
  <c r="L73" i="3"/>
  <c r="L73" i="4" s="1"/>
  <c r="C74" i="3"/>
  <c r="C74" i="4" s="1"/>
  <c r="AA74" i="3"/>
  <c r="AA74" i="4" s="1"/>
  <c r="R75" i="3"/>
  <c r="R75" i="4" s="1"/>
  <c r="I76" i="3"/>
  <c r="I76" i="4" s="1"/>
  <c r="X77" i="3"/>
  <c r="X77" i="4" s="1"/>
  <c r="O78" i="3"/>
  <c r="O78" i="4" s="1"/>
  <c r="F79" i="3"/>
  <c r="F79" i="4" s="1"/>
  <c r="AD79" i="3"/>
  <c r="AD79" i="4" s="1"/>
  <c r="U80" i="3"/>
  <c r="U80" i="4" s="1"/>
  <c r="L81" i="3"/>
  <c r="L81" i="4" s="1"/>
  <c r="C82" i="3"/>
  <c r="C82" i="4" s="1"/>
  <c r="AA82" i="3"/>
  <c r="AA82" i="4" s="1"/>
  <c r="R83" i="3"/>
  <c r="R83" i="4" s="1"/>
  <c r="I84" i="3"/>
  <c r="I84" i="4" s="1"/>
  <c r="X85" i="3"/>
  <c r="X85" i="4" s="1"/>
  <c r="C86" i="3"/>
  <c r="C86" i="4" s="1"/>
  <c r="AA86" i="3"/>
  <c r="AA86" i="4" s="1"/>
  <c r="R87" i="3"/>
  <c r="R87" i="4" s="1"/>
  <c r="AD87" i="3"/>
  <c r="AD87" i="4" s="1"/>
  <c r="U88" i="3"/>
  <c r="U88" i="4" s="1"/>
  <c r="X89" i="3"/>
  <c r="X89" i="4" s="1"/>
  <c r="O90" i="3"/>
  <c r="O90" i="4" s="1"/>
  <c r="R91" i="3"/>
  <c r="R91" i="4" s="1"/>
  <c r="U92" i="3"/>
  <c r="U92" i="4" s="1"/>
  <c r="X93" i="3"/>
  <c r="X93" i="4" s="1"/>
  <c r="O94" i="3"/>
  <c r="O94" i="4" s="1"/>
  <c r="F95" i="3"/>
  <c r="F95" i="4" s="1"/>
  <c r="AD95" i="3"/>
  <c r="AD95" i="4" s="1"/>
  <c r="U96" i="3"/>
  <c r="U96" i="4" s="1"/>
  <c r="X97" i="3"/>
  <c r="X97" i="4" s="1"/>
  <c r="O98" i="3"/>
  <c r="O98" i="4" s="1"/>
  <c r="F99" i="3"/>
  <c r="F99" i="4" s="1"/>
  <c r="AD99" i="3"/>
  <c r="AD99" i="4" s="1"/>
  <c r="U100" i="3"/>
  <c r="U100" i="4" s="1"/>
  <c r="L101" i="3"/>
  <c r="L101" i="4" s="1"/>
  <c r="C102" i="3"/>
  <c r="C102" i="4" s="1"/>
  <c r="AA102" i="3"/>
  <c r="AA102" i="4" s="1"/>
  <c r="R103" i="3"/>
  <c r="R103" i="4" s="1"/>
  <c r="U104" i="3"/>
  <c r="U104" i="4" s="1"/>
  <c r="L105" i="3"/>
  <c r="L105" i="4" s="1"/>
  <c r="C106" i="3"/>
  <c r="C106" i="4" s="1"/>
  <c r="AA106" i="3"/>
  <c r="AA106" i="4" s="1"/>
  <c r="R107" i="3"/>
  <c r="R107" i="4" s="1"/>
  <c r="I108" i="3"/>
  <c r="I108" i="4" s="1"/>
  <c r="L109" i="3"/>
  <c r="L109" i="4" s="1"/>
  <c r="C110" i="3"/>
  <c r="C110" i="4" s="1"/>
  <c r="O110" i="3"/>
  <c r="O110" i="4" s="1"/>
  <c r="R111" i="3"/>
  <c r="R111" i="4" s="1"/>
  <c r="I112" i="3"/>
  <c r="I112" i="4" s="1"/>
  <c r="X113" i="3"/>
  <c r="X113" i="4" s="1"/>
  <c r="O114" i="3"/>
  <c r="O114" i="4" s="1"/>
  <c r="F115" i="3"/>
  <c r="F115" i="4" s="1"/>
  <c r="AD115" i="3"/>
  <c r="AD115" i="4" s="1"/>
  <c r="U116" i="3"/>
  <c r="U116" i="4" s="1"/>
  <c r="L117" i="3"/>
  <c r="L117" i="4" s="1"/>
  <c r="C118" i="3"/>
  <c r="C118" i="4" s="1"/>
  <c r="AA118" i="3"/>
  <c r="AA118" i="4" s="1"/>
  <c r="R119" i="3"/>
  <c r="R119" i="4" s="1"/>
  <c r="I120" i="3"/>
  <c r="I120" i="4" s="1"/>
  <c r="X121" i="3"/>
  <c r="X121" i="4" s="1"/>
  <c r="O122" i="3"/>
  <c r="O122" i="4" s="1"/>
  <c r="F123" i="3"/>
  <c r="F123" i="4" s="1"/>
  <c r="AD123" i="3"/>
  <c r="AD123" i="4" s="1"/>
  <c r="U124" i="3"/>
  <c r="U124" i="4" s="1"/>
  <c r="L125" i="3"/>
  <c r="L125" i="4" s="1"/>
  <c r="C126" i="3"/>
  <c r="C126" i="4" s="1"/>
  <c r="AA126" i="3"/>
  <c r="AA126" i="4" s="1"/>
  <c r="R127" i="3"/>
  <c r="R127" i="4" s="1"/>
  <c r="I128" i="3"/>
  <c r="I128" i="4" s="1"/>
  <c r="X129" i="3"/>
  <c r="X129" i="4" s="1"/>
  <c r="O130" i="3"/>
  <c r="O130" i="4" s="1"/>
  <c r="F131" i="3"/>
  <c r="F131" i="4" s="1"/>
  <c r="AD131" i="3"/>
  <c r="AD131" i="4" s="1"/>
  <c r="U132" i="3"/>
  <c r="U132" i="4" s="1"/>
  <c r="L133" i="3"/>
  <c r="L133" i="4" s="1"/>
  <c r="C134" i="3"/>
  <c r="C134" i="4" s="1"/>
  <c r="AA134" i="3"/>
  <c r="AA134" i="4" s="1"/>
  <c r="R135" i="3"/>
  <c r="R135" i="4" s="1"/>
  <c r="I136" i="3"/>
  <c r="I136" i="4" s="1"/>
  <c r="X137" i="3"/>
  <c r="X137" i="4" s="1"/>
  <c r="O138" i="3"/>
  <c r="O138" i="4" s="1"/>
  <c r="F139" i="3"/>
  <c r="F139" i="4" s="1"/>
  <c r="AD139" i="3"/>
  <c r="AD139" i="4" s="1"/>
  <c r="U140" i="3"/>
  <c r="U140" i="4" s="1"/>
  <c r="L141" i="3"/>
  <c r="L141" i="4" s="1"/>
  <c r="C142" i="3"/>
  <c r="C142" i="4" s="1"/>
  <c r="AA142" i="3"/>
  <c r="AA142" i="4" s="1"/>
  <c r="R143" i="3"/>
  <c r="R143" i="4" s="1"/>
  <c r="I144" i="3"/>
  <c r="I144" i="4" s="1"/>
  <c r="X145" i="3"/>
  <c r="X145" i="4" s="1"/>
  <c r="C146" i="3"/>
  <c r="C146" i="4" s="1"/>
  <c r="AA146" i="3"/>
  <c r="AA146" i="4" s="1"/>
  <c r="R147" i="3"/>
  <c r="R147" i="4" s="1"/>
  <c r="I148" i="3"/>
  <c r="I148" i="4" s="1"/>
  <c r="X149" i="3"/>
  <c r="X149" i="4" s="1"/>
  <c r="O150" i="3"/>
  <c r="O150" i="4" s="1"/>
  <c r="F151" i="3"/>
  <c r="F151" i="4" s="1"/>
  <c r="AD151" i="3"/>
  <c r="AD151" i="4" s="1"/>
  <c r="I152" i="3"/>
  <c r="I152" i="4" s="1"/>
  <c r="X153" i="3"/>
  <c r="X153" i="4" s="1"/>
  <c r="O154" i="3"/>
  <c r="O154" i="4" s="1"/>
  <c r="F155" i="3"/>
  <c r="F155" i="4" s="1"/>
  <c r="AD155" i="3"/>
  <c r="AD155" i="4" s="1"/>
  <c r="U156" i="3"/>
  <c r="U156" i="4" s="1"/>
  <c r="L157" i="3"/>
  <c r="L157" i="4" s="1"/>
  <c r="C158" i="3"/>
  <c r="C158" i="4" s="1"/>
  <c r="AA158" i="3"/>
  <c r="AA158" i="4" s="1"/>
  <c r="R159" i="3"/>
  <c r="R159" i="4" s="1"/>
  <c r="I160" i="3"/>
  <c r="I160" i="4" s="1"/>
  <c r="L161" i="3"/>
  <c r="L161" i="4" s="1"/>
  <c r="C162" i="3"/>
  <c r="C162" i="4" s="1"/>
  <c r="AA162" i="3"/>
  <c r="AA162" i="4" s="1"/>
  <c r="R163" i="3"/>
  <c r="R163" i="4" s="1"/>
  <c r="I164" i="3"/>
  <c r="I164" i="4" s="1"/>
  <c r="X165" i="3"/>
  <c r="X165" i="4" s="1"/>
  <c r="C166" i="3"/>
  <c r="C166" i="4" s="1"/>
  <c r="AA166" i="3"/>
  <c r="AA166" i="4" s="1"/>
  <c r="R167" i="3"/>
  <c r="R167" i="4" s="1"/>
  <c r="I168" i="3"/>
  <c r="I168" i="4" s="1"/>
  <c r="X169" i="3"/>
  <c r="X169" i="4" s="1"/>
  <c r="O170" i="3"/>
  <c r="O170" i="4" s="1"/>
  <c r="F171" i="3"/>
  <c r="F171" i="4" s="1"/>
  <c r="AD171" i="3"/>
  <c r="AD171" i="4" s="1"/>
  <c r="U172" i="3"/>
  <c r="U172" i="4" s="1"/>
  <c r="X173" i="3"/>
  <c r="X173" i="4" s="1"/>
  <c r="O174" i="3"/>
  <c r="O174" i="4" s="1"/>
  <c r="F175" i="3"/>
  <c r="F175" i="4" s="1"/>
  <c r="U176" i="3"/>
  <c r="U176" i="4" s="1"/>
  <c r="X177" i="3"/>
  <c r="X177" i="4" s="1"/>
  <c r="O178" i="3"/>
  <c r="O178" i="4" s="1"/>
  <c r="F179" i="3"/>
  <c r="F179" i="4" s="1"/>
  <c r="AD179" i="3"/>
  <c r="AD179" i="4" s="1"/>
  <c r="U180" i="3"/>
  <c r="U180" i="4" s="1"/>
  <c r="X181" i="3"/>
  <c r="X181" i="4" s="1"/>
  <c r="AD187" i="3"/>
  <c r="AD187" i="4" s="1"/>
  <c r="AF384" i="3"/>
  <c r="AF384" i="4" s="1"/>
  <c r="AC387" i="3"/>
  <c r="AC387" i="4" s="1"/>
  <c r="AC391" i="3"/>
  <c r="AC391" i="4" s="1"/>
  <c r="AF392" i="3"/>
  <c r="AF392" i="4" s="1"/>
  <c r="AF396" i="3"/>
  <c r="AF396" i="4" s="1"/>
  <c r="AC399" i="3"/>
  <c r="AC399" i="4" s="1"/>
  <c r="AF400" i="3"/>
  <c r="AF400" i="4" s="1"/>
  <c r="AC403" i="3"/>
  <c r="AC403" i="4" s="1"/>
  <c r="AC407" i="3"/>
  <c r="AC407" i="4" s="1"/>
  <c r="AF408" i="3"/>
  <c r="AF408" i="4" s="1"/>
  <c r="AC419" i="3"/>
  <c r="AC419" i="4" s="1"/>
  <c r="AC423" i="3"/>
  <c r="AC423" i="4" s="1"/>
  <c r="AC427" i="3"/>
  <c r="AC427" i="4" s="1"/>
  <c r="AF428" i="3"/>
  <c r="AF428" i="4" s="1"/>
  <c r="AC431" i="3"/>
  <c r="AC431" i="4" s="1"/>
  <c r="AF432" i="3"/>
  <c r="AF432" i="4" s="1"/>
  <c r="AC435" i="3"/>
  <c r="AC435" i="4" s="1"/>
  <c r="AC439" i="3"/>
  <c r="AC439" i="4" s="1"/>
  <c r="AC443" i="3"/>
  <c r="AC443" i="4" s="1"/>
  <c r="AF444" i="3"/>
  <c r="AF444" i="4" s="1"/>
  <c r="AC447" i="3"/>
  <c r="AC447" i="4" s="1"/>
  <c r="AF448" i="3"/>
  <c r="AF448" i="4" s="1"/>
  <c r="AF452" i="3"/>
  <c r="AF452" i="4" s="1"/>
  <c r="AC455" i="3"/>
  <c r="AC455" i="4" s="1"/>
  <c r="AC459" i="3"/>
  <c r="AC459" i="4" s="1"/>
  <c r="AF464" i="3"/>
  <c r="AF464" i="4" s="1"/>
  <c r="AC467" i="3"/>
  <c r="AC467" i="4" s="1"/>
  <c r="AF468" i="3"/>
  <c r="AF468" i="4" s="1"/>
  <c r="AC475" i="3"/>
  <c r="AC475" i="4" s="1"/>
  <c r="AC479" i="3"/>
  <c r="AC479" i="4" s="1"/>
  <c r="AF480" i="3"/>
  <c r="AF480" i="4" s="1"/>
  <c r="AC483" i="3"/>
  <c r="AC483" i="4" s="1"/>
  <c r="AC487" i="3"/>
  <c r="AC487" i="4" s="1"/>
  <c r="AF488" i="3"/>
  <c r="AF488" i="4" s="1"/>
  <c r="AC491" i="3"/>
  <c r="AC491" i="4" s="1"/>
  <c r="AC495" i="3"/>
  <c r="AC495" i="4" s="1"/>
  <c r="AF496" i="3"/>
  <c r="AF496" i="4" s="1"/>
  <c r="AC499" i="3"/>
  <c r="AC499" i="4" s="1"/>
  <c r="AC503" i="3"/>
  <c r="AC503" i="4" s="1"/>
  <c r="AC507" i="3"/>
  <c r="AC507" i="4" s="1"/>
  <c r="AF508" i="3"/>
  <c r="AF508" i="4" s="1"/>
  <c r="AF516" i="3"/>
  <c r="AF516" i="4" s="1"/>
  <c r="AC519" i="3"/>
  <c r="AC519" i="4" s="1"/>
  <c r="AF520" i="3"/>
  <c r="AF520" i="4" s="1"/>
  <c r="AF524" i="3"/>
  <c r="AF524" i="4" s="1"/>
  <c r="AF532" i="3"/>
  <c r="AF532" i="4" s="1"/>
  <c r="AC535" i="3"/>
  <c r="AC535" i="4" s="1"/>
  <c r="AC539" i="3"/>
  <c r="AC539" i="4" s="1"/>
  <c r="AF540" i="3"/>
  <c r="AF540" i="4" s="1"/>
  <c r="AC543" i="3"/>
  <c r="AC543" i="4" s="1"/>
  <c r="AF544" i="3"/>
  <c r="AF544" i="4" s="1"/>
  <c r="AC547" i="3"/>
  <c r="AC547" i="4" s="1"/>
  <c r="AF552" i="3"/>
  <c r="AF552" i="4" s="1"/>
  <c r="AC555" i="3"/>
  <c r="AC555" i="4" s="1"/>
  <c r="AF556" i="3"/>
  <c r="AF556" i="4" s="1"/>
  <c r="AC559" i="3"/>
  <c r="AC559" i="4" s="1"/>
  <c r="AF560" i="3"/>
  <c r="AF560" i="4" s="1"/>
  <c r="AF564" i="3"/>
  <c r="AF564" i="4" s="1"/>
  <c r="AF568" i="3"/>
  <c r="AF568" i="4" s="1"/>
  <c r="AC571" i="3"/>
  <c r="AC571" i="4" s="1"/>
  <c r="AC575" i="3"/>
  <c r="AC575" i="4" s="1"/>
  <c r="AF580" i="3"/>
  <c r="AF580" i="4" s="1"/>
  <c r="AF592" i="3"/>
  <c r="AF592" i="4" s="1"/>
  <c r="AF596" i="3"/>
  <c r="AF596" i="4" s="1"/>
  <c r="AC599" i="3"/>
  <c r="AC599" i="4" s="1"/>
  <c r="AC603" i="3"/>
  <c r="AC603" i="4" s="1"/>
  <c r="AF604" i="3"/>
  <c r="AF604" i="4" s="1"/>
  <c r="AC607" i="3"/>
  <c r="AC607" i="4" s="1"/>
  <c r="AC611" i="3"/>
  <c r="AC611" i="4" s="1"/>
  <c r="AF616" i="3"/>
  <c r="AF616" i="4" s="1"/>
  <c r="AF624" i="3"/>
  <c r="AF624" i="4" s="1"/>
  <c r="AC627" i="3"/>
  <c r="AC627" i="4" s="1"/>
  <c r="AF628" i="3"/>
  <c r="AF628" i="4" s="1"/>
  <c r="AC631" i="3"/>
  <c r="AC631" i="4" s="1"/>
  <c r="AF632" i="3"/>
  <c r="AF632" i="4" s="1"/>
  <c r="AF640" i="3"/>
  <c r="AF640" i="4" s="1"/>
  <c r="AC643" i="3"/>
  <c r="AC643" i="4" s="1"/>
  <c r="AC647" i="3"/>
  <c r="AC647" i="4" s="1"/>
  <c r="AC651" i="3"/>
  <c r="AC651" i="4" s="1"/>
  <c r="AF652" i="3"/>
  <c r="AF652" i="4" s="1"/>
  <c r="AC655" i="3"/>
  <c r="AC655" i="4" s="1"/>
  <c r="AC659" i="3"/>
  <c r="AC659" i="4" s="1"/>
  <c r="AC663" i="3"/>
  <c r="AC663" i="4" s="1"/>
  <c r="AF664" i="3"/>
  <c r="AF664" i="4" s="1"/>
  <c r="AF668" i="3"/>
  <c r="AF668" i="4" s="1"/>
  <c r="AF676" i="3"/>
  <c r="AF676" i="4" s="1"/>
  <c r="AC679" i="3"/>
  <c r="AC679" i="4" s="1"/>
  <c r="AC683" i="3"/>
  <c r="AC683" i="4" s="1"/>
  <c r="AC687" i="3"/>
  <c r="AC687" i="4" s="1"/>
  <c r="AF688" i="3"/>
  <c r="AF688" i="4" s="1"/>
  <c r="AC691" i="3"/>
  <c r="AC691" i="4" s="1"/>
  <c r="AF692" i="3"/>
  <c r="AF692" i="4" s="1"/>
  <c r="AF696" i="3"/>
  <c r="AF696" i="4" s="1"/>
  <c r="AF700" i="3"/>
  <c r="AF700" i="4" s="1"/>
  <c r="AF704" i="3"/>
  <c r="AF704" i="4" s="1"/>
  <c r="AC711" i="3"/>
  <c r="AC711" i="4" s="1"/>
  <c r="AC715" i="3"/>
  <c r="AC715" i="4" s="1"/>
  <c r="AF716" i="3"/>
  <c r="AF716" i="4" s="1"/>
  <c r="AC723" i="3"/>
  <c r="AC723" i="4" s="1"/>
  <c r="AF728" i="3"/>
  <c r="AF728" i="4" s="1"/>
  <c r="AF740" i="3"/>
  <c r="AF740" i="4" s="1"/>
  <c r="AE753" i="3"/>
  <c r="AE753" i="4" s="1"/>
  <c r="AC632" i="3"/>
  <c r="AC632" i="4" s="1"/>
  <c r="AF617" i="3"/>
  <c r="AF617" i="4" s="1"/>
  <c r="AF469" i="3"/>
  <c r="AF469" i="4" s="1"/>
  <c r="AF449" i="3"/>
  <c r="AF449" i="4" s="1"/>
  <c r="AF429" i="3"/>
  <c r="AF429" i="4" s="1"/>
  <c r="C198" i="3"/>
  <c r="C198" i="4" s="1"/>
  <c r="F199" i="3"/>
  <c r="F199" i="4" s="1"/>
  <c r="I200" i="3"/>
  <c r="I200" i="4" s="1"/>
  <c r="X201" i="3"/>
  <c r="X201" i="4" s="1"/>
  <c r="O202" i="3"/>
  <c r="O202" i="4" s="1"/>
  <c r="F203" i="3"/>
  <c r="F203" i="4" s="1"/>
  <c r="AD203" i="3"/>
  <c r="AD203" i="4" s="1"/>
  <c r="U204" i="3"/>
  <c r="U204" i="4" s="1"/>
  <c r="L205" i="3"/>
  <c r="L205" i="4" s="1"/>
  <c r="O206" i="3"/>
  <c r="O206" i="4" s="1"/>
  <c r="F207" i="3"/>
  <c r="F207" i="4" s="1"/>
  <c r="AD207" i="3"/>
  <c r="AD207" i="4" s="1"/>
  <c r="U208" i="3"/>
  <c r="U208" i="4" s="1"/>
  <c r="X209" i="3"/>
  <c r="X209" i="4" s="1"/>
  <c r="O210" i="3"/>
  <c r="O210" i="4" s="1"/>
  <c r="F211" i="3"/>
  <c r="F211" i="4" s="1"/>
  <c r="U212" i="3"/>
  <c r="U212" i="4" s="1"/>
  <c r="X213" i="3"/>
  <c r="X213" i="4" s="1"/>
  <c r="O214" i="3"/>
  <c r="O214" i="4" s="1"/>
  <c r="F215" i="3"/>
  <c r="F215" i="4" s="1"/>
  <c r="AD215" i="3"/>
  <c r="AD215" i="4" s="1"/>
  <c r="U216" i="3"/>
  <c r="U216" i="4" s="1"/>
  <c r="X217" i="3"/>
  <c r="X217" i="4" s="1"/>
  <c r="O218" i="3"/>
  <c r="O218" i="4" s="1"/>
  <c r="F219" i="3"/>
  <c r="F219" i="4" s="1"/>
  <c r="AD219" i="3"/>
  <c r="AD219" i="4" s="1"/>
  <c r="U220" i="3"/>
  <c r="U220" i="4" s="1"/>
  <c r="X221" i="3"/>
  <c r="X221" i="4" s="1"/>
  <c r="O222" i="3"/>
  <c r="O222" i="4" s="1"/>
  <c r="F223" i="3"/>
  <c r="F223" i="4" s="1"/>
  <c r="U224" i="3"/>
  <c r="U224" i="4" s="1"/>
  <c r="L225" i="3"/>
  <c r="L225" i="4" s="1"/>
  <c r="C226" i="3"/>
  <c r="C226" i="4" s="1"/>
  <c r="O226" i="3"/>
  <c r="O226" i="4" s="1"/>
  <c r="F227" i="3"/>
  <c r="F227" i="4" s="1"/>
  <c r="R227" i="3"/>
  <c r="R227" i="4" s="1"/>
  <c r="AD227" i="3"/>
  <c r="AD227" i="4" s="1"/>
  <c r="I228" i="3"/>
  <c r="I228" i="4" s="1"/>
  <c r="U228" i="3"/>
  <c r="U228" i="4" s="1"/>
  <c r="L229" i="3"/>
  <c r="L229" i="4" s="1"/>
  <c r="X229" i="3"/>
  <c r="X229" i="4" s="1"/>
  <c r="C230" i="3"/>
  <c r="C230" i="4" s="1"/>
  <c r="O230" i="3"/>
  <c r="O230" i="4" s="1"/>
  <c r="AA230" i="3"/>
  <c r="AA230" i="4" s="1"/>
  <c r="F231" i="3"/>
  <c r="F231" i="4" s="1"/>
  <c r="R231" i="3"/>
  <c r="R231" i="4" s="1"/>
  <c r="AD231" i="3"/>
  <c r="AD231" i="4" s="1"/>
  <c r="I232" i="3"/>
  <c r="I232" i="4" s="1"/>
  <c r="U232" i="3"/>
  <c r="U232" i="4" s="1"/>
  <c r="L233" i="3"/>
  <c r="L233" i="4" s="1"/>
  <c r="X233" i="3"/>
  <c r="X233" i="4" s="1"/>
  <c r="C234" i="3"/>
  <c r="C234" i="4" s="1"/>
  <c r="O234" i="3"/>
  <c r="O234" i="4" s="1"/>
  <c r="AA234" i="3"/>
  <c r="AA234" i="4" s="1"/>
  <c r="F235" i="3"/>
  <c r="F235" i="4" s="1"/>
  <c r="R235" i="3"/>
  <c r="R235" i="4" s="1"/>
  <c r="AD235" i="3"/>
  <c r="AD235" i="4" s="1"/>
  <c r="I236" i="3"/>
  <c r="I236" i="4" s="1"/>
  <c r="U236" i="3"/>
  <c r="U236" i="4" s="1"/>
  <c r="L237" i="3"/>
  <c r="L237" i="4" s="1"/>
  <c r="X237" i="3"/>
  <c r="X237" i="4" s="1"/>
  <c r="C238" i="3"/>
  <c r="C238" i="4" s="1"/>
  <c r="O238" i="3"/>
  <c r="O238" i="4" s="1"/>
  <c r="AA238" i="3"/>
  <c r="AA238" i="4" s="1"/>
  <c r="F239" i="3"/>
  <c r="F239" i="4" s="1"/>
  <c r="R239" i="3"/>
  <c r="R239" i="4" s="1"/>
  <c r="AD239" i="3"/>
  <c r="AD239" i="4" s="1"/>
  <c r="I240" i="3"/>
  <c r="I240" i="4" s="1"/>
  <c r="U240" i="3"/>
  <c r="U240" i="4" s="1"/>
  <c r="L241" i="3"/>
  <c r="L241" i="4" s="1"/>
  <c r="X241" i="3"/>
  <c r="X241" i="4" s="1"/>
  <c r="O242" i="3"/>
  <c r="O242" i="4" s="1"/>
  <c r="AA242" i="3"/>
  <c r="AA242" i="4" s="1"/>
  <c r="F243" i="3"/>
  <c r="F243" i="4" s="1"/>
  <c r="R243" i="3"/>
  <c r="R243" i="4" s="1"/>
  <c r="AD243" i="3"/>
  <c r="AD243" i="4" s="1"/>
  <c r="I244" i="3"/>
  <c r="I244" i="4" s="1"/>
  <c r="U244" i="3"/>
  <c r="U244" i="4" s="1"/>
  <c r="L245" i="3"/>
  <c r="L245" i="4" s="1"/>
  <c r="X245" i="3"/>
  <c r="X245" i="4" s="1"/>
  <c r="C246" i="3"/>
  <c r="C246" i="4" s="1"/>
  <c r="O246" i="3"/>
  <c r="O246" i="4" s="1"/>
  <c r="AA246" i="3"/>
  <c r="AA246" i="4" s="1"/>
  <c r="F247" i="3"/>
  <c r="F247" i="4" s="1"/>
  <c r="R247" i="3"/>
  <c r="R247" i="4" s="1"/>
  <c r="AD247" i="3"/>
  <c r="AD247" i="4" s="1"/>
  <c r="I248" i="3"/>
  <c r="I248" i="4" s="1"/>
  <c r="U248" i="3"/>
  <c r="U248" i="4" s="1"/>
  <c r="L249" i="3"/>
  <c r="L249" i="4" s="1"/>
  <c r="X249" i="3"/>
  <c r="X249" i="4" s="1"/>
  <c r="C250" i="3"/>
  <c r="C250" i="4" s="1"/>
  <c r="O250" i="3"/>
  <c r="O250" i="4" s="1"/>
  <c r="AA250" i="3"/>
  <c r="AA250" i="4" s="1"/>
  <c r="F251" i="3"/>
  <c r="F251" i="4" s="1"/>
  <c r="R251" i="3"/>
  <c r="R251" i="4" s="1"/>
  <c r="AD251" i="3"/>
  <c r="AD251" i="4" s="1"/>
  <c r="I252" i="3"/>
  <c r="I252" i="4" s="1"/>
  <c r="U252" i="3"/>
  <c r="U252" i="4" s="1"/>
  <c r="L253" i="3"/>
  <c r="L253" i="4" s="1"/>
  <c r="X253" i="3"/>
  <c r="X253" i="4" s="1"/>
  <c r="C254" i="3"/>
  <c r="C254" i="4" s="1"/>
  <c r="O254" i="3"/>
  <c r="O254" i="4" s="1"/>
  <c r="AA254" i="3"/>
  <c r="AA254" i="4" s="1"/>
  <c r="F255" i="3"/>
  <c r="F255" i="4" s="1"/>
  <c r="R255" i="3"/>
  <c r="R255" i="4" s="1"/>
  <c r="AD255" i="3"/>
  <c r="AD255" i="4" s="1"/>
  <c r="I256" i="3"/>
  <c r="I256" i="4" s="1"/>
  <c r="U256" i="3"/>
  <c r="U256" i="4" s="1"/>
  <c r="L257" i="3"/>
  <c r="L257" i="4" s="1"/>
  <c r="X257" i="3"/>
  <c r="X257" i="4" s="1"/>
  <c r="C258" i="3"/>
  <c r="C258" i="4" s="1"/>
  <c r="O258" i="3"/>
  <c r="O258" i="4" s="1"/>
  <c r="AA258" i="3"/>
  <c r="AA258" i="4" s="1"/>
  <c r="F259" i="3"/>
  <c r="F259" i="4" s="1"/>
  <c r="R259" i="3"/>
  <c r="R259" i="4" s="1"/>
  <c r="AD259" i="3"/>
  <c r="AD259" i="4" s="1"/>
  <c r="I260" i="3"/>
  <c r="I260" i="4" s="1"/>
  <c r="U260" i="3"/>
  <c r="U260" i="4" s="1"/>
  <c r="L261" i="3"/>
  <c r="L261" i="4" s="1"/>
  <c r="X261" i="3"/>
  <c r="X261" i="4" s="1"/>
  <c r="C262" i="3"/>
  <c r="C262" i="4" s="1"/>
  <c r="O262" i="3"/>
  <c r="O262" i="4" s="1"/>
  <c r="AA262" i="3"/>
  <c r="AA262" i="4" s="1"/>
  <c r="F263" i="3"/>
  <c r="F263" i="4" s="1"/>
  <c r="R263" i="3"/>
  <c r="R263" i="4" s="1"/>
  <c r="AD263" i="3"/>
  <c r="AD263" i="4" s="1"/>
  <c r="I264" i="3"/>
  <c r="I264" i="4" s="1"/>
  <c r="U264" i="3"/>
  <c r="U264" i="4" s="1"/>
  <c r="L265" i="3"/>
  <c r="L265" i="4" s="1"/>
  <c r="X265" i="3"/>
  <c r="X265" i="4" s="1"/>
  <c r="C266" i="3"/>
  <c r="C266" i="4" s="1"/>
  <c r="O266" i="3"/>
  <c r="O266" i="4" s="1"/>
  <c r="AA266" i="3"/>
  <c r="AA266" i="4" s="1"/>
  <c r="F267" i="3"/>
  <c r="F267" i="4" s="1"/>
  <c r="R267" i="3"/>
  <c r="R267" i="4" s="1"/>
  <c r="AD267" i="3"/>
  <c r="AD267" i="4" s="1"/>
  <c r="I268" i="3"/>
  <c r="I268" i="4" s="1"/>
  <c r="U268" i="3"/>
  <c r="U268" i="4" s="1"/>
  <c r="L269" i="3"/>
  <c r="L269" i="4" s="1"/>
  <c r="X269" i="3"/>
  <c r="X269" i="4" s="1"/>
  <c r="C270" i="3"/>
  <c r="C270" i="4" s="1"/>
  <c r="O270" i="3"/>
  <c r="O270" i="4" s="1"/>
  <c r="AA270" i="3"/>
  <c r="AA270" i="4" s="1"/>
  <c r="F271" i="3"/>
  <c r="F271" i="4" s="1"/>
  <c r="R271" i="3"/>
  <c r="R271" i="4" s="1"/>
  <c r="AD271" i="3"/>
  <c r="AD271" i="4" s="1"/>
  <c r="I272" i="3"/>
  <c r="I272" i="4" s="1"/>
  <c r="U272" i="3"/>
  <c r="U272" i="4" s="1"/>
  <c r="L273" i="3"/>
  <c r="L273" i="4" s="1"/>
  <c r="X273" i="3"/>
  <c r="X273" i="4" s="1"/>
  <c r="C274" i="3"/>
  <c r="C274" i="4" s="1"/>
  <c r="O274" i="3"/>
  <c r="O274" i="4" s="1"/>
  <c r="AD275" i="3"/>
  <c r="AD275" i="4" s="1"/>
  <c r="AD279" i="3"/>
  <c r="AD279" i="4" s="1"/>
  <c r="AD283" i="3"/>
  <c r="AD283" i="4" s="1"/>
  <c r="AD287" i="3"/>
  <c r="AD287" i="4" s="1"/>
  <c r="AD299" i="3"/>
  <c r="AD299" i="4" s="1"/>
  <c r="AD303" i="3"/>
  <c r="AD303" i="4" s="1"/>
  <c r="AD311" i="3"/>
  <c r="AD311" i="4" s="1"/>
  <c r="AD315" i="3"/>
  <c r="AD315" i="4" s="1"/>
  <c r="AD319" i="3"/>
  <c r="AD319" i="4" s="1"/>
  <c r="AD323" i="3"/>
  <c r="AD323" i="4" s="1"/>
  <c r="AD327" i="3"/>
  <c r="AD327" i="4" s="1"/>
  <c r="AD331" i="3"/>
  <c r="AD331" i="4" s="1"/>
  <c r="AD339" i="3"/>
  <c r="AD339" i="4" s="1"/>
  <c r="AD347" i="3"/>
  <c r="AD347" i="4" s="1"/>
  <c r="AD351" i="3"/>
  <c r="AD351" i="4" s="1"/>
  <c r="AD355" i="3"/>
  <c r="AD355" i="4" s="1"/>
  <c r="AD363" i="3"/>
  <c r="AD363" i="4" s="1"/>
  <c r="AD371" i="3"/>
  <c r="AD371" i="4" s="1"/>
  <c r="AD375" i="3"/>
  <c r="AD375" i="4" s="1"/>
  <c r="AD387" i="3"/>
  <c r="AD387" i="4" s="1"/>
  <c r="AD399" i="3"/>
  <c r="AD399" i="4" s="1"/>
  <c r="AD407" i="3"/>
  <c r="AD407" i="4" s="1"/>
  <c r="AD411" i="3"/>
  <c r="AD411" i="4" s="1"/>
  <c r="AD415" i="3"/>
  <c r="AD415" i="4" s="1"/>
  <c r="AD423" i="3"/>
  <c r="AD423" i="4" s="1"/>
  <c r="AD427" i="3"/>
  <c r="AD427" i="4" s="1"/>
  <c r="AD431" i="3"/>
  <c r="AD431" i="4" s="1"/>
  <c r="AD435" i="3"/>
  <c r="AD435" i="4" s="1"/>
  <c r="AD443" i="3"/>
  <c r="AD443" i="4" s="1"/>
  <c r="AD447" i="3"/>
  <c r="AD447" i="4" s="1"/>
  <c r="AD459" i="3"/>
  <c r="AD459" i="4" s="1"/>
  <c r="AD467" i="3"/>
  <c r="AD467" i="4" s="1"/>
  <c r="AD471" i="3"/>
  <c r="AD471" i="4" s="1"/>
  <c r="AD475" i="3"/>
  <c r="AD475" i="4" s="1"/>
  <c r="AD479" i="3"/>
  <c r="AD479" i="4" s="1"/>
  <c r="AD483" i="3"/>
  <c r="AD483" i="4" s="1"/>
  <c r="AD499" i="3"/>
  <c r="AD499" i="4" s="1"/>
  <c r="AD503" i="3"/>
  <c r="AD503" i="4" s="1"/>
  <c r="AD515" i="3"/>
  <c r="AD515" i="4" s="1"/>
  <c r="AD535" i="3"/>
  <c r="AD535" i="4" s="1"/>
  <c r="AD539" i="3"/>
  <c r="AD539" i="4" s="1"/>
  <c r="AD571" i="3"/>
  <c r="AD571" i="4" s="1"/>
  <c r="AD575" i="3"/>
  <c r="AD575" i="4" s="1"/>
  <c r="AD607" i="3"/>
  <c r="AD607" i="4" s="1"/>
  <c r="AD611" i="3"/>
  <c r="AD611" i="4" s="1"/>
  <c r="AD643" i="3"/>
  <c r="AD643" i="4" s="1"/>
  <c r="AD647" i="3"/>
  <c r="AD647" i="4" s="1"/>
  <c r="AD679" i="3"/>
  <c r="AD679" i="4" s="1"/>
  <c r="AD683" i="3"/>
  <c r="AD683" i="4" s="1"/>
  <c r="AC692" i="3"/>
  <c r="AC692" i="4" s="1"/>
  <c r="AC660" i="3"/>
  <c r="AC660" i="4" s="1"/>
  <c r="AC652" i="3"/>
  <c r="AC652" i="4" s="1"/>
  <c r="AD448" i="3"/>
  <c r="AD448" i="4" s="1"/>
  <c r="X197" i="3"/>
  <c r="X197" i="4" s="1"/>
  <c r="O198" i="3"/>
  <c r="O198" i="4" s="1"/>
  <c r="AA198" i="3"/>
  <c r="AA198" i="4" s="1"/>
  <c r="R199" i="3"/>
  <c r="R199" i="4" s="1"/>
  <c r="AD199" i="3"/>
  <c r="AD199" i="4" s="1"/>
  <c r="U200" i="3"/>
  <c r="U200" i="4" s="1"/>
  <c r="L201" i="3"/>
  <c r="L201" i="4" s="1"/>
  <c r="C202" i="3"/>
  <c r="C202" i="4" s="1"/>
  <c r="AA202" i="3"/>
  <c r="AA202" i="4" s="1"/>
  <c r="R203" i="3"/>
  <c r="R203" i="4" s="1"/>
  <c r="I204" i="3"/>
  <c r="I204" i="4" s="1"/>
  <c r="X205" i="3"/>
  <c r="X205" i="4" s="1"/>
  <c r="C206" i="3"/>
  <c r="C206" i="4" s="1"/>
  <c r="AA206" i="3"/>
  <c r="AA206" i="4" s="1"/>
  <c r="R207" i="3"/>
  <c r="R207" i="4" s="1"/>
  <c r="I208" i="3"/>
  <c r="I208" i="4" s="1"/>
  <c r="L209" i="3"/>
  <c r="L209" i="4" s="1"/>
  <c r="C210" i="3"/>
  <c r="C210" i="4" s="1"/>
  <c r="AA210" i="3"/>
  <c r="AA210" i="4" s="1"/>
  <c r="R211" i="3"/>
  <c r="R211" i="4" s="1"/>
  <c r="I212" i="3"/>
  <c r="I212" i="4" s="1"/>
  <c r="L213" i="3"/>
  <c r="L213" i="4" s="1"/>
  <c r="C214" i="3"/>
  <c r="C214" i="4" s="1"/>
  <c r="AA214" i="3"/>
  <c r="AA214" i="4" s="1"/>
  <c r="R215" i="3"/>
  <c r="R215" i="4" s="1"/>
  <c r="I216" i="3"/>
  <c r="I216" i="4" s="1"/>
  <c r="L217" i="3"/>
  <c r="L217" i="4" s="1"/>
  <c r="C218" i="3"/>
  <c r="C218" i="4" s="1"/>
  <c r="AA218" i="3"/>
  <c r="AA218" i="4" s="1"/>
  <c r="R219" i="3"/>
  <c r="R219" i="4" s="1"/>
  <c r="I220" i="3"/>
  <c r="I220" i="4" s="1"/>
  <c r="L221" i="3"/>
  <c r="L221" i="4" s="1"/>
  <c r="C222" i="3"/>
  <c r="C222" i="4" s="1"/>
  <c r="AA222" i="3"/>
  <c r="AA222" i="4" s="1"/>
  <c r="R223" i="3"/>
  <c r="R223" i="4" s="1"/>
  <c r="I224" i="3"/>
  <c r="I224" i="4" s="1"/>
  <c r="X225" i="3"/>
  <c r="X225" i="4" s="1"/>
  <c r="AA226" i="3"/>
  <c r="AA226" i="4" s="1"/>
  <c r="C242" i="3"/>
  <c r="C242" i="4" s="1"/>
  <c r="D2" i="3"/>
  <c r="D2" i="4" s="1"/>
  <c r="P2" i="3"/>
  <c r="P2" i="4" s="1"/>
  <c r="AB2" i="3"/>
  <c r="AB2" i="4" s="1"/>
  <c r="G3" i="3"/>
  <c r="G3" i="4" s="1"/>
  <c r="S3" i="3"/>
  <c r="S3" i="4" s="1"/>
  <c r="AE3" i="3"/>
  <c r="AE3" i="4" s="1"/>
  <c r="J4" i="3"/>
  <c r="J4" i="4" s="1"/>
  <c r="V4" i="3"/>
  <c r="V4" i="4" s="1"/>
  <c r="A5" i="3"/>
  <c r="A5" i="4" s="1"/>
  <c r="M5" i="3"/>
  <c r="M5" i="4" s="1"/>
  <c r="Y5" i="3"/>
  <c r="Y5" i="4" s="1"/>
  <c r="D6" i="3"/>
  <c r="D6" i="4" s="1"/>
  <c r="P6" i="3"/>
  <c r="P6" i="4" s="1"/>
  <c r="AB6" i="3"/>
  <c r="AB6" i="4" s="1"/>
  <c r="G7" i="3"/>
  <c r="G7" i="4" s="1"/>
  <c r="S7" i="3"/>
  <c r="S7" i="4" s="1"/>
  <c r="AE7" i="3"/>
  <c r="AE7" i="4" s="1"/>
  <c r="J8" i="3"/>
  <c r="J8" i="4" s="1"/>
  <c r="V8" i="3"/>
  <c r="V8" i="4" s="1"/>
  <c r="A9" i="3"/>
  <c r="A9" i="4" s="1"/>
  <c r="M9" i="3"/>
  <c r="M9" i="4" s="1"/>
  <c r="Y9" i="3"/>
  <c r="Y9" i="4" s="1"/>
  <c r="D10" i="3"/>
  <c r="D10" i="4" s="1"/>
  <c r="P10" i="3"/>
  <c r="P10" i="4" s="1"/>
  <c r="AB10" i="3"/>
  <c r="AB10" i="4" s="1"/>
  <c r="G11" i="3"/>
  <c r="G11" i="4" s="1"/>
  <c r="S11" i="3"/>
  <c r="S11" i="4" s="1"/>
  <c r="AE11" i="3"/>
  <c r="AE11" i="4" s="1"/>
  <c r="J12" i="3"/>
  <c r="J12" i="4" s="1"/>
  <c r="V12" i="3"/>
  <c r="V12" i="4" s="1"/>
  <c r="A13" i="3"/>
  <c r="A13" i="4" s="1"/>
  <c r="M13" i="3"/>
  <c r="M13" i="4" s="1"/>
  <c r="Y13" i="3"/>
  <c r="Y13" i="4" s="1"/>
  <c r="D14" i="3"/>
  <c r="D14" i="4" s="1"/>
  <c r="P14" i="3"/>
  <c r="P14" i="4" s="1"/>
  <c r="AB14" i="3"/>
  <c r="AB14" i="4" s="1"/>
  <c r="G15" i="3"/>
  <c r="G15" i="4" s="1"/>
  <c r="S15" i="3"/>
  <c r="S15" i="4" s="1"/>
  <c r="AE15" i="3"/>
  <c r="AE15" i="4" s="1"/>
  <c r="J16" i="3"/>
  <c r="J16" i="4" s="1"/>
  <c r="V16" i="3"/>
  <c r="V16" i="4" s="1"/>
  <c r="A17" i="3"/>
  <c r="A17" i="4" s="1"/>
  <c r="M17" i="3"/>
  <c r="M17" i="4" s="1"/>
  <c r="Y17" i="3"/>
  <c r="Y17" i="4" s="1"/>
  <c r="D18" i="3"/>
  <c r="D18" i="4" s="1"/>
  <c r="P18" i="3"/>
  <c r="P18" i="4" s="1"/>
  <c r="AB18" i="3"/>
  <c r="AB18" i="4" s="1"/>
  <c r="G19" i="3"/>
  <c r="G19" i="4" s="1"/>
  <c r="S19" i="3"/>
  <c r="S19" i="4" s="1"/>
  <c r="AE19" i="3"/>
  <c r="AE19" i="4" s="1"/>
  <c r="J20" i="3"/>
  <c r="J20" i="4" s="1"/>
  <c r="V20" i="3"/>
  <c r="V20" i="4" s="1"/>
  <c r="A21" i="3"/>
  <c r="A21" i="4" s="1"/>
  <c r="M21" i="3"/>
  <c r="M21" i="4" s="1"/>
  <c r="Y21" i="3"/>
  <c r="Y21" i="4" s="1"/>
  <c r="D22" i="3"/>
  <c r="D22" i="4" s="1"/>
  <c r="P22" i="3"/>
  <c r="P22" i="4" s="1"/>
  <c r="AB22" i="3"/>
  <c r="AB22" i="4" s="1"/>
  <c r="G23" i="3"/>
  <c r="G23" i="4" s="1"/>
  <c r="S23" i="3"/>
  <c r="S23" i="4" s="1"/>
  <c r="AE23" i="3"/>
  <c r="AE23" i="4" s="1"/>
  <c r="J24" i="3"/>
  <c r="J24" i="4" s="1"/>
  <c r="V24" i="3"/>
  <c r="V24" i="4" s="1"/>
  <c r="A25" i="3"/>
  <c r="A25" i="4" s="1"/>
  <c r="M25" i="3"/>
  <c r="M25" i="4" s="1"/>
  <c r="Y25" i="3"/>
  <c r="Y25" i="4" s="1"/>
  <c r="D26" i="3"/>
  <c r="D26" i="4" s="1"/>
  <c r="P26" i="3"/>
  <c r="P26" i="4" s="1"/>
  <c r="AB26" i="3"/>
  <c r="AB26" i="4" s="1"/>
  <c r="G27" i="3"/>
  <c r="G27" i="4" s="1"/>
  <c r="S27" i="3"/>
  <c r="S27" i="4" s="1"/>
  <c r="AE27" i="3"/>
  <c r="AE27" i="4" s="1"/>
  <c r="J28" i="3"/>
  <c r="J28" i="4" s="1"/>
  <c r="V28" i="3"/>
  <c r="V28" i="4" s="1"/>
  <c r="A29" i="3"/>
  <c r="A29" i="4" s="1"/>
  <c r="M29" i="3"/>
  <c r="M29" i="4" s="1"/>
  <c r="Y29" i="3"/>
  <c r="Y29" i="4" s="1"/>
  <c r="D30" i="3"/>
  <c r="D30" i="4" s="1"/>
  <c r="P30" i="3"/>
  <c r="P30" i="4" s="1"/>
  <c r="AB30" i="3"/>
  <c r="AB30" i="4" s="1"/>
  <c r="G31" i="3"/>
  <c r="G31" i="4" s="1"/>
  <c r="S31" i="3"/>
  <c r="S31" i="4" s="1"/>
  <c r="AE31" i="3"/>
  <c r="AE31" i="4" s="1"/>
  <c r="J32" i="3"/>
  <c r="J32" i="4" s="1"/>
  <c r="V32" i="3"/>
  <c r="V32" i="4" s="1"/>
  <c r="A33" i="3"/>
  <c r="A33" i="4" s="1"/>
  <c r="M33" i="3"/>
  <c r="M33" i="4" s="1"/>
  <c r="Y33" i="3"/>
  <c r="Y33" i="4" s="1"/>
  <c r="D34" i="3"/>
  <c r="D34" i="4" s="1"/>
  <c r="P34" i="3"/>
  <c r="P34" i="4" s="1"/>
  <c r="AB34" i="3"/>
  <c r="AB34" i="4" s="1"/>
  <c r="G35" i="3"/>
  <c r="G35" i="4" s="1"/>
  <c r="S35" i="3"/>
  <c r="S35" i="4" s="1"/>
  <c r="AE35" i="3"/>
  <c r="AE35" i="4" s="1"/>
  <c r="J36" i="3"/>
  <c r="J36" i="4" s="1"/>
  <c r="V36" i="3"/>
  <c r="V36" i="4" s="1"/>
  <c r="A37" i="3"/>
  <c r="A37" i="4" s="1"/>
  <c r="M37" i="3"/>
  <c r="M37" i="4" s="1"/>
  <c r="Y37" i="3"/>
  <c r="Y37" i="4" s="1"/>
  <c r="D38" i="3"/>
  <c r="D38" i="4" s="1"/>
  <c r="P38" i="3"/>
  <c r="P38" i="4" s="1"/>
  <c r="AB38" i="3"/>
  <c r="AB38" i="4" s="1"/>
  <c r="G39" i="3"/>
  <c r="G39" i="4" s="1"/>
  <c r="S39" i="3"/>
  <c r="S39" i="4" s="1"/>
  <c r="AE39" i="3"/>
  <c r="AE39" i="4" s="1"/>
  <c r="J40" i="3"/>
  <c r="J40" i="4" s="1"/>
  <c r="V40" i="3"/>
  <c r="V40" i="4" s="1"/>
  <c r="A41" i="3"/>
  <c r="A41" i="4" s="1"/>
  <c r="M41" i="3"/>
  <c r="M41" i="4" s="1"/>
  <c r="Y41" i="3"/>
  <c r="Y41" i="4" s="1"/>
  <c r="D42" i="3"/>
  <c r="D42" i="4" s="1"/>
  <c r="P42" i="3"/>
  <c r="P42" i="4" s="1"/>
  <c r="AB42" i="3"/>
  <c r="AB42" i="4" s="1"/>
  <c r="G43" i="3"/>
  <c r="G43" i="4" s="1"/>
  <c r="S43" i="3"/>
  <c r="S43" i="4" s="1"/>
  <c r="AE43" i="3"/>
  <c r="AE43" i="4" s="1"/>
  <c r="J44" i="3"/>
  <c r="J44" i="4" s="1"/>
  <c r="V44" i="3"/>
  <c r="V44" i="4" s="1"/>
  <c r="A45" i="3"/>
  <c r="A45" i="4" s="1"/>
  <c r="M45" i="3"/>
  <c r="M45" i="4" s="1"/>
  <c r="Y45" i="3"/>
  <c r="Y45" i="4" s="1"/>
  <c r="D46" i="3"/>
  <c r="D46" i="4" s="1"/>
  <c r="P46" i="3"/>
  <c r="P46" i="4" s="1"/>
  <c r="AB46" i="3"/>
  <c r="AB46" i="4" s="1"/>
  <c r="G47" i="3"/>
  <c r="G47" i="4" s="1"/>
  <c r="S47" i="3"/>
  <c r="S47" i="4" s="1"/>
  <c r="AE47" i="3"/>
  <c r="AE47" i="4" s="1"/>
  <c r="J48" i="3"/>
  <c r="J48" i="4" s="1"/>
  <c r="V48" i="3"/>
  <c r="V48" i="4" s="1"/>
  <c r="A49" i="3"/>
  <c r="A49" i="4" s="1"/>
  <c r="M49" i="3"/>
  <c r="M49" i="4" s="1"/>
  <c r="Y49" i="3"/>
  <c r="Y49" i="4" s="1"/>
  <c r="D50" i="3"/>
  <c r="D50" i="4" s="1"/>
  <c r="P50" i="3"/>
  <c r="P50" i="4" s="1"/>
  <c r="AB50" i="3"/>
  <c r="AB50" i="4" s="1"/>
  <c r="G51" i="3"/>
  <c r="G51" i="4" s="1"/>
  <c r="S51" i="3"/>
  <c r="S51" i="4" s="1"/>
  <c r="AE51" i="3"/>
  <c r="AE51" i="4" s="1"/>
  <c r="J52" i="3"/>
  <c r="J52" i="4" s="1"/>
  <c r="V52" i="3"/>
  <c r="V52" i="4" s="1"/>
  <c r="A53" i="3"/>
  <c r="A53" i="4" s="1"/>
  <c r="M53" i="3"/>
  <c r="M53" i="4" s="1"/>
  <c r="Y53" i="3"/>
  <c r="Y53" i="4" s="1"/>
  <c r="D54" i="3"/>
  <c r="D54" i="4" s="1"/>
  <c r="P54" i="3"/>
  <c r="P54" i="4" s="1"/>
  <c r="AB54" i="3"/>
  <c r="AB54" i="4" s="1"/>
  <c r="G55" i="3"/>
  <c r="G55" i="4" s="1"/>
  <c r="S55" i="3"/>
  <c r="S55" i="4" s="1"/>
  <c r="AE55" i="3"/>
  <c r="AE55" i="4" s="1"/>
  <c r="J56" i="3"/>
  <c r="J56" i="4" s="1"/>
  <c r="V56" i="3"/>
  <c r="V56" i="4" s="1"/>
  <c r="A57" i="3"/>
  <c r="A57" i="4" s="1"/>
  <c r="M57" i="3"/>
  <c r="M57" i="4" s="1"/>
  <c r="Y57" i="3"/>
  <c r="Y57" i="4" s="1"/>
  <c r="D58" i="3"/>
  <c r="D58" i="4" s="1"/>
  <c r="P58" i="3"/>
  <c r="P58" i="4" s="1"/>
  <c r="AB58" i="3"/>
  <c r="AB58" i="4" s="1"/>
  <c r="G59" i="3"/>
  <c r="G59" i="4" s="1"/>
  <c r="S59" i="3"/>
  <c r="S59" i="4" s="1"/>
  <c r="AE59" i="3"/>
  <c r="AE59" i="4" s="1"/>
  <c r="J60" i="3"/>
  <c r="J60" i="4" s="1"/>
  <c r="V60" i="3"/>
  <c r="V60" i="4" s="1"/>
  <c r="A61" i="3"/>
  <c r="A61" i="4" s="1"/>
  <c r="M61" i="3"/>
  <c r="M61" i="4" s="1"/>
  <c r="Y61" i="3"/>
  <c r="Y61" i="4" s="1"/>
  <c r="D62" i="3"/>
  <c r="D62" i="4" s="1"/>
  <c r="P62" i="3"/>
  <c r="P62" i="4" s="1"/>
  <c r="AB62" i="3"/>
  <c r="AB62" i="4" s="1"/>
  <c r="G63" i="3"/>
  <c r="G63" i="4" s="1"/>
  <c r="S63" i="3"/>
  <c r="S63" i="4" s="1"/>
  <c r="AE63" i="3"/>
  <c r="AE63" i="4" s="1"/>
  <c r="J64" i="3"/>
  <c r="J64" i="4" s="1"/>
  <c r="V64" i="3"/>
  <c r="V64" i="4" s="1"/>
  <c r="A65" i="3"/>
  <c r="A65" i="4" s="1"/>
  <c r="M65" i="3"/>
  <c r="M65" i="4" s="1"/>
  <c r="Y65" i="3"/>
  <c r="Y65" i="4" s="1"/>
  <c r="D66" i="3"/>
  <c r="D66" i="4" s="1"/>
  <c r="P66" i="3"/>
  <c r="P66" i="4" s="1"/>
  <c r="AB66" i="3"/>
  <c r="AB66" i="4" s="1"/>
  <c r="G67" i="3"/>
  <c r="G67" i="4" s="1"/>
  <c r="S67" i="3"/>
  <c r="S67" i="4" s="1"/>
  <c r="AE67" i="3"/>
  <c r="AE67" i="4" s="1"/>
  <c r="J68" i="3"/>
  <c r="J68" i="4" s="1"/>
  <c r="V68" i="3"/>
  <c r="V68" i="4" s="1"/>
  <c r="A69" i="3"/>
  <c r="A69" i="4" s="1"/>
  <c r="M69" i="3"/>
  <c r="M69" i="4" s="1"/>
  <c r="Y69" i="3"/>
  <c r="Y69" i="4" s="1"/>
  <c r="D70" i="3"/>
  <c r="D70" i="4" s="1"/>
  <c r="P70" i="3"/>
  <c r="P70" i="4" s="1"/>
  <c r="AB70" i="3"/>
  <c r="AB70" i="4" s="1"/>
  <c r="G71" i="3"/>
  <c r="G71" i="4" s="1"/>
  <c r="S71" i="3"/>
  <c r="S71" i="4" s="1"/>
  <c r="AE71" i="3"/>
  <c r="AE71" i="4" s="1"/>
  <c r="J72" i="3"/>
  <c r="J72" i="4" s="1"/>
  <c r="V72" i="3"/>
  <c r="V72" i="4" s="1"/>
  <c r="A73" i="3"/>
  <c r="A73" i="4" s="1"/>
  <c r="M73" i="3"/>
  <c r="M73" i="4" s="1"/>
  <c r="Y73" i="3"/>
  <c r="Y73" i="4" s="1"/>
  <c r="D74" i="3"/>
  <c r="D74" i="4" s="1"/>
  <c r="P74" i="3"/>
  <c r="P74" i="4" s="1"/>
  <c r="AB74" i="3"/>
  <c r="AB74" i="4" s="1"/>
  <c r="G75" i="3"/>
  <c r="G75" i="4" s="1"/>
  <c r="S75" i="3"/>
  <c r="S75" i="4" s="1"/>
  <c r="AE75" i="3"/>
  <c r="AE75" i="4" s="1"/>
  <c r="J76" i="3"/>
  <c r="J76" i="4" s="1"/>
  <c r="V76" i="3"/>
  <c r="V76" i="4" s="1"/>
  <c r="A77" i="3"/>
  <c r="A77" i="4" s="1"/>
  <c r="M77" i="3"/>
  <c r="M77" i="4" s="1"/>
  <c r="Y77" i="3"/>
  <c r="Y77" i="4" s="1"/>
  <c r="D78" i="3"/>
  <c r="D78" i="4" s="1"/>
  <c r="P78" i="3"/>
  <c r="P78" i="4" s="1"/>
  <c r="AB78" i="3"/>
  <c r="AB78" i="4" s="1"/>
  <c r="G79" i="3"/>
  <c r="G79" i="4" s="1"/>
  <c r="S79" i="3"/>
  <c r="S79" i="4" s="1"/>
  <c r="AE79" i="3"/>
  <c r="AE79" i="4" s="1"/>
  <c r="J80" i="3"/>
  <c r="J80" i="4" s="1"/>
  <c r="V80" i="3"/>
  <c r="V80" i="4" s="1"/>
  <c r="A81" i="3"/>
  <c r="A81" i="4" s="1"/>
  <c r="M81" i="3"/>
  <c r="M81" i="4" s="1"/>
  <c r="Y81" i="3"/>
  <c r="Y81" i="4" s="1"/>
  <c r="D82" i="3"/>
  <c r="D82" i="4" s="1"/>
  <c r="P82" i="3"/>
  <c r="P82" i="4" s="1"/>
  <c r="AB82" i="3"/>
  <c r="AB82" i="4" s="1"/>
  <c r="AE263" i="3"/>
  <c r="AE263" i="4" s="1"/>
  <c r="AE379" i="3"/>
  <c r="AE379" i="4" s="1"/>
  <c r="AE383" i="3"/>
  <c r="AE383" i="4" s="1"/>
  <c r="AE487" i="3"/>
  <c r="AE487" i="4" s="1"/>
  <c r="AE491" i="3"/>
  <c r="AE491" i="4" s="1"/>
  <c r="AE495" i="3"/>
  <c r="AE495" i="4" s="1"/>
  <c r="AE531" i="3"/>
  <c r="AE531" i="4" s="1"/>
  <c r="AE567" i="3"/>
  <c r="AE567" i="4" s="1"/>
  <c r="AE603" i="3"/>
  <c r="AE603" i="4" s="1"/>
  <c r="AE639" i="3"/>
  <c r="AE639" i="4" s="1"/>
  <c r="AE675" i="3"/>
  <c r="AE675" i="4" s="1"/>
  <c r="AE707" i="3"/>
  <c r="AE707" i="4" s="1"/>
  <c r="AE719" i="3"/>
  <c r="AE719" i="4" s="1"/>
  <c r="AE731" i="3"/>
  <c r="AE731" i="4" s="1"/>
  <c r="AE743" i="3"/>
  <c r="AE743" i="4" s="1"/>
  <c r="AC680" i="3"/>
  <c r="AC680" i="4" s="1"/>
  <c r="AC572" i="3"/>
  <c r="AC572" i="4" s="1"/>
  <c r="AF497" i="3"/>
  <c r="AF497" i="4" s="1"/>
  <c r="AC488" i="3"/>
  <c r="AC488" i="4" s="1"/>
  <c r="AC448" i="3"/>
  <c r="AC448" i="4" s="1"/>
  <c r="AE413" i="3"/>
  <c r="AE413" i="4" s="1"/>
  <c r="AE417" i="3"/>
  <c r="AE417" i="4" s="1"/>
  <c r="AE421" i="3"/>
  <c r="AE421" i="4" s="1"/>
  <c r="AE429" i="3"/>
  <c r="AE429" i="4" s="1"/>
  <c r="AE433" i="3"/>
  <c r="AE433" i="4" s="1"/>
  <c r="AE441" i="3"/>
  <c r="AE441" i="4" s="1"/>
  <c r="AE449" i="3"/>
  <c r="AE449" i="4" s="1"/>
  <c r="AE453" i="3"/>
  <c r="AE453" i="4" s="1"/>
  <c r="AE457" i="3"/>
  <c r="AE457" i="4" s="1"/>
  <c r="AE461" i="3"/>
  <c r="AE461" i="4" s="1"/>
  <c r="AE465" i="3"/>
  <c r="AE465" i="4" s="1"/>
  <c r="AE469" i="3"/>
  <c r="AE469" i="4" s="1"/>
  <c r="AE473" i="3"/>
  <c r="AE473" i="4" s="1"/>
  <c r="AE477" i="3"/>
  <c r="AE477" i="4" s="1"/>
  <c r="AE485" i="3"/>
  <c r="AE485" i="4" s="1"/>
  <c r="AE489" i="3"/>
  <c r="AE489" i="4" s="1"/>
  <c r="AE493" i="3"/>
  <c r="AE493" i="4" s="1"/>
  <c r="AE501" i="3"/>
  <c r="AE501" i="4" s="1"/>
  <c r="AE505" i="3"/>
  <c r="AE505" i="4" s="1"/>
  <c r="AE513" i="3"/>
  <c r="AE513" i="4" s="1"/>
  <c r="AE517" i="3"/>
  <c r="AE517" i="4" s="1"/>
  <c r="AE521" i="3"/>
  <c r="AE521" i="4" s="1"/>
  <c r="AE525" i="3"/>
  <c r="AE525" i="4" s="1"/>
  <c r="AE529" i="3"/>
  <c r="AE529" i="4" s="1"/>
  <c r="AE537" i="3"/>
  <c r="AE537" i="4" s="1"/>
  <c r="AE541" i="3"/>
  <c r="AE541" i="4" s="1"/>
  <c r="AE549" i="3"/>
  <c r="AE549" i="4" s="1"/>
  <c r="AE553" i="3"/>
  <c r="AE553" i="4" s="1"/>
  <c r="AE565" i="3"/>
  <c r="AE565" i="4" s="1"/>
  <c r="AE577" i="3"/>
  <c r="AE577" i="4" s="1"/>
  <c r="AE581" i="3"/>
  <c r="AE581" i="4" s="1"/>
  <c r="AE585" i="3"/>
  <c r="AE585" i="4" s="1"/>
  <c r="AE589" i="3"/>
  <c r="AE589" i="4" s="1"/>
  <c r="AE601" i="3"/>
  <c r="AE601" i="4" s="1"/>
  <c r="AE613" i="3"/>
  <c r="AE613" i="4" s="1"/>
  <c r="AE621" i="3"/>
  <c r="AE621" i="4" s="1"/>
  <c r="AE625" i="3"/>
  <c r="AE625" i="4" s="1"/>
  <c r="AE629" i="3"/>
  <c r="AE629" i="4" s="1"/>
  <c r="AE633" i="3"/>
  <c r="AE633" i="4" s="1"/>
  <c r="AE637" i="3"/>
  <c r="AE637" i="4" s="1"/>
  <c r="AE649" i="3"/>
  <c r="AE649" i="4" s="1"/>
  <c r="AE657" i="3"/>
  <c r="AE657" i="4" s="1"/>
  <c r="AE661" i="3"/>
  <c r="AE661" i="4" s="1"/>
  <c r="AE673" i="3"/>
  <c r="AE673" i="4" s="1"/>
  <c r="AE685" i="3"/>
  <c r="AE685" i="4" s="1"/>
  <c r="AE693" i="3"/>
  <c r="AE693" i="4" s="1"/>
  <c r="AE697" i="3"/>
  <c r="AE697" i="4" s="1"/>
  <c r="AE713" i="3"/>
  <c r="AE713" i="4" s="1"/>
  <c r="AE725" i="3"/>
  <c r="AE725" i="4" s="1"/>
  <c r="AE729" i="3"/>
  <c r="AE729" i="4" s="1"/>
  <c r="AE737" i="3"/>
  <c r="AE737" i="4" s="1"/>
  <c r="AE749" i="3"/>
  <c r="AE749" i="4" s="1"/>
  <c r="AC416" i="3"/>
  <c r="AC416" i="4" s="1"/>
  <c r="AF417" i="3"/>
  <c r="AF417" i="4" s="1"/>
  <c r="AF421" i="3"/>
  <c r="AF421" i="4" s="1"/>
  <c r="AC424" i="3"/>
  <c r="AC424" i="4" s="1"/>
  <c r="AC428" i="3"/>
  <c r="AC428" i="4" s="1"/>
  <c r="AC432" i="3"/>
  <c r="AC432" i="4" s="1"/>
  <c r="AC436" i="3"/>
  <c r="AC436" i="4" s="1"/>
  <c r="AC440" i="3"/>
  <c r="AC440" i="4" s="1"/>
  <c r="AC444" i="3"/>
  <c r="AC444" i="4" s="1"/>
  <c r="AF457" i="3"/>
  <c r="AF457" i="4" s="1"/>
  <c r="AC460" i="3"/>
  <c r="AC460" i="4" s="1"/>
  <c r="AF461" i="3"/>
  <c r="AF461" i="4" s="1"/>
  <c r="AC464" i="3"/>
  <c r="AC464" i="4" s="1"/>
  <c r="AC468" i="3"/>
  <c r="AC468" i="4" s="1"/>
  <c r="AC472" i="3"/>
  <c r="AC472" i="4" s="1"/>
  <c r="AC476" i="3"/>
  <c r="AC476" i="4" s="1"/>
  <c r="AC480" i="3"/>
  <c r="AC480" i="4" s="1"/>
  <c r="AF493" i="3"/>
  <c r="AF493" i="4" s="1"/>
  <c r="AC496" i="3"/>
  <c r="AC496" i="4" s="1"/>
  <c r="AC500" i="3"/>
  <c r="AC500" i="4" s="1"/>
  <c r="AC504" i="3"/>
  <c r="AC504" i="4" s="1"/>
  <c r="AF505" i="3"/>
  <c r="AF505" i="4" s="1"/>
  <c r="AC508" i="3"/>
  <c r="AC508" i="4" s="1"/>
  <c r="AC512" i="3"/>
  <c r="AC512" i="4" s="1"/>
  <c r="AF513" i="3"/>
  <c r="AF513" i="4" s="1"/>
  <c r="AF517" i="3"/>
  <c r="AF517" i="4" s="1"/>
  <c r="AC524" i="3"/>
  <c r="AC524" i="4" s="1"/>
  <c r="AC528" i="3"/>
  <c r="AC528" i="4" s="1"/>
  <c r="AF529" i="3"/>
  <c r="AF529" i="4" s="1"/>
  <c r="AC540" i="3"/>
  <c r="AC540" i="4" s="1"/>
  <c r="AF541" i="3"/>
  <c r="AF541" i="4" s="1"/>
  <c r="AC548" i="3"/>
  <c r="AC548" i="4" s="1"/>
  <c r="AF549" i="3"/>
  <c r="AF549" i="4" s="1"/>
  <c r="AC552" i="3"/>
  <c r="AC552" i="4" s="1"/>
  <c r="AF553" i="3"/>
  <c r="AF553" i="4" s="1"/>
  <c r="AC556" i="3"/>
  <c r="AC556" i="4" s="1"/>
  <c r="AC560" i="3"/>
  <c r="AC560" i="4" s="1"/>
  <c r="AC564" i="3"/>
  <c r="AC564" i="4" s="1"/>
  <c r="AF565" i="3"/>
  <c r="AF565" i="4" s="1"/>
  <c r="AF577" i="3"/>
  <c r="AF577" i="4" s="1"/>
  <c r="AF585" i="3"/>
  <c r="AF585" i="4" s="1"/>
  <c r="AF589" i="3"/>
  <c r="AF589" i="4" s="1"/>
  <c r="AF593" i="3"/>
  <c r="AF593" i="4" s="1"/>
  <c r="AC600" i="3"/>
  <c r="AC600" i="4" s="1"/>
  <c r="AF601" i="3"/>
  <c r="AF601" i="4" s="1"/>
  <c r="AC608" i="3"/>
  <c r="AC608" i="4" s="1"/>
  <c r="AC612" i="3"/>
  <c r="AC612" i="4" s="1"/>
  <c r="AF613" i="3"/>
  <c r="AF613" i="4" s="1"/>
  <c r="AC616" i="3"/>
  <c r="AC616" i="4" s="1"/>
  <c r="AF621" i="3"/>
  <c r="AF621" i="4" s="1"/>
  <c r="AF625" i="3"/>
  <c r="AF625" i="4" s="1"/>
  <c r="AC636" i="3"/>
  <c r="AC636" i="4" s="1"/>
  <c r="AF637" i="3"/>
  <c r="AF637" i="4" s="1"/>
  <c r="AF649" i="3"/>
  <c r="AF649" i="4" s="1"/>
  <c r="AF657" i="3"/>
  <c r="AF657" i="4" s="1"/>
  <c r="AF661" i="3"/>
  <c r="AF661" i="4" s="1"/>
  <c r="AC664" i="3"/>
  <c r="AC664" i="4" s="1"/>
  <c r="AC668" i="3"/>
  <c r="AC668" i="4" s="1"/>
  <c r="AC672" i="3"/>
  <c r="AC672" i="4" s="1"/>
  <c r="AF673" i="3"/>
  <c r="AF673" i="4" s="1"/>
  <c r="AF685" i="3"/>
  <c r="AF685" i="4" s="1"/>
  <c r="AF693" i="3"/>
  <c r="AF693" i="4" s="1"/>
  <c r="AF697" i="3"/>
  <c r="AF697" i="4" s="1"/>
  <c r="AC704" i="3"/>
  <c r="AC704" i="4" s="1"/>
  <c r="AC708" i="3"/>
  <c r="AC708" i="4" s="1"/>
  <c r="AF713" i="3"/>
  <c r="AF713" i="4" s="1"/>
  <c r="AF725" i="3"/>
  <c r="AF725" i="4" s="1"/>
  <c r="AF737" i="3"/>
  <c r="AF737" i="4" s="1"/>
  <c r="AC740" i="3"/>
  <c r="AC740" i="4" s="1"/>
  <c r="AC744" i="3"/>
  <c r="AC744" i="4" s="1"/>
  <c r="AF749" i="3"/>
  <c r="AF749" i="4" s="1"/>
  <c r="AF753" i="3"/>
  <c r="AF753" i="4" s="1"/>
  <c r="AD444" i="3"/>
  <c r="AD444" i="4" s="1"/>
  <c r="AD456" i="3"/>
  <c r="AD456" i="4" s="1"/>
  <c r="AD468" i="3"/>
  <c r="AD468" i="4" s="1"/>
  <c r="AD472" i="3"/>
  <c r="AD472" i="4" s="1"/>
  <c r="AD480" i="3"/>
  <c r="AD480" i="4" s="1"/>
  <c r="AD492" i="3"/>
  <c r="AD492" i="4" s="1"/>
  <c r="AD508" i="3"/>
  <c r="AD508" i="4" s="1"/>
  <c r="AC751" i="3"/>
  <c r="AC751" i="4" s="1"/>
  <c r="AF746" i="3"/>
  <c r="AF746" i="4" s="1"/>
  <c r="L752" i="3"/>
  <c r="L752" i="4" s="1"/>
  <c r="X752" i="3"/>
  <c r="X752" i="4" s="1"/>
  <c r="E753" i="3"/>
  <c r="E753" i="4" s="1"/>
  <c r="R753" i="3"/>
  <c r="R753" i="4" s="1"/>
  <c r="G83" i="3"/>
  <c r="G83" i="4" s="1"/>
  <c r="S83" i="3"/>
  <c r="S83" i="4" s="1"/>
  <c r="AE83" i="3"/>
  <c r="AE83" i="4" s="1"/>
  <c r="J84" i="3"/>
  <c r="J84" i="4" s="1"/>
  <c r="V84" i="3"/>
  <c r="V84" i="4" s="1"/>
  <c r="A85" i="3"/>
  <c r="A85" i="4" s="1"/>
  <c r="M85" i="3"/>
  <c r="M85" i="4" s="1"/>
  <c r="Y85" i="3"/>
  <c r="Y85" i="4" s="1"/>
  <c r="D86" i="3"/>
  <c r="D86" i="4" s="1"/>
  <c r="P86" i="3"/>
  <c r="P86" i="4" s="1"/>
  <c r="AB86" i="3"/>
  <c r="AB86" i="4" s="1"/>
  <c r="G87" i="3"/>
  <c r="G87" i="4" s="1"/>
  <c r="S87" i="3"/>
  <c r="S87" i="4" s="1"/>
  <c r="AE87" i="3"/>
  <c r="AE87" i="4" s="1"/>
  <c r="J88" i="3"/>
  <c r="J88" i="4" s="1"/>
  <c r="V88" i="3"/>
  <c r="V88" i="4" s="1"/>
  <c r="A89" i="3"/>
  <c r="A89" i="4" s="1"/>
  <c r="M89" i="3"/>
  <c r="M89" i="4" s="1"/>
  <c r="Y89" i="3"/>
  <c r="Y89" i="4" s="1"/>
  <c r="D90" i="3"/>
  <c r="D90" i="4" s="1"/>
  <c r="P90" i="3"/>
  <c r="P90" i="4" s="1"/>
  <c r="AB90" i="3"/>
  <c r="AB90" i="4" s="1"/>
  <c r="G91" i="3"/>
  <c r="G91" i="4" s="1"/>
  <c r="S91" i="3"/>
  <c r="S91" i="4" s="1"/>
  <c r="AE91" i="3"/>
  <c r="AE91" i="4" s="1"/>
  <c r="J92" i="3"/>
  <c r="J92" i="4" s="1"/>
  <c r="V92" i="3"/>
  <c r="V92" i="4" s="1"/>
  <c r="A93" i="3"/>
  <c r="A93" i="4" s="1"/>
  <c r="M93" i="3"/>
  <c r="M93" i="4" s="1"/>
  <c r="Y93" i="3"/>
  <c r="Y93" i="4" s="1"/>
  <c r="D94" i="3"/>
  <c r="D94" i="4" s="1"/>
  <c r="P94" i="3"/>
  <c r="P94" i="4" s="1"/>
  <c r="AB94" i="3"/>
  <c r="AB94" i="4" s="1"/>
  <c r="G95" i="3"/>
  <c r="G95" i="4" s="1"/>
  <c r="S95" i="3"/>
  <c r="S95" i="4" s="1"/>
  <c r="AE95" i="3"/>
  <c r="AE95" i="4" s="1"/>
  <c r="J96" i="3"/>
  <c r="J96" i="4" s="1"/>
  <c r="V96" i="3"/>
  <c r="V96" i="4" s="1"/>
  <c r="A97" i="3"/>
  <c r="A97" i="4" s="1"/>
  <c r="M97" i="3"/>
  <c r="M97" i="4" s="1"/>
  <c r="Y97" i="3"/>
  <c r="Y97" i="4" s="1"/>
  <c r="D98" i="3"/>
  <c r="D98" i="4" s="1"/>
  <c r="P98" i="3"/>
  <c r="P98" i="4" s="1"/>
  <c r="AB98" i="3"/>
  <c r="AB98" i="4" s="1"/>
  <c r="G99" i="3"/>
  <c r="G99" i="4" s="1"/>
  <c r="S99" i="3"/>
  <c r="S99" i="4" s="1"/>
  <c r="AE99" i="3"/>
  <c r="AE99" i="4" s="1"/>
  <c r="J100" i="3"/>
  <c r="J100" i="4" s="1"/>
  <c r="V100" i="3"/>
  <c r="V100" i="4" s="1"/>
  <c r="A101" i="3"/>
  <c r="A101" i="4" s="1"/>
  <c r="M101" i="3"/>
  <c r="M101" i="4" s="1"/>
  <c r="Y101" i="3"/>
  <c r="Y101" i="4" s="1"/>
  <c r="D102" i="3"/>
  <c r="D102" i="4" s="1"/>
  <c r="P102" i="3"/>
  <c r="P102" i="4" s="1"/>
  <c r="AB102" i="3"/>
  <c r="AB102" i="4" s="1"/>
  <c r="G103" i="3"/>
  <c r="G103" i="4" s="1"/>
  <c r="S103" i="3"/>
  <c r="S103" i="4" s="1"/>
  <c r="AE103" i="3"/>
  <c r="AE103" i="4" s="1"/>
  <c r="J104" i="3"/>
  <c r="J104" i="4" s="1"/>
  <c r="V104" i="3"/>
  <c r="V104" i="4" s="1"/>
  <c r="A105" i="3"/>
  <c r="A105" i="4" s="1"/>
  <c r="M105" i="3"/>
  <c r="M105" i="4" s="1"/>
  <c r="Y105" i="3"/>
  <c r="Y105" i="4" s="1"/>
  <c r="D106" i="3"/>
  <c r="D106" i="4" s="1"/>
  <c r="P106" i="3"/>
  <c r="P106" i="4" s="1"/>
  <c r="AB106" i="3"/>
  <c r="AB106" i="4" s="1"/>
  <c r="G107" i="3"/>
  <c r="G107" i="4" s="1"/>
  <c r="S107" i="3"/>
  <c r="S107" i="4" s="1"/>
  <c r="AE107" i="3"/>
  <c r="AE107" i="4" s="1"/>
  <c r="J108" i="3"/>
  <c r="J108" i="4" s="1"/>
  <c r="V108" i="3"/>
  <c r="V108" i="4" s="1"/>
  <c r="A109" i="3"/>
  <c r="A109" i="4" s="1"/>
  <c r="M109" i="3"/>
  <c r="M109" i="4" s="1"/>
  <c r="Y109" i="3"/>
  <c r="Y109" i="4" s="1"/>
  <c r="D110" i="3"/>
  <c r="D110" i="4" s="1"/>
  <c r="P110" i="3"/>
  <c r="P110" i="4" s="1"/>
  <c r="AB110" i="3"/>
  <c r="AB110" i="4" s="1"/>
  <c r="G111" i="3"/>
  <c r="G111" i="4" s="1"/>
  <c r="S111" i="3"/>
  <c r="S111" i="4" s="1"/>
  <c r="AE111" i="3"/>
  <c r="AE111" i="4" s="1"/>
  <c r="J112" i="3"/>
  <c r="J112" i="4" s="1"/>
  <c r="V112" i="3"/>
  <c r="V112" i="4" s="1"/>
  <c r="A113" i="3"/>
  <c r="A113" i="4" s="1"/>
  <c r="M113" i="3"/>
  <c r="M113" i="4" s="1"/>
  <c r="Y113" i="3"/>
  <c r="Y113" i="4" s="1"/>
  <c r="D114" i="3"/>
  <c r="D114" i="4" s="1"/>
  <c r="P114" i="3"/>
  <c r="P114" i="4" s="1"/>
  <c r="AB114" i="3"/>
  <c r="AB114" i="4" s="1"/>
  <c r="G115" i="3"/>
  <c r="G115" i="4" s="1"/>
  <c r="S115" i="3"/>
  <c r="S115" i="4" s="1"/>
  <c r="AE115" i="3"/>
  <c r="AE115" i="4" s="1"/>
  <c r="J116" i="3"/>
  <c r="J116" i="4" s="1"/>
  <c r="V116" i="3"/>
  <c r="V116" i="4" s="1"/>
  <c r="A117" i="3"/>
  <c r="A117" i="4" s="1"/>
  <c r="M117" i="3"/>
  <c r="M117" i="4" s="1"/>
  <c r="Y117" i="3"/>
  <c r="Y117" i="4" s="1"/>
  <c r="D118" i="3"/>
  <c r="D118" i="4" s="1"/>
  <c r="P118" i="3"/>
  <c r="P118" i="4" s="1"/>
  <c r="AB118" i="3"/>
  <c r="AB118" i="4" s="1"/>
  <c r="AE119" i="3"/>
  <c r="AE119" i="4" s="1"/>
  <c r="AE123" i="3"/>
  <c r="AE123" i="4" s="1"/>
  <c r="AE127" i="3"/>
  <c r="AE127" i="4" s="1"/>
  <c r="AE131" i="3"/>
  <c r="AE131" i="4" s="1"/>
  <c r="AE135" i="3"/>
  <c r="AE135" i="4" s="1"/>
  <c r="AE139" i="3"/>
  <c r="AE139" i="4" s="1"/>
  <c r="AE143" i="3"/>
  <c r="AE143" i="4" s="1"/>
  <c r="AE147" i="3"/>
  <c r="AE147" i="4" s="1"/>
  <c r="AE151" i="3"/>
  <c r="AE151" i="4" s="1"/>
  <c r="M153" i="3"/>
  <c r="M153" i="4" s="1"/>
  <c r="AE155" i="3"/>
  <c r="AE155" i="4" s="1"/>
  <c r="AE159" i="3"/>
  <c r="AE159" i="4" s="1"/>
  <c r="AE163" i="3"/>
  <c r="AE163" i="4" s="1"/>
  <c r="AE167" i="3"/>
  <c r="AE167" i="4" s="1"/>
  <c r="AE171" i="3"/>
  <c r="AE171" i="4" s="1"/>
  <c r="AE175" i="3"/>
  <c r="AE175" i="4" s="1"/>
  <c r="AE179" i="3"/>
  <c r="AE179" i="4" s="1"/>
  <c r="AE183" i="3"/>
  <c r="AE183" i="4" s="1"/>
  <c r="AE187" i="3"/>
  <c r="AE187" i="4" s="1"/>
  <c r="AE191" i="3"/>
  <c r="AE191" i="4" s="1"/>
  <c r="AE195" i="3"/>
  <c r="AE195" i="4" s="1"/>
  <c r="AE199" i="3"/>
  <c r="AE199" i="4" s="1"/>
  <c r="AE203" i="3"/>
  <c r="AE203" i="4" s="1"/>
  <c r="AE207" i="3"/>
  <c r="AE207" i="4" s="1"/>
  <c r="AE211" i="3"/>
  <c r="AE211" i="4" s="1"/>
  <c r="AE215" i="3"/>
  <c r="AE215" i="4" s="1"/>
  <c r="AE219" i="3"/>
  <c r="AE219" i="4" s="1"/>
  <c r="AE223" i="3"/>
  <c r="AE223" i="4" s="1"/>
  <c r="AE227" i="3"/>
  <c r="AE227" i="4" s="1"/>
  <c r="AE231" i="3"/>
  <c r="AE231" i="4" s="1"/>
  <c r="AE235" i="3"/>
  <c r="AE235" i="4" s="1"/>
  <c r="AE239" i="3"/>
  <c r="AE239" i="4" s="1"/>
  <c r="AE243" i="3"/>
  <c r="AE243" i="4" s="1"/>
  <c r="AE247" i="3"/>
  <c r="AE247" i="4" s="1"/>
  <c r="AE251" i="3"/>
  <c r="AE251" i="4" s="1"/>
  <c r="AE255" i="3"/>
  <c r="AE255" i="4" s="1"/>
  <c r="AE259" i="3"/>
  <c r="AE259" i="4" s="1"/>
  <c r="AE279" i="3"/>
  <c r="AE279" i="4" s="1"/>
  <c r="AE283" i="3"/>
  <c r="AE283" i="4" s="1"/>
  <c r="AE307" i="3"/>
  <c r="AE307" i="4" s="1"/>
  <c r="AE315" i="3"/>
  <c r="AE315" i="4" s="1"/>
  <c r="AE319" i="3"/>
  <c r="AE319" i="4" s="1"/>
  <c r="AE335" i="3"/>
  <c r="AE335" i="4" s="1"/>
  <c r="AE339" i="3"/>
  <c r="AE339" i="4" s="1"/>
  <c r="AE343" i="3"/>
  <c r="AE343" i="4" s="1"/>
  <c r="AE347" i="3"/>
  <c r="AE347" i="4" s="1"/>
  <c r="AE351" i="3"/>
  <c r="AE351" i="4" s="1"/>
  <c r="AE355" i="3"/>
  <c r="AE355" i="4" s="1"/>
  <c r="AE359" i="3"/>
  <c r="AE359" i="4" s="1"/>
  <c r="AE363" i="3"/>
  <c r="AE363" i="4" s="1"/>
  <c r="AE367" i="3"/>
  <c r="AE367" i="4" s="1"/>
  <c r="AE375" i="3"/>
  <c r="AE375" i="4" s="1"/>
  <c r="AE387" i="3"/>
  <c r="AE387" i="4" s="1"/>
  <c r="AE399" i="3"/>
  <c r="AE399" i="4" s="1"/>
  <c r="AE403" i="3"/>
  <c r="AE403" i="4" s="1"/>
  <c r="AE411" i="3"/>
  <c r="AE411" i="4" s="1"/>
  <c r="AE423" i="3"/>
  <c r="AE423" i="4" s="1"/>
  <c r="AE435" i="3"/>
  <c r="AE435" i="4" s="1"/>
  <c r="AE439" i="3"/>
  <c r="AE439" i="4" s="1"/>
  <c r="AE447" i="3"/>
  <c r="AE447" i="4" s="1"/>
  <c r="AE459" i="3"/>
  <c r="AE459" i="4" s="1"/>
  <c r="AE471" i="3"/>
  <c r="AE471" i="4" s="1"/>
  <c r="AE475" i="3"/>
  <c r="AE475" i="4" s="1"/>
  <c r="AE483" i="3"/>
  <c r="AE483" i="4" s="1"/>
  <c r="AE499" i="3"/>
  <c r="AE499" i="4" s="1"/>
  <c r="AE511" i="3"/>
  <c r="AE511" i="4" s="1"/>
  <c r="AE523" i="3"/>
  <c r="AE523" i="4" s="1"/>
  <c r="AE535" i="3"/>
  <c r="AE535" i="4" s="1"/>
  <c r="AE547" i="3"/>
  <c r="AE547" i="4" s="1"/>
  <c r="AE559" i="3"/>
  <c r="AE559" i="4" s="1"/>
  <c r="AE571" i="3"/>
  <c r="AE571" i="4" s="1"/>
  <c r="AE583" i="3"/>
  <c r="AE583" i="4" s="1"/>
  <c r="AE595" i="3"/>
  <c r="AE595" i="4" s="1"/>
  <c r="AE607" i="3"/>
  <c r="AE607" i="4" s="1"/>
  <c r="AE619" i="3"/>
  <c r="AE619" i="4" s="1"/>
  <c r="AE631" i="3"/>
  <c r="AE631" i="4" s="1"/>
  <c r="AE643" i="3"/>
  <c r="AE643" i="4" s="1"/>
  <c r="AE655" i="3"/>
  <c r="AE655" i="4" s="1"/>
  <c r="AE667" i="3"/>
  <c r="AE667" i="4" s="1"/>
  <c r="AE679" i="3"/>
  <c r="AE679" i="4" s="1"/>
  <c r="AE691" i="3"/>
  <c r="AE691" i="4" s="1"/>
  <c r="AE703" i="3"/>
  <c r="AE703" i="4" s="1"/>
  <c r="M752" i="3"/>
  <c r="M752" i="4" s="1"/>
  <c r="F753" i="3"/>
  <c r="F753" i="4" s="1"/>
  <c r="G119" i="3"/>
  <c r="G119" i="4" s="1"/>
  <c r="S119" i="3"/>
  <c r="S119" i="4" s="1"/>
  <c r="J120" i="3"/>
  <c r="J120" i="4" s="1"/>
  <c r="V120" i="3"/>
  <c r="V120" i="4" s="1"/>
  <c r="A121" i="3"/>
  <c r="A121" i="4" s="1"/>
  <c r="M121" i="3"/>
  <c r="M121" i="4" s="1"/>
  <c r="Y121" i="3"/>
  <c r="Y121" i="4" s="1"/>
  <c r="D122" i="3"/>
  <c r="D122" i="4" s="1"/>
  <c r="P122" i="3"/>
  <c r="P122" i="4" s="1"/>
  <c r="AB122" i="3"/>
  <c r="AB122" i="4" s="1"/>
  <c r="G123" i="3"/>
  <c r="G123" i="4" s="1"/>
  <c r="S123" i="3"/>
  <c r="S123" i="4" s="1"/>
  <c r="J124" i="3"/>
  <c r="J124" i="4" s="1"/>
  <c r="V124" i="3"/>
  <c r="V124" i="4" s="1"/>
  <c r="A125" i="3"/>
  <c r="A125" i="4" s="1"/>
  <c r="M125" i="3"/>
  <c r="M125" i="4" s="1"/>
  <c r="Y125" i="3"/>
  <c r="Y125" i="4" s="1"/>
  <c r="D126" i="3"/>
  <c r="D126" i="4" s="1"/>
  <c r="P126" i="3"/>
  <c r="P126" i="4" s="1"/>
  <c r="AB126" i="3"/>
  <c r="AB126" i="4" s="1"/>
  <c r="G127" i="3"/>
  <c r="G127" i="4" s="1"/>
  <c r="S127" i="3"/>
  <c r="S127" i="4" s="1"/>
  <c r="J128" i="3"/>
  <c r="J128" i="4" s="1"/>
  <c r="V128" i="3"/>
  <c r="V128" i="4" s="1"/>
  <c r="A129" i="3"/>
  <c r="A129" i="4" s="1"/>
  <c r="M129" i="3"/>
  <c r="M129" i="4" s="1"/>
  <c r="Y129" i="3"/>
  <c r="Y129" i="4" s="1"/>
  <c r="D130" i="3"/>
  <c r="D130" i="4" s="1"/>
  <c r="P130" i="3"/>
  <c r="P130" i="4" s="1"/>
  <c r="AB130" i="3"/>
  <c r="AB130" i="4" s="1"/>
  <c r="G131" i="3"/>
  <c r="G131" i="4" s="1"/>
  <c r="S131" i="3"/>
  <c r="S131" i="4" s="1"/>
  <c r="J132" i="3"/>
  <c r="J132" i="4" s="1"/>
  <c r="V132" i="3"/>
  <c r="V132" i="4" s="1"/>
  <c r="A133" i="3"/>
  <c r="A133" i="4" s="1"/>
  <c r="M133" i="3"/>
  <c r="M133" i="4" s="1"/>
  <c r="Y133" i="3"/>
  <c r="Y133" i="4" s="1"/>
  <c r="D134" i="3"/>
  <c r="D134" i="4" s="1"/>
  <c r="P134" i="3"/>
  <c r="P134" i="4" s="1"/>
  <c r="AB134" i="3"/>
  <c r="AB134" i="4" s="1"/>
  <c r="G135" i="3"/>
  <c r="G135" i="4" s="1"/>
  <c r="S135" i="3"/>
  <c r="S135" i="4" s="1"/>
  <c r="J136" i="3"/>
  <c r="J136" i="4" s="1"/>
  <c r="V136" i="3"/>
  <c r="V136" i="4" s="1"/>
  <c r="A137" i="3"/>
  <c r="A137" i="4" s="1"/>
  <c r="M137" i="3"/>
  <c r="M137" i="4" s="1"/>
  <c r="Y137" i="3"/>
  <c r="Y137" i="4" s="1"/>
  <c r="D138" i="3"/>
  <c r="D138" i="4" s="1"/>
  <c r="P138" i="3"/>
  <c r="P138" i="4" s="1"/>
  <c r="AB138" i="3"/>
  <c r="AB138" i="4" s="1"/>
  <c r="G139" i="3"/>
  <c r="G139" i="4" s="1"/>
  <c r="S139" i="3"/>
  <c r="S139" i="4" s="1"/>
  <c r="J140" i="3"/>
  <c r="J140" i="4" s="1"/>
  <c r="V140" i="3"/>
  <c r="V140" i="4" s="1"/>
  <c r="A141" i="3"/>
  <c r="A141" i="4" s="1"/>
  <c r="M141" i="3"/>
  <c r="M141" i="4" s="1"/>
  <c r="Y141" i="3"/>
  <c r="Y141" i="4" s="1"/>
  <c r="D142" i="3"/>
  <c r="D142" i="4" s="1"/>
  <c r="P142" i="3"/>
  <c r="P142" i="4" s="1"/>
  <c r="AB142" i="3"/>
  <c r="AB142" i="4" s="1"/>
  <c r="G143" i="3"/>
  <c r="G143" i="4" s="1"/>
  <c r="S143" i="3"/>
  <c r="S143" i="4" s="1"/>
  <c r="J144" i="3"/>
  <c r="J144" i="4" s="1"/>
  <c r="V144" i="3"/>
  <c r="V144" i="4" s="1"/>
  <c r="A145" i="3"/>
  <c r="A145" i="4" s="1"/>
  <c r="M145" i="3"/>
  <c r="M145" i="4" s="1"/>
  <c r="Y145" i="3"/>
  <c r="Y145" i="4" s="1"/>
  <c r="D146" i="3"/>
  <c r="D146" i="4" s="1"/>
  <c r="P146" i="3"/>
  <c r="P146" i="4" s="1"/>
  <c r="AB146" i="3"/>
  <c r="AB146" i="4" s="1"/>
  <c r="G147" i="3"/>
  <c r="G147" i="4" s="1"/>
  <c r="S147" i="3"/>
  <c r="S147" i="4" s="1"/>
  <c r="J148" i="3"/>
  <c r="J148" i="4" s="1"/>
  <c r="V148" i="3"/>
  <c r="V148" i="4" s="1"/>
  <c r="A149" i="3"/>
  <c r="A149" i="4" s="1"/>
  <c r="M149" i="3"/>
  <c r="M149" i="4" s="1"/>
  <c r="Y149" i="3"/>
  <c r="Y149" i="4" s="1"/>
  <c r="D150" i="3"/>
  <c r="D150" i="4" s="1"/>
  <c r="P150" i="3"/>
  <c r="P150" i="4" s="1"/>
  <c r="AB150" i="3"/>
  <c r="AB150" i="4" s="1"/>
  <c r="G151" i="3"/>
  <c r="G151" i="4" s="1"/>
  <c r="S151" i="3"/>
  <c r="S151" i="4" s="1"/>
  <c r="J152" i="3"/>
  <c r="J152" i="4" s="1"/>
  <c r="V152" i="3"/>
  <c r="V152" i="4" s="1"/>
  <c r="A153" i="3"/>
  <c r="A153" i="4" s="1"/>
  <c r="Y153" i="3"/>
  <c r="Y153" i="4" s="1"/>
  <c r="D154" i="3"/>
  <c r="D154" i="4" s="1"/>
  <c r="P154" i="3"/>
  <c r="P154" i="4" s="1"/>
  <c r="AB154" i="3"/>
  <c r="AB154" i="4" s="1"/>
  <c r="G155" i="3"/>
  <c r="G155" i="4" s="1"/>
  <c r="S155" i="3"/>
  <c r="S155" i="4" s="1"/>
  <c r="J156" i="3"/>
  <c r="J156" i="4" s="1"/>
  <c r="V156" i="3"/>
  <c r="V156" i="4" s="1"/>
  <c r="A157" i="3"/>
  <c r="A157" i="4" s="1"/>
  <c r="M157" i="3"/>
  <c r="M157" i="4" s="1"/>
  <c r="Y157" i="3"/>
  <c r="Y157" i="4" s="1"/>
  <c r="D158" i="3"/>
  <c r="D158" i="4" s="1"/>
  <c r="P158" i="3"/>
  <c r="P158" i="4" s="1"/>
  <c r="AB158" i="3"/>
  <c r="AB158" i="4" s="1"/>
  <c r="G159" i="3"/>
  <c r="G159" i="4" s="1"/>
  <c r="S159" i="3"/>
  <c r="S159" i="4" s="1"/>
  <c r="J160" i="3"/>
  <c r="J160" i="4" s="1"/>
  <c r="V160" i="3"/>
  <c r="V160" i="4" s="1"/>
  <c r="A161" i="3"/>
  <c r="A161" i="4" s="1"/>
  <c r="M161" i="3"/>
  <c r="M161" i="4" s="1"/>
  <c r="Y161" i="3"/>
  <c r="Y161" i="4" s="1"/>
  <c r="D162" i="3"/>
  <c r="D162" i="4" s="1"/>
  <c r="P162" i="3"/>
  <c r="P162" i="4" s="1"/>
  <c r="AB162" i="3"/>
  <c r="AB162" i="4" s="1"/>
  <c r="G163" i="3"/>
  <c r="G163" i="4" s="1"/>
  <c r="S163" i="3"/>
  <c r="S163" i="4" s="1"/>
  <c r="J164" i="3"/>
  <c r="J164" i="4" s="1"/>
  <c r="V164" i="3"/>
  <c r="V164" i="4" s="1"/>
  <c r="A165" i="3"/>
  <c r="A165" i="4" s="1"/>
  <c r="M165" i="3"/>
  <c r="M165" i="4" s="1"/>
  <c r="Y165" i="3"/>
  <c r="Y165" i="4" s="1"/>
  <c r="D166" i="3"/>
  <c r="D166" i="4" s="1"/>
  <c r="P166" i="3"/>
  <c r="P166" i="4" s="1"/>
  <c r="AB166" i="3"/>
  <c r="AB166" i="4" s="1"/>
  <c r="G167" i="3"/>
  <c r="G167" i="4" s="1"/>
  <c r="S167" i="3"/>
  <c r="S167" i="4" s="1"/>
  <c r="J168" i="3"/>
  <c r="J168" i="4" s="1"/>
  <c r="V168" i="3"/>
  <c r="V168" i="4" s="1"/>
  <c r="A169" i="3"/>
  <c r="A169" i="4" s="1"/>
  <c r="M169" i="3"/>
  <c r="M169" i="4" s="1"/>
  <c r="Y169" i="3"/>
  <c r="Y169" i="4" s="1"/>
  <c r="D170" i="3"/>
  <c r="D170" i="4" s="1"/>
  <c r="P170" i="3"/>
  <c r="P170" i="4" s="1"/>
  <c r="AB170" i="3"/>
  <c r="AB170" i="4" s="1"/>
  <c r="G171" i="3"/>
  <c r="G171" i="4" s="1"/>
  <c r="S171" i="3"/>
  <c r="S171" i="4" s="1"/>
  <c r="J172" i="3"/>
  <c r="J172" i="4" s="1"/>
  <c r="V172" i="3"/>
  <c r="V172" i="4" s="1"/>
  <c r="A173" i="3"/>
  <c r="A173" i="4" s="1"/>
  <c r="M173" i="3"/>
  <c r="M173" i="4" s="1"/>
  <c r="Y173" i="3"/>
  <c r="Y173" i="4" s="1"/>
  <c r="D174" i="3"/>
  <c r="D174" i="4" s="1"/>
  <c r="P174" i="3"/>
  <c r="P174" i="4" s="1"/>
  <c r="AB174" i="3"/>
  <c r="AB174" i="4" s="1"/>
  <c r="G175" i="3"/>
  <c r="G175" i="4" s="1"/>
  <c r="S175" i="3"/>
  <c r="S175" i="4" s="1"/>
  <c r="J176" i="3"/>
  <c r="J176" i="4" s="1"/>
  <c r="V176" i="3"/>
  <c r="V176" i="4" s="1"/>
  <c r="A177" i="3"/>
  <c r="A177" i="4" s="1"/>
  <c r="M177" i="3"/>
  <c r="M177" i="4" s="1"/>
  <c r="Y177" i="3"/>
  <c r="Y177" i="4" s="1"/>
  <c r="D178" i="3"/>
  <c r="D178" i="4" s="1"/>
  <c r="P178" i="3"/>
  <c r="P178" i="4" s="1"/>
  <c r="AB178" i="3"/>
  <c r="AB178" i="4" s="1"/>
  <c r="G179" i="3"/>
  <c r="G179" i="4" s="1"/>
  <c r="S179" i="3"/>
  <c r="S179" i="4" s="1"/>
  <c r="J180" i="3"/>
  <c r="J180" i="4" s="1"/>
  <c r="V180" i="3"/>
  <c r="V180" i="4" s="1"/>
  <c r="A181" i="3"/>
  <c r="A181" i="4" s="1"/>
  <c r="M181" i="3"/>
  <c r="M181" i="4" s="1"/>
  <c r="Y181" i="3"/>
  <c r="Y181" i="4" s="1"/>
  <c r="D182" i="3"/>
  <c r="D182" i="4" s="1"/>
  <c r="P182" i="3"/>
  <c r="P182" i="4" s="1"/>
  <c r="AB182" i="3"/>
  <c r="AB182" i="4" s="1"/>
  <c r="G183" i="3"/>
  <c r="G183" i="4" s="1"/>
  <c r="S183" i="3"/>
  <c r="S183" i="4" s="1"/>
  <c r="J184" i="3"/>
  <c r="J184" i="4" s="1"/>
  <c r="V184" i="3"/>
  <c r="V184" i="4" s="1"/>
  <c r="A185" i="3"/>
  <c r="A185" i="4" s="1"/>
  <c r="M185" i="3"/>
  <c r="M185" i="4" s="1"/>
  <c r="Y185" i="3"/>
  <c r="Y185" i="4" s="1"/>
  <c r="D186" i="3"/>
  <c r="D186" i="4" s="1"/>
  <c r="P186" i="3"/>
  <c r="P186" i="4" s="1"/>
  <c r="AB186" i="3"/>
  <c r="AB186" i="4" s="1"/>
  <c r="G187" i="3"/>
  <c r="G187" i="4" s="1"/>
  <c r="T112" i="3"/>
  <c r="T112" i="4" s="1"/>
  <c r="K113" i="3"/>
  <c r="K113" i="4" s="1"/>
  <c r="W113" i="3"/>
  <c r="W113" i="4" s="1"/>
  <c r="B114" i="3"/>
  <c r="B114" i="4" s="1"/>
  <c r="N114" i="3"/>
  <c r="N114" i="4" s="1"/>
  <c r="Z114" i="3"/>
  <c r="Z114" i="4" s="1"/>
  <c r="E115" i="3"/>
  <c r="E115" i="4" s="1"/>
  <c r="Q115" i="3"/>
  <c r="Q115" i="4" s="1"/>
  <c r="H116" i="3"/>
  <c r="H116" i="4" s="1"/>
  <c r="T116" i="3"/>
  <c r="T116" i="4" s="1"/>
  <c r="K117" i="3"/>
  <c r="K117" i="4" s="1"/>
  <c r="W117" i="3"/>
  <c r="W117" i="4" s="1"/>
  <c r="B118" i="3"/>
  <c r="B118" i="4" s="1"/>
  <c r="N118" i="3"/>
  <c r="N118" i="4" s="1"/>
  <c r="Z118" i="3"/>
  <c r="Z118" i="4" s="1"/>
  <c r="E119" i="3"/>
  <c r="E119" i="4" s="1"/>
  <c r="Q119" i="3"/>
  <c r="Q119" i="4" s="1"/>
  <c r="H120" i="3"/>
  <c r="H120" i="4" s="1"/>
  <c r="T120" i="3"/>
  <c r="T120" i="4" s="1"/>
  <c r="K121" i="3"/>
  <c r="K121" i="4" s="1"/>
  <c r="W121" i="3"/>
  <c r="W121" i="4" s="1"/>
  <c r="B122" i="3"/>
  <c r="B122" i="4" s="1"/>
  <c r="N122" i="3"/>
  <c r="N122" i="4" s="1"/>
  <c r="Z122" i="3"/>
  <c r="Z122" i="4" s="1"/>
  <c r="E123" i="3"/>
  <c r="E123" i="4" s="1"/>
  <c r="Q123" i="3"/>
  <c r="Q123" i="4" s="1"/>
  <c r="H124" i="3"/>
  <c r="H124" i="4" s="1"/>
  <c r="T124" i="3"/>
  <c r="T124" i="4" s="1"/>
  <c r="K125" i="3"/>
  <c r="K125" i="4" s="1"/>
  <c r="W125" i="3"/>
  <c r="W125" i="4" s="1"/>
  <c r="B126" i="3"/>
  <c r="B126" i="4" s="1"/>
  <c r="N126" i="3"/>
  <c r="N126" i="4" s="1"/>
  <c r="Z126" i="3"/>
  <c r="Z126" i="4" s="1"/>
  <c r="E127" i="3"/>
  <c r="E127" i="4" s="1"/>
  <c r="Q127" i="3"/>
  <c r="Q127" i="4" s="1"/>
  <c r="H128" i="3"/>
  <c r="H128" i="4" s="1"/>
  <c r="T128" i="3"/>
  <c r="T128" i="4" s="1"/>
  <c r="K129" i="3"/>
  <c r="K129" i="4" s="1"/>
  <c r="W129" i="3"/>
  <c r="W129" i="4" s="1"/>
  <c r="B130" i="3"/>
  <c r="B130" i="4" s="1"/>
  <c r="N130" i="3"/>
  <c r="N130" i="4" s="1"/>
  <c r="Z130" i="3"/>
  <c r="Z130" i="4" s="1"/>
  <c r="E131" i="3"/>
  <c r="E131" i="4" s="1"/>
  <c r="Q131" i="3"/>
  <c r="Q131" i="4" s="1"/>
  <c r="H132" i="3"/>
  <c r="H132" i="4" s="1"/>
  <c r="T132" i="3"/>
  <c r="T132" i="4" s="1"/>
  <c r="K133" i="3"/>
  <c r="K133" i="4" s="1"/>
  <c r="W133" i="3"/>
  <c r="W133" i="4" s="1"/>
  <c r="B134" i="3"/>
  <c r="B134" i="4" s="1"/>
  <c r="N134" i="3"/>
  <c r="N134" i="4" s="1"/>
  <c r="Z134" i="3"/>
  <c r="Z134" i="4" s="1"/>
  <c r="E135" i="3"/>
  <c r="E135" i="4" s="1"/>
  <c r="Q135" i="3"/>
  <c r="Q135" i="4" s="1"/>
  <c r="H136" i="3"/>
  <c r="H136" i="4" s="1"/>
  <c r="T136" i="3"/>
  <c r="T136" i="4" s="1"/>
  <c r="K137" i="3"/>
  <c r="K137" i="4" s="1"/>
  <c r="W137" i="3"/>
  <c r="W137" i="4" s="1"/>
  <c r="B138" i="3"/>
  <c r="B138" i="4" s="1"/>
  <c r="N138" i="3"/>
  <c r="N138" i="4" s="1"/>
  <c r="Z138" i="3"/>
  <c r="Z138" i="4" s="1"/>
  <c r="E139" i="3"/>
  <c r="E139" i="4" s="1"/>
  <c r="Q139" i="3"/>
  <c r="Q139" i="4" s="1"/>
  <c r="H140" i="3"/>
  <c r="H140" i="4" s="1"/>
  <c r="T140" i="3"/>
  <c r="T140" i="4" s="1"/>
  <c r="K141" i="3"/>
  <c r="K141" i="4" s="1"/>
  <c r="W141" i="3"/>
  <c r="W141" i="4" s="1"/>
  <c r="B142" i="3"/>
  <c r="B142" i="4" s="1"/>
  <c r="N142" i="3"/>
  <c r="N142" i="4" s="1"/>
  <c r="Z142" i="3"/>
  <c r="Z142" i="4" s="1"/>
  <c r="E143" i="3"/>
  <c r="E143" i="4" s="1"/>
  <c r="Q143" i="3"/>
  <c r="Q143" i="4" s="1"/>
  <c r="H144" i="3"/>
  <c r="H144" i="4" s="1"/>
  <c r="T144" i="3"/>
  <c r="T144" i="4" s="1"/>
  <c r="K145" i="3"/>
  <c r="K145" i="4" s="1"/>
  <c r="W145" i="3"/>
  <c r="W145" i="4" s="1"/>
  <c r="B146" i="3"/>
  <c r="B146" i="4" s="1"/>
  <c r="N146" i="3"/>
  <c r="N146" i="4" s="1"/>
  <c r="Z146" i="3"/>
  <c r="Z146" i="4" s="1"/>
  <c r="E147" i="3"/>
  <c r="E147" i="4" s="1"/>
  <c r="Q147" i="3"/>
  <c r="Q147" i="4" s="1"/>
  <c r="H148" i="3"/>
  <c r="H148" i="4" s="1"/>
  <c r="T148" i="3"/>
  <c r="T148" i="4" s="1"/>
  <c r="K149" i="3"/>
  <c r="K149" i="4" s="1"/>
  <c r="W149" i="3"/>
  <c r="W149" i="4" s="1"/>
  <c r="B150" i="3"/>
  <c r="B150" i="4" s="1"/>
  <c r="D549" i="3"/>
  <c r="D549" i="4" s="1"/>
  <c r="P549" i="3"/>
  <c r="P549" i="4" s="1"/>
  <c r="AB549" i="3"/>
  <c r="AB549" i="4" s="1"/>
  <c r="G550" i="3"/>
  <c r="G550" i="4" s="1"/>
  <c r="S550" i="3"/>
  <c r="S550" i="4" s="1"/>
  <c r="J551" i="3"/>
  <c r="J551" i="4" s="1"/>
  <c r="V551" i="3"/>
  <c r="V551" i="4" s="1"/>
  <c r="A552" i="3"/>
  <c r="A552" i="4" s="1"/>
  <c r="M552" i="3"/>
  <c r="M552" i="4" s="1"/>
  <c r="Y552" i="3"/>
  <c r="Y552" i="4" s="1"/>
  <c r="D553" i="3"/>
  <c r="D553" i="4" s="1"/>
  <c r="P553" i="3"/>
  <c r="P553" i="4" s="1"/>
  <c r="AB553" i="3"/>
  <c r="AB553" i="4" s="1"/>
  <c r="G554" i="3"/>
  <c r="G554" i="4" s="1"/>
  <c r="S554" i="3"/>
  <c r="S554" i="4" s="1"/>
  <c r="J555" i="3"/>
  <c r="J555" i="4" s="1"/>
  <c r="V555" i="3"/>
  <c r="V555" i="4" s="1"/>
  <c r="A556" i="3"/>
  <c r="A556" i="4" s="1"/>
  <c r="M556" i="3"/>
  <c r="M556" i="4" s="1"/>
  <c r="Y556" i="3"/>
  <c r="Y556" i="4" s="1"/>
  <c r="D557" i="3"/>
  <c r="D557" i="4" s="1"/>
  <c r="P557" i="3"/>
  <c r="P557" i="4" s="1"/>
  <c r="AB557" i="3"/>
  <c r="AB557" i="4" s="1"/>
  <c r="G558" i="3"/>
  <c r="G558" i="4" s="1"/>
  <c r="S558" i="3"/>
  <c r="S558" i="4" s="1"/>
  <c r="J559" i="3"/>
  <c r="J559" i="4" s="1"/>
  <c r="V559" i="3"/>
  <c r="V559" i="4" s="1"/>
  <c r="A560" i="3"/>
  <c r="A560" i="4" s="1"/>
  <c r="M560" i="3"/>
  <c r="M560" i="4" s="1"/>
  <c r="Y560" i="3"/>
  <c r="Y560" i="4" s="1"/>
  <c r="D561" i="3"/>
  <c r="D561" i="4" s="1"/>
  <c r="P561" i="3"/>
  <c r="P561" i="4" s="1"/>
  <c r="AB561" i="3"/>
  <c r="AB561" i="4" s="1"/>
  <c r="G562" i="3"/>
  <c r="G562" i="4" s="1"/>
  <c r="S562" i="3"/>
  <c r="S562" i="4" s="1"/>
  <c r="J563" i="3"/>
  <c r="J563" i="4" s="1"/>
  <c r="V563" i="3"/>
  <c r="V563" i="4" s="1"/>
  <c r="A564" i="3"/>
  <c r="A564" i="4" s="1"/>
  <c r="M564" i="3"/>
  <c r="M564" i="4" s="1"/>
  <c r="Y564" i="3"/>
  <c r="Y564" i="4" s="1"/>
  <c r="D565" i="3"/>
  <c r="D565" i="4" s="1"/>
  <c r="P565" i="3"/>
  <c r="P565" i="4" s="1"/>
  <c r="AB565" i="3"/>
  <c r="AB565" i="4" s="1"/>
  <c r="G566" i="3"/>
  <c r="G566" i="4" s="1"/>
  <c r="S566" i="3"/>
  <c r="S566" i="4" s="1"/>
  <c r="J567" i="3"/>
  <c r="J567" i="4" s="1"/>
  <c r="V567" i="3"/>
  <c r="V567" i="4" s="1"/>
  <c r="A568" i="3"/>
  <c r="A568" i="4" s="1"/>
  <c r="M568" i="3"/>
  <c r="M568" i="4" s="1"/>
  <c r="Y568" i="3"/>
  <c r="Y568" i="4" s="1"/>
  <c r="D569" i="3"/>
  <c r="D569" i="4" s="1"/>
  <c r="P569" i="3"/>
  <c r="P569" i="4" s="1"/>
  <c r="AB569" i="3"/>
  <c r="AB569" i="4" s="1"/>
  <c r="G570" i="3"/>
  <c r="G570" i="4" s="1"/>
  <c r="S570" i="3"/>
  <c r="S570" i="4" s="1"/>
  <c r="J571" i="3"/>
  <c r="J571" i="4" s="1"/>
  <c r="V571" i="3"/>
  <c r="V571" i="4" s="1"/>
  <c r="A572" i="3"/>
  <c r="A572" i="4" s="1"/>
  <c r="M572" i="3"/>
  <c r="M572" i="4" s="1"/>
  <c r="Y572" i="3"/>
  <c r="Y572" i="4" s="1"/>
  <c r="D573" i="3"/>
  <c r="D573" i="4" s="1"/>
  <c r="P573" i="3"/>
  <c r="P573" i="4" s="1"/>
  <c r="AB573" i="3"/>
  <c r="AB573" i="4" s="1"/>
  <c r="G574" i="3"/>
  <c r="G574" i="4" s="1"/>
  <c r="S574" i="3"/>
  <c r="S574" i="4" s="1"/>
  <c r="J575" i="3"/>
  <c r="J575" i="4" s="1"/>
  <c r="V575" i="3"/>
  <c r="V575" i="4" s="1"/>
  <c r="A576" i="3"/>
  <c r="A576" i="4" s="1"/>
  <c r="M576" i="3"/>
  <c r="M576" i="4" s="1"/>
  <c r="Y576" i="3"/>
  <c r="Y576" i="4" s="1"/>
  <c r="D577" i="3"/>
  <c r="D577" i="4" s="1"/>
  <c r="P577" i="3"/>
  <c r="P577" i="4" s="1"/>
  <c r="AB577" i="3"/>
  <c r="AB577" i="4" s="1"/>
  <c r="G578" i="3"/>
  <c r="G578" i="4" s="1"/>
  <c r="S578" i="3"/>
  <c r="S578" i="4" s="1"/>
  <c r="J579" i="3"/>
  <c r="J579" i="4" s="1"/>
  <c r="V579" i="3"/>
  <c r="V579" i="4" s="1"/>
  <c r="A580" i="3"/>
  <c r="A580" i="4" s="1"/>
  <c r="M580" i="3"/>
  <c r="M580" i="4" s="1"/>
  <c r="Y580" i="3"/>
  <c r="Y580" i="4" s="1"/>
  <c r="D581" i="3"/>
  <c r="D581" i="4" s="1"/>
  <c r="P581" i="3"/>
  <c r="P581" i="4" s="1"/>
  <c r="AB581" i="3"/>
  <c r="AB581" i="4" s="1"/>
  <c r="G582" i="3"/>
  <c r="G582" i="4" s="1"/>
  <c r="S582" i="3"/>
  <c r="S582" i="4" s="1"/>
  <c r="S187" i="3"/>
  <c r="S187" i="4" s="1"/>
  <c r="J188" i="3"/>
  <c r="J188" i="4" s="1"/>
  <c r="V188" i="3"/>
  <c r="V188" i="4" s="1"/>
  <c r="A189" i="3"/>
  <c r="A189" i="4" s="1"/>
  <c r="M189" i="3"/>
  <c r="M189" i="4" s="1"/>
  <c r="Y189" i="3"/>
  <c r="Y189" i="4" s="1"/>
  <c r="D190" i="3"/>
  <c r="D190" i="4" s="1"/>
  <c r="P190" i="3"/>
  <c r="P190" i="4" s="1"/>
  <c r="AB190" i="3"/>
  <c r="AB190" i="4" s="1"/>
  <c r="G191" i="3"/>
  <c r="G191" i="4" s="1"/>
  <c r="S191" i="3"/>
  <c r="S191" i="4" s="1"/>
  <c r="J192" i="3"/>
  <c r="J192" i="4" s="1"/>
  <c r="V192" i="3"/>
  <c r="V192" i="4" s="1"/>
  <c r="A193" i="3"/>
  <c r="A193" i="4" s="1"/>
  <c r="M193" i="3"/>
  <c r="M193" i="4" s="1"/>
  <c r="Y193" i="3"/>
  <c r="Y193" i="4" s="1"/>
  <c r="D194" i="3"/>
  <c r="D194" i="4" s="1"/>
  <c r="P194" i="3"/>
  <c r="P194" i="4" s="1"/>
  <c r="AB194" i="3"/>
  <c r="AB194" i="4" s="1"/>
  <c r="G195" i="3"/>
  <c r="G195" i="4" s="1"/>
  <c r="S195" i="3"/>
  <c r="S195" i="4" s="1"/>
  <c r="J196" i="3"/>
  <c r="J196" i="4" s="1"/>
  <c r="V196" i="3"/>
  <c r="V196" i="4" s="1"/>
  <c r="A197" i="3"/>
  <c r="A197" i="4" s="1"/>
  <c r="M197" i="3"/>
  <c r="M197" i="4" s="1"/>
  <c r="Y197" i="3"/>
  <c r="Y197" i="4" s="1"/>
  <c r="D198" i="3"/>
  <c r="D198" i="4" s="1"/>
  <c r="P198" i="3"/>
  <c r="P198" i="4" s="1"/>
  <c r="AB198" i="3"/>
  <c r="AB198" i="4" s="1"/>
  <c r="G199" i="3"/>
  <c r="G199" i="4" s="1"/>
  <c r="S199" i="3"/>
  <c r="S199" i="4" s="1"/>
  <c r="J200" i="3"/>
  <c r="J200" i="4" s="1"/>
  <c r="V200" i="3"/>
  <c r="V200" i="4" s="1"/>
  <c r="A201" i="3"/>
  <c r="A201" i="4" s="1"/>
  <c r="M201" i="3"/>
  <c r="M201" i="4" s="1"/>
  <c r="Y201" i="3"/>
  <c r="Y201" i="4" s="1"/>
  <c r="D202" i="3"/>
  <c r="D202" i="4" s="1"/>
  <c r="P202" i="3"/>
  <c r="P202" i="4" s="1"/>
  <c r="AB202" i="3"/>
  <c r="AB202" i="4" s="1"/>
  <c r="G203" i="3"/>
  <c r="G203" i="4" s="1"/>
  <c r="S203" i="3"/>
  <c r="S203" i="4" s="1"/>
  <c r="J204" i="3"/>
  <c r="J204" i="4" s="1"/>
  <c r="V204" i="3"/>
  <c r="V204" i="4" s="1"/>
  <c r="A205" i="3"/>
  <c r="A205" i="4" s="1"/>
  <c r="M205" i="3"/>
  <c r="M205" i="4" s="1"/>
  <c r="Y205" i="3"/>
  <c r="Y205" i="4" s="1"/>
  <c r="D206" i="3"/>
  <c r="D206" i="4" s="1"/>
  <c r="P206" i="3"/>
  <c r="P206" i="4" s="1"/>
  <c r="AB206" i="3"/>
  <c r="AB206" i="4" s="1"/>
  <c r="G207" i="3"/>
  <c r="G207" i="4" s="1"/>
  <c r="S207" i="3"/>
  <c r="S207" i="4" s="1"/>
  <c r="J208" i="3"/>
  <c r="J208" i="4" s="1"/>
  <c r="V208" i="3"/>
  <c r="V208" i="4" s="1"/>
  <c r="A209" i="3"/>
  <c r="A209" i="4" s="1"/>
  <c r="M209" i="3"/>
  <c r="M209" i="4" s="1"/>
  <c r="Y209" i="3"/>
  <c r="Y209" i="4" s="1"/>
  <c r="D210" i="3"/>
  <c r="D210" i="4" s="1"/>
  <c r="P210" i="3"/>
  <c r="P210" i="4" s="1"/>
  <c r="AB210" i="3"/>
  <c r="AB210" i="4" s="1"/>
  <c r="G211" i="3"/>
  <c r="G211" i="4" s="1"/>
  <c r="S211" i="3"/>
  <c r="S211" i="4" s="1"/>
  <c r="J212" i="3"/>
  <c r="J212" i="4" s="1"/>
  <c r="V212" i="3"/>
  <c r="V212" i="4" s="1"/>
  <c r="A213" i="3"/>
  <c r="A213" i="4" s="1"/>
  <c r="M213" i="3"/>
  <c r="M213" i="4" s="1"/>
  <c r="Y213" i="3"/>
  <c r="Y213" i="4" s="1"/>
  <c r="D214" i="3"/>
  <c r="D214" i="4" s="1"/>
  <c r="P214" i="3"/>
  <c r="P214" i="4" s="1"/>
  <c r="AB214" i="3"/>
  <c r="AB214" i="4" s="1"/>
  <c r="G215" i="3"/>
  <c r="G215" i="4" s="1"/>
  <c r="S215" i="3"/>
  <c r="S215" i="4" s="1"/>
  <c r="J216" i="3"/>
  <c r="J216" i="4" s="1"/>
  <c r="V216" i="3"/>
  <c r="V216" i="4" s="1"/>
  <c r="A217" i="3"/>
  <c r="A217" i="4" s="1"/>
  <c r="M217" i="3"/>
  <c r="M217" i="4" s="1"/>
  <c r="Y217" i="3"/>
  <c r="Y217" i="4" s="1"/>
  <c r="D218" i="3"/>
  <c r="D218" i="4" s="1"/>
  <c r="P218" i="3"/>
  <c r="P218" i="4" s="1"/>
  <c r="AB218" i="3"/>
  <c r="AB218" i="4" s="1"/>
  <c r="G219" i="3"/>
  <c r="G219" i="4" s="1"/>
  <c r="S219" i="3"/>
  <c r="S219" i="4" s="1"/>
  <c r="J220" i="3"/>
  <c r="J220" i="4" s="1"/>
  <c r="V220" i="3"/>
  <c r="V220" i="4" s="1"/>
  <c r="A221" i="3"/>
  <c r="A221" i="4" s="1"/>
  <c r="M221" i="3"/>
  <c r="M221" i="4" s="1"/>
  <c r="AA274" i="3"/>
  <c r="AA274" i="4" s="1"/>
  <c r="F275" i="3"/>
  <c r="F275" i="4" s="1"/>
  <c r="R275" i="3"/>
  <c r="R275" i="4" s="1"/>
  <c r="I276" i="3"/>
  <c r="I276" i="4" s="1"/>
  <c r="U276" i="3"/>
  <c r="U276" i="4" s="1"/>
  <c r="L277" i="3"/>
  <c r="L277" i="4" s="1"/>
  <c r="X277" i="3"/>
  <c r="X277" i="4" s="1"/>
  <c r="C278" i="3"/>
  <c r="C278" i="4" s="1"/>
  <c r="O278" i="3"/>
  <c r="O278" i="4" s="1"/>
  <c r="AA278" i="3"/>
  <c r="AA278" i="4" s="1"/>
  <c r="F279" i="3"/>
  <c r="F279" i="4" s="1"/>
  <c r="R279" i="3"/>
  <c r="R279" i="4" s="1"/>
  <c r="I280" i="3"/>
  <c r="I280" i="4" s="1"/>
  <c r="U280" i="3"/>
  <c r="U280" i="4" s="1"/>
  <c r="L281" i="3"/>
  <c r="L281" i="4" s="1"/>
  <c r="X281" i="3"/>
  <c r="X281" i="4" s="1"/>
  <c r="C282" i="3"/>
  <c r="C282" i="4" s="1"/>
  <c r="O282" i="3"/>
  <c r="O282" i="4" s="1"/>
  <c r="AA282" i="3"/>
  <c r="AA282" i="4" s="1"/>
  <c r="F283" i="3"/>
  <c r="F283" i="4" s="1"/>
  <c r="R283" i="3"/>
  <c r="R283" i="4" s="1"/>
  <c r="I284" i="3"/>
  <c r="I284" i="4" s="1"/>
  <c r="U284" i="3"/>
  <c r="U284" i="4" s="1"/>
  <c r="L285" i="3"/>
  <c r="L285" i="4" s="1"/>
  <c r="X285" i="3"/>
  <c r="X285" i="4" s="1"/>
  <c r="C286" i="3"/>
  <c r="C286" i="4" s="1"/>
  <c r="O286" i="3"/>
  <c r="O286" i="4" s="1"/>
  <c r="AA286" i="3"/>
  <c r="AA286" i="4" s="1"/>
  <c r="F287" i="3"/>
  <c r="F287" i="4" s="1"/>
  <c r="R287" i="3"/>
  <c r="R287" i="4" s="1"/>
  <c r="I288" i="3"/>
  <c r="I288" i="4" s="1"/>
  <c r="U288" i="3"/>
  <c r="U288" i="4" s="1"/>
  <c r="L289" i="3"/>
  <c r="L289" i="4" s="1"/>
  <c r="X289" i="3"/>
  <c r="X289" i="4" s="1"/>
  <c r="C290" i="3"/>
  <c r="C290" i="4" s="1"/>
  <c r="O290" i="3"/>
  <c r="O290" i="4" s="1"/>
  <c r="AA290" i="3"/>
  <c r="AA290" i="4" s="1"/>
  <c r="F291" i="3"/>
  <c r="F291" i="4" s="1"/>
  <c r="R291" i="3"/>
  <c r="R291" i="4" s="1"/>
  <c r="I292" i="3"/>
  <c r="I292" i="4" s="1"/>
  <c r="U292" i="3"/>
  <c r="U292" i="4" s="1"/>
  <c r="L293" i="3"/>
  <c r="L293" i="4" s="1"/>
  <c r="X293" i="3"/>
  <c r="X293" i="4" s="1"/>
  <c r="C294" i="3"/>
  <c r="C294" i="4" s="1"/>
  <c r="O294" i="3"/>
  <c r="O294" i="4" s="1"/>
  <c r="AA294" i="3"/>
  <c r="AA294" i="4" s="1"/>
  <c r="F295" i="3"/>
  <c r="F295" i="4" s="1"/>
  <c r="R295" i="3"/>
  <c r="R295" i="4" s="1"/>
  <c r="I296" i="3"/>
  <c r="I296" i="4" s="1"/>
  <c r="U296" i="3"/>
  <c r="U296" i="4" s="1"/>
  <c r="L297" i="3"/>
  <c r="L297" i="4" s="1"/>
  <c r="X297" i="3"/>
  <c r="X297" i="4" s="1"/>
  <c r="C298" i="3"/>
  <c r="C298" i="4" s="1"/>
  <c r="O298" i="3"/>
  <c r="O298" i="4" s="1"/>
  <c r="AA298" i="3"/>
  <c r="AA298" i="4" s="1"/>
  <c r="F299" i="3"/>
  <c r="F299" i="4" s="1"/>
  <c r="R299" i="3"/>
  <c r="R299" i="4" s="1"/>
  <c r="I300" i="3"/>
  <c r="I300" i="4" s="1"/>
  <c r="U300" i="3"/>
  <c r="U300" i="4" s="1"/>
  <c r="L301" i="3"/>
  <c r="L301" i="4" s="1"/>
  <c r="X301" i="3"/>
  <c r="X301" i="4" s="1"/>
  <c r="C302" i="3"/>
  <c r="C302" i="4" s="1"/>
  <c r="O302" i="3"/>
  <c r="O302" i="4" s="1"/>
  <c r="AA302" i="3"/>
  <c r="AA302" i="4" s="1"/>
  <c r="F303" i="3"/>
  <c r="F303" i="4" s="1"/>
  <c r="R303" i="3"/>
  <c r="R303" i="4" s="1"/>
  <c r="I304" i="3"/>
  <c r="I304" i="4" s="1"/>
  <c r="U304" i="3"/>
  <c r="U304" i="4" s="1"/>
  <c r="L305" i="3"/>
  <c r="L305" i="4" s="1"/>
  <c r="X305" i="3"/>
  <c r="X305" i="4" s="1"/>
  <c r="C306" i="3"/>
  <c r="C306" i="4" s="1"/>
  <c r="O306" i="3"/>
  <c r="O306" i="4" s="1"/>
  <c r="AA306" i="3"/>
  <c r="AA306" i="4" s="1"/>
  <c r="F307" i="3"/>
  <c r="F307" i="4" s="1"/>
  <c r="R307" i="3"/>
  <c r="R307" i="4" s="1"/>
  <c r="I308" i="3"/>
  <c r="I308" i="4" s="1"/>
  <c r="U308" i="3"/>
  <c r="U308" i="4" s="1"/>
  <c r="L309" i="3"/>
  <c r="L309" i="4" s="1"/>
  <c r="X309" i="3"/>
  <c r="X309" i="4" s="1"/>
  <c r="C310" i="3"/>
  <c r="C310" i="4" s="1"/>
  <c r="O310" i="3"/>
  <c r="O310" i="4" s="1"/>
  <c r="AA310" i="3"/>
  <c r="AA310" i="4" s="1"/>
  <c r="F311" i="3"/>
  <c r="F311" i="4" s="1"/>
  <c r="R311" i="3"/>
  <c r="R311" i="4" s="1"/>
  <c r="I312" i="3"/>
  <c r="I312" i="4" s="1"/>
  <c r="N150" i="3"/>
  <c r="N150" i="4" s="1"/>
  <c r="Z150" i="3"/>
  <c r="Z150" i="4" s="1"/>
  <c r="E151" i="3"/>
  <c r="E151" i="4" s="1"/>
  <c r="Q151" i="3"/>
  <c r="Q151" i="4" s="1"/>
  <c r="H152" i="3"/>
  <c r="H152" i="4" s="1"/>
  <c r="T152" i="3"/>
  <c r="T152" i="4" s="1"/>
  <c r="K153" i="3"/>
  <c r="K153" i="4" s="1"/>
  <c r="W153" i="3"/>
  <c r="W153" i="4" s="1"/>
  <c r="B154" i="3"/>
  <c r="B154" i="4" s="1"/>
  <c r="N154" i="3"/>
  <c r="N154" i="4" s="1"/>
  <c r="Z154" i="3"/>
  <c r="Z154" i="4" s="1"/>
  <c r="E155" i="3"/>
  <c r="E155" i="4" s="1"/>
  <c r="Q155" i="3"/>
  <c r="Q155" i="4" s="1"/>
  <c r="P535" i="3"/>
  <c r="P535" i="4" s="1"/>
  <c r="AB535" i="3"/>
  <c r="AB535" i="4" s="1"/>
  <c r="G536" i="3"/>
  <c r="G536" i="4" s="1"/>
  <c r="S536" i="3"/>
  <c r="S536" i="4" s="1"/>
  <c r="J537" i="3"/>
  <c r="J537" i="4" s="1"/>
  <c r="V537" i="3"/>
  <c r="V537" i="4" s="1"/>
  <c r="A538" i="3"/>
  <c r="A538" i="4" s="1"/>
  <c r="M538" i="3"/>
  <c r="M538" i="4" s="1"/>
  <c r="Y538" i="3"/>
  <c r="Y538" i="4" s="1"/>
  <c r="D539" i="3"/>
  <c r="D539" i="4" s="1"/>
  <c r="P539" i="3"/>
  <c r="P539" i="4" s="1"/>
  <c r="AB539" i="3"/>
  <c r="AB539" i="4" s="1"/>
  <c r="G540" i="3"/>
  <c r="G540" i="4" s="1"/>
  <c r="S540" i="3"/>
  <c r="S540" i="4" s="1"/>
  <c r="J541" i="3"/>
  <c r="J541" i="4" s="1"/>
  <c r="V541" i="3"/>
  <c r="V541" i="4" s="1"/>
  <c r="A542" i="3"/>
  <c r="A542" i="4" s="1"/>
  <c r="M542" i="3"/>
  <c r="M542" i="4" s="1"/>
  <c r="Y542" i="3"/>
  <c r="Y542" i="4" s="1"/>
  <c r="D543" i="3"/>
  <c r="D543" i="4" s="1"/>
  <c r="P543" i="3"/>
  <c r="P543" i="4" s="1"/>
  <c r="AB543" i="3"/>
  <c r="AB543" i="4" s="1"/>
  <c r="G544" i="3"/>
  <c r="G544" i="4" s="1"/>
  <c r="S544" i="3"/>
  <c r="S544" i="4" s="1"/>
  <c r="J545" i="3"/>
  <c r="J545" i="4" s="1"/>
  <c r="V545" i="3"/>
  <c r="V545" i="4" s="1"/>
  <c r="A546" i="3"/>
  <c r="A546" i="4" s="1"/>
  <c r="M546" i="3"/>
  <c r="M546" i="4" s="1"/>
  <c r="Y546" i="3"/>
  <c r="Y546" i="4" s="1"/>
  <c r="D547" i="3"/>
  <c r="D547" i="4" s="1"/>
  <c r="P547" i="3"/>
  <c r="P547" i="4" s="1"/>
  <c r="AB547" i="3"/>
  <c r="AB547" i="4" s="1"/>
  <c r="G548" i="3"/>
  <c r="G548" i="4" s="1"/>
  <c r="S548" i="3"/>
  <c r="S548" i="4" s="1"/>
  <c r="J549" i="3"/>
  <c r="J549" i="4" s="1"/>
  <c r="V549" i="3"/>
  <c r="V549" i="4" s="1"/>
  <c r="A550" i="3"/>
  <c r="A550" i="4" s="1"/>
  <c r="M550" i="3"/>
  <c r="M550" i="4" s="1"/>
  <c r="Y550" i="3"/>
  <c r="Y550" i="4" s="1"/>
  <c r="D551" i="3"/>
  <c r="D551" i="4" s="1"/>
  <c r="P551" i="3"/>
  <c r="P551" i="4" s="1"/>
  <c r="AB551" i="3"/>
  <c r="AB551" i="4" s="1"/>
  <c r="G552" i="3"/>
  <c r="G552" i="4" s="1"/>
  <c r="S552" i="3"/>
  <c r="S552" i="4" s="1"/>
  <c r="J553" i="3"/>
  <c r="J553" i="4" s="1"/>
  <c r="V553" i="3"/>
  <c r="V553" i="4" s="1"/>
  <c r="A554" i="3"/>
  <c r="A554" i="4" s="1"/>
  <c r="M554" i="3"/>
  <c r="M554" i="4" s="1"/>
  <c r="Y554" i="3"/>
  <c r="Y554" i="4" s="1"/>
  <c r="D555" i="3"/>
  <c r="D555" i="4" s="1"/>
  <c r="P555" i="3"/>
  <c r="P555" i="4" s="1"/>
  <c r="AB555" i="3"/>
  <c r="AB555" i="4" s="1"/>
  <c r="G556" i="3"/>
  <c r="G556" i="4" s="1"/>
  <c r="S556" i="3"/>
  <c r="S556" i="4" s="1"/>
  <c r="J557" i="3"/>
  <c r="J557" i="4" s="1"/>
  <c r="V557" i="3"/>
  <c r="V557" i="4" s="1"/>
  <c r="A558" i="3"/>
  <c r="A558" i="4" s="1"/>
  <c r="M558" i="3"/>
  <c r="M558" i="4" s="1"/>
  <c r="Y558" i="3"/>
  <c r="Y558" i="4" s="1"/>
  <c r="D559" i="3"/>
  <c r="D559" i="4" s="1"/>
  <c r="P559" i="3"/>
  <c r="P559" i="4" s="1"/>
  <c r="AB559" i="3"/>
  <c r="AB559" i="4" s="1"/>
  <c r="G560" i="3"/>
  <c r="G560" i="4" s="1"/>
  <c r="S560" i="3"/>
  <c r="S560" i="4" s="1"/>
  <c r="J561" i="3"/>
  <c r="J561" i="4" s="1"/>
  <c r="V561" i="3"/>
  <c r="V561" i="4" s="1"/>
  <c r="A562" i="3"/>
  <c r="A562" i="4" s="1"/>
  <c r="M562" i="3"/>
  <c r="M562" i="4" s="1"/>
  <c r="Y562" i="3"/>
  <c r="Y562" i="4" s="1"/>
  <c r="D563" i="3"/>
  <c r="D563" i="4" s="1"/>
  <c r="P563" i="3"/>
  <c r="P563" i="4" s="1"/>
  <c r="AB563" i="3"/>
  <c r="AB563" i="4" s="1"/>
  <c r="G564" i="3"/>
  <c r="G564" i="4" s="1"/>
  <c r="S564" i="3"/>
  <c r="S564" i="4" s="1"/>
  <c r="J565" i="3"/>
  <c r="J565" i="4" s="1"/>
  <c r="V565" i="3"/>
  <c r="V565" i="4" s="1"/>
  <c r="A566" i="3"/>
  <c r="A566" i="4" s="1"/>
  <c r="M566" i="3"/>
  <c r="M566" i="4" s="1"/>
  <c r="Y566" i="3"/>
  <c r="Y566" i="4" s="1"/>
  <c r="D567" i="3"/>
  <c r="D567" i="4" s="1"/>
  <c r="P567" i="3"/>
  <c r="P567" i="4" s="1"/>
  <c r="AB567" i="3"/>
  <c r="AB567" i="4" s="1"/>
  <c r="G568" i="3"/>
  <c r="G568" i="4" s="1"/>
  <c r="S568" i="3"/>
  <c r="S568" i="4" s="1"/>
  <c r="J569" i="3"/>
  <c r="J569" i="4" s="1"/>
  <c r="V569" i="3"/>
  <c r="V569" i="4" s="1"/>
  <c r="A570" i="3"/>
  <c r="A570" i="4" s="1"/>
  <c r="M570" i="3"/>
  <c r="M570" i="4" s="1"/>
  <c r="Y570" i="3"/>
  <c r="Y570" i="4" s="1"/>
  <c r="D571" i="3"/>
  <c r="D571" i="4" s="1"/>
  <c r="P571" i="3"/>
  <c r="P571" i="4" s="1"/>
  <c r="AB571" i="3"/>
  <c r="AB571" i="4" s="1"/>
  <c r="G572" i="3"/>
  <c r="G572" i="4" s="1"/>
  <c r="S572" i="3"/>
  <c r="S572" i="4" s="1"/>
  <c r="J573" i="3"/>
  <c r="J573" i="4" s="1"/>
  <c r="V573" i="3"/>
  <c r="V573" i="4" s="1"/>
  <c r="A574" i="3"/>
  <c r="A574" i="4" s="1"/>
  <c r="M574" i="3"/>
  <c r="M574" i="4" s="1"/>
  <c r="Y574" i="3"/>
  <c r="Y574" i="4" s="1"/>
  <c r="D575" i="3"/>
  <c r="D575" i="4" s="1"/>
  <c r="P575" i="3"/>
  <c r="P575" i="4" s="1"/>
  <c r="AB575" i="3"/>
  <c r="AB575" i="4" s="1"/>
  <c r="G576" i="3"/>
  <c r="G576" i="4" s="1"/>
  <c r="S576" i="3"/>
  <c r="S576" i="4" s="1"/>
  <c r="J577" i="3"/>
  <c r="J577" i="4" s="1"/>
  <c r="V577" i="3"/>
  <c r="V577" i="4" s="1"/>
  <c r="A578" i="3"/>
  <c r="A578" i="4" s="1"/>
  <c r="M578" i="3"/>
  <c r="M578" i="4" s="1"/>
  <c r="Y578" i="3"/>
  <c r="Y578" i="4" s="1"/>
  <c r="D579" i="3"/>
  <c r="D579" i="4" s="1"/>
  <c r="P579" i="3"/>
  <c r="P579" i="4" s="1"/>
  <c r="AB579" i="3"/>
  <c r="AB579" i="4" s="1"/>
  <c r="G580" i="3"/>
  <c r="G580" i="4" s="1"/>
  <c r="S580" i="3"/>
  <c r="S580" i="4" s="1"/>
  <c r="J581" i="3"/>
  <c r="J581" i="4" s="1"/>
  <c r="V581" i="3"/>
  <c r="V581" i="4" s="1"/>
  <c r="A582" i="3"/>
  <c r="A582" i="4" s="1"/>
  <c r="M582" i="3"/>
  <c r="M582" i="4" s="1"/>
  <c r="Y582" i="3"/>
  <c r="Y582" i="4" s="1"/>
  <c r="D583" i="3"/>
  <c r="D583" i="4" s="1"/>
  <c r="P583" i="3"/>
  <c r="P583" i="4" s="1"/>
  <c r="AB583" i="3"/>
  <c r="AB583" i="4" s="1"/>
  <c r="G584" i="3"/>
  <c r="G584" i="4" s="1"/>
  <c r="S584" i="3"/>
  <c r="S584" i="4" s="1"/>
  <c r="J585" i="3"/>
  <c r="J585" i="4" s="1"/>
  <c r="V585" i="3"/>
  <c r="V585" i="4" s="1"/>
  <c r="A586" i="3"/>
  <c r="A586" i="4" s="1"/>
  <c r="M586" i="3"/>
  <c r="M586" i="4" s="1"/>
  <c r="Y586" i="3"/>
  <c r="Y586" i="4" s="1"/>
  <c r="D587" i="3"/>
  <c r="D587" i="4" s="1"/>
  <c r="P587" i="3"/>
  <c r="P587" i="4" s="1"/>
  <c r="AB587" i="3"/>
  <c r="AB587" i="4" s="1"/>
  <c r="G588" i="3"/>
  <c r="G588" i="4" s="1"/>
  <c r="S588" i="3"/>
  <c r="S588" i="4" s="1"/>
  <c r="J589" i="3"/>
  <c r="J589" i="4" s="1"/>
  <c r="V589" i="3"/>
  <c r="V589" i="4" s="1"/>
  <c r="A590" i="3"/>
  <c r="A590" i="4" s="1"/>
  <c r="M590" i="3"/>
  <c r="M590" i="4" s="1"/>
  <c r="Y590" i="3"/>
  <c r="Y590" i="4" s="1"/>
  <c r="D591" i="3"/>
  <c r="D591" i="4" s="1"/>
  <c r="P591" i="3"/>
  <c r="P591" i="4" s="1"/>
  <c r="AB591" i="3"/>
  <c r="AB591" i="4" s="1"/>
  <c r="G592" i="3"/>
  <c r="G592" i="4" s="1"/>
  <c r="S592" i="3"/>
  <c r="S592" i="4" s="1"/>
  <c r="J593" i="3"/>
  <c r="J593" i="4" s="1"/>
  <c r="V593" i="3"/>
  <c r="V593" i="4" s="1"/>
  <c r="A594" i="3"/>
  <c r="A594" i="4" s="1"/>
  <c r="M594" i="3"/>
  <c r="M594" i="4" s="1"/>
  <c r="Y594" i="3"/>
  <c r="Y594" i="4" s="1"/>
  <c r="D595" i="3"/>
  <c r="D595" i="4" s="1"/>
  <c r="P595" i="3"/>
  <c r="P595" i="4" s="1"/>
  <c r="AB595" i="3"/>
  <c r="AB595" i="4" s="1"/>
  <c r="G596" i="3"/>
  <c r="G596" i="4" s="1"/>
  <c r="S596" i="3"/>
  <c r="S596" i="4" s="1"/>
  <c r="J597" i="3"/>
  <c r="J597" i="4" s="1"/>
  <c r="V597" i="3"/>
  <c r="V597" i="4" s="1"/>
  <c r="A598" i="3"/>
  <c r="A598" i="4" s="1"/>
  <c r="M598" i="3"/>
  <c r="M598" i="4" s="1"/>
  <c r="Y598" i="3"/>
  <c r="Y598" i="4" s="1"/>
  <c r="D599" i="3"/>
  <c r="D599" i="4" s="1"/>
  <c r="P599" i="3"/>
  <c r="P599" i="4" s="1"/>
  <c r="AB599" i="3"/>
  <c r="AB599" i="4" s="1"/>
  <c r="G600" i="3"/>
  <c r="G600" i="4" s="1"/>
  <c r="H156" i="3"/>
  <c r="H156" i="4" s="1"/>
  <c r="T156" i="3"/>
  <c r="T156" i="4" s="1"/>
  <c r="K157" i="3"/>
  <c r="K157" i="4" s="1"/>
  <c r="W157" i="3"/>
  <c r="W157" i="4" s="1"/>
  <c r="B158" i="3"/>
  <c r="B158" i="4" s="1"/>
  <c r="N158" i="3"/>
  <c r="N158" i="4" s="1"/>
  <c r="Z158" i="3"/>
  <c r="Z158" i="4" s="1"/>
  <c r="E159" i="3"/>
  <c r="E159" i="4" s="1"/>
  <c r="Q159" i="3"/>
  <c r="Q159" i="4" s="1"/>
  <c r="H160" i="3"/>
  <c r="H160" i="4" s="1"/>
  <c r="T160" i="3"/>
  <c r="T160" i="4" s="1"/>
  <c r="K161" i="3"/>
  <c r="K161" i="4" s="1"/>
  <c r="W161" i="3"/>
  <c r="W161" i="4" s="1"/>
  <c r="B162" i="3"/>
  <c r="B162" i="4" s="1"/>
  <c r="N162" i="3"/>
  <c r="N162" i="4" s="1"/>
  <c r="Z162" i="3"/>
  <c r="Z162" i="4" s="1"/>
  <c r="E163" i="3"/>
  <c r="E163" i="4" s="1"/>
  <c r="Q163" i="3"/>
  <c r="Q163" i="4" s="1"/>
  <c r="H164" i="3"/>
  <c r="H164" i="4" s="1"/>
  <c r="T164" i="3"/>
  <c r="T164" i="4" s="1"/>
  <c r="K165" i="3"/>
  <c r="K165" i="4" s="1"/>
  <c r="W165" i="3"/>
  <c r="W165" i="4" s="1"/>
  <c r="B166" i="3"/>
  <c r="B166" i="4" s="1"/>
  <c r="N166" i="3"/>
  <c r="N166" i="4" s="1"/>
  <c r="Z166" i="3"/>
  <c r="Z166" i="4" s="1"/>
  <c r="E167" i="3"/>
  <c r="E167" i="4" s="1"/>
  <c r="Q167" i="3"/>
  <c r="Q167" i="4" s="1"/>
  <c r="H168" i="3"/>
  <c r="H168" i="4" s="1"/>
  <c r="T168" i="3"/>
  <c r="T168" i="4" s="1"/>
  <c r="K169" i="3"/>
  <c r="K169" i="4" s="1"/>
  <c r="W169" i="3"/>
  <c r="W169" i="4" s="1"/>
  <c r="B170" i="3"/>
  <c r="B170" i="4" s="1"/>
  <c r="N170" i="3"/>
  <c r="N170" i="4" s="1"/>
  <c r="Z170" i="3"/>
  <c r="Z170" i="4" s="1"/>
  <c r="E171" i="3"/>
  <c r="E171" i="4" s="1"/>
  <c r="Q171" i="3"/>
  <c r="Q171" i="4" s="1"/>
  <c r="H172" i="3"/>
  <c r="H172" i="4" s="1"/>
  <c r="T172" i="3"/>
  <c r="T172" i="4" s="1"/>
  <c r="K173" i="3"/>
  <c r="K173" i="4" s="1"/>
  <c r="W173" i="3"/>
  <c r="W173" i="4" s="1"/>
  <c r="B174" i="3"/>
  <c r="B174" i="4" s="1"/>
  <c r="N174" i="3"/>
  <c r="N174" i="4" s="1"/>
  <c r="Z174" i="3"/>
  <c r="Z174" i="4" s="1"/>
  <c r="E175" i="3"/>
  <c r="E175" i="4" s="1"/>
  <c r="Q175" i="3"/>
  <c r="Q175" i="4" s="1"/>
  <c r="H176" i="3"/>
  <c r="H176" i="4" s="1"/>
  <c r="T176" i="3"/>
  <c r="T176" i="4" s="1"/>
  <c r="K177" i="3"/>
  <c r="K177" i="4" s="1"/>
  <c r="W177" i="3"/>
  <c r="W177" i="4" s="1"/>
  <c r="B178" i="3"/>
  <c r="B178" i="4" s="1"/>
  <c r="N178" i="3"/>
  <c r="N178" i="4" s="1"/>
  <c r="Z178" i="3"/>
  <c r="Z178" i="4" s="1"/>
  <c r="E179" i="3"/>
  <c r="E179" i="4" s="1"/>
  <c r="Q179" i="3"/>
  <c r="Q179" i="4" s="1"/>
  <c r="H180" i="3"/>
  <c r="H180" i="4" s="1"/>
  <c r="T180" i="3"/>
  <c r="T180" i="4" s="1"/>
  <c r="K181" i="3"/>
  <c r="K181" i="4" s="1"/>
  <c r="W181" i="3"/>
  <c r="W181" i="4" s="1"/>
  <c r="B182" i="3"/>
  <c r="B182" i="4" s="1"/>
  <c r="N182" i="3"/>
  <c r="N182" i="4" s="1"/>
  <c r="Z182" i="3"/>
  <c r="Z182" i="4" s="1"/>
  <c r="E183" i="3"/>
  <c r="E183" i="4" s="1"/>
  <c r="Q183" i="3"/>
  <c r="Q183" i="4" s="1"/>
  <c r="H184" i="3"/>
  <c r="H184" i="4" s="1"/>
  <c r="T184" i="3"/>
  <c r="T184" i="4" s="1"/>
  <c r="K185" i="3"/>
  <c r="K185" i="4" s="1"/>
  <c r="W185" i="3"/>
  <c r="W185" i="4" s="1"/>
  <c r="B186" i="3"/>
  <c r="B186" i="4" s="1"/>
  <c r="N186" i="3"/>
  <c r="N186" i="4" s="1"/>
  <c r="Z186" i="3"/>
  <c r="Z186" i="4" s="1"/>
  <c r="E187" i="3"/>
  <c r="E187" i="4" s="1"/>
  <c r="Q187" i="3"/>
  <c r="Q187" i="4" s="1"/>
  <c r="H188" i="3"/>
  <c r="H188" i="4" s="1"/>
  <c r="T188" i="3"/>
  <c r="T188" i="4" s="1"/>
  <c r="K189" i="3"/>
  <c r="K189" i="4" s="1"/>
  <c r="W189" i="3"/>
  <c r="W189" i="4" s="1"/>
  <c r="B190" i="3"/>
  <c r="B190" i="4" s="1"/>
  <c r="N190" i="3"/>
  <c r="N190" i="4" s="1"/>
  <c r="Z190" i="3"/>
  <c r="Z190" i="4" s="1"/>
  <c r="E191" i="3"/>
  <c r="E191" i="4" s="1"/>
  <c r="Q191" i="3"/>
  <c r="Q191" i="4" s="1"/>
  <c r="H192" i="3"/>
  <c r="H192" i="4" s="1"/>
  <c r="T192" i="3"/>
  <c r="T192" i="4" s="1"/>
  <c r="K193" i="3"/>
  <c r="K193" i="4" s="1"/>
  <c r="W193" i="3"/>
  <c r="W193" i="4" s="1"/>
  <c r="S600" i="3"/>
  <c r="S600" i="4" s="1"/>
  <c r="J601" i="3"/>
  <c r="J601" i="4" s="1"/>
  <c r="V601" i="3"/>
  <c r="V601" i="4" s="1"/>
  <c r="A602" i="3"/>
  <c r="A602" i="4" s="1"/>
  <c r="M602" i="3"/>
  <c r="M602" i="4" s="1"/>
  <c r="Y602" i="3"/>
  <c r="Y602" i="4" s="1"/>
  <c r="D603" i="3"/>
  <c r="D603" i="4" s="1"/>
  <c r="P603" i="3"/>
  <c r="P603" i="4" s="1"/>
  <c r="AB603" i="3"/>
  <c r="AB603" i="4" s="1"/>
  <c r="G604" i="3"/>
  <c r="G604" i="4" s="1"/>
  <c r="S604" i="3"/>
  <c r="S604" i="4" s="1"/>
  <c r="J605" i="3"/>
  <c r="J605" i="4" s="1"/>
  <c r="V605" i="3"/>
  <c r="V605" i="4" s="1"/>
  <c r="A606" i="3"/>
  <c r="A606" i="4" s="1"/>
  <c r="M606" i="3"/>
  <c r="M606" i="4" s="1"/>
  <c r="Y606" i="3"/>
  <c r="Y606" i="4" s="1"/>
  <c r="D607" i="3"/>
  <c r="D607" i="4" s="1"/>
  <c r="P607" i="3"/>
  <c r="P607" i="4" s="1"/>
  <c r="AB607" i="3"/>
  <c r="AB607" i="4" s="1"/>
  <c r="G608" i="3"/>
  <c r="G608" i="4" s="1"/>
  <c r="S608" i="3"/>
  <c r="S608" i="4" s="1"/>
  <c r="J609" i="3"/>
  <c r="J609" i="4" s="1"/>
  <c r="V609" i="3"/>
  <c r="V609" i="4" s="1"/>
  <c r="A610" i="3"/>
  <c r="A610" i="4" s="1"/>
  <c r="M610" i="3"/>
  <c r="M610" i="4" s="1"/>
  <c r="Y610" i="3"/>
  <c r="Y610" i="4" s="1"/>
  <c r="D611" i="3"/>
  <c r="D611" i="4" s="1"/>
  <c r="P611" i="3"/>
  <c r="P611" i="4" s="1"/>
  <c r="AB611" i="3"/>
  <c r="AB611" i="4" s="1"/>
  <c r="G612" i="3"/>
  <c r="G612" i="4" s="1"/>
  <c r="S612" i="3"/>
  <c r="S612" i="4" s="1"/>
  <c r="J613" i="3"/>
  <c r="J613" i="4" s="1"/>
  <c r="V613" i="3"/>
  <c r="V613" i="4" s="1"/>
  <c r="A614" i="3"/>
  <c r="A614" i="4" s="1"/>
  <c r="M614" i="3"/>
  <c r="M614" i="4" s="1"/>
  <c r="Y614" i="3"/>
  <c r="Y614" i="4" s="1"/>
  <c r="D615" i="3"/>
  <c r="D615" i="4" s="1"/>
  <c r="P615" i="3"/>
  <c r="P615" i="4" s="1"/>
  <c r="AB615" i="3"/>
  <c r="AB615" i="4" s="1"/>
  <c r="G616" i="3"/>
  <c r="G616" i="4" s="1"/>
  <c r="S616" i="3"/>
  <c r="S616" i="4" s="1"/>
  <c r="J617" i="3"/>
  <c r="J617" i="4" s="1"/>
  <c r="V617" i="3"/>
  <c r="V617" i="4" s="1"/>
  <c r="A618" i="3"/>
  <c r="A618" i="4" s="1"/>
  <c r="M618" i="3"/>
  <c r="M618" i="4" s="1"/>
  <c r="J701" i="3"/>
  <c r="J701" i="4" s="1"/>
  <c r="V701" i="3"/>
  <c r="V701" i="4" s="1"/>
  <c r="A702" i="3"/>
  <c r="A702" i="4" s="1"/>
  <c r="M702" i="3"/>
  <c r="M702" i="4" s="1"/>
  <c r="Y702" i="3"/>
  <c r="Y702" i="4" s="1"/>
  <c r="D703" i="3"/>
  <c r="D703" i="4" s="1"/>
  <c r="P703" i="3"/>
  <c r="P703" i="4" s="1"/>
  <c r="AB703" i="3"/>
  <c r="AB703" i="4" s="1"/>
  <c r="G704" i="3"/>
  <c r="G704" i="4" s="1"/>
  <c r="S704" i="3"/>
  <c r="S704" i="4" s="1"/>
  <c r="J705" i="3"/>
  <c r="J705" i="4" s="1"/>
  <c r="V705" i="3"/>
  <c r="V705" i="4" s="1"/>
  <c r="A706" i="3"/>
  <c r="A706" i="4" s="1"/>
  <c r="M706" i="3"/>
  <c r="M706" i="4" s="1"/>
  <c r="Y706" i="3"/>
  <c r="Y706" i="4" s="1"/>
  <c r="D707" i="3"/>
  <c r="D707" i="4" s="1"/>
  <c r="P707" i="3"/>
  <c r="P707" i="4" s="1"/>
  <c r="AB707" i="3"/>
  <c r="AB707" i="4" s="1"/>
  <c r="G708" i="3"/>
  <c r="G708" i="4" s="1"/>
  <c r="S708" i="3"/>
  <c r="S708" i="4" s="1"/>
  <c r="J709" i="3"/>
  <c r="J709" i="4" s="1"/>
  <c r="V709" i="3"/>
  <c r="V709" i="4" s="1"/>
  <c r="A710" i="3"/>
  <c r="A710" i="4" s="1"/>
  <c r="M710" i="3"/>
  <c r="M710" i="4" s="1"/>
  <c r="Y710" i="3"/>
  <c r="Y710" i="4" s="1"/>
  <c r="D711" i="3"/>
  <c r="D711" i="4" s="1"/>
  <c r="P711" i="3"/>
  <c r="P711" i="4" s="1"/>
  <c r="AB711" i="3"/>
  <c r="AB711" i="4" s="1"/>
  <c r="G712" i="3"/>
  <c r="G712" i="4" s="1"/>
  <c r="S712" i="3"/>
  <c r="S712" i="4" s="1"/>
  <c r="J713" i="3"/>
  <c r="J713" i="4" s="1"/>
  <c r="V713" i="3"/>
  <c r="V713" i="4" s="1"/>
  <c r="A714" i="3"/>
  <c r="A714" i="4" s="1"/>
  <c r="M714" i="3"/>
  <c r="M714" i="4" s="1"/>
  <c r="Y714" i="3"/>
  <c r="Y714" i="4" s="1"/>
  <c r="D715" i="3"/>
  <c r="D715" i="4" s="1"/>
  <c r="P715" i="3"/>
  <c r="P715" i="4" s="1"/>
  <c r="AB715" i="3"/>
  <c r="AB715" i="4" s="1"/>
  <c r="G716" i="3"/>
  <c r="G716" i="4" s="1"/>
  <c r="S716" i="3"/>
  <c r="S716" i="4" s="1"/>
  <c r="B194" i="3"/>
  <c r="B194" i="4" s="1"/>
  <c r="N194" i="3"/>
  <c r="N194" i="4" s="1"/>
  <c r="Z194" i="3"/>
  <c r="Z194" i="4" s="1"/>
  <c r="E195" i="3"/>
  <c r="E195" i="4" s="1"/>
  <c r="Q195" i="3"/>
  <c r="Q195" i="4" s="1"/>
  <c r="H196" i="3"/>
  <c r="H196" i="4" s="1"/>
  <c r="T196" i="3"/>
  <c r="T196" i="4" s="1"/>
  <c r="K197" i="3"/>
  <c r="K197" i="4" s="1"/>
  <c r="W197" i="3"/>
  <c r="W197" i="4" s="1"/>
  <c r="B198" i="3"/>
  <c r="B198" i="4" s="1"/>
  <c r="N198" i="3"/>
  <c r="N198" i="4" s="1"/>
  <c r="Z198" i="3"/>
  <c r="Z198" i="4" s="1"/>
  <c r="E199" i="3"/>
  <c r="E199" i="4" s="1"/>
  <c r="Q199" i="3"/>
  <c r="Q199" i="4" s="1"/>
  <c r="H200" i="3"/>
  <c r="H200" i="4" s="1"/>
  <c r="T200" i="3"/>
  <c r="T200" i="4" s="1"/>
  <c r="K201" i="3"/>
  <c r="K201" i="4" s="1"/>
  <c r="W201" i="3"/>
  <c r="W201" i="4" s="1"/>
  <c r="B202" i="3"/>
  <c r="B202" i="4" s="1"/>
  <c r="N202" i="3"/>
  <c r="N202" i="4" s="1"/>
  <c r="Z202" i="3"/>
  <c r="Z202" i="4" s="1"/>
  <c r="E203" i="3"/>
  <c r="E203" i="4" s="1"/>
  <c r="Q203" i="3"/>
  <c r="Q203" i="4" s="1"/>
  <c r="H204" i="3"/>
  <c r="H204" i="4" s="1"/>
  <c r="T204" i="3"/>
  <c r="T204" i="4" s="1"/>
  <c r="K205" i="3"/>
  <c r="K205" i="4" s="1"/>
  <c r="W205" i="3"/>
  <c r="W205" i="4" s="1"/>
  <c r="B206" i="3"/>
  <c r="B206" i="4" s="1"/>
  <c r="N206" i="3"/>
  <c r="N206" i="4" s="1"/>
  <c r="Z206" i="3"/>
  <c r="Z206" i="4" s="1"/>
  <c r="E207" i="3"/>
  <c r="E207" i="4" s="1"/>
  <c r="Q207" i="3"/>
  <c r="Q207" i="4" s="1"/>
  <c r="H208" i="3"/>
  <c r="H208" i="4" s="1"/>
  <c r="T208" i="3"/>
  <c r="T208" i="4" s="1"/>
  <c r="K209" i="3"/>
  <c r="K209" i="4" s="1"/>
  <c r="W209" i="3"/>
  <c r="W209" i="4" s="1"/>
  <c r="B210" i="3"/>
  <c r="B210" i="4" s="1"/>
  <c r="N210" i="3"/>
  <c r="N210" i="4" s="1"/>
  <c r="Z210" i="3"/>
  <c r="Z210" i="4" s="1"/>
  <c r="E211" i="3"/>
  <c r="E211" i="4" s="1"/>
  <c r="Q211" i="3"/>
  <c r="Q211" i="4" s="1"/>
  <c r="H212" i="3"/>
  <c r="H212" i="4" s="1"/>
  <c r="T212" i="3"/>
  <c r="T212" i="4" s="1"/>
  <c r="K213" i="3"/>
  <c r="K213" i="4" s="1"/>
  <c r="W213" i="3"/>
  <c r="W213" i="4" s="1"/>
  <c r="B214" i="3"/>
  <c r="B214" i="4" s="1"/>
  <c r="N214" i="3"/>
  <c r="N214" i="4" s="1"/>
  <c r="Z214" i="3"/>
  <c r="Z214" i="4" s="1"/>
  <c r="E215" i="3"/>
  <c r="E215" i="4" s="1"/>
  <c r="Q215" i="3"/>
  <c r="Q215" i="4" s="1"/>
  <c r="I711" i="3"/>
  <c r="I711" i="4" s="1"/>
  <c r="U711" i="3"/>
  <c r="U711" i="4" s="1"/>
  <c r="L712" i="3"/>
  <c r="L712" i="4" s="1"/>
  <c r="X712" i="3"/>
  <c r="X712" i="4" s="1"/>
  <c r="C713" i="3"/>
  <c r="C713" i="4" s="1"/>
  <c r="O713" i="3"/>
  <c r="O713" i="4" s="1"/>
  <c r="AA713" i="3"/>
  <c r="AA713" i="4" s="1"/>
  <c r="F714" i="3"/>
  <c r="F714" i="4" s="1"/>
  <c r="AF2" i="3"/>
  <c r="AF2" i="4" s="1"/>
  <c r="J717" i="3"/>
  <c r="J717" i="4" s="1"/>
  <c r="V717" i="3"/>
  <c r="V717" i="4" s="1"/>
  <c r="A718" i="3"/>
  <c r="A718" i="4" s="1"/>
  <c r="M718" i="3"/>
  <c r="M718" i="4" s="1"/>
  <c r="Y718" i="3"/>
  <c r="Y718" i="4" s="1"/>
  <c r="D719" i="3"/>
  <c r="D719" i="4" s="1"/>
  <c r="P719" i="3"/>
  <c r="P719" i="4" s="1"/>
  <c r="AB719" i="3"/>
  <c r="AB719" i="4" s="1"/>
  <c r="G720" i="3"/>
  <c r="G720" i="4" s="1"/>
  <c r="S720" i="3"/>
  <c r="S720" i="4" s="1"/>
  <c r="J721" i="3"/>
  <c r="J721" i="4" s="1"/>
  <c r="V721" i="3"/>
  <c r="V721" i="4" s="1"/>
  <c r="A722" i="3"/>
  <c r="A722" i="4" s="1"/>
  <c r="M722" i="3"/>
  <c r="M722" i="4" s="1"/>
  <c r="Y722" i="3"/>
  <c r="Y722" i="4" s="1"/>
  <c r="D723" i="3"/>
  <c r="D723" i="4" s="1"/>
  <c r="P723" i="3"/>
  <c r="P723" i="4" s="1"/>
  <c r="AB723" i="3"/>
  <c r="AB723" i="4" s="1"/>
  <c r="G724" i="3"/>
  <c r="G724" i="4" s="1"/>
  <c r="S724" i="3"/>
  <c r="S724" i="4" s="1"/>
  <c r="J725" i="3"/>
  <c r="J725" i="4" s="1"/>
  <c r="V725" i="3"/>
  <c r="V725" i="4" s="1"/>
  <c r="A726" i="3"/>
  <c r="A726" i="4" s="1"/>
  <c r="M726" i="3"/>
  <c r="M726" i="4" s="1"/>
  <c r="Y726" i="3"/>
  <c r="Y726" i="4" s="1"/>
  <c r="D727" i="3"/>
  <c r="D727" i="4" s="1"/>
  <c r="P727" i="3"/>
  <c r="P727" i="4" s="1"/>
  <c r="AB727" i="3"/>
  <c r="AB727" i="4" s="1"/>
  <c r="G728" i="3"/>
  <c r="G728" i="4" s="1"/>
  <c r="S728" i="3"/>
  <c r="S728" i="4" s="1"/>
  <c r="J729" i="3"/>
  <c r="J729" i="4" s="1"/>
  <c r="V729" i="3"/>
  <c r="V729" i="4" s="1"/>
  <c r="A730" i="3"/>
  <c r="A730" i="4" s="1"/>
  <c r="M730" i="3"/>
  <c r="M730" i="4" s="1"/>
  <c r="Y730" i="3"/>
  <c r="Y730" i="4" s="1"/>
  <c r="D731" i="3"/>
  <c r="D731" i="4" s="1"/>
  <c r="P731" i="3"/>
  <c r="P731" i="4" s="1"/>
  <c r="AB731" i="3"/>
  <c r="AB731" i="4" s="1"/>
  <c r="G732" i="3"/>
  <c r="G732" i="4" s="1"/>
  <c r="S732" i="3"/>
  <c r="S732" i="4" s="1"/>
  <c r="J733" i="3"/>
  <c r="J733" i="4" s="1"/>
  <c r="V733" i="3"/>
  <c r="V733" i="4" s="1"/>
  <c r="A734" i="3"/>
  <c r="A734" i="4" s="1"/>
  <c r="M734" i="3"/>
  <c r="M734" i="4" s="1"/>
  <c r="Y734" i="3"/>
  <c r="Y734" i="4" s="1"/>
  <c r="D735" i="3"/>
  <c r="D735" i="4" s="1"/>
  <c r="P735" i="3"/>
  <c r="P735" i="4" s="1"/>
  <c r="AB735" i="3"/>
  <c r="AB735" i="4" s="1"/>
  <c r="G736" i="3"/>
  <c r="G736" i="4" s="1"/>
  <c r="S736" i="3"/>
  <c r="S736" i="4" s="1"/>
  <c r="J737" i="3"/>
  <c r="J737" i="4" s="1"/>
  <c r="V737" i="3"/>
  <c r="V737" i="4" s="1"/>
  <c r="A738" i="3"/>
  <c r="A738" i="4" s="1"/>
  <c r="M738" i="3"/>
  <c r="M738" i="4" s="1"/>
  <c r="Y738" i="3"/>
  <c r="Y738" i="4" s="1"/>
  <c r="D739" i="3"/>
  <c r="D739" i="4" s="1"/>
  <c r="P739" i="3"/>
  <c r="P739" i="4" s="1"/>
  <c r="AB739" i="3"/>
  <c r="AB739" i="4" s="1"/>
  <c r="G740" i="3"/>
  <c r="G740" i="4" s="1"/>
  <c r="S740" i="3"/>
  <c r="S740" i="4" s="1"/>
  <c r="J741" i="3"/>
  <c r="J741" i="4" s="1"/>
  <c r="V741" i="3"/>
  <c r="V741" i="4" s="1"/>
  <c r="A742" i="3"/>
  <c r="A742" i="4" s="1"/>
  <c r="M742" i="3"/>
  <c r="M742" i="4" s="1"/>
  <c r="Y742" i="3"/>
  <c r="Y742" i="4" s="1"/>
  <c r="D743" i="3"/>
  <c r="D743" i="4" s="1"/>
  <c r="P743" i="3"/>
  <c r="P743" i="4" s="1"/>
  <c r="AB743" i="3"/>
  <c r="AB743" i="4" s="1"/>
  <c r="G744" i="3"/>
  <c r="G744" i="4" s="1"/>
  <c r="S744" i="3"/>
  <c r="S744" i="4" s="1"/>
  <c r="J745" i="3"/>
  <c r="J745" i="4" s="1"/>
  <c r="V745" i="3"/>
  <c r="V745" i="4" s="1"/>
  <c r="A746" i="3"/>
  <c r="A746" i="4" s="1"/>
  <c r="M746" i="3"/>
  <c r="M746" i="4" s="1"/>
  <c r="Y746" i="3"/>
  <c r="Y746" i="4" s="1"/>
  <c r="D747" i="3"/>
  <c r="D747" i="4" s="1"/>
  <c r="P747" i="3"/>
  <c r="P747" i="4" s="1"/>
  <c r="AB747" i="3"/>
  <c r="AB747" i="4" s="1"/>
  <c r="G748" i="3"/>
  <c r="G748" i="4" s="1"/>
  <c r="S748" i="3"/>
  <c r="S748" i="4" s="1"/>
  <c r="J749" i="3"/>
  <c r="J749" i="4" s="1"/>
  <c r="V749" i="3"/>
  <c r="V749" i="4" s="1"/>
  <c r="A750" i="3"/>
  <c r="A750" i="4" s="1"/>
  <c r="M750" i="3"/>
  <c r="M750" i="4" s="1"/>
  <c r="H217" i="3"/>
  <c r="H217" i="4" s="1"/>
  <c r="T217" i="3"/>
  <c r="T217" i="4" s="1"/>
  <c r="K218" i="3"/>
  <c r="K218" i="4" s="1"/>
  <c r="W218" i="3"/>
  <c r="W218" i="4" s="1"/>
  <c r="B219" i="3"/>
  <c r="B219" i="4" s="1"/>
  <c r="N219" i="3"/>
  <c r="N219" i="4" s="1"/>
  <c r="Z219" i="3"/>
  <c r="Z219" i="4" s="1"/>
  <c r="E220" i="3"/>
  <c r="E220" i="4" s="1"/>
  <c r="Q220" i="3"/>
  <c r="Q220" i="4" s="1"/>
  <c r="H221" i="3"/>
  <c r="H221" i="4" s="1"/>
  <c r="Q373" i="3"/>
  <c r="Q373" i="4" s="1"/>
  <c r="W375" i="3"/>
  <c r="W375" i="4" s="1"/>
  <c r="Z376" i="3"/>
  <c r="Z376" i="4" s="1"/>
  <c r="T378" i="3"/>
  <c r="T378" i="4" s="1"/>
  <c r="W379" i="3"/>
  <c r="W379" i="4" s="1"/>
  <c r="E381" i="3"/>
  <c r="E381" i="4" s="1"/>
  <c r="K383" i="3"/>
  <c r="K383" i="4" s="1"/>
  <c r="Z384" i="3"/>
  <c r="Z384" i="4" s="1"/>
  <c r="H386" i="3"/>
  <c r="H386" i="4" s="1"/>
  <c r="W387" i="3"/>
  <c r="W387" i="4" s="1"/>
  <c r="Z388" i="3"/>
  <c r="Z388" i="4" s="1"/>
  <c r="H390" i="3"/>
  <c r="H390" i="4" s="1"/>
  <c r="W391" i="3"/>
  <c r="W391" i="4" s="1"/>
  <c r="E393" i="3"/>
  <c r="E393" i="4" s="1"/>
  <c r="T394" i="3"/>
  <c r="T394" i="4" s="1"/>
  <c r="W395" i="3"/>
  <c r="W395" i="4" s="1"/>
  <c r="E397" i="3"/>
  <c r="E397" i="4" s="1"/>
  <c r="W399" i="3"/>
  <c r="W399" i="4" s="1"/>
  <c r="Z400" i="3"/>
  <c r="Z400" i="4" s="1"/>
  <c r="H402" i="3"/>
  <c r="H402" i="4" s="1"/>
  <c r="W403" i="3"/>
  <c r="W403" i="4" s="1"/>
  <c r="Z404" i="3"/>
  <c r="Z404" i="4" s="1"/>
  <c r="K407" i="3"/>
  <c r="K407" i="4" s="1"/>
  <c r="N408" i="3"/>
  <c r="N408" i="4" s="1"/>
  <c r="Q409" i="3"/>
  <c r="Q409" i="4" s="1"/>
  <c r="T410" i="3"/>
  <c r="T410" i="4" s="1"/>
  <c r="W411" i="3"/>
  <c r="W411" i="4" s="1"/>
  <c r="E413" i="3"/>
  <c r="E413" i="4" s="1"/>
  <c r="N416" i="3"/>
  <c r="N416" i="4" s="1"/>
  <c r="Q417" i="3"/>
  <c r="Q417" i="4" s="1"/>
  <c r="T418" i="3"/>
  <c r="T418" i="4" s="1"/>
  <c r="W419" i="3"/>
  <c r="W419" i="4" s="1"/>
  <c r="Z420" i="3"/>
  <c r="Z420" i="4" s="1"/>
  <c r="T422" i="3"/>
  <c r="T422" i="4" s="1"/>
  <c r="W423" i="3"/>
  <c r="W423" i="4" s="1"/>
  <c r="Z424" i="3"/>
  <c r="Z424" i="4" s="1"/>
  <c r="H426" i="3"/>
  <c r="H426" i="4" s="1"/>
  <c r="K427" i="3"/>
  <c r="K427" i="4" s="1"/>
  <c r="E429" i="3"/>
  <c r="E429" i="4" s="1"/>
  <c r="T430" i="3"/>
  <c r="T430" i="4" s="1"/>
  <c r="W431" i="3"/>
  <c r="W431" i="4" s="1"/>
  <c r="Z432" i="3"/>
  <c r="Z432" i="4" s="1"/>
  <c r="B436" i="3"/>
  <c r="B436" i="4" s="1"/>
  <c r="E437" i="3"/>
  <c r="E437" i="4" s="1"/>
  <c r="T438" i="3"/>
  <c r="T438" i="4" s="1"/>
  <c r="W439" i="3"/>
  <c r="W439" i="4" s="1"/>
  <c r="Z440" i="3"/>
  <c r="Z440" i="4" s="1"/>
  <c r="K443" i="3"/>
  <c r="K443" i="4" s="1"/>
  <c r="Z444" i="3"/>
  <c r="Z444" i="4" s="1"/>
  <c r="B448" i="3"/>
  <c r="B448" i="4" s="1"/>
  <c r="E449" i="3"/>
  <c r="E449" i="4" s="1"/>
  <c r="W451" i="3"/>
  <c r="W451" i="4" s="1"/>
  <c r="Z452" i="3"/>
  <c r="Z452" i="4" s="1"/>
  <c r="H454" i="3"/>
  <c r="H454" i="4" s="1"/>
  <c r="W455" i="3"/>
  <c r="W455" i="4" s="1"/>
  <c r="Z456" i="3"/>
  <c r="Z456" i="4" s="1"/>
  <c r="T458" i="3"/>
  <c r="T458" i="4" s="1"/>
  <c r="W459" i="3"/>
  <c r="W459" i="4" s="1"/>
  <c r="Z460" i="3"/>
  <c r="Z460" i="4" s="1"/>
  <c r="H462" i="3"/>
  <c r="H462" i="4" s="1"/>
  <c r="W463" i="3"/>
  <c r="W463" i="4" s="1"/>
  <c r="Z464" i="3"/>
  <c r="Z464" i="4" s="1"/>
  <c r="T466" i="3"/>
  <c r="T466" i="4" s="1"/>
  <c r="W467" i="3"/>
  <c r="W467" i="4" s="1"/>
  <c r="Z468" i="3"/>
  <c r="Z468" i="4" s="1"/>
  <c r="H470" i="3"/>
  <c r="H470" i="4" s="1"/>
  <c r="W471" i="3"/>
  <c r="W471" i="4" s="1"/>
  <c r="N472" i="3"/>
  <c r="N472" i="4" s="1"/>
  <c r="E473" i="3"/>
  <c r="E473" i="4" s="1"/>
  <c r="Q473" i="3"/>
  <c r="Q473" i="4" s="1"/>
  <c r="T474" i="3"/>
  <c r="T474" i="4" s="1"/>
  <c r="K475" i="3"/>
  <c r="K475" i="4" s="1"/>
  <c r="W475" i="3"/>
  <c r="W475" i="4" s="1"/>
  <c r="B476" i="3"/>
  <c r="B476" i="4" s="1"/>
  <c r="N476" i="3"/>
  <c r="N476" i="4" s="1"/>
  <c r="Z476" i="3"/>
  <c r="Z476" i="4" s="1"/>
  <c r="E477" i="3"/>
  <c r="E477" i="4" s="1"/>
  <c r="Q477" i="3"/>
  <c r="Q477" i="4" s="1"/>
  <c r="H478" i="3"/>
  <c r="H478" i="4" s="1"/>
  <c r="T478" i="3"/>
  <c r="T478" i="4" s="1"/>
  <c r="K479" i="3"/>
  <c r="K479" i="4" s="1"/>
  <c r="W479" i="3"/>
  <c r="W479" i="4" s="1"/>
  <c r="B480" i="3"/>
  <c r="B480" i="4" s="1"/>
  <c r="N480" i="3"/>
  <c r="N480" i="4" s="1"/>
  <c r="Z480" i="3"/>
  <c r="Z480" i="4" s="1"/>
  <c r="E481" i="3"/>
  <c r="E481" i="4" s="1"/>
  <c r="Q481" i="3"/>
  <c r="Q481" i="4" s="1"/>
  <c r="H482" i="3"/>
  <c r="H482" i="4" s="1"/>
  <c r="T482" i="3"/>
  <c r="T482" i="4" s="1"/>
  <c r="K483" i="3"/>
  <c r="K483" i="4" s="1"/>
  <c r="W483" i="3"/>
  <c r="W483" i="4" s="1"/>
  <c r="B484" i="3"/>
  <c r="B484" i="4" s="1"/>
  <c r="N484" i="3"/>
  <c r="N484" i="4" s="1"/>
  <c r="Z484" i="3"/>
  <c r="Z484" i="4" s="1"/>
  <c r="E485" i="3"/>
  <c r="E485" i="4" s="1"/>
  <c r="Q485" i="3"/>
  <c r="Q485" i="4" s="1"/>
  <c r="H486" i="3"/>
  <c r="H486" i="4" s="1"/>
  <c r="T486" i="3"/>
  <c r="T486" i="4" s="1"/>
  <c r="K487" i="3"/>
  <c r="K487" i="4" s="1"/>
  <c r="W487" i="3"/>
  <c r="W487" i="4" s="1"/>
  <c r="B488" i="3"/>
  <c r="B488" i="4" s="1"/>
  <c r="N488" i="3"/>
  <c r="N488" i="4" s="1"/>
  <c r="Z488" i="3"/>
  <c r="Z488" i="4" s="1"/>
  <c r="E489" i="3"/>
  <c r="E489" i="4" s="1"/>
  <c r="Q489" i="3"/>
  <c r="Q489" i="4" s="1"/>
  <c r="H490" i="3"/>
  <c r="H490" i="4" s="1"/>
  <c r="T490" i="3"/>
  <c r="T490" i="4" s="1"/>
  <c r="K491" i="3"/>
  <c r="K491" i="4" s="1"/>
  <c r="W491" i="3"/>
  <c r="W491" i="4" s="1"/>
  <c r="B492" i="3"/>
  <c r="B492" i="4" s="1"/>
  <c r="N492" i="3"/>
  <c r="N492" i="4" s="1"/>
  <c r="Z492" i="3"/>
  <c r="Z492" i="4" s="1"/>
  <c r="E493" i="3"/>
  <c r="E493" i="4" s="1"/>
  <c r="H494" i="3"/>
  <c r="H494" i="4" s="1"/>
  <c r="T494" i="3"/>
  <c r="T494" i="4" s="1"/>
  <c r="K495" i="3"/>
  <c r="K495" i="4" s="1"/>
  <c r="W495" i="3"/>
  <c r="W495" i="4" s="1"/>
  <c r="B496" i="3"/>
  <c r="B496" i="4" s="1"/>
  <c r="N496" i="3"/>
  <c r="N496" i="4" s="1"/>
  <c r="Z496" i="3"/>
  <c r="Z496" i="4" s="1"/>
  <c r="E497" i="3"/>
  <c r="E497" i="4" s="1"/>
  <c r="Q497" i="3"/>
  <c r="Q497" i="4" s="1"/>
  <c r="H498" i="3"/>
  <c r="H498" i="4" s="1"/>
  <c r="T498" i="3"/>
  <c r="T498" i="4" s="1"/>
  <c r="K499" i="3"/>
  <c r="K499" i="4" s="1"/>
  <c r="W499" i="3"/>
  <c r="W499" i="4" s="1"/>
  <c r="B500" i="3"/>
  <c r="B500" i="4" s="1"/>
  <c r="N500" i="3"/>
  <c r="N500" i="4" s="1"/>
  <c r="Z500" i="3"/>
  <c r="Z500" i="4" s="1"/>
  <c r="E501" i="3"/>
  <c r="E501" i="4" s="1"/>
  <c r="Q501" i="3"/>
  <c r="Q501" i="4" s="1"/>
  <c r="H502" i="3"/>
  <c r="H502" i="4" s="1"/>
  <c r="T502" i="3"/>
  <c r="T502" i="4" s="1"/>
  <c r="K503" i="3"/>
  <c r="K503" i="4" s="1"/>
  <c r="W503" i="3"/>
  <c r="W503" i="4" s="1"/>
  <c r="B504" i="3"/>
  <c r="B504" i="4" s="1"/>
  <c r="N504" i="3"/>
  <c r="N504" i="4" s="1"/>
  <c r="Z504" i="3"/>
  <c r="Z504" i="4" s="1"/>
  <c r="E505" i="3"/>
  <c r="E505" i="4" s="1"/>
  <c r="Q505" i="3"/>
  <c r="Q505" i="4" s="1"/>
  <c r="H506" i="3"/>
  <c r="H506" i="4" s="1"/>
  <c r="T506" i="3"/>
  <c r="T506" i="4" s="1"/>
  <c r="K507" i="3"/>
  <c r="K507" i="4" s="1"/>
  <c r="W507" i="3"/>
  <c r="W507" i="4" s="1"/>
  <c r="B508" i="3"/>
  <c r="B508" i="4" s="1"/>
  <c r="N508" i="3"/>
  <c r="N508" i="4" s="1"/>
  <c r="Z508" i="3"/>
  <c r="Z508" i="4" s="1"/>
  <c r="E509" i="3"/>
  <c r="E509" i="4" s="1"/>
  <c r="Q509" i="3"/>
  <c r="Q509" i="4" s="1"/>
  <c r="H510" i="3"/>
  <c r="H510" i="4" s="1"/>
  <c r="T510" i="3"/>
  <c r="T510" i="4" s="1"/>
  <c r="K511" i="3"/>
  <c r="K511" i="4" s="1"/>
  <c r="W511" i="3"/>
  <c r="W511" i="4" s="1"/>
  <c r="B512" i="3"/>
  <c r="B512" i="4" s="1"/>
  <c r="N512" i="3"/>
  <c r="N512" i="4" s="1"/>
  <c r="Z512" i="3"/>
  <c r="Z512" i="4" s="1"/>
  <c r="E513" i="3"/>
  <c r="E513" i="4" s="1"/>
  <c r="Q513" i="3"/>
  <c r="Q513" i="4" s="1"/>
  <c r="H514" i="3"/>
  <c r="H514" i="4" s="1"/>
  <c r="T514" i="3"/>
  <c r="T514" i="4" s="1"/>
  <c r="K515" i="3"/>
  <c r="K515" i="4" s="1"/>
  <c r="W515" i="3"/>
  <c r="W515" i="4" s="1"/>
  <c r="B516" i="3"/>
  <c r="B516" i="4" s="1"/>
  <c r="N516" i="3"/>
  <c r="N516" i="4" s="1"/>
  <c r="Z516" i="3"/>
  <c r="Z516" i="4" s="1"/>
  <c r="E517" i="3"/>
  <c r="E517" i="4" s="1"/>
  <c r="Q517" i="3"/>
  <c r="Q517" i="4" s="1"/>
  <c r="H518" i="3"/>
  <c r="H518" i="4" s="1"/>
  <c r="T518" i="3"/>
  <c r="T518" i="4" s="1"/>
  <c r="K519" i="3"/>
  <c r="K519" i="4" s="1"/>
  <c r="W519" i="3"/>
  <c r="W519" i="4" s="1"/>
  <c r="B520" i="3"/>
  <c r="B520" i="4" s="1"/>
  <c r="N520" i="3"/>
  <c r="N520" i="4" s="1"/>
  <c r="Z520" i="3"/>
  <c r="Z520" i="4" s="1"/>
  <c r="E521" i="3"/>
  <c r="E521" i="4" s="1"/>
  <c r="Q521" i="3"/>
  <c r="Q521" i="4" s="1"/>
  <c r="H522" i="3"/>
  <c r="H522" i="4" s="1"/>
  <c r="T522" i="3"/>
  <c r="T522" i="4" s="1"/>
  <c r="K523" i="3"/>
  <c r="K523" i="4" s="1"/>
  <c r="W523" i="3"/>
  <c r="W523" i="4" s="1"/>
  <c r="B524" i="3"/>
  <c r="B524" i="4" s="1"/>
  <c r="N524" i="3"/>
  <c r="N524" i="4" s="1"/>
  <c r="Z524" i="3"/>
  <c r="Z524" i="4" s="1"/>
  <c r="E525" i="3"/>
  <c r="E525" i="4" s="1"/>
  <c r="Q525" i="3"/>
  <c r="Q525" i="4" s="1"/>
  <c r="H526" i="3"/>
  <c r="H526" i="4" s="1"/>
  <c r="T526" i="3"/>
  <c r="T526" i="4" s="1"/>
  <c r="K527" i="3"/>
  <c r="K527" i="4" s="1"/>
  <c r="W527" i="3"/>
  <c r="W527" i="4" s="1"/>
  <c r="B528" i="3"/>
  <c r="B528" i="4" s="1"/>
  <c r="N528" i="3"/>
  <c r="N528" i="4" s="1"/>
  <c r="Z528" i="3"/>
  <c r="Z528" i="4" s="1"/>
  <c r="E529" i="3"/>
  <c r="E529" i="4" s="1"/>
  <c r="Q529" i="3"/>
  <c r="Q529" i="4" s="1"/>
  <c r="H530" i="3"/>
  <c r="H530" i="4" s="1"/>
  <c r="T530" i="3"/>
  <c r="T530" i="4" s="1"/>
  <c r="K531" i="3"/>
  <c r="K531" i="4" s="1"/>
  <c r="W531" i="3"/>
  <c r="W531" i="4" s="1"/>
  <c r="B532" i="3"/>
  <c r="B532" i="4" s="1"/>
  <c r="N532" i="3"/>
  <c r="N532" i="4" s="1"/>
  <c r="Z532" i="3"/>
  <c r="Z532" i="4" s="1"/>
  <c r="E533" i="3"/>
  <c r="E533" i="4" s="1"/>
  <c r="Q533" i="3"/>
  <c r="Q533" i="4" s="1"/>
  <c r="H534" i="3"/>
  <c r="H534" i="4" s="1"/>
  <c r="T534" i="3"/>
  <c r="T534" i="4" s="1"/>
  <c r="K535" i="3"/>
  <c r="K535" i="4" s="1"/>
  <c r="W535" i="3"/>
  <c r="W535" i="4" s="1"/>
  <c r="B536" i="3"/>
  <c r="B536" i="4" s="1"/>
  <c r="N536" i="3"/>
  <c r="N536" i="4" s="1"/>
  <c r="Z536" i="3"/>
  <c r="Z536" i="4" s="1"/>
  <c r="E537" i="3"/>
  <c r="E537" i="4" s="1"/>
  <c r="Q537" i="3"/>
  <c r="Q537" i="4" s="1"/>
  <c r="H538" i="3"/>
  <c r="H538" i="4" s="1"/>
  <c r="T538" i="3"/>
  <c r="T538" i="4" s="1"/>
  <c r="K539" i="3"/>
  <c r="K539" i="4" s="1"/>
  <c r="W539" i="3"/>
  <c r="W539" i="4" s="1"/>
  <c r="B540" i="3"/>
  <c r="B540" i="4" s="1"/>
  <c r="N540" i="3"/>
  <c r="N540" i="4" s="1"/>
  <c r="Z540" i="3"/>
  <c r="Z540" i="4" s="1"/>
  <c r="E541" i="3"/>
  <c r="E541" i="4" s="1"/>
  <c r="Q541" i="3"/>
  <c r="Q541" i="4" s="1"/>
  <c r="H542" i="3"/>
  <c r="H542" i="4" s="1"/>
  <c r="T542" i="3"/>
  <c r="T542" i="4" s="1"/>
  <c r="K543" i="3"/>
  <c r="K543" i="4" s="1"/>
  <c r="W543" i="3"/>
  <c r="W543" i="4" s="1"/>
  <c r="B544" i="3"/>
  <c r="B544" i="4" s="1"/>
  <c r="N544" i="3"/>
  <c r="N544" i="4" s="1"/>
  <c r="Z544" i="3"/>
  <c r="Z544" i="4" s="1"/>
  <c r="E545" i="3"/>
  <c r="E545" i="4" s="1"/>
  <c r="Q545" i="3"/>
  <c r="Q545" i="4" s="1"/>
  <c r="H546" i="3"/>
  <c r="H546" i="4" s="1"/>
  <c r="T546" i="3"/>
  <c r="T546" i="4" s="1"/>
  <c r="K547" i="3"/>
  <c r="K547" i="4" s="1"/>
  <c r="W547" i="3"/>
  <c r="W547" i="4" s="1"/>
  <c r="B548" i="3"/>
  <c r="B548" i="4" s="1"/>
  <c r="N548" i="3"/>
  <c r="N548" i="4" s="1"/>
  <c r="Z548" i="3"/>
  <c r="Z548" i="4" s="1"/>
  <c r="E549" i="3"/>
  <c r="E549" i="4" s="1"/>
  <c r="Q549" i="3"/>
  <c r="Q549" i="4" s="1"/>
  <c r="H550" i="3"/>
  <c r="H550" i="4" s="1"/>
  <c r="T550" i="3"/>
  <c r="T550" i="4" s="1"/>
  <c r="K551" i="3"/>
  <c r="K551" i="4" s="1"/>
  <c r="W551" i="3"/>
  <c r="W551" i="4" s="1"/>
  <c r="B552" i="3"/>
  <c r="B552" i="4" s="1"/>
  <c r="N552" i="3"/>
  <c r="N552" i="4" s="1"/>
  <c r="Z552" i="3"/>
  <c r="Z552" i="4" s="1"/>
  <c r="E553" i="3"/>
  <c r="E553" i="4" s="1"/>
  <c r="Q553" i="3"/>
  <c r="Q553" i="4" s="1"/>
  <c r="H554" i="3"/>
  <c r="H554" i="4" s="1"/>
  <c r="T554" i="3"/>
  <c r="T554" i="4" s="1"/>
  <c r="K555" i="3"/>
  <c r="K555" i="4" s="1"/>
  <c r="W555" i="3"/>
  <c r="W555" i="4" s="1"/>
  <c r="B556" i="3"/>
  <c r="B556" i="4" s="1"/>
  <c r="N556" i="3"/>
  <c r="N556" i="4" s="1"/>
  <c r="Z556" i="3"/>
  <c r="Z556" i="4" s="1"/>
  <c r="E557" i="3"/>
  <c r="E557" i="4" s="1"/>
  <c r="Q557" i="3"/>
  <c r="Q557" i="4" s="1"/>
  <c r="H558" i="3"/>
  <c r="H558" i="4" s="1"/>
  <c r="T558" i="3"/>
  <c r="T558" i="4" s="1"/>
  <c r="K559" i="3"/>
  <c r="K559" i="4" s="1"/>
  <c r="W559" i="3"/>
  <c r="W559" i="4" s="1"/>
  <c r="B560" i="3"/>
  <c r="B560" i="4" s="1"/>
  <c r="N560" i="3"/>
  <c r="N560" i="4" s="1"/>
  <c r="Z560" i="3"/>
  <c r="Z560" i="4" s="1"/>
  <c r="E561" i="3"/>
  <c r="E561" i="4" s="1"/>
  <c r="Q561" i="3"/>
  <c r="Q561" i="4" s="1"/>
  <c r="H562" i="3"/>
  <c r="H562" i="4" s="1"/>
  <c r="T562" i="3"/>
  <c r="T562" i="4" s="1"/>
  <c r="K563" i="3"/>
  <c r="K563" i="4" s="1"/>
  <c r="W563" i="3"/>
  <c r="W563" i="4" s="1"/>
  <c r="B564" i="3"/>
  <c r="B564" i="4" s="1"/>
  <c r="N564" i="3"/>
  <c r="N564" i="4" s="1"/>
  <c r="Z564" i="3"/>
  <c r="Z564" i="4" s="1"/>
  <c r="E565" i="3"/>
  <c r="E565" i="4" s="1"/>
  <c r="Q565" i="3"/>
  <c r="Q565" i="4" s="1"/>
  <c r="H566" i="3"/>
  <c r="H566" i="4" s="1"/>
  <c r="T566" i="3"/>
  <c r="T566" i="4" s="1"/>
  <c r="K567" i="3"/>
  <c r="K567" i="4" s="1"/>
  <c r="W567" i="3"/>
  <c r="W567" i="4" s="1"/>
  <c r="B568" i="3"/>
  <c r="B568" i="4" s="1"/>
  <c r="N568" i="3"/>
  <c r="N568" i="4" s="1"/>
  <c r="Z568" i="3"/>
  <c r="Z568" i="4" s="1"/>
  <c r="E569" i="3"/>
  <c r="E569" i="4" s="1"/>
  <c r="Q569" i="3"/>
  <c r="Q569" i="4" s="1"/>
  <c r="H570" i="3"/>
  <c r="H570" i="4" s="1"/>
  <c r="T570" i="3"/>
  <c r="T570" i="4" s="1"/>
  <c r="K571" i="3"/>
  <c r="K571" i="4" s="1"/>
  <c r="W571" i="3"/>
  <c r="W571" i="4" s="1"/>
  <c r="B572" i="3"/>
  <c r="B572" i="4" s="1"/>
  <c r="N572" i="3"/>
  <c r="N572" i="4" s="1"/>
  <c r="Z572" i="3"/>
  <c r="Z572" i="4" s="1"/>
  <c r="E573" i="3"/>
  <c r="E573" i="4" s="1"/>
  <c r="Q573" i="3"/>
  <c r="Q573" i="4" s="1"/>
  <c r="H574" i="3"/>
  <c r="H574" i="4" s="1"/>
  <c r="T574" i="3"/>
  <c r="T574" i="4" s="1"/>
  <c r="K575" i="3"/>
  <c r="K575" i="4" s="1"/>
  <c r="W575" i="3"/>
  <c r="W575" i="4" s="1"/>
  <c r="B576" i="3"/>
  <c r="B576" i="4" s="1"/>
  <c r="N576" i="3"/>
  <c r="N576" i="4" s="1"/>
  <c r="Z576" i="3"/>
  <c r="Z576" i="4" s="1"/>
  <c r="E577" i="3"/>
  <c r="E577" i="4" s="1"/>
  <c r="Q577" i="3"/>
  <c r="Q577" i="4" s="1"/>
  <c r="H578" i="3"/>
  <c r="H578" i="4" s="1"/>
  <c r="T578" i="3"/>
  <c r="T578" i="4" s="1"/>
  <c r="Z372" i="3"/>
  <c r="Z372" i="4" s="1"/>
  <c r="H374" i="3"/>
  <c r="H374" i="4" s="1"/>
  <c r="K375" i="3"/>
  <c r="K375" i="4" s="1"/>
  <c r="B376" i="3"/>
  <c r="B376" i="4" s="1"/>
  <c r="E377" i="3"/>
  <c r="E377" i="4" s="1"/>
  <c r="H378" i="3"/>
  <c r="H378" i="4" s="1"/>
  <c r="K379" i="3"/>
  <c r="K379" i="4" s="1"/>
  <c r="N380" i="3"/>
  <c r="N380" i="4" s="1"/>
  <c r="Q381" i="3"/>
  <c r="Q381" i="4" s="1"/>
  <c r="T382" i="3"/>
  <c r="T382" i="4" s="1"/>
  <c r="B384" i="3"/>
  <c r="B384" i="4" s="1"/>
  <c r="E385" i="3"/>
  <c r="E385" i="4" s="1"/>
  <c r="K387" i="3"/>
  <c r="K387" i="4" s="1"/>
  <c r="N388" i="3"/>
  <c r="N388" i="4" s="1"/>
  <c r="Q389" i="3"/>
  <c r="Q389" i="4" s="1"/>
  <c r="T390" i="3"/>
  <c r="T390" i="4" s="1"/>
  <c r="B392" i="3"/>
  <c r="B392" i="4" s="1"/>
  <c r="Z392" i="3"/>
  <c r="Z392" i="4" s="1"/>
  <c r="H394" i="3"/>
  <c r="H394" i="4" s="1"/>
  <c r="B396" i="3"/>
  <c r="B396" i="4" s="1"/>
  <c r="Z396" i="3"/>
  <c r="Z396" i="4" s="1"/>
  <c r="H398" i="3"/>
  <c r="H398" i="4" s="1"/>
  <c r="K399" i="3"/>
  <c r="K399" i="4" s="1"/>
  <c r="N400" i="3"/>
  <c r="N400" i="4" s="1"/>
  <c r="Q401" i="3"/>
  <c r="Q401" i="4" s="1"/>
  <c r="T402" i="3"/>
  <c r="T402" i="4" s="1"/>
  <c r="B404" i="3"/>
  <c r="B404" i="4" s="1"/>
  <c r="E405" i="3"/>
  <c r="E405" i="4" s="1"/>
  <c r="H406" i="3"/>
  <c r="H406" i="4" s="1"/>
  <c r="B408" i="3"/>
  <c r="B408" i="4" s="1"/>
  <c r="Z408" i="3"/>
  <c r="Z408" i="4" s="1"/>
  <c r="K411" i="3"/>
  <c r="K411" i="4" s="1"/>
  <c r="N412" i="3"/>
  <c r="N412" i="4" s="1"/>
  <c r="Q413" i="3"/>
  <c r="Q413" i="4" s="1"/>
  <c r="T414" i="3"/>
  <c r="T414" i="4" s="1"/>
  <c r="W415" i="3"/>
  <c r="W415" i="4" s="1"/>
  <c r="Z416" i="3"/>
  <c r="Z416" i="4" s="1"/>
  <c r="K419" i="3"/>
  <c r="K419" i="4" s="1"/>
  <c r="N420" i="3"/>
  <c r="N420" i="4" s="1"/>
  <c r="Q421" i="3"/>
  <c r="Q421" i="4" s="1"/>
  <c r="K423" i="3"/>
  <c r="K423" i="4" s="1"/>
  <c r="B424" i="3"/>
  <c r="B424" i="4" s="1"/>
  <c r="E425" i="3"/>
  <c r="E425" i="4" s="1"/>
  <c r="W427" i="3"/>
  <c r="W427" i="4" s="1"/>
  <c r="Z428" i="3"/>
  <c r="Z428" i="4" s="1"/>
  <c r="H430" i="3"/>
  <c r="H430" i="4" s="1"/>
  <c r="B432" i="3"/>
  <c r="B432" i="4" s="1"/>
  <c r="Q433" i="3"/>
  <c r="Q433" i="4" s="1"/>
  <c r="T434" i="3"/>
  <c r="T434" i="4" s="1"/>
  <c r="W435" i="3"/>
  <c r="W435" i="4" s="1"/>
  <c r="Z436" i="3"/>
  <c r="Z436" i="4" s="1"/>
  <c r="H438" i="3"/>
  <c r="H438" i="4" s="1"/>
  <c r="B440" i="3"/>
  <c r="B440" i="4" s="1"/>
  <c r="E441" i="3"/>
  <c r="E441" i="4" s="1"/>
  <c r="H442" i="3"/>
  <c r="H442" i="4" s="1"/>
  <c r="B444" i="3"/>
  <c r="B444" i="4" s="1"/>
  <c r="E445" i="3"/>
  <c r="E445" i="4" s="1"/>
  <c r="T446" i="3"/>
  <c r="T446" i="4" s="1"/>
  <c r="W447" i="3"/>
  <c r="W447" i="4" s="1"/>
  <c r="Z448" i="3"/>
  <c r="Z448" i="4" s="1"/>
  <c r="H450" i="3"/>
  <c r="H450" i="4" s="1"/>
  <c r="K451" i="3"/>
  <c r="K451" i="4" s="1"/>
  <c r="N452" i="3"/>
  <c r="N452" i="4" s="1"/>
  <c r="Q453" i="3"/>
  <c r="Q453" i="4" s="1"/>
  <c r="T454" i="3"/>
  <c r="T454" i="4" s="1"/>
  <c r="B456" i="3"/>
  <c r="B456" i="4" s="1"/>
  <c r="E457" i="3"/>
  <c r="E457" i="4" s="1"/>
  <c r="H458" i="3"/>
  <c r="H458" i="4" s="1"/>
  <c r="K459" i="3"/>
  <c r="K459" i="4" s="1"/>
  <c r="N460" i="3"/>
  <c r="N460" i="4" s="1"/>
  <c r="Q461" i="3"/>
  <c r="Q461" i="4" s="1"/>
  <c r="K463" i="3"/>
  <c r="K463" i="4" s="1"/>
  <c r="N464" i="3"/>
  <c r="N464" i="4" s="1"/>
  <c r="Q465" i="3"/>
  <c r="Q465" i="4" s="1"/>
  <c r="K467" i="3"/>
  <c r="K467" i="4" s="1"/>
  <c r="B468" i="3"/>
  <c r="B468" i="4" s="1"/>
  <c r="E469" i="3"/>
  <c r="E469" i="4" s="1"/>
  <c r="K471" i="3"/>
  <c r="K471" i="4" s="1"/>
  <c r="B472" i="3"/>
  <c r="B472" i="4" s="1"/>
  <c r="H474" i="3"/>
  <c r="H474" i="4" s="1"/>
  <c r="E373" i="3"/>
  <c r="E373" i="4" s="1"/>
  <c r="T374" i="3"/>
  <c r="T374" i="4" s="1"/>
  <c r="N376" i="3"/>
  <c r="N376" i="4" s="1"/>
  <c r="Q377" i="3"/>
  <c r="Q377" i="4" s="1"/>
  <c r="B380" i="3"/>
  <c r="B380" i="4" s="1"/>
  <c r="Z380" i="3"/>
  <c r="Z380" i="4" s="1"/>
  <c r="H382" i="3"/>
  <c r="H382" i="4" s="1"/>
  <c r="W383" i="3"/>
  <c r="W383" i="4" s="1"/>
  <c r="N384" i="3"/>
  <c r="N384" i="4" s="1"/>
  <c r="Q385" i="3"/>
  <c r="Q385" i="4" s="1"/>
  <c r="T386" i="3"/>
  <c r="T386" i="4" s="1"/>
  <c r="B388" i="3"/>
  <c r="B388" i="4" s="1"/>
  <c r="E389" i="3"/>
  <c r="E389" i="4" s="1"/>
  <c r="K391" i="3"/>
  <c r="K391" i="4" s="1"/>
  <c r="N392" i="3"/>
  <c r="N392" i="4" s="1"/>
  <c r="Q393" i="3"/>
  <c r="Q393" i="4" s="1"/>
  <c r="K395" i="3"/>
  <c r="K395" i="4" s="1"/>
  <c r="N396" i="3"/>
  <c r="N396" i="4" s="1"/>
  <c r="Q397" i="3"/>
  <c r="Q397" i="4" s="1"/>
  <c r="T398" i="3"/>
  <c r="T398" i="4" s="1"/>
  <c r="B400" i="3"/>
  <c r="B400" i="4" s="1"/>
  <c r="E401" i="3"/>
  <c r="E401" i="4" s="1"/>
  <c r="K403" i="3"/>
  <c r="K403" i="4" s="1"/>
  <c r="N404" i="3"/>
  <c r="N404" i="4" s="1"/>
  <c r="Q405" i="3"/>
  <c r="Q405" i="4" s="1"/>
  <c r="T406" i="3"/>
  <c r="T406" i="4" s="1"/>
  <c r="W407" i="3"/>
  <c r="W407" i="4" s="1"/>
  <c r="E409" i="3"/>
  <c r="E409" i="4" s="1"/>
  <c r="H410" i="3"/>
  <c r="H410" i="4" s="1"/>
  <c r="B412" i="3"/>
  <c r="B412" i="4" s="1"/>
  <c r="Z412" i="3"/>
  <c r="Z412" i="4" s="1"/>
  <c r="H414" i="3"/>
  <c r="H414" i="4" s="1"/>
  <c r="K415" i="3"/>
  <c r="K415" i="4" s="1"/>
  <c r="B416" i="3"/>
  <c r="B416" i="4" s="1"/>
  <c r="E417" i="3"/>
  <c r="E417" i="4" s="1"/>
  <c r="H418" i="3"/>
  <c r="H418" i="4" s="1"/>
  <c r="B420" i="3"/>
  <c r="B420" i="4" s="1"/>
  <c r="E421" i="3"/>
  <c r="E421" i="4" s="1"/>
  <c r="H422" i="3"/>
  <c r="H422" i="4" s="1"/>
  <c r="N424" i="3"/>
  <c r="N424" i="4" s="1"/>
  <c r="Q425" i="3"/>
  <c r="Q425" i="4" s="1"/>
  <c r="T426" i="3"/>
  <c r="T426" i="4" s="1"/>
  <c r="B428" i="3"/>
  <c r="B428" i="4" s="1"/>
  <c r="N428" i="3"/>
  <c r="N428" i="4" s="1"/>
  <c r="Q429" i="3"/>
  <c r="Q429" i="4" s="1"/>
  <c r="K431" i="3"/>
  <c r="K431" i="4" s="1"/>
  <c r="N432" i="3"/>
  <c r="N432" i="4" s="1"/>
  <c r="E433" i="3"/>
  <c r="E433" i="4" s="1"/>
  <c r="H434" i="3"/>
  <c r="H434" i="4" s="1"/>
  <c r="K435" i="3"/>
  <c r="K435" i="4" s="1"/>
  <c r="N436" i="3"/>
  <c r="N436" i="4" s="1"/>
  <c r="Q437" i="3"/>
  <c r="Q437" i="4" s="1"/>
  <c r="K439" i="3"/>
  <c r="K439" i="4" s="1"/>
  <c r="N440" i="3"/>
  <c r="N440" i="4" s="1"/>
  <c r="Q441" i="3"/>
  <c r="Q441" i="4" s="1"/>
  <c r="T442" i="3"/>
  <c r="T442" i="4" s="1"/>
  <c r="W443" i="3"/>
  <c r="W443" i="4" s="1"/>
  <c r="N444" i="3"/>
  <c r="N444" i="4" s="1"/>
  <c r="Q445" i="3"/>
  <c r="Q445" i="4" s="1"/>
  <c r="H446" i="3"/>
  <c r="H446" i="4" s="1"/>
  <c r="K447" i="3"/>
  <c r="K447" i="4" s="1"/>
  <c r="N448" i="3"/>
  <c r="N448" i="4" s="1"/>
  <c r="Q449" i="3"/>
  <c r="Q449" i="4" s="1"/>
  <c r="T450" i="3"/>
  <c r="T450" i="4" s="1"/>
  <c r="B452" i="3"/>
  <c r="B452" i="4" s="1"/>
  <c r="E453" i="3"/>
  <c r="E453" i="4" s="1"/>
  <c r="K455" i="3"/>
  <c r="K455" i="4" s="1"/>
  <c r="N456" i="3"/>
  <c r="N456" i="4" s="1"/>
  <c r="Q457" i="3"/>
  <c r="Q457" i="4" s="1"/>
  <c r="B460" i="3"/>
  <c r="B460" i="4" s="1"/>
  <c r="E461" i="3"/>
  <c r="E461" i="4" s="1"/>
  <c r="T462" i="3"/>
  <c r="T462" i="4" s="1"/>
  <c r="B464" i="3"/>
  <c r="B464" i="4" s="1"/>
  <c r="E465" i="3"/>
  <c r="E465" i="4" s="1"/>
  <c r="H466" i="3"/>
  <c r="H466" i="4" s="1"/>
  <c r="N468" i="3"/>
  <c r="N468" i="4" s="1"/>
  <c r="Q469" i="3"/>
  <c r="Q469" i="4" s="1"/>
  <c r="T470" i="3"/>
  <c r="T470" i="4" s="1"/>
  <c r="Z472" i="3"/>
  <c r="Z472" i="4" s="1"/>
  <c r="Q493" i="3"/>
  <c r="Q493" i="4" s="1"/>
  <c r="T753" i="3"/>
  <c r="T753" i="4" s="1"/>
  <c r="B752" i="3"/>
  <c r="B752" i="4" s="1"/>
  <c r="AA752" i="3"/>
  <c r="AA752" i="4" s="1"/>
  <c r="H753" i="3"/>
  <c r="H753" i="4" s="1"/>
  <c r="K579" i="3"/>
  <c r="K579" i="4" s="1"/>
  <c r="W579" i="3"/>
  <c r="W579" i="4" s="1"/>
  <c r="B580" i="3"/>
  <c r="B580" i="4" s="1"/>
  <c r="N580" i="3"/>
  <c r="N580" i="4" s="1"/>
  <c r="Z580" i="3"/>
  <c r="Z580" i="4" s="1"/>
  <c r="E581" i="3"/>
  <c r="E581" i="4" s="1"/>
  <c r="Q581" i="3"/>
  <c r="Q581" i="4" s="1"/>
  <c r="H582" i="3"/>
  <c r="H582" i="4" s="1"/>
  <c r="T582" i="3"/>
  <c r="T582" i="4" s="1"/>
  <c r="K583" i="3"/>
  <c r="K583" i="4" s="1"/>
  <c r="W583" i="3"/>
  <c r="W583" i="4" s="1"/>
  <c r="B584" i="3"/>
  <c r="B584" i="4" s="1"/>
  <c r="N584" i="3"/>
  <c r="N584" i="4" s="1"/>
  <c r="Z584" i="3"/>
  <c r="Z584" i="4" s="1"/>
  <c r="E585" i="3"/>
  <c r="E585" i="4" s="1"/>
  <c r="Q585" i="3"/>
  <c r="Q585" i="4" s="1"/>
  <c r="H586" i="3"/>
  <c r="H586" i="4" s="1"/>
  <c r="T586" i="3"/>
  <c r="T586" i="4" s="1"/>
  <c r="K587" i="3"/>
  <c r="K587" i="4" s="1"/>
  <c r="W587" i="3"/>
  <c r="W587" i="4" s="1"/>
  <c r="B588" i="3"/>
  <c r="B588" i="4" s="1"/>
  <c r="N588" i="3"/>
  <c r="N588" i="4" s="1"/>
  <c r="Z588" i="3"/>
  <c r="Z588" i="4" s="1"/>
  <c r="E589" i="3"/>
  <c r="E589" i="4" s="1"/>
  <c r="Q589" i="3"/>
  <c r="Q589" i="4" s="1"/>
  <c r="H590" i="3"/>
  <c r="H590" i="4" s="1"/>
  <c r="T590" i="3"/>
  <c r="T590" i="4" s="1"/>
  <c r="K591" i="3"/>
  <c r="K591" i="4" s="1"/>
  <c r="W591" i="3"/>
  <c r="W591" i="4" s="1"/>
  <c r="B592" i="3"/>
  <c r="B592" i="4" s="1"/>
  <c r="N592" i="3"/>
  <c r="N592" i="4" s="1"/>
  <c r="Z592" i="3"/>
  <c r="Z592" i="4" s="1"/>
  <c r="E593" i="3"/>
  <c r="E593" i="4" s="1"/>
  <c r="Q593" i="3"/>
  <c r="Q593" i="4" s="1"/>
  <c r="H594" i="3"/>
  <c r="H594" i="4" s="1"/>
  <c r="T594" i="3"/>
  <c r="T594" i="4" s="1"/>
  <c r="K595" i="3"/>
  <c r="K595" i="4" s="1"/>
  <c r="W595" i="3"/>
  <c r="W595" i="4" s="1"/>
  <c r="B596" i="3"/>
  <c r="B596" i="4" s="1"/>
  <c r="N596" i="3"/>
  <c r="N596" i="4" s="1"/>
  <c r="Z596" i="3"/>
  <c r="Z596" i="4" s="1"/>
  <c r="E597" i="3"/>
  <c r="E597" i="4" s="1"/>
  <c r="Q597" i="3"/>
  <c r="Q597" i="4" s="1"/>
  <c r="H598" i="3"/>
  <c r="H598" i="4" s="1"/>
  <c r="T598" i="3"/>
  <c r="T598" i="4" s="1"/>
  <c r="K599" i="3"/>
  <c r="K599" i="4" s="1"/>
  <c r="W599" i="3"/>
  <c r="W599" i="4" s="1"/>
  <c r="B600" i="3"/>
  <c r="B600" i="4" s="1"/>
  <c r="N600" i="3"/>
  <c r="N600" i="4" s="1"/>
  <c r="Z600" i="3"/>
  <c r="Z600" i="4" s="1"/>
  <c r="E601" i="3"/>
  <c r="E601" i="4" s="1"/>
  <c r="Q601" i="3"/>
  <c r="Q601" i="4" s="1"/>
  <c r="H602" i="3"/>
  <c r="H602" i="4" s="1"/>
  <c r="T602" i="3"/>
  <c r="T602" i="4" s="1"/>
  <c r="K603" i="3"/>
  <c r="K603" i="4" s="1"/>
  <c r="W603" i="3"/>
  <c r="W603" i="4" s="1"/>
  <c r="B604" i="3"/>
  <c r="B604" i="4" s="1"/>
  <c r="N604" i="3"/>
  <c r="N604" i="4" s="1"/>
  <c r="Z604" i="3"/>
  <c r="Z604" i="4" s="1"/>
  <c r="E605" i="3"/>
  <c r="E605" i="4" s="1"/>
  <c r="Q605" i="3"/>
  <c r="Q605" i="4" s="1"/>
  <c r="H606" i="3"/>
  <c r="H606" i="4" s="1"/>
  <c r="T606" i="3"/>
  <c r="T606" i="4" s="1"/>
  <c r="K607" i="3"/>
  <c r="K607" i="4" s="1"/>
  <c r="W607" i="3"/>
  <c r="W607" i="4" s="1"/>
  <c r="B608" i="3"/>
  <c r="B608" i="4" s="1"/>
  <c r="N608" i="3"/>
  <c r="N608" i="4" s="1"/>
  <c r="Z608" i="3"/>
  <c r="Z608" i="4" s="1"/>
  <c r="E609" i="3"/>
  <c r="E609" i="4" s="1"/>
  <c r="Q609" i="3"/>
  <c r="Q609" i="4" s="1"/>
  <c r="H610" i="3"/>
  <c r="H610" i="4" s="1"/>
  <c r="T610" i="3"/>
  <c r="T610" i="4" s="1"/>
  <c r="K611" i="3"/>
  <c r="K611" i="4" s="1"/>
  <c r="W611" i="3"/>
  <c r="W611" i="4" s="1"/>
  <c r="B612" i="3"/>
  <c r="B612" i="4" s="1"/>
  <c r="N612" i="3"/>
  <c r="N612" i="4" s="1"/>
  <c r="Z612" i="3"/>
  <c r="Z612" i="4" s="1"/>
  <c r="E613" i="3"/>
  <c r="E613" i="4" s="1"/>
  <c r="Q613" i="3"/>
  <c r="Q613" i="4" s="1"/>
  <c r="H614" i="3"/>
  <c r="H614" i="4" s="1"/>
  <c r="T614" i="3"/>
  <c r="T614" i="4" s="1"/>
  <c r="K615" i="3"/>
  <c r="K615" i="4" s="1"/>
  <c r="W615" i="3"/>
  <c r="W615" i="4" s="1"/>
  <c r="B616" i="3"/>
  <c r="B616" i="4" s="1"/>
  <c r="N616" i="3"/>
  <c r="N616" i="4" s="1"/>
  <c r="Z616" i="3"/>
  <c r="Z616" i="4" s="1"/>
  <c r="E617" i="3"/>
  <c r="E617" i="4" s="1"/>
  <c r="Q617" i="3"/>
  <c r="Q617" i="4" s="1"/>
  <c r="H618" i="3"/>
  <c r="H618" i="4" s="1"/>
  <c r="T618" i="3"/>
  <c r="T618" i="4" s="1"/>
  <c r="K619" i="3"/>
  <c r="K619" i="4" s="1"/>
  <c r="W619" i="3"/>
  <c r="W619" i="4" s="1"/>
  <c r="B620" i="3"/>
  <c r="B620" i="4" s="1"/>
  <c r="N620" i="3"/>
  <c r="N620" i="4" s="1"/>
  <c r="Z620" i="3"/>
  <c r="Z620" i="4" s="1"/>
  <c r="E621" i="3"/>
  <c r="E621" i="4" s="1"/>
  <c r="Q621" i="3"/>
  <c r="Q621" i="4" s="1"/>
  <c r="H622" i="3"/>
  <c r="H622" i="4" s="1"/>
  <c r="T622" i="3"/>
  <c r="T622" i="4" s="1"/>
  <c r="K623" i="3"/>
  <c r="K623" i="4" s="1"/>
  <c r="W623" i="3"/>
  <c r="W623" i="4" s="1"/>
  <c r="B624" i="3"/>
  <c r="B624" i="4" s="1"/>
  <c r="N624" i="3"/>
  <c r="N624" i="4" s="1"/>
  <c r="Z624" i="3"/>
  <c r="Z624" i="4" s="1"/>
  <c r="E625" i="3"/>
  <c r="E625" i="4" s="1"/>
  <c r="Q625" i="3"/>
  <c r="Q625" i="4" s="1"/>
  <c r="H626" i="3"/>
  <c r="H626" i="4" s="1"/>
  <c r="T626" i="3"/>
  <c r="T626" i="4" s="1"/>
  <c r="K627" i="3"/>
  <c r="K627" i="4" s="1"/>
  <c r="W627" i="3"/>
  <c r="W627" i="4" s="1"/>
  <c r="B628" i="3"/>
  <c r="B628" i="4" s="1"/>
  <c r="N628" i="3"/>
  <c r="N628" i="4" s="1"/>
  <c r="Z628" i="3"/>
  <c r="Z628" i="4" s="1"/>
  <c r="E629" i="3"/>
  <c r="E629" i="4" s="1"/>
  <c r="Q629" i="3"/>
  <c r="Q629" i="4" s="1"/>
  <c r="H630" i="3"/>
  <c r="H630" i="4" s="1"/>
  <c r="T630" i="3"/>
  <c r="T630" i="4" s="1"/>
  <c r="K631" i="3"/>
  <c r="K631" i="4" s="1"/>
  <c r="W631" i="3"/>
  <c r="W631" i="4" s="1"/>
  <c r="B632" i="3"/>
  <c r="B632" i="4" s="1"/>
  <c r="N632" i="3"/>
  <c r="N632" i="4" s="1"/>
  <c r="Z632" i="3"/>
  <c r="Z632" i="4" s="1"/>
  <c r="E633" i="3"/>
  <c r="E633" i="4" s="1"/>
  <c r="Q633" i="3"/>
  <c r="Q633" i="4" s="1"/>
  <c r="H634" i="3"/>
  <c r="H634" i="4" s="1"/>
  <c r="T634" i="3"/>
  <c r="T634" i="4" s="1"/>
  <c r="K635" i="3"/>
  <c r="K635" i="4" s="1"/>
  <c r="W635" i="3"/>
  <c r="W635" i="4" s="1"/>
  <c r="B636" i="3"/>
  <c r="B636" i="4" s="1"/>
  <c r="N636" i="3"/>
  <c r="N636" i="4" s="1"/>
  <c r="Z636" i="3"/>
  <c r="Z636" i="4" s="1"/>
  <c r="E637" i="3"/>
  <c r="E637" i="4" s="1"/>
  <c r="Q637" i="3"/>
  <c r="Q637" i="4" s="1"/>
  <c r="H638" i="3"/>
  <c r="H638" i="4" s="1"/>
  <c r="T638" i="3"/>
  <c r="T638" i="4" s="1"/>
  <c r="K639" i="3"/>
  <c r="K639" i="4" s="1"/>
  <c r="W639" i="3"/>
  <c r="W639" i="4" s="1"/>
  <c r="B640" i="3"/>
  <c r="B640" i="4" s="1"/>
  <c r="N640" i="3"/>
  <c r="N640" i="4" s="1"/>
  <c r="Z640" i="3"/>
  <c r="Z640" i="4" s="1"/>
  <c r="E641" i="3"/>
  <c r="E641" i="4" s="1"/>
  <c r="Q641" i="3"/>
  <c r="Q641" i="4" s="1"/>
  <c r="H642" i="3"/>
  <c r="H642" i="4" s="1"/>
  <c r="T642" i="3"/>
  <c r="T642" i="4" s="1"/>
  <c r="K643" i="3"/>
  <c r="K643" i="4" s="1"/>
  <c r="W643" i="3"/>
  <c r="W643" i="4" s="1"/>
  <c r="B644" i="3"/>
  <c r="B644" i="4" s="1"/>
  <c r="N644" i="3"/>
  <c r="N644" i="4" s="1"/>
  <c r="Z644" i="3"/>
  <c r="Z644" i="4" s="1"/>
  <c r="E645" i="3"/>
  <c r="E645" i="4" s="1"/>
  <c r="Q645" i="3"/>
  <c r="Q645" i="4" s="1"/>
  <c r="H646" i="3"/>
  <c r="H646" i="4" s="1"/>
  <c r="T646" i="3"/>
  <c r="T646" i="4" s="1"/>
  <c r="K647" i="3"/>
  <c r="K647" i="4" s="1"/>
  <c r="W647" i="3"/>
  <c r="W647" i="4" s="1"/>
  <c r="B648" i="3"/>
  <c r="B648" i="4" s="1"/>
  <c r="N648" i="3"/>
  <c r="N648" i="4" s="1"/>
  <c r="Z648" i="3"/>
  <c r="Z648" i="4" s="1"/>
  <c r="E649" i="3"/>
  <c r="E649" i="4" s="1"/>
  <c r="Q649" i="3"/>
  <c r="Q649" i="4" s="1"/>
  <c r="H650" i="3"/>
  <c r="H650" i="4" s="1"/>
  <c r="T650" i="3"/>
  <c r="T650" i="4" s="1"/>
  <c r="K651" i="3"/>
  <c r="K651" i="4" s="1"/>
  <c r="W651" i="3"/>
  <c r="W651" i="4" s="1"/>
  <c r="B652" i="3"/>
  <c r="B652" i="4" s="1"/>
  <c r="N652" i="3"/>
  <c r="N652" i="4" s="1"/>
  <c r="Z652" i="3"/>
  <c r="Z652" i="4" s="1"/>
  <c r="E653" i="3"/>
  <c r="E653" i="4" s="1"/>
  <c r="Q653" i="3"/>
  <c r="Q653" i="4" s="1"/>
  <c r="H654" i="3"/>
  <c r="H654" i="4" s="1"/>
  <c r="P650" i="3"/>
  <c r="P650" i="4" s="1"/>
  <c r="AB650" i="3"/>
  <c r="AB650" i="4" s="1"/>
  <c r="G651" i="3"/>
  <c r="G651" i="4" s="1"/>
  <c r="S651" i="3"/>
  <c r="S651" i="4" s="1"/>
  <c r="J652" i="3"/>
  <c r="J652" i="4" s="1"/>
  <c r="V652" i="3"/>
  <c r="V652" i="4" s="1"/>
  <c r="A653" i="3"/>
  <c r="A653" i="4" s="1"/>
  <c r="M653" i="3"/>
  <c r="M653" i="4" s="1"/>
  <c r="Y653" i="3"/>
  <c r="Y653" i="4" s="1"/>
  <c r="D654" i="3"/>
  <c r="D654" i="4" s="1"/>
  <c r="P654" i="3"/>
  <c r="P654" i="4" s="1"/>
  <c r="AB654" i="3"/>
  <c r="AB654" i="4" s="1"/>
  <c r="G655" i="3"/>
  <c r="G655" i="4" s="1"/>
  <c r="S655" i="3"/>
  <c r="S655" i="4" s="1"/>
  <c r="J656" i="3"/>
  <c r="J656" i="4" s="1"/>
  <c r="V656" i="3"/>
  <c r="V656" i="4" s="1"/>
  <c r="A657" i="3"/>
  <c r="A657" i="4" s="1"/>
  <c r="M657" i="3"/>
  <c r="M657" i="4" s="1"/>
  <c r="Y657" i="3"/>
  <c r="Y657" i="4" s="1"/>
  <c r="D658" i="3"/>
  <c r="D658" i="4" s="1"/>
  <c r="P658" i="3"/>
  <c r="P658" i="4" s="1"/>
  <c r="AB658" i="3"/>
  <c r="AB658" i="4" s="1"/>
  <c r="G659" i="3"/>
  <c r="G659" i="4" s="1"/>
  <c r="S659" i="3"/>
  <c r="S659" i="4" s="1"/>
  <c r="J660" i="3"/>
  <c r="J660" i="4" s="1"/>
  <c r="V660" i="3"/>
  <c r="V660" i="4" s="1"/>
  <c r="A661" i="3"/>
  <c r="A661" i="4" s="1"/>
  <c r="M661" i="3"/>
  <c r="M661" i="4" s="1"/>
  <c r="Y661" i="3"/>
  <c r="Y661" i="4" s="1"/>
  <c r="D662" i="3"/>
  <c r="D662" i="4" s="1"/>
  <c r="P662" i="3"/>
  <c r="P662" i="4" s="1"/>
  <c r="AB662" i="3"/>
  <c r="AB662" i="4" s="1"/>
  <c r="G663" i="3"/>
  <c r="G663" i="4" s="1"/>
  <c r="S663" i="3"/>
  <c r="S663" i="4" s="1"/>
  <c r="J664" i="3"/>
  <c r="J664" i="4" s="1"/>
  <c r="V664" i="3"/>
  <c r="V664" i="4" s="1"/>
  <c r="A665" i="3"/>
  <c r="A665" i="4" s="1"/>
  <c r="M665" i="3"/>
  <c r="M665" i="4" s="1"/>
  <c r="Y665" i="3"/>
  <c r="Y665" i="4" s="1"/>
  <c r="D666" i="3"/>
  <c r="D666" i="4" s="1"/>
  <c r="P666" i="3"/>
  <c r="P666" i="4" s="1"/>
  <c r="T654" i="3"/>
  <c r="T654" i="4" s="1"/>
  <c r="K655" i="3"/>
  <c r="K655" i="4" s="1"/>
  <c r="W655" i="3"/>
  <c r="W655" i="4" s="1"/>
  <c r="B656" i="3"/>
  <c r="B656" i="4" s="1"/>
  <c r="N656" i="3"/>
  <c r="N656" i="4" s="1"/>
  <c r="Z656" i="3"/>
  <c r="Z656" i="4" s="1"/>
  <c r="E657" i="3"/>
  <c r="E657" i="4" s="1"/>
  <c r="Q657" i="3"/>
  <c r="Q657" i="4" s="1"/>
  <c r="H658" i="3"/>
  <c r="H658" i="4" s="1"/>
  <c r="T658" i="3"/>
  <c r="T658" i="4" s="1"/>
  <c r="K659" i="3"/>
  <c r="K659" i="4" s="1"/>
  <c r="W659" i="3"/>
  <c r="W659" i="4" s="1"/>
  <c r="B660" i="3"/>
  <c r="B660" i="4" s="1"/>
  <c r="N660" i="3"/>
  <c r="N660" i="4" s="1"/>
  <c r="Z660" i="3"/>
  <c r="Z660" i="4" s="1"/>
  <c r="E661" i="3"/>
  <c r="E661" i="4" s="1"/>
  <c r="Q661" i="3"/>
  <c r="Q661" i="4" s="1"/>
  <c r="H662" i="3"/>
  <c r="H662" i="4" s="1"/>
  <c r="T662" i="3"/>
  <c r="T662" i="4" s="1"/>
  <c r="K663" i="3"/>
  <c r="K663" i="4" s="1"/>
  <c r="W663" i="3"/>
  <c r="W663" i="4" s="1"/>
  <c r="B664" i="3"/>
  <c r="B664" i="4" s="1"/>
  <c r="N664" i="3"/>
  <c r="N664" i="4" s="1"/>
  <c r="Z664" i="3"/>
  <c r="Z664" i="4" s="1"/>
  <c r="E665" i="3"/>
  <c r="E665" i="4" s="1"/>
  <c r="Q665" i="3"/>
  <c r="Q665" i="4" s="1"/>
  <c r="H666" i="3"/>
  <c r="H666" i="4" s="1"/>
  <c r="T666" i="3"/>
  <c r="T666" i="4" s="1"/>
  <c r="K667" i="3"/>
  <c r="K667" i="4" s="1"/>
  <c r="W667" i="3"/>
  <c r="W667" i="4" s="1"/>
  <c r="B668" i="3"/>
  <c r="B668" i="4" s="1"/>
  <c r="N668" i="3"/>
  <c r="N668" i="4" s="1"/>
  <c r="Z668" i="3"/>
  <c r="Z668" i="4" s="1"/>
  <c r="E669" i="3"/>
  <c r="E669" i="4" s="1"/>
  <c r="Q669" i="3"/>
  <c r="Q669" i="4" s="1"/>
  <c r="H670" i="3"/>
  <c r="H670" i="4" s="1"/>
  <c r="T670" i="3"/>
  <c r="T670" i="4" s="1"/>
  <c r="K671" i="3"/>
  <c r="K671" i="4" s="1"/>
  <c r="W671" i="3"/>
  <c r="W671" i="4" s="1"/>
  <c r="B672" i="3"/>
  <c r="B672" i="4" s="1"/>
  <c r="N672" i="3"/>
  <c r="N672" i="4" s="1"/>
  <c r="Z672" i="3"/>
  <c r="Z672" i="4" s="1"/>
  <c r="E673" i="3"/>
  <c r="E673" i="4" s="1"/>
  <c r="Q673" i="3"/>
  <c r="Q673" i="4" s="1"/>
  <c r="H674" i="3"/>
  <c r="H674" i="4" s="1"/>
  <c r="T674" i="3"/>
  <c r="T674" i="4" s="1"/>
  <c r="K675" i="3"/>
  <c r="K675" i="4" s="1"/>
  <c r="W675" i="3"/>
  <c r="W675" i="4" s="1"/>
  <c r="B676" i="3"/>
  <c r="B676" i="4" s="1"/>
  <c r="N676" i="3"/>
  <c r="N676" i="4" s="1"/>
  <c r="Z676" i="3"/>
  <c r="Z676" i="4" s="1"/>
  <c r="E677" i="3"/>
  <c r="E677" i="4" s="1"/>
  <c r="Q677" i="3"/>
  <c r="Q677" i="4" s="1"/>
  <c r="H678" i="3"/>
  <c r="H678" i="4" s="1"/>
  <c r="T678" i="3"/>
  <c r="T678" i="4" s="1"/>
  <c r="K679" i="3"/>
  <c r="K679" i="4" s="1"/>
  <c r="W679" i="3"/>
  <c r="W679" i="4" s="1"/>
  <c r="B680" i="3"/>
  <c r="B680" i="4" s="1"/>
  <c r="N680" i="3"/>
  <c r="N680" i="4" s="1"/>
  <c r="Z680" i="3"/>
  <c r="Z680" i="4" s="1"/>
  <c r="E681" i="3"/>
  <c r="E681" i="4" s="1"/>
  <c r="Q681" i="3"/>
  <c r="Q681" i="4" s="1"/>
  <c r="H682" i="3"/>
  <c r="H682" i="4" s="1"/>
  <c r="T682" i="3"/>
  <c r="T682" i="4" s="1"/>
  <c r="K683" i="3"/>
  <c r="K683" i="4" s="1"/>
  <c r="W683" i="3"/>
  <c r="W683" i="4" s="1"/>
  <c r="B684" i="3"/>
  <c r="B684" i="4" s="1"/>
  <c r="N684" i="3"/>
  <c r="N684" i="4" s="1"/>
  <c r="Z684" i="3"/>
  <c r="Z684" i="4" s="1"/>
  <c r="E685" i="3"/>
  <c r="E685" i="4" s="1"/>
  <c r="Q685" i="3"/>
  <c r="Q685" i="4" s="1"/>
  <c r="H686" i="3"/>
  <c r="H686" i="4" s="1"/>
  <c r="T686" i="3"/>
  <c r="T686" i="4" s="1"/>
  <c r="K687" i="3"/>
  <c r="K687" i="4" s="1"/>
  <c r="W687" i="3"/>
  <c r="W687" i="4" s="1"/>
  <c r="B688" i="3"/>
  <c r="B688" i="4" s="1"/>
  <c r="N688" i="3"/>
  <c r="N688" i="4" s="1"/>
  <c r="Z688" i="3"/>
  <c r="Z688" i="4" s="1"/>
  <c r="E689" i="3"/>
  <c r="E689" i="4" s="1"/>
  <c r="Q689" i="3"/>
  <c r="Q689" i="4" s="1"/>
  <c r="H690" i="3"/>
  <c r="H690" i="4" s="1"/>
  <c r="T690" i="3"/>
  <c r="T690" i="4" s="1"/>
  <c r="K691" i="3"/>
  <c r="K691" i="4" s="1"/>
  <c r="W691" i="3"/>
  <c r="W691" i="4" s="1"/>
  <c r="B692" i="3"/>
  <c r="B692" i="4" s="1"/>
  <c r="AB666" i="3"/>
  <c r="AB666" i="4" s="1"/>
  <c r="G667" i="3"/>
  <c r="G667" i="4" s="1"/>
  <c r="S667" i="3"/>
  <c r="S667" i="4" s="1"/>
  <c r="J668" i="3"/>
  <c r="J668" i="4" s="1"/>
  <c r="V668" i="3"/>
  <c r="V668" i="4" s="1"/>
  <c r="A669" i="3"/>
  <c r="A669" i="4" s="1"/>
  <c r="M669" i="3"/>
  <c r="M669" i="4" s="1"/>
  <c r="Y669" i="3"/>
  <c r="Y669" i="4" s="1"/>
  <c r="D670" i="3"/>
  <c r="D670" i="4" s="1"/>
  <c r="P670" i="3"/>
  <c r="P670" i="4" s="1"/>
  <c r="AB670" i="3"/>
  <c r="AB670" i="4" s="1"/>
  <c r="G671" i="3"/>
  <c r="G671" i="4" s="1"/>
  <c r="S671" i="3"/>
  <c r="S671" i="4" s="1"/>
  <c r="J672" i="3"/>
  <c r="J672" i="4" s="1"/>
  <c r="V672" i="3"/>
  <c r="V672" i="4" s="1"/>
  <c r="A673" i="3"/>
  <c r="A673" i="4" s="1"/>
  <c r="M673" i="3"/>
  <c r="M673" i="4" s="1"/>
  <c r="Y673" i="3"/>
  <c r="Y673" i="4" s="1"/>
  <c r="D674" i="3"/>
  <c r="D674" i="4" s="1"/>
  <c r="P674" i="3"/>
  <c r="P674" i="4" s="1"/>
  <c r="AB674" i="3"/>
  <c r="AB674" i="4" s="1"/>
  <c r="G675" i="3"/>
  <c r="G675" i="4" s="1"/>
  <c r="S675" i="3"/>
  <c r="S675" i="4" s="1"/>
  <c r="J676" i="3"/>
  <c r="J676" i="4" s="1"/>
  <c r="V676" i="3"/>
  <c r="V676" i="4" s="1"/>
  <c r="A677" i="3"/>
  <c r="A677" i="4" s="1"/>
  <c r="M677" i="3"/>
  <c r="M677" i="4" s="1"/>
  <c r="Y677" i="3"/>
  <c r="Y677" i="4" s="1"/>
  <c r="D678" i="3"/>
  <c r="D678" i="4" s="1"/>
  <c r="P678" i="3"/>
  <c r="P678" i="4" s="1"/>
  <c r="AB678" i="3"/>
  <c r="AB678" i="4" s="1"/>
  <c r="G679" i="3"/>
  <c r="G679" i="4" s="1"/>
  <c r="S679" i="3"/>
  <c r="S679" i="4" s="1"/>
  <c r="J680" i="3"/>
  <c r="J680" i="4" s="1"/>
  <c r="V680" i="3"/>
  <c r="V680" i="4" s="1"/>
  <c r="A681" i="3"/>
  <c r="A681" i="4" s="1"/>
  <c r="M681" i="3"/>
  <c r="M681" i="4" s="1"/>
  <c r="Y681" i="3"/>
  <c r="Y681" i="4" s="1"/>
  <c r="D682" i="3"/>
  <c r="D682" i="4" s="1"/>
  <c r="P682" i="3"/>
  <c r="P682" i="4" s="1"/>
  <c r="AB682" i="3"/>
  <c r="AB682" i="4" s="1"/>
  <c r="G683" i="3"/>
  <c r="G683" i="4" s="1"/>
  <c r="S683" i="3"/>
  <c r="S683" i="4" s="1"/>
  <c r="J684" i="3"/>
  <c r="J684" i="4" s="1"/>
  <c r="V684" i="3"/>
  <c r="V684" i="4" s="1"/>
  <c r="A685" i="3"/>
  <c r="A685" i="4" s="1"/>
  <c r="M685" i="3"/>
  <c r="M685" i="4" s="1"/>
  <c r="Y685" i="3"/>
  <c r="Y685" i="4" s="1"/>
  <c r="D686" i="3"/>
  <c r="D686" i="4" s="1"/>
  <c r="P686" i="3"/>
  <c r="P686" i="4" s="1"/>
  <c r="AB686" i="3"/>
  <c r="AB686" i="4" s="1"/>
  <c r="G687" i="3"/>
  <c r="G687" i="4" s="1"/>
  <c r="S687" i="3"/>
  <c r="S687" i="4" s="1"/>
  <c r="J688" i="3"/>
  <c r="J688" i="4" s="1"/>
  <c r="V688" i="3"/>
  <c r="V688" i="4" s="1"/>
  <c r="A689" i="3"/>
  <c r="A689" i="4" s="1"/>
  <c r="M689" i="3"/>
  <c r="M689" i="4" s="1"/>
  <c r="Y689" i="3"/>
  <c r="Y689" i="4" s="1"/>
  <c r="D690" i="3"/>
  <c r="D690" i="4" s="1"/>
  <c r="P690" i="3"/>
  <c r="P690" i="4" s="1"/>
  <c r="AB690" i="3"/>
  <c r="AB690" i="4" s="1"/>
  <c r="G691" i="3"/>
  <c r="G691" i="4" s="1"/>
  <c r="S691" i="3"/>
  <c r="S691" i="4" s="1"/>
  <c r="J692" i="3"/>
  <c r="J692" i="4" s="1"/>
  <c r="V692" i="3"/>
  <c r="V692" i="4" s="1"/>
  <c r="A693" i="3"/>
  <c r="A693" i="4" s="1"/>
  <c r="M693" i="3"/>
  <c r="M693" i="4" s="1"/>
  <c r="Y693" i="3"/>
  <c r="Y693" i="4" s="1"/>
  <c r="D694" i="3"/>
  <c r="D694" i="4" s="1"/>
  <c r="P694" i="3"/>
  <c r="P694" i="4" s="1"/>
  <c r="AB694" i="3"/>
  <c r="AB694" i="4" s="1"/>
  <c r="G695" i="3"/>
  <c r="G695" i="4" s="1"/>
  <c r="S695" i="3"/>
  <c r="S695" i="4" s="1"/>
  <c r="J696" i="3"/>
  <c r="J696" i="4" s="1"/>
  <c r="V696" i="3"/>
  <c r="V696" i="4" s="1"/>
  <c r="A697" i="3"/>
  <c r="A697" i="4" s="1"/>
  <c r="M697" i="3"/>
  <c r="M697" i="4" s="1"/>
  <c r="Y697" i="3"/>
  <c r="Y697" i="4" s="1"/>
  <c r="D698" i="3"/>
  <c r="D698" i="4" s="1"/>
  <c r="P698" i="3"/>
  <c r="P698" i="4" s="1"/>
  <c r="AB698" i="3"/>
  <c r="AB698" i="4" s="1"/>
  <c r="G699" i="3"/>
  <c r="G699" i="4" s="1"/>
  <c r="S699" i="3"/>
  <c r="S699" i="4" s="1"/>
  <c r="H751" i="3"/>
  <c r="H751" i="4" s="1"/>
  <c r="T751" i="3"/>
  <c r="T751" i="4" s="1"/>
  <c r="K751" i="3"/>
  <c r="K751" i="4" s="1"/>
  <c r="W751" i="3"/>
  <c r="W751" i="4" s="1"/>
  <c r="T221" i="3"/>
  <c r="T221" i="4" s="1"/>
  <c r="K222" i="3"/>
  <c r="K222" i="4" s="1"/>
  <c r="W222" i="3"/>
  <c r="W222" i="4" s="1"/>
  <c r="B223" i="3"/>
  <c r="B223" i="4" s="1"/>
  <c r="N223" i="3"/>
  <c r="N223" i="4" s="1"/>
  <c r="Z223" i="3"/>
  <c r="Z223" i="4" s="1"/>
  <c r="E224" i="3"/>
  <c r="E224" i="4" s="1"/>
  <c r="Q224" i="3"/>
  <c r="Q224" i="4" s="1"/>
  <c r="H225" i="3"/>
  <c r="H225" i="4" s="1"/>
  <c r="T225" i="3"/>
  <c r="T225" i="4" s="1"/>
  <c r="K226" i="3"/>
  <c r="K226" i="4" s="1"/>
  <c r="W226" i="3"/>
  <c r="W226" i="4" s="1"/>
  <c r="B227" i="3"/>
  <c r="B227" i="4" s="1"/>
  <c r="N227" i="3"/>
  <c r="N227" i="4" s="1"/>
  <c r="Z227" i="3"/>
  <c r="Z227" i="4" s="1"/>
  <c r="E228" i="3"/>
  <c r="E228" i="4" s="1"/>
  <c r="Q228" i="3"/>
  <c r="Q228" i="4" s="1"/>
  <c r="H229" i="3"/>
  <c r="H229" i="4" s="1"/>
  <c r="T229" i="3"/>
  <c r="T229" i="4" s="1"/>
  <c r="K230" i="3"/>
  <c r="K230" i="4" s="1"/>
  <c r="W230" i="3"/>
  <c r="W230" i="4" s="1"/>
  <c r="B231" i="3"/>
  <c r="B231" i="4" s="1"/>
  <c r="N231" i="3"/>
  <c r="N231" i="4" s="1"/>
  <c r="Z231" i="3"/>
  <c r="Z231" i="4" s="1"/>
  <c r="E232" i="3"/>
  <c r="E232" i="4" s="1"/>
  <c r="Q232" i="3"/>
  <c r="Q232" i="4" s="1"/>
  <c r="H233" i="3"/>
  <c r="H233" i="4" s="1"/>
  <c r="T233" i="3"/>
  <c r="T233" i="4" s="1"/>
  <c r="K234" i="3"/>
  <c r="K234" i="4" s="1"/>
  <c r="W234" i="3"/>
  <c r="W234" i="4" s="1"/>
  <c r="B235" i="3"/>
  <c r="B235" i="4" s="1"/>
  <c r="N235" i="3"/>
  <c r="N235" i="4" s="1"/>
  <c r="Z235" i="3"/>
  <c r="Z235" i="4" s="1"/>
  <c r="E236" i="3"/>
  <c r="E236" i="4" s="1"/>
  <c r="Q236" i="3"/>
  <c r="Q236" i="4" s="1"/>
  <c r="H237" i="3"/>
  <c r="H237" i="4" s="1"/>
  <c r="T237" i="3"/>
  <c r="T237" i="4" s="1"/>
  <c r="K238" i="3"/>
  <c r="K238" i="4" s="1"/>
  <c r="W238" i="3"/>
  <c r="W238" i="4" s="1"/>
  <c r="B239" i="3"/>
  <c r="B239" i="4" s="1"/>
  <c r="N239" i="3"/>
  <c r="N239" i="4" s="1"/>
  <c r="Z239" i="3"/>
  <c r="Z239" i="4" s="1"/>
  <c r="E240" i="3"/>
  <c r="E240" i="4" s="1"/>
  <c r="Q240" i="3"/>
  <c r="Q240" i="4" s="1"/>
  <c r="H241" i="3"/>
  <c r="H241" i="4" s="1"/>
  <c r="T241" i="3"/>
  <c r="T241" i="4" s="1"/>
  <c r="K242" i="3"/>
  <c r="K242" i="4" s="1"/>
  <c r="W242" i="3"/>
  <c r="W242" i="4" s="1"/>
  <c r="B243" i="3"/>
  <c r="B243" i="4" s="1"/>
  <c r="N243" i="3"/>
  <c r="N243" i="4" s="1"/>
  <c r="Z243" i="3"/>
  <c r="Z243" i="4" s="1"/>
  <c r="E244" i="3"/>
  <c r="E244" i="4" s="1"/>
  <c r="Q244" i="3"/>
  <c r="Q244" i="4" s="1"/>
  <c r="H245" i="3"/>
  <c r="H245" i="4" s="1"/>
  <c r="T245" i="3"/>
  <c r="T245" i="4" s="1"/>
  <c r="K246" i="3"/>
  <c r="K246" i="4" s="1"/>
  <c r="W246" i="3"/>
  <c r="W246" i="4" s="1"/>
  <c r="B247" i="3"/>
  <c r="B247" i="4" s="1"/>
  <c r="N247" i="3"/>
  <c r="N247" i="4" s="1"/>
  <c r="Z247" i="3"/>
  <c r="Z247" i="4" s="1"/>
  <c r="E248" i="3"/>
  <c r="E248" i="4" s="1"/>
  <c r="Q248" i="3"/>
  <c r="Q248" i="4" s="1"/>
  <c r="H249" i="3"/>
  <c r="H249" i="4" s="1"/>
  <c r="T249" i="3"/>
  <c r="T249" i="4" s="1"/>
  <c r="K250" i="3"/>
  <c r="K250" i="4" s="1"/>
  <c r="W250" i="3"/>
  <c r="W250" i="4" s="1"/>
  <c r="B251" i="3"/>
  <c r="B251" i="4" s="1"/>
  <c r="N251" i="3"/>
  <c r="N251" i="4" s="1"/>
  <c r="Z251" i="3"/>
  <c r="Z251" i="4" s="1"/>
  <c r="E252" i="3"/>
  <c r="E252" i="4" s="1"/>
  <c r="Q252" i="3"/>
  <c r="Q252" i="4" s="1"/>
  <c r="H253" i="3"/>
  <c r="H253" i="4" s="1"/>
  <c r="T253" i="3"/>
  <c r="T253" i="4" s="1"/>
  <c r="K254" i="3"/>
  <c r="K254" i="4" s="1"/>
  <c r="W254" i="3"/>
  <c r="W254" i="4" s="1"/>
  <c r="B255" i="3"/>
  <c r="B255" i="4" s="1"/>
  <c r="N255" i="3"/>
  <c r="N255" i="4" s="1"/>
  <c r="Z255" i="3"/>
  <c r="Z255" i="4" s="1"/>
  <c r="E256" i="3"/>
  <c r="E256" i="4" s="1"/>
  <c r="Q256" i="3"/>
  <c r="Q256" i="4" s="1"/>
  <c r="H257" i="3"/>
  <c r="H257" i="4" s="1"/>
  <c r="T257" i="3"/>
  <c r="T257" i="4" s="1"/>
  <c r="K258" i="3"/>
  <c r="K258" i="4" s="1"/>
  <c r="W258" i="3"/>
  <c r="W258" i="4" s="1"/>
  <c r="B259" i="3"/>
  <c r="B259" i="4" s="1"/>
  <c r="N259" i="3"/>
  <c r="N259" i="4" s="1"/>
  <c r="Z259" i="3"/>
  <c r="Z259" i="4" s="1"/>
  <c r="E260" i="3"/>
  <c r="E260" i="4" s="1"/>
  <c r="Q260" i="3"/>
  <c r="Q260" i="4" s="1"/>
  <c r="H261" i="3"/>
  <c r="H261" i="4" s="1"/>
  <c r="T261" i="3"/>
  <c r="T261" i="4" s="1"/>
  <c r="K262" i="3"/>
  <c r="K262" i="4" s="1"/>
  <c r="W262" i="3"/>
  <c r="W262" i="4" s="1"/>
  <c r="B263" i="3"/>
  <c r="B263" i="4" s="1"/>
  <c r="N263" i="3"/>
  <c r="N263" i="4" s="1"/>
  <c r="Z263" i="3"/>
  <c r="Z263" i="4" s="1"/>
  <c r="E264" i="3"/>
  <c r="E264" i="4" s="1"/>
  <c r="Q264" i="3"/>
  <c r="Q264" i="4" s="1"/>
  <c r="H265" i="3"/>
  <c r="H265" i="4" s="1"/>
  <c r="T265" i="3"/>
  <c r="T265" i="4" s="1"/>
  <c r="K266" i="3"/>
  <c r="K266" i="4" s="1"/>
  <c r="W266" i="3"/>
  <c r="W266" i="4" s="1"/>
  <c r="B267" i="3"/>
  <c r="B267" i="4" s="1"/>
  <c r="N267" i="3"/>
  <c r="N267" i="4" s="1"/>
  <c r="Z267" i="3"/>
  <c r="Z267" i="4" s="1"/>
  <c r="E268" i="3"/>
  <c r="E268" i="4" s="1"/>
  <c r="Q268" i="3"/>
  <c r="Q268" i="4" s="1"/>
  <c r="H269" i="3"/>
  <c r="H269" i="4" s="1"/>
  <c r="T269" i="3"/>
  <c r="T269" i="4" s="1"/>
  <c r="K270" i="3"/>
  <c r="K270" i="4" s="1"/>
  <c r="W270" i="3"/>
  <c r="W270" i="4" s="1"/>
  <c r="B271" i="3"/>
  <c r="B271" i="4" s="1"/>
  <c r="N271" i="3"/>
  <c r="N271" i="4" s="1"/>
  <c r="Z271" i="3"/>
  <c r="Z271" i="4" s="1"/>
  <c r="E272" i="3"/>
  <c r="E272" i="4" s="1"/>
  <c r="Q272" i="3"/>
  <c r="Q272" i="4" s="1"/>
  <c r="H273" i="3"/>
  <c r="H273" i="4" s="1"/>
  <c r="T273" i="3"/>
  <c r="T273" i="4" s="1"/>
  <c r="K274" i="3"/>
  <c r="K274" i="4" s="1"/>
  <c r="W274" i="3"/>
  <c r="W274" i="4" s="1"/>
  <c r="B275" i="3"/>
  <c r="B275" i="4" s="1"/>
  <c r="N275" i="3"/>
  <c r="N275" i="4" s="1"/>
  <c r="Z275" i="3"/>
  <c r="Z275" i="4" s="1"/>
  <c r="E276" i="3"/>
  <c r="E276" i="4" s="1"/>
  <c r="Q276" i="3"/>
  <c r="Q276" i="4" s="1"/>
  <c r="H277" i="3"/>
  <c r="H277" i="4" s="1"/>
  <c r="T277" i="3"/>
  <c r="T277" i="4" s="1"/>
  <c r="K278" i="3"/>
  <c r="K278" i="4" s="1"/>
  <c r="W278" i="3"/>
  <c r="W278" i="4" s="1"/>
  <c r="B279" i="3"/>
  <c r="B279" i="4" s="1"/>
  <c r="N279" i="3"/>
  <c r="N279" i="4" s="1"/>
  <c r="Z279" i="3"/>
  <c r="Z279" i="4" s="1"/>
  <c r="E280" i="3"/>
  <c r="E280" i="4" s="1"/>
  <c r="Q280" i="3"/>
  <c r="Q280" i="4" s="1"/>
  <c r="H281" i="3"/>
  <c r="H281" i="4" s="1"/>
  <c r="T281" i="3"/>
  <c r="T281" i="4" s="1"/>
  <c r="K282" i="3"/>
  <c r="K282" i="4" s="1"/>
  <c r="W282" i="3"/>
  <c r="W282" i="4" s="1"/>
  <c r="B283" i="3"/>
  <c r="B283" i="4" s="1"/>
  <c r="N283" i="3"/>
  <c r="N283" i="4" s="1"/>
  <c r="Z283" i="3"/>
  <c r="Z283" i="4" s="1"/>
  <c r="E284" i="3"/>
  <c r="E284" i="4" s="1"/>
  <c r="Q284" i="3"/>
  <c r="Q284" i="4" s="1"/>
  <c r="H285" i="3"/>
  <c r="H285" i="4" s="1"/>
  <c r="T285" i="3"/>
  <c r="T285" i="4" s="1"/>
  <c r="K286" i="3"/>
  <c r="K286" i="4" s="1"/>
  <c r="W286" i="3"/>
  <c r="W286" i="4" s="1"/>
  <c r="B287" i="3"/>
  <c r="B287" i="4" s="1"/>
  <c r="N287" i="3"/>
  <c r="N287" i="4" s="1"/>
  <c r="Z287" i="3"/>
  <c r="Z287" i="4" s="1"/>
  <c r="E288" i="3"/>
  <c r="E288" i="4" s="1"/>
  <c r="Q288" i="3"/>
  <c r="Q288" i="4" s="1"/>
  <c r="H289" i="3"/>
  <c r="H289" i="4" s="1"/>
  <c r="T289" i="3"/>
  <c r="T289" i="4" s="1"/>
  <c r="K290" i="3"/>
  <c r="K290" i="4" s="1"/>
  <c r="W290" i="3"/>
  <c r="W290" i="4" s="1"/>
  <c r="B291" i="3"/>
  <c r="B291" i="4" s="1"/>
  <c r="N291" i="3"/>
  <c r="N291" i="4" s="1"/>
  <c r="Z291" i="3"/>
  <c r="Z291" i="4" s="1"/>
  <c r="E292" i="3"/>
  <c r="E292" i="4" s="1"/>
  <c r="Q292" i="3"/>
  <c r="Q292" i="4" s="1"/>
  <c r="H293" i="3"/>
  <c r="H293" i="4" s="1"/>
  <c r="T293" i="3"/>
  <c r="T293" i="4" s="1"/>
  <c r="K294" i="3"/>
  <c r="K294" i="4" s="1"/>
  <c r="W294" i="3"/>
  <c r="W294" i="4" s="1"/>
  <c r="B295" i="3"/>
  <c r="B295" i="4" s="1"/>
  <c r="N295" i="3"/>
  <c r="N295" i="4" s="1"/>
  <c r="Z295" i="3"/>
  <c r="Z295" i="4" s="1"/>
  <c r="E296" i="3"/>
  <c r="E296" i="4" s="1"/>
  <c r="Q296" i="3"/>
  <c r="Q296" i="4" s="1"/>
  <c r="H297" i="3"/>
  <c r="H297" i="4" s="1"/>
  <c r="T297" i="3"/>
  <c r="T297" i="4" s="1"/>
  <c r="K298" i="3"/>
  <c r="K298" i="4" s="1"/>
  <c r="W298" i="3"/>
  <c r="W298" i="4" s="1"/>
  <c r="B299" i="3"/>
  <c r="B299" i="4" s="1"/>
  <c r="N299" i="3"/>
  <c r="N299" i="4" s="1"/>
  <c r="Z299" i="3"/>
  <c r="Z299" i="4" s="1"/>
  <c r="E300" i="3"/>
  <c r="E300" i="4" s="1"/>
  <c r="Q300" i="3"/>
  <c r="Q300" i="4" s="1"/>
  <c r="H301" i="3"/>
  <c r="H301" i="4" s="1"/>
  <c r="T301" i="3"/>
  <c r="T301" i="4" s="1"/>
  <c r="K302" i="3"/>
  <c r="K302" i="4" s="1"/>
  <c r="W302" i="3"/>
  <c r="W302" i="4" s="1"/>
  <c r="B303" i="3"/>
  <c r="B303" i="4" s="1"/>
  <c r="N303" i="3"/>
  <c r="N303" i="4" s="1"/>
  <c r="Z303" i="3"/>
  <c r="Z303" i="4" s="1"/>
  <c r="E304" i="3"/>
  <c r="E304" i="4" s="1"/>
  <c r="Q304" i="3"/>
  <c r="Q304" i="4" s="1"/>
  <c r="H305" i="3"/>
  <c r="H305" i="4" s="1"/>
  <c r="T305" i="3"/>
  <c r="T305" i="4" s="1"/>
  <c r="K306" i="3"/>
  <c r="K306" i="4" s="1"/>
  <c r="W306" i="3"/>
  <c r="W306" i="4" s="1"/>
  <c r="B307" i="3"/>
  <c r="B307" i="4" s="1"/>
  <c r="N307" i="3"/>
  <c r="N307" i="4" s="1"/>
  <c r="Z307" i="3"/>
  <c r="Z307" i="4" s="1"/>
  <c r="E308" i="3"/>
  <c r="E308" i="4" s="1"/>
  <c r="Q308" i="3"/>
  <c r="Q308" i="4" s="1"/>
  <c r="H309" i="3"/>
  <c r="H309" i="4" s="1"/>
  <c r="T309" i="3"/>
  <c r="T309" i="4" s="1"/>
  <c r="K310" i="3"/>
  <c r="K310" i="4" s="1"/>
  <c r="W310" i="3"/>
  <c r="W310" i="4" s="1"/>
  <c r="B311" i="3"/>
  <c r="B311" i="4" s="1"/>
  <c r="N311" i="3"/>
  <c r="N311" i="4" s="1"/>
  <c r="Z311" i="3"/>
  <c r="Z311" i="4" s="1"/>
  <c r="E312" i="3"/>
  <c r="E312" i="4" s="1"/>
  <c r="Q312" i="3"/>
  <c r="Q312" i="4" s="1"/>
  <c r="H313" i="3"/>
  <c r="H313" i="4" s="1"/>
  <c r="T313" i="3"/>
  <c r="T313" i="4" s="1"/>
  <c r="K314" i="3"/>
  <c r="K314" i="4" s="1"/>
  <c r="W314" i="3"/>
  <c r="W314" i="4" s="1"/>
  <c r="B315" i="3"/>
  <c r="B315" i="4" s="1"/>
  <c r="N315" i="3"/>
  <c r="N315" i="4" s="1"/>
  <c r="Z315" i="3"/>
  <c r="Z315" i="4" s="1"/>
  <c r="E316" i="3"/>
  <c r="E316" i="4" s="1"/>
  <c r="Q316" i="3"/>
  <c r="Q316" i="4" s="1"/>
  <c r="H317" i="3"/>
  <c r="H317" i="4" s="1"/>
  <c r="T317" i="3"/>
  <c r="T317" i="4" s="1"/>
  <c r="K318" i="3"/>
  <c r="K318" i="4" s="1"/>
  <c r="W318" i="3"/>
  <c r="W318" i="4" s="1"/>
  <c r="B319" i="3"/>
  <c r="B319" i="4" s="1"/>
  <c r="N319" i="3"/>
  <c r="N319" i="4" s="1"/>
  <c r="Z319" i="3"/>
  <c r="Z319" i="4" s="1"/>
  <c r="E320" i="3"/>
  <c r="E320" i="4" s="1"/>
  <c r="Q320" i="3"/>
  <c r="Q320" i="4" s="1"/>
  <c r="H321" i="3"/>
  <c r="H321" i="4" s="1"/>
  <c r="T321" i="3"/>
  <c r="T321" i="4" s="1"/>
  <c r="K322" i="3"/>
  <c r="K322" i="4" s="1"/>
  <c r="W322" i="3"/>
  <c r="W322" i="4" s="1"/>
  <c r="B323" i="3"/>
  <c r="B323" i="4" s="1"/>
  <c r="N323" i="3"/>
  <c r="N323" i="4" s="1"/>
  <c r="Z323" i="3"/>
  <c r="Z323" i="4" s="1"/>
  <c r="E324" i="3"/>
  <c r="E324" i="4" s="1"/>
  <c r="Q324" i="3"/>
  <c r="Q324" i="4" s="1"/>
  <c r="H325" i="3"/>
  <c r="H325" i="4" s="1"/>
  <c r="T325" i="3"/>
  <c r="T325" i="4" s="1"/>
  <c r="K326" i="3"/>
  <c r="K326" i="4" s="1"/>
  <c r="W326" i="3"/>
  <c r="W326" i="4" s="1"/>
  <c r="B327" i="3"/>
  <c r="B327" i="4" s="1"/>
  <c r="N327" i="3"/>
  <c r="N327" i="4" s="1"/>
  <c r="Z327" i="3"/>
  <c r="Z327" i="4" s="1"/>
  <c r="E328" i="3"/>
  <c r="E328" i="4" s="1"/>
  <c r="Q328" i="3"/>
  <c r="Q328" i="4" s="1"/>
  <c r="H329" i="3"/>
  <c r="H329" i="4" s="1"/>
  <c r="T329" i="3"/>
  <c r="T329" i="4" s="1"/>
  <c r="K330" i="3"/>
  <c r="K330" i="4" s="1"/>
  <c r="W330" i="3"/>
  <c r="W330" i="4" s="1"/>
  <c r="B331" i="3"/>
  <c r="B331" i="4" s="1"/>
  <c r="N331" i="3"/>
  <c r="N331" i="4" s="1"/>
  <c r="Z331" i="3"/>
  <c r="Z331" i="4" s="1"/>
  <c r="E332" i="3"/>
  <c r="E332" i="4" s="1"/>
  <c r="Q332" i="3"/>
  <c r="Q332" i="4" s="1"/>
  <c r="H333" i="3"/>
  <c r="H333" i="4" s="1"/>
  <c r="T333" i="3"/>
  <c r="T333" i="4" s="1"/>
  <c r="K334" i="3"/>
  <c r="K334" i="4" s="1"/>
  <c r="W334" i="3"/>
  <c r="W334" i="4" s="1"/>
  <c r="L751" i="3"/>
  <c r="L751" i="4" s="1"/>
  <c r="X751" i="3"/>
  <c r="X751" i="4" s="1"/>
  <c r="D752" i="3"/>
  <c r="D752" i="4" s="1"/>
  <c r="P752" i="3"/>
  <c r="P752" i="4" s="1"/>
  <c r="I753" i="3"/>
  <c r="I753" i="4" s="1"/>
  <c r="V753" i="3"/>
  <c r="V753" i="4" s="1"/>
  <c r="I682" i="3"/>
  <c r="I682" i="4" s="1"/>
  <c r="U682" i="3"/>
  <c r="U682" i="4" s="1"/>
  <c r="L683" i="3"/>
  <c r="L683" i="4" s="1"/>
  <c r="X683" i="3"/>
  <c r="X683" i="4" s="1"/>
  <c r="C684" i="3"/>
  <c r="C684" i="4" s="1"/>
  <c r="O684" i="3"/>
  <c r="O684" i="4" s="1"/>
  <c r="AA684" i="3"/>
  <c r="AA684" i="4" s="1"/>
  <c r="F685" i="3"/>
  <c r="F685" i="4" s="1"/>
  <c r="R685" i="3"/>
  <c r="R685" i="4" s="1"/>
  <c r="I686" i="3"/>
  <c r="I686" i="4" s="1"/>
  <c r="U686" i="3"/>
  <c r="U686" i="4" s="1"/>
  <c r="L687" i="3"/>
  <c r="L687" i="4" s="1"/>
  <c r="X687" i="3"/>
  <c r="X687" i="4" s="1"/>
  <c r="C688" i="3"/>
  <c r="C688" i="4" s="1"/>
  <c r="O688" i="3"/>
  <c r="O688" i="4" s="1"/>
  <c r="AA688" i="3"/>
  <c r="AA688" i="4" s="1"/>
  <c r="F689" i="3"/>
  <c r="F689" i="4" s="1"/>
  <c r="R689" i="3"/>
  <c r="R689" i="4" s="1"/>
  <c r="I690" i="3"/>
  <c r="I690" i="4" s="1"/>
  <c r="U690" i="3"/>
  <c r="U690" i="4" s="1"/>
  <c r="L691" i="3"/>
  <c r="L691" i="4" s="1"/>
  <c r="X691" i="3"/>
  <c r="X691" i="4" s="1"/>
  <c r="B335" i="3"/>
  <c r="B335" i="4" s="1"/>
  <c r="N335" i="3"/>
  <c r="N335" i="4" s="1"/>
  <c r="Z335" i="3"/>
  <c r="Z335" i="4" s="1"/>
  <c r="E336" i="3"/>
  <c r="E336" i="4" s="1"/>
  <c r="Q336" i="3"/>
  <c r="Q336" i="4" s="1"/>
  <c r="H337" i="3"/>
  <c r="H337" i="4" s="1"/>
  <c r="T337" i="3"/>
  <c r="T337" i="4" s="1"/>
  <c r="K338" i="3"/>
  <c r="K338" i="4" s="1"/>
  <c r="W338" i="3"/>
  <c r="W338" i="4" s="1"/>
  <c r="B339" i="3"/>
  <c r="B339" i="4" s="1"/>
  <c r="N339" i="3"/>
  <c r="N339" i="4" s="1"/>
  <c r="Z339" i="3"/>
  <c r="Z339" i="4" s="1"/>
  <c r="E340" i="3"/>
  <c r="E340" i="4" s="1"/>
  <c r="Q340" i="3"/>
  <c r="Q340" i="4" s="1"/>
  <c r="H341" i="3"/>
  <c r="H341" i="4" s="1"/>
  <c r="T341" i="3"/>
  <c r="T341" i="4" s="1"/>
  <c r="K342" i="3"/>
  <c r="K342" i="4" s="1"/>
  <c r="W342" i="3"/>
  <c r="W342" i="4" s="1"/>
  <c r="B343" i="3"/>
  <c r="B343" i="4" s="1"/>
  <c r="N343" i="3"/>
  <c r="N343" i="4" s="1"/>
  <c r="Z343" i="3"/>
  <c r="Z343" i="4" s="1"/>
  <c r="E344" i="3"/>
  <c r="E344" i="4" s="1"/>
  <c r="Q344" i="3"/>
  <c r="Q344" i="4" s="1"/>
  <c r="H345" i="3"/>
  <c r="H345" i="4" s="1"/>
  <c r="T345" i="3"/>
  <c r="T345" i="4" s="1"/>
  <c r="K346" i="3"/>
  <c r="K346" i="4" s="1"/>
  <c r="W346" i="3"/>
  <c r="W346" i="4" s="1"/>
  <c r="B347" i="3"/>
  <c r="B347" i="4" s="1"/>
  <c r="N347" i="3"/>
  <c r="N347" i="4" s="1"/>
  <c r="Z347" i="3"/>
  <c r="Z347" i="4" s="1"/>
  <c r="E348" i="3"/>
  <c r="E348" i="4" s="1"/>
  <c r="Q348" i="3"/>
  <c r="Q348" i="4" s="1"/>
  <c r="H349" i="3"/>
  <c r="H349" i="4" s="1"/>
  <c r="T349" i="3"/>
  <c r="T349" i="4" s="1"/>
  <c r="K350" i="3"/>
  <c r="K350" i="4" s="1"/>
  <c r="W350" i="3"/>
  <c r="W350" i="4" s="1"/>
  <c r="B351" i="3"/>
  <c r="B351" i="4" s="1"/>
  <c r="N351" i="3"/>
  <c r="N351" i="4" s="1"/>
  <c r="Z351" i="3"/>
  <c r="Z351" i="4" s="1"/>
  <c r="E352" i="3"/>
  <c r="E352" i="4" s="1"/>
  <c r="Q352" i="3"/>
  <c r="Q352" i="4" s="1"/>
  <c r="H353" i="3"/>
  <c r="H353" i="4" s="1"/>
  <c r="T353" i="3"/>
  <c r="T353" i="4" s="1"/>
  <c r="K354" i="3"/>
  <c r="K354" i="4" s="1"/>
  <c r="W354" i="3"/>
  <c r="W354" i="4" s="1"/>
  <c r="B355" i="3"/>
  <c r="B355" i="4" s="1"/>
  <c r="N355" i="3"/>
  <c r="N355" i="4" s="1"/>
  <c r="Z355" i="3"/>
  <c r="Z355" i="4" s="1"/>
  <c r="E356" i="3"/>
  <c r="E356" i="4" s="1"/>
  <c r="Q356" i="3"/>
  <c r="Q356" i="4" s="1"/>
  <c r="H357" i="3"/>
  <c r="H357" i="4" s="1"/>
  <c r="T357" i="3"/>
  <c r="T357" i="4" s="1"/>
  <c r="K358" i="3"/>
  <c r="K358" i="4" s="1"/>
  <c r="W358" i="3"/>
  <c r="W358" i="4" s="1"/>
  <c r="B359" i="3"/>
  <c r="B359" i="4" s="1"/>
  <c r="N359" i="3"/>
  <c r="N359" i="4" s="1"/>
  <c r="Z359" i="3"/>
  <c r="Z359" i="4" s="1"/>
  <c r="E360" i="3"/>
  <c r="E360" i="4" s="1"/>
  <c r="Q360" i="3"/>
  <c r="Q360" i="4" s="1"/>
  <c r="H361" i="3"/>
  <c r="H361" i="4" s="1"/>
  <c r="T361" i="3"/>
  <c r="T361" i="4" s="1"/>
  <c r="K362" i="3"/>
  <c r="K362" i="4" s="1"/>
  <c r="W362" i="3"/>
  <c r="W362" i="4" s="1"/>
  <c r="B363" i="3"/>
  <c r="B363" i="4" s="1"/>
  <c r="N363" i="3"/>
  <c r="N363" i="4" s="1"/>
  <c r="Z363" i="3"/>
  <c r="Z363" i="4" s="1"/>
  <c r="E364" i="3"/>
  <c r="E364" i="4" s="1"/>
  <c r="Q364" i="3"/>
  <c r="Q364" i="4" s="1"/>
  <c r="H365" i="3"/>
  <c r="H365" i="4" s="1"/>
  <c r="T365" i="3"/>
  <c r="T365" i="4" s="1"/>
  <c r="K366" i="3"/>
  <c r="K366" i="4" s="1"/>
  <c r="W366" i="3"/>
  <c r="W366" i="4" s="1"/>
  <c r="B367" i="3"/>
  <c r="B367" i="4" s="1"/>
  <c r="N367" i="3"/>
  <c r="N367" i="4" s="1"/>
  <c r="Z367" i="3"/>
  <c r="Z367" i="4" s="1"/>
  <c r="E368" i="3"/>
  <c r="E368" i="4" s="1"/>
  <c r="Q368" i="3"/>
  <c r="Q368" i="4" s="1"/>
  <c r="H369" i="3"/>
  <c r="H369" i="4" s="1"/>
  <c r="T369" i="3"/>
  <c r="T369" i="4" s="1"/>
  <c r="K370" i="3"/>
  <c r="K370" i="4" s="1"/>
  <c r="W370" i="3"/>
  <c r="W370" i="4" s="1"/>
  <c r="B371" i="3"/>
  <c r="B371" i="4" s="1"/>
  <c r="N371" i="3"/>
  <c r="N371" i="4" s="1"/>
  <c r="Z371" i="3"/>
  <c r="Z371" i="4" s="1"/>
  <c r="I2" i="3"/>
  <c r="I2" i="4" s="1"/>
  <c r="C4" i="3"/>
  <c r="C4" i="4" s="1"/>
  <c r="F5" i="3"/>
  <c r="F5" i="4" s="1"/>
  <c r="U6" i="3"/>
  <c r="U6" i="4" s="1"/>
  <c r="X7" i="3"/>
  <c r="X7" i="4" s="1"/>
  <c r="O8" i="3"/>
  <c r="O8" i="4" s="1"/>
  <c r="AA8" i="3"/>
  <c r="AA8" i="4" s="1"/>
  <c r="F9" i="3"/>
  <c r="F9" i="4" s="1"/>
  <c r="R9" i="3"/>
  <c r="R9" i="4" s="1"/>
  <c r="I10" i="3"/>
  <c r="I10" i="4" s="1"/>
  <c r="U10" i="3"/>
  <c r="U10" i="4" s="1"/>
  <c r="L11" i="3"/>
  <c r="L11" i="4" s="1"/>
  <c r="X11" i="3"/>
  <c r="X11" i="4" s="1"/>
  <c r="C12" i="3"/>
  <c r="C12" i="4" s="1"/>
  <c r="O12" i="3"/>
  <c r="O12" i="4" s="1"/>
  <c r="AA12" i="3"/>
  <c r="AA12" i="4" s="1"/>
  <c r="F13" i="3"/>
  <c r="F13" i="4" s="1"/>
  <c r="R13" i="3"/>
  <c r="R13" i="4" s="1"/>
  <c r="I14" i="3"/>
  <c r="I14" i="4" s="1"/>
  <c r="U14" i="3"/>
  <c r="U14" i="4" s="1"/>
  <c r="L15" i="3"/>
  <c r="L15" i="4" s="1"/>
  <c r="X15" i="3"/>
  <c r="X15" i="4" s="1"/>
  <c r="C16" i="3"/>
  <c r="C16" i="4" s="1"/>
  <c r="O16" i="3"/>
  <c r="O16" i="4" s="1"/>
  <c r="AA16" i="3"/>
  <c r="AA16" i="4" s="1"/>
  <c r="F17" i="3"/>
  <c r="F17" i="4" s="1"/>
  <c r="R17" i="3"/>
  <c r="R17" i="4" s="1"/>
  <c r="I18" i="3"/>
  <c r="I18" i="4" s="1"/>
  <c r="U18" i="3"/>
  <c r="U18" i="4" s="1"/>
  <c r="L19" i="3"/>
  <c r="L19" i="4" s="1"/>
  <c r="X19" i="3"/>
  <c r="X19" i="4" s="1"/>
  <c r="C20" i="3"/>
  <c r="C20" i="4" s="1"/>
  <c r="O20" i="3"/>
  <c r="O20" i="4" s="1"/>
  <c r="AA20" i="3"/>
  <c r="AA20" i="4" s="1"/>
  <c r="F21" i="3"/>
  <c r="F21" i="4" s="1"/>
  <c r="R21" i="3"/>
  <c r="R21" i="4" s="1"/>
  <c r="I22" i="3"/>
  <c r="I22" i="4" s="1"/>
  <c r="U22" i="3"/>
  <c r="U22" i="4" s="1"/>
  <c r="L23" i="3"/>
  <c r="L23" i="4" s="1"/>
  <c r="X23" i="3"/>
  <c r="X23" i="4" s="1"/>
  <c r="C24" i="3"/>
  <c r="C24" i="4" s="1"/>
  <c r="O24" i="3"/>
  <c r="O24" i="4" s="1"/>
  <c r="AA24" i="3"/>
  <c r="AA24" i="4" s="1"/>
  <c r="F25" i="3"/>
  <c r="F25" i="4" s="1"/>
  <c r="R25" i="3"/>
  <c r="R25" i="4" s="1"/>
  <c r="I26" i="3"/>
  <c r="I26" i="4" s="1"/>
  <c r="U26" i="3"/>
  <c r="U26" i="4" s="1"/>
  <c r="L27" i="3"/>
  <c r="L27" i="4" s="1"/>
  <c r="X27" i="3"/>
  <c r="X27" i="4" s="1"/>
  <c r="C28" i="3"/>
  <c r="C28" i="4" s="1"/>
  <c r="O28" i="3"/>
  <c r="O28" i="4" s="1"/>
  <c r="AA28" i="3"/>
  <c r="AA28" i="4" s="1"/>
  <c r="F29" i="3"/>
  <c r="F29" i="4" s="1"/>
  <c r="R29" i="3"/>
  <c r="R29" i="4" s="1"/>
  <c r="I30" i="3"/>
  <c r="I30" i="4" s="1"/>
  <c r="U30" i="3"/>
  <c r="U30" i="4" s="1"/>
  <c r="L31" i="3"/>
  <c r="L31" i="4" s="1"/>
  <c r="X31" i="3"/>
  <c r="X31" i="4" s="1"/>
  <c r="C32" i="3"/>
  <c r="C32" i="4" s="1"/>
  <c r="O32" i="3"/>
  <c r="O32" i="4" s="1"/>
  <c r="AA32" i="3"/>
  <c r="AA32" i="4" s="1"/>
  <c r="F33" i="3"/>
  <c r="F33" i="4" s="1"/>
  <c r="R33" i="3"/>
  <c r="R33" i="4" s="1"/>
  <c r="I34" i="3"/>
  <c r="I34" i="4" s="1"/>
  <c r="U34" i="3"/>
  <c r="U34" i="4" s="1"/>
  <c r="L35" i="3"/>
  <c r="L35" i="4" s="1"/>
  <c r="X35" i="3"/>
  <c r="X35" i="4" s="1"/>
  <c r="C36" i="3"/>
  <c r="C36" i="4" s="1"/>
  <c r="O36" i="3"/>
  <c r="O36" i="4" s="1"/>
  <c r="AA36" i="3"/>
  <c r="AA36" i="4" s="1"/>
  <c r="F37" i="3"/>
  <c r="F37" i="4" s="1"/>
  <c r="R37" i="3"/>
  <c r="R37" i="4" s="1"/>
  <c r="I38" i="3"/>
  <c r="I38" i="4" s="1"/>
  <c r="U38" i="3"/>
  <c r="U38" i="4" s="1"/>
  <c r="L39" i="3"/>
  <c r="L39" i="4" s="1"/>
  <c r="X39" i="3"/>
  <c r="X39" i="4" s="1"/>
  <c r="C40" i="3"/>
  <c r="C40" i="4" s="1"/>
  <c r="O40" i="3"/>
  <c r="O40" i="4" s="1"/>
  <c r="AA40" i="3"/>
  <c r="AA40" i="4" s="1"/>
  <c r="F41" i="3"/>
  <c r="F41" i="4" s="1"/>
  <c r="R41" i="3"/>
  <c r="R41" i="4" s="1"/>
  <c r="I42" i="3"/>
  <c r="I42" i="4" s="1"/>
  <c r="U42" i="3"/>
  <c r="U42" i="4" s="1"/>
  <c r="L43" i="3"/>
  <c r="L43" i="4" s="1"/>
  <c r="X43" i="3"/>
  <c r="X43" i="4" s="1"/>
  <c r="C44" i="3"/>
  <c r="C44" i="4" s="1"/>
  <c r="O44" i="3"/>
  <c r="O44" i="4" s="1"/>
  <c r="AA44" i="3"/>
  <c r="AA44" i="4" s="1"/>
  <c r="F45" i="3"/>
  <c r="F45" i="4" s="1"/>
  <c r="R45" i="3"/>
  <c r="R45" i="4" s="1"/>
  <c r="I46" i="3"/>
  <c r="I46" i="4" s="1"/>
  <c r="U46" i="3"/>
  <c r="U46" i="4" s="1"/>
  <c r="L47" i="3"/>
  <c r="L47" i="4" s="1"/>
  <c r="X47" i="3"/>
  <c r="X47" i="4" s="1"/>
  <c r="C48" i="3"/>
  <c r="C48" i="4" s="1"/>
  <c r="O48" i="3"/>
  <c r="O48" i="4" s="1"/>
  <c r="AA48" i="3"/>
  <c r="AA48" i="4" s="1"/>
  <c r="F49" i="3"/>
  <c r="F49" i="4" s="1"/>
  <c r="R49" i="3"/>
  <c r="R49" i="4" s="1"/>
  <c r="I50" i="3"/>
  <c r="I50" i="4" s="1"/>
  <c r="U50" i="3"/>
  <c r="U50" i="4" s="1"/>
  <c r="L51" i="3"/>
  <c r="L51" i="4" s="1"/>
  <c r="X51" i="3"/>
  <c r="X51" i="4" s="1"/>
  <c r="C52" i="3"/>
  <c r="C52" i="4" s="1"/>
  <c r="O52" i="3"/>
  <c r="O52" i="4" s="1"/>
  <c r="AA52" i="3"/>
  <c r="AA52" i="4" s="1"/>
  <c r="U2" i="3"/>
  <c r="U2" i="4" s="1"/>
  <c r="L3" i="3"/>
  <c r="L3" i="4" s="1"/>
  <c r="X3" i="3"/>
  <c r="X3" i="4" s="1"/>
  <c r="O4" i="3"/>
  <c r="O4" i="4" s="1"/>
  <c r="AA4" i="3"/>
  <c r="AA4" i="4" s="1"/>
  <c r="R5" i="3"/>
  <c r="R5" i="4" s="1"/>
  <c r="I6" i="3"/>
  <c r="I6" i="4" s="1"/>
  <c r="L7" i="3"/>
  <c r="L7" i="4" s="1"/>
  <c r="C8" i="3"/>
  <c r="C8" i="4" s="1"/>
  <c r="J2" i="3"/>
  <c r="J2" i="4" s="1"/>
  <c r="V2" i="3"/>
  <c r="V2" i="4" s="1"/>
  <c r="A3" i="3"/>
  <c r="A3" i="4" s="1"/>
  <c r="M3" i="3"/>
  <c r="M3" i="4" s="1"/>
  <c r="Y3" i="3"/>
  <c r="Y3" i="4" s="1"/>
  <c r="D4" i="3"/>
  <c r="D4" i="4" s="1"/>
  <c r="P4" i="3"/>
  <c r="P4" i="4" s="1"/>
  <c r="AB4" i="3"/>
  <c r="AB4" i="4" s="1"/>
  <c r="G5" i="3"/>
  <c r="G5" i="4" s="1"/>
  <c r="S5" i="3"/>
  <c r="S5" i="4" s="1"/>
  <c r="J6" i="3"/>
  <c r="J6" i="4" s="1"/>
  <c r="V6" i="3"/>
  <c r="V6" i="4" s="1"/>
  <c r="A7" i="3"/>
  <c r="A7" i="4" s="1"/>
  <c r="M7" i="3"/>
  <c r="M7" i="4" s="1"/>
  <c r="Y7" i="3"/>
  <c r="Y7" i="4" s="1"/>
  <c r="D8" i="3"/>
  <c r="D8" i="4" s="1"/>
  <c r="P8" i="3"/>
  <c r="P8" i="4" s="1"/>
  <c r="AB8" i="3"/>
  <c r="AB8" i="4" s="1"/>
  <c r="G9" i="3"/>
  <c r="G9" i="4" s="1"/>
  <c r="S9" i="3"/>
  <c r="S9" i="4" s="1"/>
  <c r="J10" i="3"/>
  <c r="J10" i="4" s="1"/>
  <c r="V10" i="3"/>
  <c r="V10" i="4" s="1"/>
  <c r="A11" i="3"/>
  <c r="A11" i="4" s="1"/>
  <c r="M11" i="3"/>
  <c r="M11" i="4" s="1"/>
  <c r="Y11" i="3"/>
  <c r="Y11" i="4" s="1"/>
  <c r="D12" i="3"/>
  <c r="D12" i="4" s="1"/>
  <c r="P12" i="3"/>
  <c r="P12" i="4" s="1"/>
  <c r="AB12" i="3"/>
  <c r="AB12" i="4" s="1"/>
  <c r="G13" i="3"/>
  <c r="G13" i="4" s="1"/>
  <c r="S13" i="3"/>
  <c r="S13" i="4" s="1"/>
  <c r="J14" i="3"/>
  <c r="J14" i="4" s="1"/>
  <c r="V14" i="3"/>
  <c r="V14" i="4" s="1"/>
  <c r="A15" i="3"/>
  <c r="A15" i="4" s="1"/>
  <c r="M15" i="3"/>
  <c r="M15" i="4" s="1"/>
  <c r="Y15" i="3"/>
  <c r="Y15" i="4" s="1"/>
  <c r="D16" i="3"/>
  <c r="D16" i="4" s="1"/>
  <c r="P16" i="3"/>
  <c r="P16" i="4" s="1"/>
  <c r="AB16" i="3"/>
  <c r="AB16" i="4" s="1"/>
  <c r="G17" i="3"/>
  <c r="G17" i="4" s="1"/>
  <c r="S17" i="3"/>
  <c r="S17" i="4" s="1"/>
  <c r="J18" i="3"/>
  <c r="J18" i="4" s="1"/>
  <c r="V18" i="3"/>
  <c r="V18" i="4" s="1"/>
  <c r="A19" i="3"/>
  <c r="A19" i="4" s="1"/>
  <c r="M19" i="3"/>
  <c r="M19" i="4" s="1"/>
  <c r="Y19" i="3"/>
  <c r="Y19" i="4" s="1"/>
  <c r="D20" i="3"/>
  <c r="D20" i="4" s="1"/>
  <c r="P20" i="3"/>
  <c r="P20" i="4" s="1"/>
  <c r="AB20" i="3"/>
  <c r="AB20" i="4" s="1"/>
  <c r="G21" i="3"/>
  <c r="G21" i="4" s="1"/>
  <c r="S21" i="3"/>
  <c r="S21" i="4" s="1"/>
  <c r="J22" i="3"/>
  <c r="J22" i="4" s="1"/>
  <c r="V22" i="3"/>
  <c r="V22" i="4" s="1"/>
  <c r="A23" i="3"/>
  <c r="A23" i="4" s="1"/>
  <c r="M23" i="3"/>
  <c r="M23" i="4" s="1"/>
  <c r="Y23" i="3"/>
  <c r="Y23" i="4" s="1"/>
  <c r="D24" i="3"/>
  <c r="D24" i="4" s="1"/>
  <c r="P24" i="3"/>
  <c r="P24" i="4" s="1"/>
  <c r="AB24" i="3"/>
  <c r="AB24" i="4" s="1"/>
  <c r="G25" i="3"/>
  <c r="G25" i="4" s="1"/>
  <c r="S25" i="3"/>
  <c r="S25" i="4" s="1"/>
  <c r="J26" i="3"/>
  <c r="J26" i="4" s="1"/>
  <c r="V26" i="3"/>
  <c r="V26" i="4" s="1"/>
  <c r="A27" i="3"/>
  <c r="A27" i="4" s="1"/>
  <c r="M27" i="3"/>
  <c r="M27" i="4" s="1"/>
  <c r="Y27" i="3"/>
  <c r="Y27" i="4" s="1"/>
  <c r="D28" i="3"/>
  <c r="D28" i="4" s="1"/>
  <c r="P28" i="3"/>
  <c r="P28" i="4" s="1"/>
  <c r="AB28" i="3"/>
  <c r="AB28" i="4" s="1"/>
  <c r="G29" i="3"/>
  <c r="G29" i="4" s="1"/>
  <c r="S29" i="3"/>
  <c r="S29" i="4" s="1"/>
  <c r="J30" i="3"/>
  <c r="J30" i="4" s="1"/>
  <c r="V30" i="3"/>
  <c r="V30" i="4" s="1"/>
  <c r="A31" i="3"/>
  <c r="A31" i="4" s="1"/>
  <c r="M31" i="3"/>
  <c r="M31" i="4" s="1"/>
  <c r="Y31" i="3"/>
  <c r="Y31" i="4" s="1"/>
  <c r="D32" i="3"/>
  <c r="D32" i="4" s="1"/>
  <c r="P32" i="3"/>
  <c r="P32" i="4" s="1"/>
  <c r="AB32" i="3"/>
  <c r="AB32" i="4" s="1"/>
  <c r="G33" i="3"/>
  <c r="G33" i="4" s="1"/>
  <c r="S33" i="3"/>
  <c r="S33" i="4" s="1"/>
  <c r="J34" i="3"/>
  <c r="J34" i="4" s="1"/>
  <c r="V34" i="3"/>
  <c r="V34" i="4" s="1"/>
  <c r="A35" i="3"/>
  <c r="A35" i="4" s="1"/>
  <c r="M35" i="3"/>
  <c r="M35" i="4" s="1"/>
  <c r="Y35" i="3"/>
  <c r="Y35" i="4" s="1"/>
  <c r="D36" i="3"/>
  <c r="D36" i="4" s="1"/>
  <c r="P36" i="3"/>
  <c r="P36" i="4" s="1"/>
  <c r="AB36" i="3"/>
  <c r="AB36" i="4" s="1"/>
  <c r="G37" i="3"/>
  <c r="G37" i="4" s="1"/>
  <c r="S37" i="3"/>
  <c r="S37" i="4" s="1"/>
  <c r="J38" i="3"/>
  <c r="J38" i="4" s="1"/>
  <c r="V38" i="3"/>
  <c r="V38" i="4" s="1"/>
  <c r="A39" i="3"/>
  <c r="A39" i="4" s="1"/>
  <c r="M39" i="3"/>
  <c r="M39" i="4" s="1"/>
  <c r="Y39" i="3"/>
  <c r="Y39" i="4" s="1"/>
  <c r="D40" i="3"/>
  <c r="D40" i="4" s="1"/>
  <c r="P40" i="3"/>
  <c r="P40" i="4" s="1"/>
  <c r="AB40" i="3"/>
  <c r="AB40" i="4" s="1"/>
  <c r="G41" i="3"/>
  <c r="G41" i="4" s="1"/>
  <c r="S41" i="3"/>
  <c r="S41" i="4" s="1"/>
  <c r="J42" i="3"/>
  <c r="J42" i="4" s="1"/>
  <c r="V42" i="3"/>
  <c r="V42" i="4" s="1"/>
  <c r="A43" i="3"/>
  <c r="A43" i="4" s="1"/>
  <c r="M43" i="3"/>
  <c r="M43" i="4" s="1"/>
  <c r="Y43" i="3"/>
  <c r="Y43" i="4" s="1"/>
  <c r="D44" i="3"/>
  <c r="D44" i="4" s="1"/>
  <c r="P44" i="3"/>
  <c r="P44" i="4" s="1"/>
  <c r="AB44" i="3"/>
  <c r="AB44" i="4" s="1"/>
  <c r="G45" i="3"/>
  <c r="G45" i="4" s="1"/>
  <c r="S45" i="3"/>
  <c r="S45" i="4" s="1"/>
  <c r="J46" i="3"/>
  <c r="J46" i="4" s="1"/>
  <c r="V46" i="3"/>
  <c r="V46" i="4" s="1"/>
  <c r="A47" i="3"/>
  <c r="A47" i="4" s="1"/>
  <c r="M47" i="3"/>
  <c r="M47" i="4" s="1"/>
  <c r="Y47" i="3"/>
  <c r="Y47" i="4" s="1"/>
  <c r="D48" i="3"/>
  <c r="D48" i="4" s="1"/>
  <c r="P48" i="3"/>
  <c r="P48" i="4" s="1"/>
  <c r="H2" i="3"/>
  <c r="H2" i="4" s="1"/>
  <c r="T2" i="3"/>
  <c r="T2" i="4" s="1"/>
  <c r="K3" i="3"/>
  <c r="K3" i="4" s="1"/>
  <c r="W3" i="3"/>
  <c r="W3" i="4" s="1"/>
  <c r="B4" i="3"/>
  <c r="B4" i="4" s="1"/>
  <c r="N4" i="3"/>
  <c r="N4" i="4" s="1"/>
  <c r="Z4" i="3"/>
  <c r="Z4" i="4" s="1"/>
  <c r="E5" i="3"/>
  <c r="E5" i="4" s="1"/>
  <c r="Q5" i="3"/>
  <c r="Q5" i="4" s="1"/>
  <c r="H6" i="3"/>
  <c r="H6" i="4" s="1"/>
  <c r="T6" i="3"/>
  <c r="T6" i="4" s="1"/>
  <c r="K7" i="3"/>
  <c r="K7" i="4" s="1"/>
  <c r="W7" i="3"/>
  <c r="W7" i="4" s="1"/>
  <c r="B8" i="3"/>
  <c r="B8" i="4" s="1"/>
  <c r="N8" i="3"/>
  <c r="N8" i="4" s="1"/>
  <c r="Z8" i="3"/>
  <c r="Z8" i="4" s="1"/>
  <c r="E9" i="3"/>
  <c r="E9" i="4" s="1"/>
  <c r="Q9" i="3"/>
  <c r="Q9" i="4" s="1"/>
  <c r="H10" i="3"/>
  <c r="H10" i="4" s="1"/>
  <c r="T10" i="3"/>
  <c r="T10" i="4" s="1"/>
  <c r="K11" i="3"/>
  <c r="K11" i="4" s="1"/>
  <c r="W11" i="3"/>
  <c r="W11" i="4" s="1"/>
  <c r="B12" i="3"/>
  <c r="B12" i="4" s="1"/>
  <c r="N12" i="3"/>
  <c r="N12" i="4" s="1"/>
  <c r="Z12" i="3"/>
  <c r="Z12" i="4" s="1"/>
  <c r="E13" i="3"/>
  <c r="E13" i="4" s="1"/>
  <c r="Q13" i="3"/>
  <c r="Q13" i="4" s="1"/>
  <c r="H14" i="3"/>
  <c r="H14" i="4" s="1"/>
  <c r="T14" i="3"/>
  <c r="T14" i="4" s="1"/>
  <c r="K15" i="3"/>
  <c r="K15" i="4" s="1"/>
  <c r="W15" i="3"/>
  <c r="W15" i="4" s="1"/>
  <c r="B16" i="3"/>
  <c r="B16" i="4" s="1"/>
  <c r="N16" i="3"/>
  <c r="N16" i="4" s="1"/>
  <c r="Z16" i="3"/>
  <c r="Z16" i="4" s="1"/>
  <c r="E17" i="3"/>
  <c r="E17" i="4" s="1"/>
  <c r="Q17" i="3"/>
  <c r="Q17" i="4" s="1"/>
  <c r="H18" i="3"/>
  <c r="H18" i="4" s="1"/>
  <c r="T18" i="3"/>
  <c r="T18" i="4" s="1"/>
  <c r="K19" i="3"/>
  <c r="K19" i="4" s="1"/>
  <c r="W19" i="3"/>
  <c r="W19" i="4" s="1"/>
  <c r="B20" i="3"/>
  <c r="B20" i="4" s="1"/>
  <c r="N20" i="3"/>
  <c r="N20" i="4" s="1"/>
  <c r="Z20" i="3"/>
  <c r="Z20" i="4" s="1"/>
  <c r="E21" i="3"/>
  <c r="E21" i="4" s="1"/>
  <c r="Q21" i="3"/>
  <c r="Q21" i="4" s="1"/>
  <c r="H22" i="3"/>
  <c r="H22" i="4" s="1"/>
  <c r="T22" i="3"/>
  <c r="T22" i="4" s="1"/>
  <c r="K23" i="3"/>
  <c r="K23" i="4" s="1"/>
  <c r="W23" i="3"/>
  <c r="W23" i="4" s="1"/>
  <c r="B24" i="3"/>
  <c r="B24" i="4" s="1"/>
  <c r="N24" i="3"/>
  <c r="N24" i="4" s="1"/>
  <c r="Z24" i="3"/>
  <c r="Z24" i="4" s="1"/>
  <c r="E25" i="3"/>
  <c r="E25" i="4" s="1"/>
  <c r="Q25" i="3"/>
  <c r="Q25" i="4" s="1"/>
  <c r="H26" i="3"/>
  <c r="H26" i="4" s="1"/>
  <c r="T26" i="3"/>
  <c r="T26" i="4" s="1"/>
  <c r="K27" i="3"/>
  <c r="K27" i="4" s="1"/>
  <c r="W27" i="3"/>
  <c r="W27" i="4" s="1"/>
  <c r="B28" i="3"/>
  <c r="B28" i="4" s="1"/>
  <c r="N28" i="3"/>
  <c r="N28" i="4" s="1"/>
  <c r="Z28" i="3"/>
  <c r="Z28" i="4" s="1"/>
  <c r="E29" i="3"/>
  <c r="E29" i="4" s="1"/>
  <c r="Q29" i="3"/>
  <c r="Q29" i="4" s="1"/>
  <c r="H30" i="3"/>
  <c r="H30" i="4" s="1"/>
  <c r="T30" i="3"/>
  <c r="T30" i="4" s="1"/>
  <c r="K31" i="3"/>
  <c r="K31" i="4" s="1"/>
  <c r="W31" i="3"/>
  <c r="W31" i="4" s="1"/>
  <c r="B32" i="3"/>
  <c r="B32" i="4" s="1"/>
  <c r="N32" i="3"/>
  <c r="N32" i="4" s="1"/>
  <c r="Z32" i="3"/>
  <c r="Z32" i="4" s="1"/>
  <c r="E33" i="3"/>
  <c r="E33" i="4" s="1"/>
  <c r="Q33" i="3"/>
  <c r="Q33" i="4" s="1"/>
  <c r="H34" i="3"/>
  <c r="H34" i="4" s="1"/>
  <c r="T34" i="3"/>
  <c r="T34" i="4" s="1"/>
  <c r="K35" i="3"/>
  <c r="K35" i="4" s="1"/>
  <c r="W35" i="3"/>
  <c r="W35" i="4" s="1"/>
  <c r="B36" i="3"/>
  <c r="B36" i="4" s="1"/>
  <c r="N36" i="3"/>
  <c r="N36" i="4" s="1"/>
  <c r="Z36" i="3"/>
  <c r="Z36" i="4" s="1"/>
  <c r="E37" i="3"/>
  <c r="E37" i="4" s="1"/>
  <c r="Q37" i="3"/>
  <c r="Q37" i="4" s="1"/>
  <c r="H38" i="3"/>
  <c r="H38" i="4" s="1"/>
  <c r="T38" i="3"/>
  <c r="T38" i="4" s="1"/>
  <c r="K39" i="3"/>
  <c r="K39" i="4" s="1"/>
  <c r="W39" i="3"/>
  <c r="W39" i="4" s="1"/>
  <c r="B40" i="3"/>
  <c r="B40" i="4" s="1"/>
  <c r="N40" i="3"/>
  <c r="N40" i="4" s="1"/>
  <c r="Z40" i="3"/>
  <c r="Z40" i="4" s="1"/>
  <c r="E41" i="3"/>
  <c r="E41" i="4" s="1"/>
  <c r="Q41" i="3"/>
  <c r="Q41" i="4" s="1"/>
  <c r="H42" i="3"/>
  <c r="H42" i="4" s="1"/>
  <c r="T42" i="3"/>
  <c r="T42" i="4" s="1"/>
  <c r="K43" i="3"/>
  <c r="K43" i="4" s="1"/>
  <c r="W43" i="3"/>
  <c r="W43" i="4" s="1"/>
  <c r="B44" i="3"/>
  <c r="B44" i="4" s="1"/>
  <c r="N44" i="3"/>
  <c r="N44" i="4" s="1"/>
  <c r="Z44" i="3"/>
  <c r="Z44" i="4" s="1"/>
  <c r="E45" i="3"/>
  <c r="E45" i="4" s="1"/>
  <c r="Q45" i="3"/>
  <c r="Q45" i="4" s="1"/>
  <c r="F53" i="3"/>
  <c r="F53" i="4" s="1"/>
  <c r="R53" i="3"/>
  <c r="R53" i="4" s="1"/>
  <c r="I54" i="3"/>
  <c r="I54" i="4" s="1"/>
  <c r="U54" i="3"/>
  <c r="U54" i="4" s="1"/>
  <c r="L55" i="3"/>
  <c r="L55" i="4" s="1"/>
  <c r="X55" i="3"/>
  <c r="X55" i="4" s="1"/>
  <c r="C56" i="3"/>
  <c r="C56" i="4" s="1"/>
  <c r="O56" i="3"/>
  <c r="O56" i="4" s="1"/>
  <c r="AA56" i="3"/>
  <c r="AA56" i="4" s="1"/>
  <c r="F57" i="3"/>
  <c r="F57" i="4" s="1"/>
  <c r="R57" i="3"/>
  <c r="R57" i="4" s="1"/>
  <c r="I58" i="3"/>
  <c r="I58" i="4" s="1"/>
  <c r="U58" i="3"/>
  <c r="U58" i="4" s="1"/>
  <c r="L59" i="3"/>
  <c r="L59" i="4" s="1"/>
  <c r="X59" i="3"/>
  <c r="X59" i="4" s="1"/>
  <c r="C60" i="3"/>
  <c r="C60" i="4" s="1"/>
  <c r="O60" i="3"/>
  <c r="O60" i="4" s="1"/>
  <c r="AA60" i="3"/>
  <c r="AA60" i="4" s="1"/>
  <c r="F61" i="3"/>
  <c r="F61" i="4" s="1"/>
  <c r="R61" i="3"/>
  <c r="R61" i="4" s="1"/>
  <c r="I62" i="3"/>
  <c r="I62" i="4" s="1"/>
  <c r="U62" i="3"/>
  <c r="U62" i="4" s="1"/>
  <c r="L63" i="3"/>
  <c r="L63" i="4" s="1"/>
  <c r="X63" i="3"/>
  <c r="X63" i="4" s="1"/>
  <c r="C64" i="3"/>
  <c r="C64" i="4" s="1"/>
  <c r="O64" i="3"/>
  <c r="O64" i="4" s="1"/>
  <c r="AA64" i="3"/>
  <c r="AA64" i="4" s="1"/>
  <c r="F65" i="3"/>
  <c r="F65" i="4" s="1"/>
  <c r="R65" i="3"/>
  <c r="R65" i="4" s="1"/>
  <c r="I66" i="3"/>
  <c r="I66" i="4" s="1"/>
  <c r="U66" i="3"/>
  <c r="U66" i="4" s="1"/>
  <c r="L67" i="3"/>
  <c r="L67" i="4" s="1"/>
  <c r="X67" i="3"/>
  <c r="X67" i="4" s="1"/>
  <c r="C68" i="3"/>
  <c r="C68" i="4" s="1"/>
  <c r="O68" i="3"/>
  <c r="O68" i="4" s="1"/>
  <c r="AA68" i="3"/>
  <c r="AA68" i="4" s="1"/>
  <c r="F69" i="3"/>
  <c r="F69" i="4" s="1"/>
  <c r="R69" i="3"/>
  <c r="R69" i="4" s="1"/>
  <c r="I70" i="3"/>
  <c r="I70" i="4" s="1"/>
  <c r="U70" i="3"/>
  <c r="U70" i="4" s="1"/>
  <c r="L71" i="3"/>
  <c r="L71" i="4" s="1"/>
  <c r="X71" i="3"/>
  <c r="X71" i="4" s="1"/>
  <c r="C72" i="3"/>
  <c r="C72" i="4" s="1"/>
  <c r="O72" i="3"/>
  <c r="O72" i="4" s="1"/>
  <c r="AA72" i="3"/>
  <c r="AA72" i="4" s="1"/>
  <c r="F73" i="3"/>
  <c r="F73" i="4" s="1"/>
  <c r="R73" i="3"/>
  <c r="R73" i="4" s="1"/>
  <c r="I74" i="3"/>
  <c r="I74" i="4" s="1"/>
  <c r="U74" i="3"/>
  <c r="U74" i="4" s="1"/>
  <c r="L75" i="3"/>
  <c r="L75" i="4" s="1"/>
  <c r="X75" i="3"/>
  <c r="X75" i="4" s="1"/>
  <c r="C76" i="3"/>
  <c r="C76" i="4" s="1"/>
  <c r="O76" i="3"/>
  <c r="O76" i="4" s="1"/>
  <c r="AA76" i="3"/>
  <c r="AA76" i="4" s="1"/>
  <c r="F77" i="3"/>
  <c r="F77" i="4" s="1"/>
  <c r="R77" i="3"/>
  <c r="R77" i="4" s="1"/>
  <c r="I78" i="3"/>
  <c r="I78" i="4" s="1"/>
  <c r="U78" i="3"/>
  <c r="U78" i="4" s="1"/>
  <c r="L79" i="3"/>
  <c r="L79" i="4" s="1"/>
  <c r="X79" i="3"/>
  <c r="X79" i="4" s="1"/>
  <c r="C80" i="3"/>
  <c r="C80" i="4" s="1"/>
  <c r="O80" i="3"/>
  <c r="O80" i="4" s="1"/>
  <c r="AA80" i="3"/>
  <c r="AA80" i="4" s="1"/>
  <c r="F81" i="3"/>
  <c r="F81" i="4" s="1"/>
  <c r="R81" i="3"/>
  <c r="R81" i="4" s="1"/>
  <c r="I82" i="3"/>
  <c r="I82" i="4" s="1"/>
  <c r="U82" i="3"/>
  <c r="U82" i="4" s="1"/>
  <c r="L83" i="3"/>
  <c r="L83" i="4" s="1"/>
  <c r="X83" i="3"/>
  <c r="X83" i="4" s="1"/>
  <c r="C84" i="3"/>
  <c r="C84" i="4" s="1"/>
  <c r="O84" i="3"/>
  <c r="O84" i="4" s="1"/>
  <c r="AA84" i="3"/>
  <c r="AA84" i="4" s="1"/>
  <c r="F85" i="3"/>
  <c r="F85" i="4" s="1"/>
  <c r="R85" i="3"/>
  <c r="R85" i="4" s="1"/>
  <c r="I86" i="3"/>
  <c r="I86" i="4" s="1"/>
  <c r="U86" i="3"/>
  <c r="U86" i="4" s="1"/>
  <c r="L87" i="3"/>
  <c r="L87" i="4" s="1"/>
  <c r="X87" i="3"/>
  <c r="X87" i="4" s="1"/>
  <c r="C88" i="3"/>
  <c r="C88" i="4" s="1"/>
  <c r="O88" i="3"/>
  <c r="O88" i="4" s="1"/>
  <c r="AA88" i="3"/>
  <c r="AA88" i="4" s="1"/>
  <c r="F89" i="3"/>
  <c r="F89" i="4" s="1"/>
  <c r="R89" i="3"/>
  <c r="R89" i="4" s="1"/>
  <c r="I90" i="3"/>
  <c r="I90" i="4" s="1"/>
  <c r="U90" i="3"/>
  <c r="U90" i="4" s="1"/>
  <c r="L91" i="3"/>
  <c r="L91" i="4" s="1"/>
  <c r="X91" i="3"/>
  <c r="X91" i="4" s="1"/>
  <c r="C92" i="3"/>
  <c r="C92" i="4" s="1"/>
  <c r="O92" i="3"/>
  <c r="O92" i="4" s="1"/>
  <c r="AA92" i="3"/>
  <c r="AA92" i="4" s="1"/>
  <c r="F93" i="3"/>
  <c r="F93" i="4" s="1"/>
  <c r="R93" i="3"/>
  <c r="R93" i="4" s="1"/>
  <c r="I94" i="3"/>
  <c r="I94" i="4" s="1"/>
  <c r="U94" i="3"/>
  <c r="U94" i="4" s="1"/>
  <c r="L95" i="3"/>
  <c r="L95" i="4" s="1"/>
  <c r="X95" i="3"/>
  <c r="X95" i="4" s="1"/>
  <c r="C96" i="3"/>
  <c r="C96" i="4" s="1"/>
  <c r="O96" i="3"/>
  <c r="O96" i="4" s="1"/>
  <c r="AA96" i="3"/>
  <c r="AA96" i="4" s="1"/>
  <c r="F97" i="3"/>
  <c r="F97" i="4" s="1"/>
  <c r="R97" i="3"/>
  <c r="R97" i="4" s="1"/>
  <c r="I98" i="3"/>
  <c r="I98" i="4" s="1"/>
  <c r="U98" i="3"/>
  <c r="U98" i="4" s="1"/>
  <c r="L99" i="3"/>
  <c r="L99" i="4" s="1"/>
  <c r="X99" i="3"/>
  <c r="X99" i="4" s="1"/>
  <c r="C100" i="3"/>
  <c r="C100" i="4" s="1"/>
  <c r="O100" i="3"/>
  <c r="O100" i="4" s="1"/>
  <c r="AA100" i="3"/>
  <c r="AA100" i="4" s="1"/>
  <c r="F101" i="3"/>
  <c r="F101" i="4" s="1"/>
  <c r="R101" i="3"/>
  <c r="R101" i="4" s="1"/>
  <c r="I102" i="3"/>
  <c r="I102" i="4" s="1"/>
  <c r="U102" i="3"/>
  <c r="U102" i="4" s="1"/>
  <c r="L103" i="3"/>
  <c r="L103" i="4" s="1"/>
  <c r="X103" i="3"/>
  <c r="X103" i="4" s="1"/>
  <c r="C104" i="3"/>
  <c r="C104" i="4" s="1"/>
  <c r="O104" i="3"/>
  <c r="O104" i="4" s="1"/>
  <c r="AA104" i="3"/>
  <c r="AA104" i="4" s="1"/>
  <c r="F105" i="3"/>
  <c r="F105" i="4" s="1"/>
  <c r="R105" i="3"/>
  <c r="R105" i="4" s="1"/>
  <c r="I106" i="3"/>
  <c r="I106" i="4" s="1"/>
  <c r="U106" i="3"/>
  <c r="U106" i="4" s="1"/>
  <c r="L107" i="3"/>
  <c r="L107" i="4" s="1"/>
  <c r="X107" i="3"/>
  <c r="X107" i="4" s="1"/>
  <c r="C108" i="3"/>
  <c r="C108" i="4" s="1"/>
  <c r="O108" i="3"/>
  <c r="O108" i="4" s="1"/>
  <c r="AA108" i="3"/>
  <c r="AA108" i="4" s="1"/>
  <c r="F109" i="3"/>
  <c r="F109" i="4" s="1"/>
  <c r="R109" i="3"/>
  <c r="R109" i="4" s="1"/>
  <c r="I110" i="3"/>
  <c r="I110" i="4" s="1"/>
  <c r="U110" i="3"/>
  <c r="U110" i="4" s="1"/>
  <c r="L111" i="3"/>
  <c r="L111" i="4" s="1"/>
  <c r="X111" i="3"/>
  <c r="X111" i="4" s="1"/>
  <c r="C112" i="3"/>
  <c r="C112" i="4" s="1"/>
  <c r="O112" i="3"/>
  <c r="O112" i="4" s="1"/>
  <c r="AA112" i="3"/>
  <c r="AA112" i="4" s="1"/>
  <c r="F113" i="3"/>
  <c r="F113" i="4" s="1"/>
  <c r="R113" i="3"/>
  <c r="R113" i="4" s="1"/>
  <c r="I114" i="3"/>
  <c r="I114" i="4" s="1"/>
  <c r="U114" i="3"/>
  <c r="U114" i="4" s="1"/>
  <c r="L115" i="3"/>
  <c r="L115" i="4" s="1"/>
  <c r="X115" i="3"/>
  <c r="X115" i="4" s="1"/>
  <c r="C116" i="3"/>
  <c r="C116" i="4" s="1"/>
  <c r="O116" i="3"/>
  <c r="O116" i="4" s="1"/>
  <c r="AA116" i="3"/>
  <c r="AA116" i="4" s="1"/>
  <c r="F117" i="3"/>
  <c r="F117" i="4" s="1"/>
  <c r="R117" i="3"/>
  <c r="R117" i="4" s="1"/>
  <c r="I118" i="3"/>
  <c r="I118" i="4" s="1"/>
  <c r="U118" i="3"/>
  <c r="U118" i="4" s="1"/>
  <c r="L119" i="3"/>
  <c r="L119" i="4" s="1"/>
  <c r="X119" i="3"/>
  <c r="X119" i="4" s="1"/>
  <c r="C120" i="3"/>
  <c r="C120" i="4" s="1"/>
  <c r="O120" i="3"/>
  <c r="O120" i="4" s="1"/>
  <c r="AA120" i="3"/>
  <c r="AA120" i="4" s="1"/>
  <c r="F121" i="3"/>
  <c r="F121" i="4" s="1"/>
  <c r="R121" i="3"/>
  <c r="R121" i="4" s="1"/>
  <c r="I122" i="3"/>
  <c r="I122" i="4" s="1"/>
  <c r="U122" i="3"/>
  <c r="U122" i="4" s="1"/>
  <c r="L123" i="3"/>
  <c r="L123" i="4" s="1"/>
  <c r="X123" i="3"/>
  <c r="X123" i="4" s="1"/>
  <c r="C124" i="3"/>
  <c r="C124" i="4" s="1"/>
  <c r="O124" i="3"/>
  <c r="O124" i="4" s="1"/>
  <c r="AA124" i="3"/>
  <c r="AA124" i="4" s="1"/>
  <c r="F125" i="3"/>
  <c r="F125" i="4" s="1"/>
  <c r="R125" i="3"/>
  <c r="R125" i="4" s="1"/>
  <c r="I126" i="3"/>
  <c r="I126" i="4" s="1"/>
  <c r="U126" i="3"/>
  <c r="U126" i="4" s="1"/>
  <c r="L127" i="3"/>
  <c r="L127" i="4" s="1"/>
  <c r="X127" i="3"/>
  <c r="X127" i="4" s="1"/>
  <c r="C128" i="3"/>
  <c r="C128" i="4" s="1"/>
  <c r="O128" i="3"/>
  <c r="O128" i="4" s="1"/>
  <c r="AA128" i="3"/>
  <c r="AA128" i="4" s="1"/>
  <c r="F129" i="3"/>
  <c r="F129" i="4" s="1"/>
  <c r="R129" i="3"/>
  <c r="R129" i="4" s="1"/>
  <c r="I130" i="3"/>
  <c r="I130" i="4" s="1"/>
  <c r="U130" i="3"/>
  <c r="U130" i="4" s="1"/>
  <c r="L131" i="3"/>
  <c r="L131" i="4" s="1"/>
  <c r="X131" i="3"/>
  <c r="X131" i="4" s="1"/>
  <c r="C132" i="3"/>
  <c r="C132" i="4" s="1"/>
  <c r="O132" i="3"/>
  <c r="O132" i="4" s="1"/>
  <c r="AA132" i="3"/>
  <c r="AA132" i="4" s="1"/>
  <c r="F133" i="3"/>
  <c r="F133" i="4" s="1"/>
  <c r="R133" i="3"/>
  <c r="R133" i="4" s="1"/>
  <c r="I134" i="3"/>
  <c r="I134" i="4" s="1"/>
  <c r="U134" i="3"/>
  <c r="U134" i="4" s="1"/>
  <c r="L135" i="3"/>
  <c r="L135" i="4" s="1"/>
  <c r="X135" i="3"/>
  <c r="X135" i="4" s="1"/>
  <c r="C136" i="3"/>
  <c r="C136" i="4" s="1"/>
  <c r="O136" i="3"/>
  <c r="O136" i="4" s="1"/>
  <c r="AA136" i="3"/>
  <c r="AA136" i="4" s="1"/>
  <c r="F137" i="3"/>
  <c r="F137" i="4" s="1"/>
  <c r="R137" i="3"/>
  <c r="R137" i="4" s="1"/>
  <c r="I138" i="3"/>
  <c r="I138" i="4" s="1"/>
  <c r="U138" i="3"/>
  <c r="U138" i="4" s="1"/>
  <c r="L139" i="3"/>
  <c r="L139" i="4" s="1"/>
  <c r="X139" i="3"/>
  <c r="X139" i="4" s="1"/>
  <c r="C140" i="3"/>
  <c r="C140" i="4" s="1"/>
  <c r="O140" i="3"/>
  <c r="O140" i="4" s="1"/>
  <c r="AA140" i="3"/>
  <c r="AA140" i="4" s="1"/>
  <c r="F141" i="3"/>
  <c r="F141" i="4" s="1"/>
  <c r="R141" i="3"/>
  <c r="R141" i="4" s="1"/>
  <c r="I142" i="3"/>
  <c r="I142" i="4" s="1"/>
  <c r="U142" i="3"/>
  <c r="U142" i="4" s="1"/>
  <c r="L143" i="3"/>
  <c r="L143" i="4" s="1"/>
  <c r="X143" i="3"/>
  <c r="X143" i="4" s="1"/>
  <c r="C144" i="3"/>
  <c r="C144" i="4" s="1"/>
  <c r="O144" i="3"/>
  <c r="O144" i="4" s="1"/>
  <c r="AA144" i="3"/>
  <c r="AA144" i="4" s="1"/>
  <c r="F145" i="3"/>
  <c r="F145" i="4" s="1"/>
  <c r="R145" i="3"/>
  <c r="R145" i="4" s="1"/>
  <c r="I146" i="3"/>
  <c r="I146" i="4" s="1"/>
  <c r="U146" i="3"/>
  <c r="U146" i="4" s="1"/>
  <c r="L147" i="3"/>
  <c r="L147" i="4" s="1"/>
  <c r="X147" i="3"/>
  <c r="X147" i="4" s="1"/>
  <c r="C148" i="3"/>
  <c r="C148" i="4" s="1"/>
  <c r="O148" i="3"/>
  <c r="O148" i="4" s="1"/>
  <c r="AB48" i="3"/>
  <c r="AB48" i="4" s="1"/>
  <c r="G49" i="3"/>
  <c r="G49" i="4" s="1"/>
  <c r="S49" i="3"/>
  <c r="S49" i="4" s="1"/>
  <c r="J50" i="3"/>
  <c r="J50" i="4" s="1"/>
  <c r="V50" i="3"/>
  <c r="V50" i="4" s="1"/>
  <c r="A51" i="3"/>
  <c r="A51" i="4" s="1"/>
  <c r="M51" i="3"/>
  <c r="M51" i="4" s="1"/>
  <c r="Y51" i="3"/>
  <c r="Y51" i="4" s="1"/>
  <c r="D52" i="3"/>
  <c r="D52" i="4" s="1"/>
  <c r="P52" i="3"/>
  <c r="P52" i="4" s="1"/>
  <c r="AB52" i="3"/>
  <c r="AB52" i="4" s="1"/>
  <c r="G53" i="3"/>
  <c r="G53" i="4" s="1"/>
  <c r="S53" i="3"/>
  <c r="S53" i="4" s="1"/>
  <c r="J54" i="3"/>
  <c r="J54" i="4" s="1"/>
  <c r="V54" i="3"/>
  <c r="V54" i="4" s="1"/>
  <c r="A55" i="3"/>
  <c r="A55" i="4" s="1"/>
  <c r="M55" i="3"/>
  <c r="M55" i="4" s="1"/>
  <c r="Y55" i="3"/>
  <c r="Y55" i="4" s="1"/>
  <c r="D56" i="3"/>
  <c r="D56" i="4" s="1"/>
  <c r="P56" i="3"/>
  <c r="P56" i="4" s="1"/>
  <c r="AB56" i="3"/>
  <c r="AB56" i="4" s="1"/>
  <c r="G57" i="3"/>
  <c r="G57" i="4" s="1"/>
  <c r="S57" i="3"/>
  <c r="S57" i="4" s="1"/>
  <c r="J58" i="3"/>
  <c r="J58" i="4" s="1"/>
  <c r="V58" i="3"/>
  <c r="V58" i="4" s="1"/>
  <c r="A59" i="3"/>
  <c r="A59" i="4" s="1"/>
  <c r="M59" i="3"/>
  <c r="M59" i="4" s="1"/>
  <c r="Y59" i="3"/>
  <c r="Y59" i="4" s="1"/>
  <c r="D60" i="3"/>
  <c r="D60" i="4" s="1"/>
  <c r="P60" i="3"/>
  <c r="P60" i="4" s="1"/>
  <c r="AB60" i="3"/>
  <c r="AB60" i="4" s="1"/>
  <c r="G61" i="3"/>
  <c r="G61" i="4" s="1"/>
  <c r="S61" i="3"/>
  <c r="S61" i="4" s="1"/>
  <c r="J62" i="3"/>
  <c r="J62" i="4" s="1"/>
  <c r="V62" i="3"/>
  <c r="V62" i="4" s="1"/>
  <c r="A63" i="3"/>
  <c r="A63" i="4" s="1"/>
  <c r="M63" i="3"/>
  <c r="M63" i="4" s="1"/>
  <c r="Y63" i="3"/>
  <c r="Y63" i="4" s="1"/>
  <c r="D64" i="3"/>
  <c r="D64" i="4" s="1"/>
  <c r="P64" i="3"/>
  <c r="P64" i="4" s="1"/>
  <c r="AB64" i="3"/>
  <c r="AB64" i="4" s="1"/>
  <c r="G65" i="3"/>
  <c r="G65" i="4" s="1"/>
  <c r="S65" i="3"/>
  <c r="S65" i="4" s="1"/>
  <c r="J66" i="3"/>
  <c r="J66" i="4" s="1"/>
  <c r="V66" i="3"/>
  <c r="V66" i="4" s="1"/>
  <c r="A67" i="3"/>
  <c r="A67" i="4" s="1"/>
  <c r="M67" i="3"/>
  <c r="M67" i="4" s="1"/>
  <c r="Y67" i="3"/>
  <c r="Y67" i="4" s="1"/>
  <c r="D68" i="3"/>
  <c r="D68" i="4" s="1"/>
  <c r="P68" i="3"/>
  <c r="P68" i="4" s="1"/>
  <c r="AB68" i="3"/>
  <c r="AB68" i="4" s="1"/>
  <c r="G69" i="3"/>
  <c r="G69" i="4" s="1"/>
  <c r="S69" i="3"/>
  <c r="S69" i="4" s="1"/>
  <c r="J70" i="3"/>
  <c r="J70" i="4" s="1"/>
  <c r="V70" i="3"/>
  <c r="V70" i="4" s="1"/>
  <c r="A71" i="3"/>
  <c r="A71" i="4" s="1"/>
  <c r="M71" i="3"/>
  <c r="M71" i="4" s="1"/>
  <c r="Y71" i="3"/>
  <c r="Y71" i="4" s="1"/>
  <c r="D72" i="3"/>
  <c r="D72" i="4" s="1"/>
  <c r="P72" i="3"/>
  <c r="P72" i="4" s="1"/>
  <c r="AB72" i="3"/>
  <c r="AB72" i="4" s="1"/>
  <c r="G73" i="3"/>
  <c r="G73" i="4" s="1"/>
  <c r="S73" i="3"/>
  <c r="S73" i="4" s="1"/>
  <c r="J74" i="3"/>
  <c r="J74" i="4" s="1"/>
  <c r="V74" i="3"/>
  <c r="V74" i="4" s="1"/>
  <c r="A75" i="3"/>
  <c r="A75" i="4" s="1"/>
  <c r="M75" i="3"/>
  <c r="M75" i="4" s="1"/>
  <c r="Y75" i="3"/>
  <c r="Y75" i="4" s="1"/>
  <c r="D76" i="3"/>
  <c r="D76" i="4" s="1"/>
  <c r="P76" i="3"/>
  <c r="P76" i="4" s="1"/>
  <c r="AB76" i="3"/>
  <c r="AB76" i="4" s="1"/>
  <c r="G77" i="3"/>
  <c r="G77" i="4" s="1"/>
  <c r="S77" i="3"/>
  <c r="S77" i="4" s="1"/>
  <c r="J78" i="3"/>
  <c r="J78" i="4" s="1"/>
  <c r="V78" i="3"/>
  <c r="V78" i="4" s="1"/>
  <c r="A79" i="3"/>
  <c r="A79" i="4" s="1"/>
  <c r="M79" i="3"/>
  <c r="M79" i="4" s="1"/>
  <c r="Y79" i="3"/>
  <c r="Y79" i="4" s="1"/>
  <c r="D80" i="3"/>
  <c r="D80" i="4" s="1"/>
  <c r="P80" i="3"/>
  <c r="P80" i="4" s="1"/>
  <c r="AB80" i="3"/>
  <c r="AB80" i="4" s="1"/>
  <c r="G81" i="3"/>
  <c r="G81" i="4" s="1"/>
  <c r="S81" i="3"/>
  <c r="S81" i="4" s="1"/>
  <c r="J82" i="3"/>
  <c r="J82" i="4" s="1"/>
  <c r="V82" i="3"/>
  <c r="V82" i="4" s="1"/>
  <c r="A83" i="3"/>
  <c r="A83" i="4" s="1"/>
  <c r="M83" i="3"/>
  <c r="M83" i="4" s="1"/>
  <c r="Y83" i="3"/>
  <c r="Y83" i="4" s="1"/>
  <c r="D84" i="3"/>
  <c r="D84" i="4" s="1"/>
  <c r="P84" i="3"/>
  <c r="P84" i="4" s="1"/>
  <c r="AB84" i="3"/>
  <c r="AB84" i="4" s="1"/>
  <c r="G85" i="3"/>
  <c r="G85" i="4" s="1"/>
  <c r="S85" i="3"/>
  <c r="S85" i="4" s="1"/>
  <c r="J86" i="3"/>
  <c r="J86" i="4" s="1"/>
  <c r="V86" i="3"/>
  <c r="V86" i="4" s="1"/>
  <c r="A87" i="3"/>
  <c r="A87" i="4" s="1"/>
  <c r="M87" i="3"/>
  <c r="M87" i="4" s="1"/>
  <c r="Y87" i="3"/>
  <c r="Y87" i="4" s="1"/>
  <c r="D88" i="3"/>
  <c r="D88" i="4" s="1"/>
  <c r="P88" i="3"/>
  <c r="P88" i="4" s="1"/>
  <c r="AB88" i="3"/>
  <c r="AB88" i="4" s="1"/>
  <c r="G89" i="3"/>
  <c r="G89" i="4" s="1"/>
  <c r="S89" i="3"/>
  <c r="S89" i="4" s="1"/>
  <c r="J90" i="3"/>
  <c r="J90" i="4" s="1"/>
  <c r="V90" i="3"/>
  <c r="V90" i="4" s="1"/>
  <c r="A91" i="3"/>
  <c r="A91" i="4" s="1"/>
  <c r="M91" i="3"/>
  <c r="M91" i="4" s="1"/>
  <c r="Y91" i="3"/>
  <c r="Y91" i="4" s="1"/>
  <c r="D92" i="3"/>
  <c r="D92" i="4" s="1"/>
  <c r="P92" i="3"/>
  <c r="P92" i="4" s="1"/>
  <c r="AB92" i="3"/>
  <c r="AB92" i="4" s="1"/>
  <c r="G93" i="3"/>
  <c r="G93" i="4" s="1"/>
  <c r="S93" i="3"/>
  <c r="S93" i="4" s="1"/>
  <c r="J94" i="3"/>
  <c r="J94" i="4" s="1"/>
  <c r="V94" i="3"/>
  <c r="V94" i="4" s="1"/>
  <c r="A95" i="3"/>
  <c r="A95" i="4" s="1"/>
  <c r="M95" i="3"/>
  <c r="M95" i="4" s="1"/>
  <c r="Y95" i="3"/>
  <c r="Y95" i="4" s="1"/>
  <c r="D96" i="3"/>
  <c r="D96" i="4" s="1"/>
  <c r="P96" i="3"/>
  <c r="P96" i="4" s="1"/>
  <c r="AB96" i="3"/>
  <c r="AB96" i="4" s="1"/>
  <c r="G97" i="3"/>
  <c r="G97" i="4" s="1"/>
  <c r="S97" i="3"/>
  <c r="S97" i="4" s="1"/>
  <c r="J98" i="3"/>
  <c r="J98" i="4" s="1"/>
  <c r="V98" i="3"/>
  <c r="V98" i="4" s="1"/>
  <c r="A99" i="3"/>
  <c r="A99" i="4" s="1"/>
  <c r="M99" i="3"/>
  <c r="M99" i="4" s="1"/>
  <c r="Y99" i="3"/>
  <c r="Y99" i="4" s="1"/>
  <c r="D100" i="3"/>
  <c r="D100" i="4" s="1"/>
  <c r="P100" i="3"/>
  <c r="P100" i="4" s="1"/>
  <c r="AB100" i="3"/>
  <c r="AB100" i="4" s="1"/>
  <c r="G101" i="3"/>
  <c r="G101" i="4" s="1"/>
  <c r="S101" i="3"/>
  <c r="S101" i="4" s="1"/>
  <c r="J102" i="3"/>
  <c r="J102" i="4" s="1"/>
  <c r="V102" i="3"/>
  <c r="V102" i="4" s="1"/>
  <c r="A103" i="3"/>
  <c r="A103" i="4" s="1"/>
  <c r="M103" i="3"/>
  <c r="M103" i="4" s="1"/>
  <c r="Y103" i="3"/>
  <c r="Y103" i="4" s="1"/>
  <c r="D104" i="3"/>
  <c r="D104" i="4" s="1"/>
  <c r="P104" i="3"/>
  <c r="P104" i="4" s="1"/>
  <c r="AB104" i="3"/>
  <c r="AB104" i="4" s="1"/>
  <c r="G105" i="3"/>
  <c r="G105" i="4" s="1"/>
  <c r="S105" i="3"/>
  <c r="S105" i="4" s="1"/>
  <c r="J106" i="3"/>
  <c r="J106" i="4" s="1"/>
  <c r="V106" i="3"/>
  <c r="V106" i="4" s="1"/>
  <c r="A107" i="3"/>
  <c r="A107" i="4" s="1"/>
  <c r="M107" i="3"/>
  <c r="M107" i="4" s="1"/>
  <c r="Y107" i="3"/>
  <c r="Y107" i="4" s="1"/>
  <c r="D108" i="3"/>
  <c r="D108" i="4" s="1"/>
  <c r="P108" i="3"/>
  <c r="P108" i="4" s="1"/>
  <c r="AB108" i="3"/>
  <c r="AB108" i="4" s="1"/>
  <c r="G109" i="3"/>
  <c r="G109" i="4" s="1"/>
  <c r="S109" i="3"/>
  <c r="S109" i="4" s="1"/>
  <c r="J110" i="3"/>
  <c r="J110" i="4" s="1"/>
  <c r="V110" i="3"/>
  <c r="V110" i="4" s="1"/>
  <c r="A111" i="3"/>
  <c r="A111" i="4" s="1"/>
  <c r="M111" i="3"/>
  <c r="M111" i="4" s="1"/>
  <c r="Y111" i="3"/>
  <c r="Y111" i="4" s="1"/>
  <c r="D112" i="3"/>
  <c r="D112" i="4" s="1"/>
  <c r="P112" i="3"/>
  <c r="P112" i="4" s="1"/>
  <c r="AB112" i="3"/>
  <c r="AB112" i="4" s="1"/>
  <c r="G113" i="3"/>
  <c r="G113" i="4" s="1"/>
  <c r="S113" i="3"/>
  <c r="S113" i="4" s="1"/>
  <c r="J114" i="3"/>
  <c r="J114" i="4" s="1"/>
  <c r="V114" i="3"/>
  <c r="V114" i="4" s="1"/>
  <c r="A115" i="3"/>
  <c r="A115" i="4" s="1"/>
  <c r="M115" i="3"/>
  <c r="M115" i="4" s="1"/>
  <c r="Y115" i="3"/>
  <c r="Y115" i="4" s="1"/>
  <c r="D116" i="3"/>
  <c r="D116" i="4" s="1"/>
  <c r="P116" i="3"/>
  <c r="P116" i="4" s="1"/>
  <c r="AB116" i="3"/>
  <c r="AB116" i="4" s="1"/>
  <c r="G117" i="3"/>
  <c r="G117" i="4" s="1"/>
  <c r="S117" i="3"/>
  <c r="S117" i="4" s="1"/>
  <c r="J118" i="3"/>
  <c r="J118" i="4" s="1"/>
  <c r="V118" i="3"/>
  <c r="V118" i="4" s="1"/>
  <c r="A119" i="3"/>
  <c r="A119" i="4" s="1"/>
  <c r="M119" i="3"/>
  <c r="M119" i="4" s="1"/>
  <c r="Y119" i="3"/>
  <c r="Y119" i="4" s="1"/>
  <c r="D120" i="3"/>
  <c r="D120" i="4" s="1"/>
  <c r="P120" i="3"/>
  <c r="P120" i="4" s="1"/>
  <c r="AB120" i="3"/>
  <c r="AB120" i="4" s="1"/>
  <c r="G121" i="3"/>
  <c r="G121" i="4" s="1"/>
  <c r="S121" i="3"/>
  <c r="S121" i="4" s="1"/>
  <c r="J122" i="3"/>
  <c r="J122" i="4" s="1"/>
  <c r="V122" i="3"/>
  <c r="V122" i="4" s="1"/>
  <c r="A123" i="3"/>
  <c r="A123" i="4" s="1"/>
  <c r="M123" i="3"/>
  <c r="M123" i="4" s="1"/>
  <c r="Y123" i="3"/>
  <c r="Y123" i="4" s="1"/>
  <c r="D124" i="3"/>
  <c r="D124" i="4" s="1"/>
  <c r="P124" i="3"/>
  <c r="P124" i="4" s="1"/>
  <c r="AB124" i="3"/>
  <c r="AB124" i="4" s="1"/>
  <c r="G125" i="3"/>
  <c r="G125" i="4" s="1"/>
  <c r="S125" i="3"/>
  <c r="S125" i="4" s="1"/>
  <c r="J126" i="3"/>
  <c r="J126" i="4" s="1"/>
  <c r="V126" i="3"/>
  <c r="V126" i="4" s="1"/>
  <c r="A127" i="3"/>
  <c r="A127" i="4" s="1"/>
  <c r="M127" i="3"/>
  <c r="M127" i="4" s="1"/>
  <c r="Y127" i="3"/>
  <c r="Y127" i="4" s="1"/>
  <c r="D128" i="3"/>
  <c r="D128" i="4" s="1"/>
  <c r="P128" i="3"/>
  <c r="P128" i="4" s="1"/>
  <c r="AB128" i="3"/>
  <c r="AB128" i="4" s="1"/>
  <c r="G129" i="3"/>
  <c r="G129" i="4" s="1"/>
  <c r="S129" i="3"/>
  <c r="S129" i="4" s="1"/>
  <c r="J130" i="3"/>
  <c r="J130" i="4" s="1"/>
  <c r="V130" i="3"/>
  <c r="V130" i="4" s="1"/>
  <c r="A131" i="3"/>
  <c r="A131" i="4" s="1"/>
  <c r="M131" i="3"/>
  <c r="M131" i="4" s="1"/>
  <c r="Y131" i="3"/>
  <c r="Y131" i="4" s="1"/>
  <c r="D132" i="3"/>
  <c r="D132" i="4" s="1"/>
  <c r="P132" i="3"/>
  <c r="P132" i="4" s="1"/>
  <c r="AB132" i="3"/>
  <c r="AB132" i="4" s="1"/>
  <c r="G133" i="3"/>
  <c r="G133" i="4" s="1"/>
  <c r="S133" i="3"/>
  <c r="S133" i="4" s="1"/>
  <c r="J134" i="3"/>
  <c r="J134" i="4" s="1"/>
  <c r="V134" i="3"/>
  <c r="V134" i="4" s="1"/>
  <c r="A135" i="3"/>
  <c r="A135" i="4" s="1"/>
  <c r="M135" i="3"/>
  <c r="M135" i="4" s="1"/>
  <c r="Y135" i="3"/>
  <c r="Y135" i="4" s="1"/>
  <c r="D136" i="3"/>
  <c r="D136" i="4" s="1"/>
  <c r="P136" i="3"/>
  <c r="P136" i="4" s="1"/>
  <c r="AB136" i="3"/>
  <c r="AB136" i="4" s="1"/>
  <c r="G137" i="3"/>
  <c r="G137" i="4" s="1"/>
  <c r="S137" i="3"/>
  <c r="S137" i="4" s="1"/>
  <c r="J138" i="3"/>
  <c r="J138" i="4" s="1"/>
  <c r="V138" i="3"/>
  <c r="V138" i="4" s="1"/>
  <c r="A139" i="3"/>
  <c r="A139" i="4" s="1"/>
  <c r="M139" i="3"/>
  <c r="M139" i="4" s="1"/>
  <c r="Y139" i="3"/>
  <c r="Y139" i="4" s="1"/>
  <c r="D140" i="3"/>
  <c r="D140" i="4" s="1"/>
  <c r="P140" i="3"/>
  <c r="P140" i="4" s="1"/>
  <c r="AB140" i="3"/>
  <c r="AB140" i="4" s="1"/>
  <c r="G141" i="3"/>
  <c r="G141" i="4" s="1"/>
  <c r="S141" i="3"/>
  <c r="S141" i="4" s="1"/>
  <c r="J142" i="3"/>
  <c r="J142" i="4" s="1"/>
  <c r="V142" i="3"/>
  <c r="V142" i="4" s="1"/>
  <c r="A143" i="3"/>
  <c r="A143" i="4" s="1"/>
  <c r="M143" i="3"/>
  <c r="M143" i="4" s="1"/>
  <c r="Y143" i="3"/>
  <c r="Y143" i="4" s="1"/>
  <c r="D144" i="3"/>
  <c r="D144" i="4" s="1"/>
  <c r="P144" i="3"/>
  <c r="P144" i="4" s="1"/>
  <c r="AB144" i="3"/>
  <c r="AB144" i="4" s="1"/>
  <c r="G145" i="3"/>
  <c r="G145" i="4" s="1"/>
  <c r="S145" i="3"/>
  <c r="S145" i="4" s="1"/>
  <c r="J146" i="3"/>
  <c r="J146" i="4" s="1"/>
  <c r="V146" i="3"/>
  <c r="V146" i="4" s="1"/>
  <c r="A147" i="3"/>
  <c r="A147" i="4" s="1"/>
  <c r="M147" i="3"/>
  <c r="M147" i="4" s="1"/>
  <c r="Y147" i="3"/>
  <c r="Y147" i="4" s="1"/>
  <c r="D148" i="3"/>
  <c r="D148" i="4" s="1"/>
  <c r="P148" i="3"/>
  <c r="P148" i="4" s="1"/>
  <c r="AB148" i="3"/>
  <c r="AB148" i="4" s="1"/>
  <c r="G149" i="3"/>
  <c r="G149" i="4" s="1"/>
  <c r="S149" i="3"/>
  <c r="S149" i="4" s="1"/>
  <c r="J150" i="3"/>
  <c r="J150" i="4" s="1"/>
  <c r="V150" i="3"/>
  <c r="V150" i="4" s="1"/>
  <c r="A151" i="3"/>
  <c r="A151" i="4" s="1"/>
  <c r="M151" i="3"/>
  <c r="M151" i="4" s="1"/>
  <c r="Y151" i="3"/>
  <c r="Y151" i="4" s="1"/>
  <c r="D152" i="3"/>
  <c r="D152" i="4" s="1"/>
  <c r="P152" i="3"/>
  <c r="P152" i="4" s="1"/>
  <c r="AB152" i="3"/>
  <c r="AB152" i="4" s="1"/>
  <c r="G153" i="3"/>
  <c r="G153" i="4" s="1"/>
  <c r="S153" i="3"/>
  <c r="S153" i="4" s="1"/>
  <c r="J154" i="3"/>
  <c r="J154" i="4" s="1"/>
  <c r="V154" i="3"/>
  <c r="V154" i="4" s="1"/>
  <c r="A155" i="3"/>
  <c r="A155" i="4" s="1"/>
  <c r="M155" i="3"/>
  <c r="M155" i="4" s="1"/>
  <c r="Y155" i="3"/>
  <c r="Y155" i="4" s="1"/>
  <c r="D156" i="3"/>
  <c r="D156" i="4" s="1"/>
  <c r="P156" i="3"/>
  <c r="P156" i="4" s="1"/>
  <c r="AB156" i="3"/>
  <c r="AB156" i="4" s="1"/>
  <c r="G157" i="3"/>
  <c r="G157" i="4" s="1"/>
  <c r="S157" i="3"/>
  <c r="S157" i="4" s="1"/>
  <c r="J158" i="3"/>
  <c r="J158" i="4" s="1"/>
  <c r="V158" i="3"/>
  <c r="V158" i="4" s="1"/>
  <c r="A159" i="3"/>
  <c r="A159" i="4" s="1"/>
  <c r="M159" i="3"/>
  <c r="M159" i="4" s="1"/>
  <c r="Y159" i="3"/>
  <c r="Y159" i="4" s="1"/>
  <c r="D160" i="3"/>
  <c r="D160" i="4" s="1"/>
  <c r="P160" i="3"/>
  <c r="P160" i="4" s="1"/>
  <c r="AB160" i="3"/>
  <c r="AB160" i="4" s="1"/>
  <c r="G161" i="3"/>
  <c r="G161" i="4" s="1"/>
  <c r="S161" i="3"/>
  <c r="S161" i="4" s="1"/>
  <c r="J162" i="3"/>
  <c r="J162" i="4" s="1"/>
  <c r="V162" i="3"/>
  <c r="V162" i="4" s="1"/>
  <c r="A163" i="3"/>
  <c r="A163" i="4" s="1"/>
  <c r="M163" i="3"/>
  <c r="M163" i="4" s="1"/>
  <c r="Y163" i="3"/>
  <c r="Y163" i="4" s="1"/>
  <c r="D164" i="3"/>
  <c r="D164" i="4" s="1"/>
  <c r="P164" i="3"/>
  <c r="P164" i="4" s="1"/>
  <c r="AB164" i="3"/>
  <c r="AB164" i="4" s="1"/>
  <c r="G165" i="3"/>
  <c r="G165" i="4" s="1"/>
  <c r="S165" i="3"/>
  <c r="S165" i="4" s="1"/>
  <c r="J166" i="3"/>
  <c r="J166" i="4" s="1"/>
  <c r="V166" i="3"/>
  <c r="V166" i="4" s="1"/>
  <c r="A167" i="3"/>
  <c r="A167" i="4" s="1"/>
  <c r="M167" i="3"/>
  <c r="M167" i="4" s="1"/>
  <c r="Y167" i="3"/>
  <c r="Y167" i="4" s="1"/>
  <c r="D168" i="3"/>
  <c r="D168" i="4" s="1"/>
  <c r="P168" i="3"/>
  <c r="P168" i="4" s="1"/>
  <c r="AB168" i="3"/>
  <c r="AB168" i="4" s="1"/>
  <c r="G169" i="3"/>
  <c r="G169" i="4" s="1"/>
  <c r="S169" i="3"/>
  <c r="S169" i="4" s="1"/>
  <c r="J170" i="3"/>
  <c r="J170" i="4" s="1"/>
  <c r="V170" i="3"/>
  <c r="V170" i="4" s="1"/>
  <c r="A171" i="3"/>
  <c r="A171" i="4" s="1"/>
  <c r="M171" i="3"/>
  <c r="M171" i="4" s="1"/>
  <c r="Y171" i="3"/>
  <c r="Y171" i="4" s="1"/>
  <c r="D172" i="3"/>
  <c r="D172" i="4" s="1"/>
  <c r="P172" i="3"/>
  <c r="P172" i="4" s="1"/>
  <c r="AB172" i="3"/>
  <c r="AB172" i="4" s="1"/>
  <c r="G173" i="3"/>
  <c r="G173" i="4" s="1"/>
  <c r="S173" i="3"/>
  <c r="S173" i="4" s="1"/>
  <c r="J174" i="3"/>
  <c r="J174" i="4" s="1"/>
  <c r="V174" i="3"/>
  <c r="V174" i="4" s="1"/>
  <c r="A175" i="3"/>
  <c r="A175" i="4" s="1"/>
  <c r="M175" i="3"/>
  <c r="M175" i="4" s="1"/>
  <c r="Y175" i="3"/>
  <c r="Y175" i="4" s="1"/>
  <c r="D176" i="3"/>
  <c r="D176" i="4" s="1"/>
  <c r="P176" i="3"/>
  <c r="P176" i="4" s="1"/>
  <c r="AB176" i="3"/>
  <c r="AB176" i="4" s="1"/>
  <c r="G177" i="3"/>
  <c r="G177" i="4" s="1"/>
  <c r="S177" i="3"/>
  <c r="S177" i="4" s="1"/>
  <c r="J178" i="3"/>
  <c r="J178" i="4" s="1"/>
  <c r="V178" i="3"/>
  <c r="V178" i="4" s="1"/>
  <c r="A179" i="3"/>
  <c r="A179" i="4" s="1"/>
  <c r="M179" i="3"/>
  <c r="M179" i="4" s="1"/>
  <c r="Y179" i="3"/>
  <c r="Y179" i="4" s="1"/>
  <c r="D180" i="3"/>
  <c r="D180" i="4" s="1"/>
  <c r="P180" i="3"/>
  <c r="P180" i="4" s="1"/>
  <c r="AB180" i="3"/>
  <c r="AB180" i="4" s="1"/>
  <c r="G181" i="3"/>
  <c r="G181" i="4" s="1"/>
  <c r="S181" i="3"/>
  <c r="S181" i="4" s="1"/>
  <c r="J182" i="3"/>
  <c r="J182" i="4" s="1"/>
  <c r="V182" i="3"/>
  <c r="V182" i="4" s="1"/>
  <c r="A183" i="3"/>
  <c r="A183" i="4" s="1"/>
  <c r="M183" i="3"/>
  <c r="M183" i="4" s="1"/>
  <c r="Y183" i="3"/>
  <c r="Y183" i="4" s="1"/>
  <c r="D184" i="3"/>
  <c r="D184" i="4" s="1"/>
  <c r="P184" i="3"/>
  <c r="P184" i="4" s="1"/>
  <c r="AB184" i="3"/>
  <c r="AB184" i="4" s="1"/>
  <c r="H46" i="3"/>
  <c r="H46" i="4" s="1"/>
  <c r="T46" i="3"/>
  <c r="T46" i="4" s="1"/>
  <c r="K47" i="3"/>
  <c r="K47" i="4" s="1"/>
  <c r="W47" i="3"/>
  <c r="W47" i="4" s="1"/>
  <c r="B48" i="3"/>
  <c r="B48" i="4" s="1"/>
  <c r="N48" i="3"/>
  <c r="N48" i="4" s="1"/>
  <c r="Z48" i="3"/>
  <c r="Z48" i="4" s="1"/>
  <c r="E49" i="3"/>
  <c r="E49" i="4" s="1"/>
  <c r="Q49" i="3"/>
  <c r="Q49" i="4" s="1"/>
  <c r="H50" i="3"/>
  <c r="H50" i="4" s="1"/>
  <c r="T50" i="3"/>
  <c r="T50" i="4" s="1"/>
  <c r="K51" i="3"/>
  <c r="K51" i="4" s="1"/>
  <c r="W51" i="3"/>
  <c r="W51" i="4" s="1"/>
  <c r="B52" i="3"/>
  <c r="B52" i="4" s="1"/>
  <c r="N52" i="3"/>
  <c r="N52" i="4" s="1"/>
  <c r="Z52" i="3"/>
  <c r="Z52" i="4" s="1"/>
  <c r="E53" i="3"/>
  <c r="E53" i="4" s="1"/>
  <c r="Q53" i="3"/>
  <c r="Q53" i="4" s="1"/>
  <c r="H54" i="3"/>
  <c r="H54" i="4" s="1"/>
  <c r="T54" i="3"/>
  <c r="T54" i="4" s="1"/>
  <c r="K55" i="3"/>
  <c r="K55" i="4" s="1"/>
  <c r="W55" i="3"/>
  <c r="W55" i="4" s="1"/>
  <c r="B56" i="3"/>
  <c r="B56" i="4" s="1"/>
  <c r="N56" i="3"/>
  <c r="N56" i="4" s="1"/>
  <c r="Z56" i="3"/>
  <c r="Z56" i="4" s="1"/>
  <c r="E57" i="3"/>
  <c r="E57" i="4" s="1"/>
  <c r="Q57" i="3"/>
  <c r="Q57" i="4" s="1"/>
  <c r="H58" i="3"/>
  <c r="H58" i="4" s="1"/>
  <c r="T58" i="3"/>
  <c r="T58" i="4" s="1"/>
  <c r="K59" i="3"/>
  <c r="K59" i="4" s="1"/>
  <c r="W59" i="3"/>
  <c r="W59" i="4" s="1"/>
  <c r="B60" i="3"/>
  <c r="B60" i="4" s="1"/>
  <c r="N60" i="3"/>
  <c r="N60" i="4" s="1"/>
  <c r="Z60" i="3"/>
  <c r="Z60" i="4" s="1"/>
  <c r="E61" i="3"/>
  <c r="E61" i="4" s="1"/>
  <c r="Q61" i="3"/>
  <c r="Q61" i="4" s="1"/>
  <c r="H62" i="3"/>
  <c r="H62" i="4" s="1"/>
  <c r="T62" i="3"/>
  <c r="T62" i="4" s="1"/>
  <c r="K63" i="3"/>
  <c r="K63" i="4" s="1"/>
  <c r="W63" i="3"/>
  <c r="W63" i="4" s="1"/>
  <c r="B64" i="3"/>
  <c r="B64" i="4" s="1"/>
  <c r="N64" i="3"/>
  <c r="N64" i="4" s="1"/>
  <c r="Z64" i="3"/>
  <c r="Z64" i="4" s="1"/>
  <c r="E65" i="3"/>
  <c r="E65" i="4" s="1"/>
  <c r="Q65" i="3"/>
  <c r="Q65" i="4" s="1"/>
  <c r="H66" i="3"/>
  <c r="H66" i="4" s="1"/>
  <c r="T66" i="3"/>
  <c r="T66" i="4" s="1"/>
  <c r="K67" i="3"/>
  <c r="K67" i="4" s="1"/>
  <c r="W67" i="3"/>
  <c r="W67" i="4" s="1"/>
  <c r="B68" i="3"/>
  <c r="B68" i="4" s="1"/>
  <c r="N68" i="3"/>
  <c r="N68" i="4" s="1"/>
  <c r="Z68" i="3"/>
  <c r="Z68" i="4" s="1"/>
  <c r="E69" i="3"/>
  <c r="E69" i="4" s="1"/>
  <c r="Q69" i="3"/>
  <c r="Q69" i="4" s="1"/>
  <c r="H70" i="3"/>
  <c r="H70" i="4" s="1"/>
  <c r="T70" i="3"/>
  <c r="T70" i="4" s="1"/>
  <c r="K71" i="3"/>
  <c r="K71" i="4" s="1"/>
  <c r="W71" i="3"/>
  <c r="W71" i="4" s="1"/>
  <c r="B72" i="3"/>
  <c r="B72" i="4" s="1"/>
  <c r="N72" i="3"/>
  <c r="N72" i="4" s="1"/>
  <c r="Z72" i="3"/>
  <c r="Z72" i="4" s="1"/>
  <c r="E73" i="3"/>
  <c r="E73" i="4" s="1"/>
  <c r="Q73" i="3"/>
  <c r="Q73" i="4" s="1"/>
  <c r="H74" i="3"/>
  <c r="H74" i="4" s="1"/>
  <c r="T74" i="3"/>
  <c r="T74" i="4" s="1"/>
  <c r="K75" i="3"/>
  <c r="K75" i="4" s="1"/>
  <c r="W75" i="3"/>
  <c r="W75" i="4" s="1"/>
  <c r="B76" i="3"/>
  <c r="B76" i="4" s="1"/>
  <c r="N76" i="3"/>
  <c r="N76" i="4" s="1"/>
  <c r="Z76" i="3"/>
  <c r="Z76" i="4" s="1"/>
  <c r="E77" i="3"/>
  <c r="E77" i="4" s="1"/>
  <c r="Q77" i="3"/>
  <c r="Q77" i="4" s="1"/>
  <c r="H78" i="3"/>
  <c r="H78" i="4" s="1"/>
  <c r="T78" i="3"/>
  <c r="T78" i="4" s="1"/>
  <c r="K79" i="3"/>
  <c r="K79" i="4" s="1"/>
  <c r="W79" i="3"/>
  <c r="W79" i="4" s="1"/>
  <c r="B80" i="3"/>
  <c r="B80" i="4" s="1"/>
  <c r="N80" i="3"/>
  <c r="N80" i="4" s="1"/>
  <c r="Z80" i="3"/>
  <c r="Z80" i="4" s="1"/>
  <c r="E81" i="3"/>
  <c r="E81" i="4" s="1"/>
  <c r="Q81" i="3"/>
  <c r="Q81" i="4" s="1"/>
  <c r="H82" i="3"/>
  <c r="H82" i="4" s="1"/>
  <c r="T82" i="3"/>
  <c r="T82" i="4" s="1"/>
  <c r="K83" i="3"/>
  <c r="K83" i="4" s="1"/>
  <c r="W83" i="3"/>
  <c r="W83" i="4" s="1"/>
  <c r="B84" i="3"/>
  <c r="B84" i="4" s="1"/>
  <c r="N84" i="3"/>
  <c r="N84" i="4" s="1"/>
  <c r="Z84" i="3"/>
  <c r="Z84" i="4" s="1"/>
  <c r="E85" i="3"/>
  <c r="E85" i="4" s="1"/>
  <c r="Q85" i="3"/>
  <c r="Q85" i="4" s="1"/>
  <c r="H86" i="3"/>
  <c r="H86" i="4" s="1"/>
  <c r="T86" i="3"/>
  <c r="T86" i="4" s="1"/>
  <c r="K87" i="3"/>
  <c r="K87" i="4" s="1"/>
  <c r="W87" i="3"/>
  <c r="W87" i="4" s="1"/>
  <c r="B88" i="3"/>
  <c r="B88" i="4" s="1"/>
  <c r="N88" i="3"/>
  <c r="N88" i="4" s="1"/>
  <c r="Z88" i="3"/>
  <c r="Z88" i="4" s="1"/>
  <c r="E89" i="3"/>
  <c r="E89" i="4" s="1"/>
  <c r="Q89" i="3"/>
  <c r="Q89" i="4" s="1"/>
  <c r="H90" i="3"/>
  <c r="H90" i="4" s="1"/>
  <c r="T90" i="3"/>
  <c r="T90" i="4" s="1"/>
  <c r="K91" i="3"/>
  <c r="K91" i="4" s="1"/>
  <c r="W91" i="3"/>
  <c r="W91" i="4" s="1"/>
  <c r="B92" i="3"/>
  <c r="B92" i="4" s="1"/>
  <c r="N92" i="3"/>
  <c r="N92" i="4" s="1"/>
  <c r="Z92" i="3"/>
  <c r="Z92" i="4" s="1"/>
  <c r="E93" i="3"/>
  <c r="E93" i="4" s="1"/>
  <c r="Q93" i="3"/>
  <c r="Q93" i="4" s="1"/>
  <c r="H94" i="3"/>
  <c r="H94" i="4" s="1"/>
  <c r="T94" i="3"/>
  <c r="T94" i="4" s="1"/>
  <c r="K95" i="3"/>
  <c r="K95" i="4" s="1"/>
  <c r="W95" i="3"/>
  <c r="W95" i="4" s="1"/>
  <c r="B96" i="3"/>
  <c r="B96" i="4" s="1"/>
  <c r="N96" i="3"/>
  <c r="N96" i="4" s="1"/>
  <c r="Z96" i="3"/>
  <c r="Z96" i="4" s="1"/>
  <c r="E97" i="3"/>
  <c r="E97" i="4" s="1"/>
  <c r="Q97" i="3"/>
  <c r="Q97" i="4" s="1"/>
  <c r="H98" i="3"/>
  <c r="H98" i="4" s="1"/>
  <c r="T98" i="3"/>
  <c r="T98" i="4" s="1"/>
  <c r="K99" i="3"/>
  <c r="K99" i="4" s="1"/>
  <c r="W99" i="3"/>
  <c r="W99" i="4" s="1"/>
  <c r="B100" i="3"/>
  <c r="B100" i="4" s="1"/>
  <c r="N100" i="3"/>
  <c r="N100" i="4" s="1"/>
  <c r="Z100" i="3"/>
  <c r="Z100" i="4" s="1"/>
  <c r="E101" i="3"/>
  <c r="E101" i="4" s="1"/>
  <c r="Q101" i="3"/>
  <c r="Q101" i="4" s="1"/>
  <c r="H102" i="3"/>
  <c r="H102" i="4" s="1"/>
  <c r="T102" i="3"/>
  <c r="T102" i="4" s="1"/>
  <c r="K103" i="3"/>
  <c r="K103" i="4" s="1"/>
  <c r="W103" i="3"/>
  <c r="W103" i="4" s="1"/>
  <c r="B104" i="3"/>
  <c r="B104" i="4" s="1"/>
  <c r="N104" i="3"/>
  <c r="N104" i="4" s="1"/>
  <c r="Z104" i="3"/>
  <c r="Z104" i="4" s="1"/>
  <c r="E105" i="3"/>
  <c r="E105" i="4" s="1"/>
  <c r="Q105" i="3"/>
  <c r="Q105" i="4" s="1"/>
  <c r="H106" i="3"/>
  <c r="H106" i="4" s="1"/>
  <c r="T106" i="3"/>
  <c r="T106" i="4" s="1"/>
  <c r="K107" i="3"/>
  <c r="K107" i="4" s="1"/>
  <c r="W107" i="3"/>
  <c r="W107" i="4" s="1"/>
  <c r="B108" i="3"/>
  <c r="B108" i="4" s="1"/>
  <c r="N108" i="3"/>
  <c r="N108" i="4" s="1"/>
  <c r="Z108" i="3"/>
  <c r="Z108" i="4" s="1"/>
  <c r="E109" i="3"/>
  <c r="E109" i="4" s="1"/>
  <c r="Q109" i="3"/>
  <c r="Q109" i="4" s="1"/>
  <c r="H110" i="3"/>
  <c r="H110" i="4" s="1"/>
  <c r="T110" i="3"/>
  <c r="T110" i="4" s="1"/>
  <c r="K111" i="3"/>
  <c r="K111" i="4" s="1"/>
  <c r="W111" i="3"/>
  <c r="W111" i="4" s="1"/>
  <c r="B112" i="3"/>
  <c r="B112" i="4" s="1"/>
  <c r="N112" i="3"/>
  <c r="N112" i="4" s="1"/>
  <c r="Z112" i="3"/>
  <c r="Z112" i="4" s="1"/>
  <c r="E113" i="3"/>
  <c r="E113" i="4" s="1"/>
  <c r="Q113" i="3"/>
  <c r="Q113" i="4" s="1"/>
  <c r="H114" i="3"/>
  <c r="H114" i="4" s="1"/>
  <c r="T114" i="3"/>
  <c r="T114" i="4" s="1"/>
  <c r="K115" i="3"/>
  <c r="K115" i="4" s="1"/>
  <c r="W115" i="3"/>
  <c r="W115" i="4" s="1"/>
  <c r="B116" i="3"/>
  <c r="B116" i="4" s="1"/>
  <c r="N116" i="3"/>
  <c r="N116" i="4" s="1"/>
  <c r="Z116" i="3"/>
  <c r="Z116" i="4" s="1"/>
  <c r="E117" i="3"/>
  <c r="E117" i="4" s="1"/>
  <c r="Q117" i="3"/>
  <c r="Q117" i="4" s="1"/>
  <c r="H118" i="3"/>
  <c r="H118" i="4" s="1"/>
  <c r="T118" i="3"/>
  <c r="T118" i="4" s="1"/>
  <c r="K119" i="3"/>
  <c r="K119" i="4" s="1"/>
  <c r="W119" i="3"/>
  <c r="W119" i="4" s="1"/>
  <c r="B120" i="3"/>
  <c r="B120" i="4" s="1"/>
  <c r="N120" i="3"/>
  <c r="N120" i="4" s="1"/>
  <c r="Z120" i="3"/>
  <c r="Z120" i="4" s="1"/>
  <c r="E121" i="3"/>
  <c r="E121" i="4" s="1"/>
  <c r="Q121" i="3"/>
  <c r="Q121" i="4" s="1"/>
  <c r="H122" i="3"/>
  <c r="H122" i="4" s="1"/>
  <c r="T122" i="3"/>
  <c r="T122" i="4" s="1"/>
  <c r="K123" i="3"/>
  <c r="K123" i="4" s="1"/>
  <c r="W123" i="3"/>
  <c r="W123" i="4" s="1"/>
  <c r="B124" i="3"/>
  <c r="B124" i="4" s="1"/>
  <c r="N124" i="3"/>
  <c r="N124" i="4" s="1"/>
  <c r="Z124" i="3"/>
  <c r="Z124" i="4" s="1"/>
  <c r="E125" i="3"/>
  <c r="E125" i="4" s="1"/>
  <c r="Q125" i="3"/>
  <c r="Q125" i="4" s="1"/>
  <c r="H126" i="3"/>
  <c r="H126" i="4" s="1"/>
  <c r="T126" i="3"/>
  <c r="T126" i="4" s="1"/>
  <c r="K127" i="3"/>
  <c r="K127" i="4" s="1"/>
  <c r="W127" i="3"/>
  <c r="W127" i="4" s="1"/>
  <c r="B128" i="3"/>
  <c r="B128" i="4" s="1"/>
  <c r="N128" i="3"/>
  <c r="N128" i="4" s="1"/>
  <c r="Z128" i="3"/>
  <c r="Z128" i="4" s="1"/>
  <c r="E129" i="3"/>
  <c r="E129" i="4" s="1"/>
  <c r="Q129" i="3"/>
  <c r="Q129" i="4" s="1"/>
  <c r="H130" i="3"/>
  <c r="H130" i="4" s="1"/>
  <c r="T130" i="3"/>
  <c r="T130" i="4" s="1"/>
  <c r="K131" i="3"/>
  <c r="K131" i="4" s="1"/>
  <c r="W131" i="3"/>
  <c r="W131" i="4" s="1"/>
  <c r="B132" i="3"/>
  <c r="B132" i="4" s="1"/>
  <c r="N132" i="3"/>
  <c r="N132" i="4" s="1"/>
  <c r="Z132" i="3"/>
  <c r="Z132" i="4" s="1"/>
  <c r="E133" i="3"/>
  <c r="E133" i="4" s="1"/>
  <c r="Q133" i="3"/>
  <c r="Q133" i="4" s="1"/>
  <c r="H134" i="3"/>
  <c r="H134" i="4" s="1"/>
  <c r="T134" i="3"/>
  <c r="T134" i="4" s="1"/>
  <c r="K135" i="3"/>
  <c r="K135" i="4" s="1"/>
  <c r="W135" i="3"/>
  <c r="W135" i="4" s="1"/>
  <c r="B136" i="3"/>
  <c r="B136" i="4" s="1"/>
  <c r="N136" i="3"/>
  <c r="N136" i="4" s="1"/>
  <c r="Z136" i="3"/>
  <c r="Z136" i="4" s="1"/>
  <c r="E137" i="3"/>
  <c r="E137" i="4" s="1"/>
  <c r="Q137" i="3"/>
  <c r="Q137" i="4" s="1"/>
  <c r="H138" i="3"/>
  <c r="H138" i="4" s="1"/>
  <c r="T138" i="3"/>
  <c r="T138" i="4" s="1"/>
  <c r="K139" i="3"/>
  <c r="K139" i="4" s="1"/>
  <c r="W139" i="3"/>
  <c r="W139" i="4" s="1"/>
  <c r="B140" i="3"/>
  <c r="B140" i="4" s="1"/>
  <c r="N140" i="3"/>
  <c r="N140" i="4" s="1"/>
  <c r="Z140" i="3"/>
  <c r="Z140" i="4" s="1"/>
  <c r="E141" i="3"/>
  <c r="E141" i="4" s="1"/>
  <c r="Q141" i="3"/>
  <c r="Q141" i="4" s="1"/>
  <c r="H142" i="3"/>
  <c r="H142" i="4" s="1"/>
  <c r="T142" i="3"/>
  <c r="T142" i="4" s="1"/>
  <c r="K143" i="3"/>
  <c r="K143" i="4" s="1"/>
  <c r="W143" i="3"/>
  <c r="W143" i="4" s="1"/>
  <c r="B144" i="3"/>
  <c r="B144" i="4" s="1"/>
  <c r="N144" i="3"/>
  <c r="N144" i="4" s="1"/>
  <c r="Z144" i="3"/>
  <c r="Z144" i="4" s="1"/>
  <c r="E145" i="3"/>
  <c r="E145" i="4" s="1"/>
  <c r="Q145" i="3"/>
  <c r="Q145" i="4" s="1"/>
  <c r="H146" i="3"/>
  <c r="H146" i="4" s="1"/>
  <c r="T146" i="3"/>
  <c r="T146" i="4" s="1"/>
  <c r="K147" i="3"/>
  <c r="K147" i="4" s="1"/>
  <c r="W147" i="3"/>
  <c r="W147" i="4" s="1"/>
  <c r="B148" i="3"/>
  <c r="B148" i="4" s="1"/>
  <c r="N148" i="3"/>
  <c r="N148" i="4" s="1"/>
  <c r="Z148" i="3"/>
  <c r="Z148" i="4" s="1"/>
  <c r="E149" i="3"/>
  <c r="E149" i="4" s="1"/>
  <c r="Q149" i="3"/>
  <c r="Q149" i="4" s="1"/>
  <c r="H150" i="3"/>
  <c r="H150" i="4" s="1"/>
  <c r="T150" i="3"/>
  <c r="T150" i="4" s="1"/>
  <c r="K151" i="3"/>
  <c r="K151" i="4" s="1"/>
  <c r="W151" i="3"/>
  <c r="W151" i="4" s="1"/>
  <c r="B152" i="3"/>
  <c r="B152" i="4" s="1"/>
  <c r="N152" i="3"/>
  <c r="N152" i="4" s="1"/>
  <c r="Z152" i="3"/>
  <c r="Z152" i="4" s="1"/>
  <c r="E153" i="3"/>
  <c r="E153" i="4" s="1"/>
  <c r="Q153" i="3"/>
  <c r="Q153" i="4" s="1"/>
  <c r="H154" i="3"/>
  <c r="H154" i="4" s="1"/>
  <c r="T154" i="3"/>
  <c r="T154" i="4" s="1"/>
  <c r="K155" i="3"/>
  <c r="K155" i="4" s="1"/>
  <c r="W155" i="3"/>
  <c r="W155" i="4" s="1"/>
  <c r="B156" i="3"/>
  <c r="B156" i="4" s="1"/>
  <c r="N156" i="3"/>
  <c r="N156" i="4" s="1"/>
  <c r="Z156" i="3"/>
  <c r="Z156" i="4" s="1"/>
  <c r="E157" i="3"/>
  <c r="E157" i="4" s="1"/>
  <c r="Q157" i="3"/>
  <c r="Q157" i="4" s="1"/>
  <c r="H158" i="3"/>
  <c r="H158" i="4" s="1"/>
  <c r="T158" i="3"/>
  <c r="T158" i="4" s="1"/>
  <c r="K159" i="3"/>
  <c r="K159" i="4" s="1"/>
  <c r="W159" i="3"/>
  <c r="W159" i="4" s="1"/>
  <c r="B160" i="3"/>
  <c r="B160" i="4" s="1"/>
  <c r="N160" i="3"/>
  <c r="N160" i="4" s="1"/>
  <c r="Z160" i="3"/>
  <c r="Z160" i="4" s="1"/>
  <c r="E161" i="3"/>
  <c r="E161" i="4" s="1"/>
  <c r="Q161" i="3"/>
  <c r="Q161" i="4" s="1"/>
  <c r="H162" i="3"/>
  <c r="H162" i="4" s="1"/>
  <c r="T162" i="3"/>
  <c r="T162" i="4" s="1"/>
  <c r="K163" i="3"/>
  <c r="K163" i="4" s="1"/>
  <c r="W163" i="3"/>
  <c r="W163" i="4" s="1"/>
  <c r="B164" i="3"/>
  <c r="B164" i="4" s="1"/>
  <c r="N164" i="3"/>
  <c r="N164" i="4" s="1"/>
  <c r="Z164" i="3"/>
  <c r="Z164" i="4" s="1"/>
  <c r="E165" i="3"/>
  <c r="E165" i="4" s="1"/>
  <c r="Q165" i="3"/>
  <c r="Q165" i="4" s="1"/>
  <c r="H166" i="3"/>
  <c r="H166" i="4" s="1"/>
  <c r="T166" i="3"/>
  <c r="T166" i="4" s="1"/>
  <c r="K167" i="3"/>
  <c r="K167" i="4" s="1"/>
  <c r="W167" i="3"/>
  <c r="W167" i="4" s="1"/>
  <c r="B168" i="3"/>
  <c r="B168" i="4" s="1"/>
  <c r="N168" i="3"/>
  <c r="N168" i="4" s="1"/>
  <c r="Z168" i="3"/>
  <c r="Z168" i="4" s="1"/>
  <c r="E169" i="3"/>
  <c r="E169" i="4" s="1"/>
  <c r="Q169" i="3"/>
  <c r="Q169" i="4" s="1"/>
  <c r="H170" i="3"/>
  <c r="H170" i="4" s="1"/>
  <c r="T170" i="3"/>
  <c r="T170" i="4" s="1"/>
  <c r="K171" i="3"/>
  <c r="K171" i="4" s="1"/>
  <c r="W171" i="3"/>
  <c r="W171" i="4" s="1"/>
  <c r="B172" i="3"/>
  <c r="B172" i="4" s="1"/>
  <c r="N172" i="3"/>
  <c r="N172" i="4" s="1"/>
  <c r="Z172" i="3"/>
  <c r="Z172" i="4" s="1"/>
  <c r="E173" i="3"/>
  <c r="E173" i="4" s="1"/>
  <c r="Q173" i="3"/>
  <c r="Q173" i="4" s="1"/>
  <c r="H174" i="3"/>
  <c r="H174" i="4" s="1"/>
  <c r="T174" i="3"/>
  <c r="T174" i="4" s="1"/>
  <c r="K175" i="3"/>
  <c r="K175" i="4" s="1"/>
  <c r="W175" i="3"/>
  <c r="W175" i="4" s="1"/>
  <c r="B176" i="3"/>
  <c r="B176" i="4" s="1"/>
  <c r="N176" i="3"/>
  <c r="N176" i="4" s="1"/>
  <c r="Z176" i="3"/>
  <c r="Z176" i="4" s="1"/>
  <c r="E177" i="3"/>
  <c r="E177" i="4" s="1"/>
  <c r="Q177" i="3"/>
  <c r="Q177" i="4" s="1"/>
  <c r="H178" i="3"/>
  <c r="H178" i="4" s="1"/>
  <c r="T178" i="3"/>
  <c r="T178" i="4" s="1"/>
  <c r="K179" i="3"/>
  <c r="K179" i="4" s="1"/>
  <c r="W179" i="3"/>
  <c r="W179" i="4" s="1"/>
  <c r="B180" i="3"/>
  <c r="B180" i="4" s="1"/>
  <c r="N180" i="3"/>
  <c r="N180" i="4" s="1"/>
  <c r="Z180" i="3"/>
  <c r="Z180" i="4" s="1"/>
  <c r="E181" i="3"/>
  <c r="E181" i="4" s="1"/>
  <c r="Q181" i="3"/>
  <c r="Q181" i="4" s="1"/>
  <c r="H182" i="3"/>
  <c r="H182" i="4" s="1"/>
  <c r="T182" i="3"/>
  <c r="T182" i="4" s="1"/>
  <c r="K183" i="3"/>
  <c r="K183" i="4" s="1"/>
  <c r="W183" i="3"/>
  <c r="W183" i="4" s="1"/>
  <c r="B184" i="3"/>
  <c r="B184" i="4" s="1"/>
  <c r="N184" i="3"/>
  <c r="N184" i="4" s="1"/>
  <c r="Z184" i="3"/>
  <c r="Z184" i="4" s="1"/>
  <c r="E185" i="3"/>
  <c r="E185" i="4" s="1"/>
  <c r="Q185" i="3"/>
  <c r="Q185" i="4" s="1"/>
  <c r="H186" i="3"/>
  <c r="H186" i="4" s="1"/>
  <c r="T186" i="3"/>
  <c r="T186" i="4" s="1"/>
  <c r="K187" i="3"/>
  <c r="K187" i="4" s="1"/>
  <c r="W187" i="3"/>
  <c r="W187" i="4" s="1"/>
  <c r="B188" i="3"/>
  <c r="B188" i="4" s="1"/>
  <c r="N188" i="3"/>
  <c r="N188" i="4" s="1"/>
  <c r="Z188" i="3"/>
  <c r="Z188" i="4" s="1"/>
  <c r="E189" i="3"/>
  <c r="E189" i="4" s="1"/>
  <c r="Q189" i="3"/>
  <c r="Q189" i="4" s="1"/>
  <c r="H190" i="3"/>
  <c r="H190" i="4" s="1"/>
  <c r="T190" i="3"/>
  <c r="T190" i="4" s="1"/>
  <c r="K191" i="3"/>
  <c r="K191" i="4" s="1"/>
  <c r="W191" i="3"/>
  <c r="W191" i="4" s="1"/>
  <c r="B192" i="3"/>
  <c r="B192" i="4" s="1"/>
  <c r="N192" i="3"/>
  <c r="N192" i="4" s="1"/>
  <c r="Z192" i="3"/>
  <c r="Z192" i="4" s="1"/>
  <c r="E193" i="3"/>
  <c r="E193" i="4" s="1"/>
  <c r="Q193" i="3"/>
  <c r="Q193" i="4" s="1"/>
  <c r="H194" i="3"/>
  <c r="H194" i="4" s="1"/>
  <c r="T194" i="3"/>
  <c r="T194" i="4" s="1"/>
  <c r="K195" i="3"/>
  <c r="K195" i="4" s="1"/>
  <c r="W195" i="3"/>
  <c r="W195" i="4" s="1"/>
  <c r="B196" i="3"/>
  <c r="B196" i="4" s="1"/>
  <c r="N196" i="3"/>
  <c r="N196" i="4" s="1"/>
  <c r="Z196" i="3"/>
  <c r="Z196" i="4" s="1"/>
  <c r="E197" i="3"/>
  <c r="E197" i="4" s="1"/>
  <c r="AA148" i="3"/>
  <c r="AA148" i="4" s="1"/>
  <c r="F149" i="3"/>
  <c r="F149" i="4" s="1"/>
  <c r="R149" i="3"/>
  <c r="R149" i="4" s="1"/>
  <c r="I150" i="3"/>
  <c r="I150" i="4" s="1"/>
  <c r="U150" i="3"/>
  <c r="U150" i="4" s="1"/>
  <c r="L151" i="3"/>
  <c r="L151" i="4" s="1"/>
  <c r="X151" i="3"/>
  <c r="X151" i="4" s="1"/>
  <c r="C152" i="3"/>
  <c r="C152" i="4" s="1"/>
  <c r="O152" i="3"/>
  <c r="O152" i="4" s="1"/>
  <c r="AA152" i="3"/>
  <c r="AA152" i="4" s="1"/>
  <c r="F153" i="3"/>
  <c r="F153" i="4" s="1"/>
  <c r="R153" i="3"/>
  <c r="R153" i="4" s="1"/>
  <c r="I154" i="3"/>
  <c r="I154" i="4" s="1"/>
  <c r="U154" i="3"/>
  <c r="U154" i="4" s="1"/>
  <c r="L155" i="3"/>
  <c r="L155" i="4" s="1"/>
  <c r="X155" i="3"/>
  <c r="X155" i="4" s="1"/>
  <c r="C156" i="3"/>
  <c r="C156" i="4" s="1"/>
  <c r="O156" i="3"/>
  <c r="O156" i="4" s="1"/>
  <c r="AA156" i="3"/>
  <c r="AA156" i="4" s="1"/>
  <c r="F157" i="3"/>
  <c r="F157" i="4" s="1"/>
  <c r="R157" i="3"/>
  <c r="R157" i="4" s="1"/>
  <c r="I158" i="3"/>
  <c r="I158" i="4" s="1"/>
  <c r="U158" i="3"/>
  <c r="U158" i="4" s="1"/>
  <c r="L159" i="3"/>
  <c r="L159" i="4" s="1"/>
  <c r="X159" i="3"/>
  <c r="X159" i="4" s="1"/>
  <c r="C160" i="3"/>
  <c r="C160" i="4" s="1"/>
  <c r="O160" i="3"/>
  <c r="O160" i="4" s="1"/>
  <c r="AA160" i="3"/>
  <c r="AA160" i="4" s="1"/>
  <c r="F161" i="3"/>
  <c r="F161" i="4" s="1"/>
  <c r="R161" i="3"/>
  <c r="R161" i="4" s="1"/>
  <c r="I162" i="3"/>
  <c r="I162" i="4" s="1"/>
  <c r="U162" i="3"/>
  <c r="U162" i="4" s="1"/>
  <c r="L163" i="3"/>
  <c r="L163" i="4" s="1"/>
  <c r="X163" i="3"/>
  <c r="X163" i="4" s="1"/>
  <c r="C164" i="3"/>
  <c r="C164" i="4" s="1"/>
  <c r="O164" i="3"/>
  <c r="O164" i="4" s="1"/>
  <c r="AA164" i="3"/>
  <c r="AA164" i="4" s="1"/>
  <c r="F165" i="3"/>
  <c r="F165" i="4" s="1"/>
  <c r="R165" i="3"/>
  <c r="R165" i="4" s="1"/>
  <c r="I166" i="3"/>
  <c r="I166" i="4" s="1"/>
  <c r="U166" i="3"/>
  <c r="U166" i="4" s="1"/>
  <c r="L167" i="3"/>
  <c r="L167" i="4" s="1"/>
  <c r="X167" i="3"/>
  <c r="X167" i="4" s="1"/>
  <c r="C168" i="3"/>
  <c r="C168" i="4" s="1"/>
  <c r="O168" i="3"/>
  <c r="O168" i="4" s="1"/>
  <c r="AA168" i="3"/>
  <c r="AA168" i="4" s="1"/>
  <c r="F169" i="3"/>
  <c r="F169" i="4" s="1"/>
  <c r="R169" i="3"/>
  <c r="R169" i="4" s="1"/>
  <c r="I170" i="3"/>
  <c r="I170" i="4" s="1"/>
  <c r="U170" i="3"/>
  <c r="U170" i="4" s="1"/>
  <c r="L171" i="3"/>
  <c r="L171" i="4" s="1"/>
  <c r="X171" i="3"/>
  <c r="X171" i="4" s="1"/>
  <c r="C172" i="3"/>
  <c r="C172" i="4" s="1"/>
  <c r="O172" i="3"/>
  <c r="O172" i="4" s="1"/>
  <c r="AA172" i="3"/>
  <c r="AA172" i="4" s="1"/>
  <c r="F173" i="3"/>
  <c r="F173" i="4" s="1"/>
  <c r="R173" i="3"/>
  <c r="R173" i="4" s="1"/>
  <c r="I174" i="3"/>
  <c r="I174" i="4" s="1"/>
  <c r="U174" i="3"/>
  <c r="U174" i="4" s="1"/>
  <c r="L175" i="3"/>
  <c r="L175" i="4" s="1"/>
  <c r="X175" i="3"/>
  <c r="X175" i="4" s="1"/>
  <c r="C176" i="3"/>
  <c r="C176" i="4" s="1"/>
  <c r="O176" i="3"/>
  <c r="O176" i="4" s="1"/>
  <c r="AA176" i="3"/>
  <c r="AA176" i="4" s="1"/>
  <c r="F177" i="3"/>
  <c r="F177" i="4" s="1"/>
  <c r="R177" i="3"/>
  <c r="R177" i="4" s="1"/>
  <c r="I178" i="3"/>
  <c r="I178" i="4" s="1"/>
  <c r="U178" i="3"/>
  <c r="U178" i="4" s="1"/>
  <c r="L179" i="3"/>
  <c r="L179" i="4" s="1"/>
  <c r="X179" i="3"/>
  <c r="X179" i="4" s="1"/>
  <c r="C180" i="3"/>
  <c r="C180" i="4" s="1"/>
  <c r="O180" i="3"/>
  <c r="O180" i="4" s="1"/>
  <c r="AA180" i="3"/>
  <c r="AA180" i="4" s="1"/>
  <c r="F181" i="3"/>
  <c r="F181" i="4" s="1"/>
  <c r="R181" i="3"/>
  <c r="R181" i="4" s="1"/>
  <c r="I182" i="3"/>
  <c r="I182" i="4" s="1"/>
  <c r="U182" i="3"/>
  <c r="U182" i="4" s="1"/>
  <c r="L183" i="3"/>
  <c r="L183" i="4" s="1"/>
  <c r="X183" i="3"/>
  <c r="X183" i="4" s="1"/>
  <c r="C184" i="3"/>
  <c r="C184" i="4" s="1"/>
  <c r="O184" i="3"/>
  <c r="O184" i="4" s="1"/>
  <c r="AA184" i="3"/>
  <c r="AA184" i="4" s="1"/>
  <c r="F185" i="3"/>
  <c r="F185" i="4" s="1"/>
  <c r="R185" i="3"/>
  <c r="R185" i="4" s="1"/>
  <c r="I186" i="3"/>
  <c r="I186" i="4" s="1"/>
  <c r="U186" i="3"/>
  <c r="U186" i="4" s="1"/>
  <c r="L187" i="3"/>
  <c r="L187" i="4" s="1"/>
  <c r="X187" i="3"/>
  <c r="X187" i="4" s="1"/>
  <c r="C188" i="3"/>
  <c r="C188" i="4" s="1"/>
  <c r="O188" i="3"/>
  <c r="O188" i="4" s="1"/>
  <c r="AA188" i="3"/>
  <c r="AA188" i="4" s="1"/>
  <c r="F189" i="3"/>
  <c r="F189" i="4" s="1"/>
  <c r="R189" i="3"/>
  <c r="R189" i="4" s="1"/>
  <c r="I190" i="3"/>
  <c r="I190" i="4" s="1"/>
  <c r="U190" i="3"/>
  <c r="U190" i="4" s="1"/>
  <c r="L191" i="3"/>
  <c r="L191" i="4" s="1"/>
  <c r="X191" i="3"/>
  <c r="X191" i="4" s="1"/>
  <c r="C192" i="3"/>
  <c r="C192" i="4" s="1"/>
  <c r="O192" i="3"/>
  <c r="O192" i="4" s="1"/>
  <c r="AA192" i="3"/>
  <c r="AA192" i="4" s="1"/>
  <c r="F193" i="3"/>
  <c r="F193" i="4" s="1"/>
  <c r="R193" i="3"/>
  <c r="R193" i="4" s="1"/>
  <c r="I194" i="3"/>
  <c r="I194" i="4" s="1"/>
  <c r="U194" i="3"/>
  <c r="U194" i="4" s="1"/>
  <c r="L195" i="3"/>
  <c r="L195" i="4" s="1"/>
  <c r="X195" i="3"/>
  <c r="X195" i="4" s="1"/>
  <c r="C196" i="3"/>
  <c r="C196" i="4" s="1"/>
  <c r="O196" i="3"/>
  <c r="O196" i="4" s="1"/>
  <c r="AA196" i="3"/>
  <c r="AA196" i="4" s="1"/>
  <c r="F197" i="3"/>
  <c r="F197" i="4" s="1"/>
  <c r="R197" i="3"/>
  <c r="R197" i="4" s="1"/>
  <c r="I198" i="3"/>
  <c r="I198" i="4" s="1"/>
  <c r="U198" i="3"/>
  <c r="U198" i="4" s="1"/>
  <c r="L199" i="3"/>
  <c r="L199" i="4" s="1"/>
  <c r="X199" i="3"/>
  <c r="X199" i="4" s="1"/>
  <c r="C200" i="3"/>
  <c r="C200" i="4" s="1"/>
  <c r="O200" i="3"/>
  <c r="O200" i="4" s="1"/>
  <c r="AA200" i="3"/>
  <c r="AA200" i="4" s="1"/>
  <c r="F201" i="3"/>
  <c r="F201" i="4" s="1"/>
  <c r="R201" i="3"/>
  <c r="R201" i="4" s="1"/>
  <c r="I202" i="3"/>
  <c r="I202" i="4" s="1"/>
  <c r="U202" i="3"/>
  <c r="U202" i="4" s="1"/>
  <c r="L203" i="3"/>
  <c r="L203" i="4" s="1"/>
  <c r="X203" i="3"/>
  <c r="X203" i="4" s="1"/>
  <c r="C204" i="3"/>
  <c r="C204" i="4" s="1"/>
  <c r="O204" i="3"/>
  <c r="O204" i="4" s="1"/>
  <c r="G185" i="3"/>
  <c r="G185" i="4" s="1"/>
  <c r="Q197" i="3"/>
  <c r="Q197" i="4" s="1"/>
  <c r="H198" i="3"/>
  <c r="H198" i="4" s="1"/>
  <c r="T198" i="3"/>
  <c r="T198" i="4" s="1"/>
  <c r="K199" i="3"/>
  <c r="K199" i="4" s="1"/>
  <c r="W199" i="3"/>
  <c r="W199" i="4" s="1"/>
  <c r="B200" i="3"/>
  <c r="B200" i="4" s="1"/>
  <c r="N200" i="3"/>
  <c r="N200" i="4" s="1"/>
  <c r="Z200" i="3"/>
  <c r="Z200" i="4" s="1"/>
  <c r="E201" i="3"/>
  <c r="E201" i="4" s="1"/>
  <c r="Q201" i="3"/>
  <c r="Q201" i="4" s="1"/>
  <c r="H202" i="3"/>
  <c r="H202" i="4" s="1"/>
  <c r="T202" i="3"/>
  <c r="T202" i="4" s="1"/>
  <c r="K203" i="3"/>
  <c r="K203" i="4" s="1"/>
  <c r="W203" i="3"/>
  <c r="W203" i="4" s="1"/>
  <c r="B204" i="3"/>
  <c r="B204" i="4" s="1"/>
  <c r="N204" i="3"/>
  <c r="N204" i="4" s="1"/>
  <c r="Z204" i="3"/>
  <c r="Z204" i="4" s="1"/>
  <c r="E205" i="3"/>
  <c r="E205" i="4" s="1"/>
  <c r="Q205" i="3"/>
  <c r="Q205" i="4" s="1"/>
  <c r="H206" i="3"/>
  <c r="H206" i="4" s="1"/>
  <c r="T206" i="3"/>
  <c r="T206" i="4" s="1"/>
  <c r="K207" i="3"/>
  <c r="K207" i="4" s="1"/>
  <c r="W207" i="3"/>
  <c r="W207" i="4" s="1"/>
  <c r="B208" i="3"/>
  <c r="B208" i="4" s="1"/>
  <c r="N208" i="3"/>
  <c r="N208" i="4" s="1"/>
  <c r="Z208" i="3"/>
  <c r="Z208" i="4" s="1"/>
  <c r="E209" i="3"/>
  <c r="E209" i="4" s="1"/>
  <c r="Q209" i="3"/>
  <c r="Q209" i="4" s="1"/>
  <c r="H210" i="3"/>
  <c r="H210" i="4" s="1"/>
  <c r="T210" i="3"/>
  <c r="T210" i="4" s="1"/>
  <c r="K211" i="3"/>
  <c r="K211" i="4" s="1"/>
  <c r="W211" i="3"/>
  <c r="W211" i="4" s="1"/>
  <c r="B212" i="3"/>
  <c r="B212" i="4" s="1"/>
  <c r="N212" i="3"/>
  <c r="N212" i="4" s="1"/>
  <c r="Z212" i="3"/>
  <c r="Z212" i="4" s="1"/>
  <c r="E213" i="3"/>
  <c r="E213" i="4" s="1"/>
  <c r="Q213" i="3"/>
  <c r="Q213" i="4" s="1"/>
  <c r="H214" i="3"/>
  <c r="H214" i="4" s="1"/>
  <c r="T214" i="3"/>
  <c r="T214" i="4" s="1"/>
  <c r="K215" i="3"/>
  <c r="K215" i="4" s="1"/>
  <c r="W215" i="3"/>
  <c r="W215" i="4" s="1"/>
  <c r="B216" i="3"/>
  <c r="B216" i="4" s="1"/>
  <c r="N216" i="3"/>
  <c r="N216" i="4" s="1"/>
  <c r="Z216" i="3"/>
  <c r="Z216" i="4" s="1"/>
  <c r="E217" i="3"/>
  <c r="E217" i="4" s="1"/>
  <c r="Q217" i="3"/>
  <c r="Q217" i="4" s="1"/>
  <c r="H218" i="3"/>
  <c r="H218" i="4" s="1"/>
  <c r="T218" i="3"/>
  <c r="T218" i="4" s="1"/>
  <c r="K219" i="3"/>
  <c r="K219" i="4" s="1"/>
  <c r="W219" i="3"/>
  <c r="W219" i="4" s="1"/>
  <c r="B220" i="3"/>
  <c r="B220" i="4" s="1"/>
  <c r="N220" i="3"/>
  <c r="N220" i="4" s="1"/>
  <c r="Z220" i="3"/>
  <c r="Z220" i="4" s="1"/>
  <c r="E221" i="3"/>
  <c r="E221" i="4" s="1"/>
  <c r="Q221" i="3"/>
  <c r="Q221" i="4" s="1"/>
  <c r="H222" i="3"/>
  <c r="H222" i="4" s="1"/>
  <c r="T222" i="3"/>
  <c r="T222" i="4" s="1"/>
  <c r="K223" i="3"/>
  <c r="K223" i="4" s="1"/>
  <c r="W223" i="3"/>
  <c r="W223" i="4" s="1"/>
  <c r="B224" i="3"/>
  <c r="B224" i="4" s="1"/>
  <c r="N224" i="3"/>
  <c r="N224" i="4" s="1"/>
  <c r="Z224" i="3"/>
  <c r="Z224" i="4" s="1"/>
  <c r="E225" i="3"/>
  <c r="E225" i="4" s="1"/>
  <c r="Q225" i="3"/>
  <c r="Q225" i="4" s="1"/>
  <c r="H226" i="3"/>
  <c r="H226" i="4" s="1"/>
  <c r="T226" i="3"/>
  <c r="T226" i="4" s="1"/>
  <c r="K227" i="3"/>
  <c r="K227" i="4" s="1"/>
  <c r="W227" i="3"/>
  <c r="W227" i="4" s="1"/>
  <c r="B228" i="3"/>
  <c r="B228" i="4" s="1"/>
  <c r="N228" i="3"/>
  <c r="N228" i="4" s="1"/>
  <c r="Z228" i="3"/>
  <c r="Z228" i="4" s="1"/>
  <c r="E229" i="3"/>
  <c r="E229" i="4" s="1"/>
  <c r="Q229" i="3"/>
  <c r="Q229" i="4" s="1"/>
  <c r="H230" i="3"/>
  <c r="H230" i="4" s="1"/>
  <c r="T230" i="3"/>
  <c r="T230" i="4" s="1"/>
  <c r="K231" i="3"/>
  <c r="K231" i="4" s="1"/>
  <c r="W231" i="3"/>
  <c r="W231" i="4" s="1"/>
  <c r="B232" i="3"/>
  <c r="B232" i="4" s="1"/>
  <c r="N232" i="3"/>
  <c r="N232" i="4" s="1"/>
  <c r="Z232" i="3"/>
  <c r="Z232" i="4" s="1"/>
  <c r="E233" i="3"/>
  <c r="E233" i="4" s="1"/>
  <c r="Q233" i="3"/>
  <c r="Q233" i="4" s="1"/>
  <c r="H234" i="3"/>
  <c r="H234" i="4" s="1"/>
  <c r="T234" i="3"/>
  <c r="T234" i="4" s="1"/>
  <c r="K235" i="3"/>
  <c r="K235" i="4" s="1"/>
  <c r="W235" i="3"/>
  <c r="W235" i="4" s="1"/>
  <c r="B236" i="3"/>
  <c r="B236" i="4" s="1"/>
  <c r="N236" i="3"/>
  <c r="N236" i="4" s="1"/>
  <c r="Z236" i="3"/>
  <c r="Z236" i="4" s="1"/>
  <c r="E237" i="3"/>
  <c r="E237" i="4" s="1"/>
  <c r="Q237" i="3"/>
  <c r="Q237" i="4" s="1"/>
  <c r="H238" i="3"/>
  <c r="H238" i="4" s="1"/>
  <c r="T238" i="3"/>
  <c r="T238" i="4" s="1"/>
  <c r="K239" i="3"/>
  <c r="K239" i="4" s="1"/>
  <c r="W239" i="3"/>
  <c r="W239" i="4" s="1"/>
  <c r="B240" i="3"/>
  <c r="B240" i="4" s="1"/>
  <c r="N240" i="3"/>
  <c r="N240" i="4" s="1"/>
  <c r="Z240" i="3"/>
  <c r="Z240" i="4" s="1"/>
  <c r="E241" i="3"/>
  <c r="E241" i="4" s="1"/>
  <c r="Q241" i="3"/>
  <c r="Q241" i="4" s="1"/>
  <c r="H242" i="3"/>
  <c r="H242" i="4" s="1"/>
  <c r="T242" i="3"/>
  <c r="T242" i="4" s="1"/>
  <c r="K243" i="3"/>
  <c r="K243" i="4" s="1"/>
  <c r="W243" i="3"/>
  <c r="W243" i="4" s="1"/>
  <c r="B244" i="3"/>
  <c r="B244" i="4" s="1"/>
  <c r="N244" i="3"/>
  <c r="N244" i="4" s="1"/>
  <c r="Z244" i="3"/>
  <c r="Z244" i="4" s="1"/>
  <c r="E245" i="3"/>
  <c r="E245" i="4" s="1"/>
  <c r="Q245" i="3"/>
  <c r="Q245" i="4" s="1"/>
  <c r="H246" i="3"/>
  <c r="H246" i="4" s="1"/>
  <c r="T246" i="3"/>
  <c r="T246" i="4" s="1"/>
  <c r="K247" i="3"/>
  <c r="K247" i="4" s="1"/>
  <c r="W247" i="3"/>
  <c r="W247" i="4" s="1"/>
  <c r="B248" i="3"/>
  <c r="B248" i="4" s="1"/>
  <c r="N248" i="3"/>
  <c r="N248" i="4" s="1"/>
  <c r="Z248" i="3"/>
  <c r="Z248" i="4" s="1"/>
  <c r="E249" i="3"/>
  <c r="E249" i="4" s="1"/>
  <c r="Q249" i="3"/>
  <c r="Q249" i="4" s="1"/>
  <c r="H250" i="3"/>
  <c r="H250" i="4" s="1"/>
  <c r="T250" i="3"/>
  <c r="T250" i="4" s="1"/>
  <c r="K251" i="3"/>
  <c r="K251" i="4" s="1"/>
  <c r="W251" i="3"/>
  <c r="W251" i="4" s="1"/>
  <c r="B252" i="3"/>
  <c r="B252" i="4" s="1"/>
  <c r="N252" i="3"/>
  <c r="N252" i="4" s="1"/>
  <c r="Z252" i="3"/>
  <c r="Z252" i="4" s="1"/>
  <c r="E253" i="3"/>
  <c r="E253" i="4" s="1"/>
  <c r="Q253" i="3"/>
  <c r="Q253" i="4" s="1"/>
  <c r="H254" i="3"/>
  <c r="H254" i="4" s="1"/>
  <c r="T254" i="3"/>
  <c r="T254" i="4" s="1"/>
  <c r="K255" i="3"/>
  <c r="K255" i="4" s="1"/>
  <c r="W255" i="3"/>
  <c r="W255" i="4" s="1"/>
  <c r="B256" i="3"/>
  <c r="B256" i="4" s="1"/>
  <c r="N256" i="3"/>
  <c r="N256" i="4" s="1"/>
  <c r="Z256" i="3"/>
  <c r="Z256" i="4" s="1"/>
  <c r="E257" i="3"/>
  <c r="E257" i="4" s="1"/>
  <c r="Q257" i="3"/>
  <c r="Q257" i="4" s="1"/>
  <c r="H258" i="3"/>
  <c r="H258" i="4" s="1"/>
  <c r="T258" i="3"/>
  <c r="T258" i="4" s="1"/>
  <c r="K259" i="3"/>
  <c r="K259" i="4" s="1"/>
  <c r="W259" i="3"/>
  <c r="W259" i="4" s="1"/>
  <c r="B260" i="3"/>
  <c r="B260" i="4" s="1"/>
  <c r="N260" i="3"/>
  <c r="N260" i="4" s="1"/>
  <c r="Z260" i="3"/>
  <c r="Z260" i="4" s="1"/>
  <c r="E261" i="3"/>
  <c r="E261" i="4" s="1"/>
  <c r="Q261" i="3"/>
  <c r="Q261" i="4" s="1"/>
  <c r="H262" i="3"/>
  <c r="H262" i="4" s="1"/>
  <c r="T262" i="3"/>
  <c r="T262" i="4" s="1"/>
  <c r="K263" i="3"/>
  <c r="K263" i="4" s="1"/>
  <c r="W263" i="3"/>
  <c r="W263" i="4" s="1"/>
  <c r="B264" i="3"/>
  <c r="B264" i="4" s="1"/>
  <c r="N264" i="3"/>
  <c r="N264" i="4" s="1"/>
  <c r="Z264" i="3"/>
  <c r="Z264" i="4" s="1"/>
  <c r="E265" i="3"/>
  <c r="E265" i="4" s="1"/>
  <c r="Q265" i="3"/>
  <c r="Q265" i="4" s="1"/>
  <c r="H266" i="3"/>
  <c r="H266" i="4" s="1"/>
  <c r="T266" i="3"/>
  <c r="T266" i="4" s="1"/>
  <c r="K267" i="3"/>
  <c r="K267" i="4" s="1"/>
  <c r="W267" i="3"/>
  <c r="W267" i="4" s="1"/>
  <c r="B268" i="3"/>
  <c r="B268" i="4" s="1"/>
  <c r="N268" i="3"/>
  <c r="N268" i="4" s="1"/>
  <c r="Z268" i="3"/>
  <c r="Z268" i="4" s="1"/>
  <c r="E269" i="3"/>
  <c r="E269" i="4" s="1"/>
  <c r="Q269" i="3"/>
  <c r="Q269" i="4" s="1"/>
  <c r="H270" i="3"/>
  <c r="H270" i="4" s="1"/>
  <c r="T270" i="3"/>
  <c r="T270" i="4" s="1"/>
  <c r="K271" i="3"/>
  <c r="K271" i="4" s="1"/>
  <c r="W271" i="3"/>
  <c r="W271" i="4" s="1"/>
  <c r="B272" i="3"/>
  <c r="B272" i="4" s="1"/>
  <c r="N272" i="3"/>
  <c r="N272" i="4" s="1"/>
  <c r="Z272" i="3"/>
  <c r="Z272" i="4" s="1"/>
  <c r="E273" i="3"/>
  <c r="E273" i="4" s="1"/>
  <c r="Q273" i="3"/>
  <c r="Q273" i="4" s="1"/>
  <c r="H274" i="3"/>
  <c r="H274" i="4" s="1"/>
  <c r="T274" i="3"/>
  <c r="T274" i="4" s="1"/>
  <c r="K275" i="3"/>
  <c r="K275" i="4" s="1"/>
  <c r="W275" i="3"/>
  <c r="W275" i="4" s="1"/>
  <c r="B276" i="3"/>
  <c r="B276" i="4" s="1"/>
  <c r="N276" i="3"/>
  <c r="N276" i="4" s="1"/>
  <c r="Z276" i="3"/>
  <c r="Z276" i="4" s="1"/>
  <c r="E277" i="3"/>
  <c r="E277" i="4" s="1"/>
  <c r="Q277" i="3"/>
  <c r="Q277" i="4" s="1"/>
  <c r="H278" i="3"/>
  <c r="H278" i="4" s="1"/>
  <c r="T278" i="3"/>
  <c r="T278" i="4" s="1"/>
  <c r="K279" i="3"/>
  <c r="K279" i="4" s="1"/>
  <c r="W279" i="3"/>
  <c r="W279" i="4" s="1"/>
  <c r="B280" i="3"/>
  <c r="B280" i="4" s="1"/>
  <c r="N280" i="3"/>
  <c r="N280" i="4" s="1"/>
  <c r="Z280" i="3"/>
  <c r="Z280" i="4" s="1"/>
  <c r="E281" i="3"/>
  <c r="E281" i="4" s="1"/>
  <c r="Q281" i="3"/>
  <c r="Q281" i="4" s="1"/>
  <c r="H282" i="3"/>
  <c r="H282" i="4" s="1"/>
  <c r="T282" i="3"/>
  <c r="T282" i="4" s="1"/>
  <c r="K283" i="3"/>
  <c r="K283" i="4" s="1"/>
  <c r="W283" i="3"/>
  <c r="W283" i="4" s="1"/>
  <c r="B284" i="3"/>
  <c r="B284" i="4" s="1"/>
  <c r="N284" i="3"/>
  <c r="N284" i="4" s="1"/>
  <c r="Z284" i="3"/>
  <c r="Z284" i="4" s="1"/>
  <c r="E285" i="3"/>
  <c r="E285" i="4" s="1"/>
  <c r="Q285" i="3"/>
  <c r="Q285" i="4" s="1"/>
  <c r="H286" i="3"/>
  <c r="H286" i="4" s="1"/>
  <c r="T286" i="3"/>
  <c r="T286" i="4" s="1"/>
  <c r="K287" i="3"/>
  <c r="K287" i="4" s="1"/>
  <c r="W287" i="3"/>
  <c r="W287" i="4" s="1"/>
  <c r="B288" i="3"/>
  <c r="B288" i="4" s="1"/>
  <c r="N288" i="3"/>
  <c r="N288" i="4" s="1"/>
  <c r="Z288" i="3"/>
  <c r="Z288" i="4" s="1"/>
  <c r="E289" i="3"/>
  <c r="E289" i="4" s="1"/>
  <c r="Q289" i="3"/>
  <c r="Q289" i="4" s="1"/>
  <c r="H290" i="3"/>
  <c r="H290" i="4" s="1"/>
  <c r="T290" i="3"/>
  <c r="T290" i="4" s="1"/>
  <c r="K291" i="3"/>
  <c r="K291" i="4" s="1"/>
  <c r="W291" i="3"/>
  <c r="W291" i="4" s="1"/>
  <c r="B292" i="3"/>
  <c r="B292" i="4" s="1"/>
  <c r="N292" i="3"/>
  <c r="N292" i="4" s="1"/>
  <c r="Z292" i="3"/>
  <c r="Z292" i="4" s="1"/>
  <c r="E293" i="3"/>
  <c r="E293" i="4" s="1"/>
  <c r="Q293" i="3"/>
  <c r="Q293" i="4" s="1"/>
  <c r="H294" i="3"/>
  <c r="H294" i="4" s="1"/>
  <c r="T294" i="3"/>
  <c r="T294" i="4" s="1"/>
  <c r="K295" i="3"/>
  <c r="K295" i="4" s="1"/>
  <c r="W295" i="3"/>
  <c r="W295" i="4" s="1"/>
  <c r="B296" i="3"/>
  <c r="B296" i="4" s="1"/>
  <c r="N296" i="3"/>
  <c r="N296" i="4" s="1"/>
  <c r="Z296" i="3"/>
  <c r="Z296" i="4" s="1"/>
  <c r="AA204" i="3"/>
  <c r="AA204" i="4" s="1"/>
  <c r="F205" i="3"/>
  <c r="F205" i="4" s="1"/>
  <c r="R205" i="3"/>
  <c r="R205" i="4" s="1"/>
  <c r="I206" i="3"/>
  <c r="I206" i="4" s="1"/>
  <c r="U206" i="3"/>
  <c r="U206" i="4" s="1"/>
  <c r="L207" i="3"/>
  <c r="L207" i="4" s="1"/>
  <c r="X207" i="3"/>
  <c r="X207" i="4" s="1"/>
  <c r="C208" i="3"/>
  <c r="C208" i="4" s="1"/>
  <c r="O208" i="3"/>
  <c r="O208" i="4" s="1"/>
  <c r="AA208" i="3"/>
  <c r="AA208" i="4" s="1"/>
  <c r="F209" i="3"/>
  <c r="F209" i="4" s="1"/>
  <c r="R209" i="3"/>
  <c r="R209" i="4" s="1"/>
  <c r="I210" i="3"/>
  <c r="I210" i="4" s="1"/>
  <c r="U210" i="3"/>
  <c r="U210" i="4" s="1"/>
  <c r="L211" i="3"/>
  <c r="L211" i="4" s="1"/>
  <c r="X211" i="3"/>
  <c r="X211" i="4" s="1"/>
  <c r="C212" i="3"/>
  <c r="C212" i="4" s="1"/>
  <c r="O212" i="3"/>
  <c r="O212" i="4" s="1"/>
  <c r="AA212" i="3"/>
  <c r="AA212" i="4" s="1"/>
  <c r="F213" i="3"/>
  <c r="F213" i="4" s="1"/>
  <c r="R213" i="3"/>
  <c r="R213" i="4" s="1"/>
  <c r="I214" i="3"/>
  <c r="I214" i="4" s="1"/>
  <c r="U214" i="3"/>
  <c r="U214" i="4" s="1"/>
  <c r="L215" i="3"/>
  <c r="L215" i="4" s="1"/>
  <c r="X215" i="3"/>
  <c r="X215" i="4" s="1"/>
  <c r="C216" i="3"/>
  <c r="C216" i="4" s="1"/>
  <c r="O216" i="3"/>
  <c r="O216" i="4" s="1"/>
  <c r="AA216" i="3"/>
  <c r="AA216" i="4" s="1"/>
  <c r="F217" i="3"/>
  <c r="F217" i="4" s="1"/>
  <c r="R217" i="3"/>
  <c r="R217" i="4" s="1"/>
  <c r="I218" i="3"/>
  <c r="I218" i="4" s="1"/>
  <c r="U218" i="3"/>
  <c r="U218" i="4" s="1"/>
  <c r="L219" i="3"/>
  <c r="L219" i="4" s="1"/>
  <c r="X219" i="3"/>
  <c r="X219" i="4" s="1"/>
  <c r="C220" i="3"/>
  <c r="C220" i="4" s="1"/>
  <c r="O220" i="3"/>
  <c r="O220" i="4" s="1"/>
  <c r="AA220" i="3"/>
  <c r="AA220" i="4" s="1"/>
  <c r="F221" i="3"/>
  <c r="F221" i="4" s="1"/>
  <c r="R221" i="3"/>
  <c r="R221" i="4" s="1"/>
  <c r="I222" i="3"/>
  <c r="I222" i="4" s="1"/>
  <c r="U222" i="3"/>
  <c r="U222" i="4" s="1"/>
  <c r="L223" i="3"/>
  <c r="L223" i="4" s="1"/>
  <c r="X223" i="3"/>
  <c r="X223" i="4" s="1"/>
  <c r="C224" i="3"/>
  <c r="C224" i="4" s="1"/>
  <c r="O224" i="3"/>
  <c r="O224" i="4" s="1"/>
  <c r="AA224" i="3"/>
  <c r="AA224" i="4" s="1"/>
  <c r="F225" i="3"/>
  <c r="F225" i="4" s="1"/>
  <c r="R225" i="3"/>
  <c r="R225" i="4" s="1"/>
  <c r="I226" i="3"/>
  <c r="I226" i="4" s="1"/>
  <c r="U226" i="3"/>
  <c r="U226" i="4" s="1"/>
  <c r="L227" i="3"/>
  <c r="L227" i="4" s="1"/>
  <c r="X227" i="3"/>
  <c r="X227" i="4" s="1"/>
  <c r="C228" i="3"/>
  <c r="C228" i="4" s="1"/>
  <c r="O228" i="3"/>
  <c r="O228" i="4" s="1"/>
  <c r="AA228" i="3"/>
  <c r="AA228" i="4" s="1"/>
  <c r="F229" i="3"/>
  <c r="F229" i="4" s="1"/>
  <c r="R229" i="3"/>
  <c r="R229" i="4" s="1"/>
  <c r="I230" i="3"/>
  <c r="I230" i="4" s="1"/>
  <c r="U230" i="3"/>
  <c r="U230" i="4" s="1"/>
  <c r="L231" i="3"/>
  <c r="L231" i="4" s="1"/>
  <c r="X231" i="3"/>
  <c r="X231" i="4" s="1"/>
  <c r="C232" i="3"/>
  <c r="C232" i="4" s="1"/>
  <c r="O232" i="3"/>
  <c r="O232" i="4" s="1"/>
  <c r="AA232" i="3"/>
  <c r="AA232" i="4" s="1"/>
  <c r="F233" i="3"/>
  <c r="F233" i="4" s="1"/>
  <c r="R233" i="3"/>
  <c r="R233" i="4" s="1"/>
  <c r="I234" i="3"/>
  <c r="I234" i="4" s="1"/>
  <c r="U234" i="3"/>
  <c r="U234" i="4" s="1"/>
  <c r="L235" i="3"/>
  <c r="L235" i="4" s="1"/>
  <c r="X235" i="3"/>
  <c r="X235" i="4" s="1"/>
  <c r="C236" i="3"/>
  <c r="C236" i="4" s="1"/>
  <c r="O236" i="3"/>
  <c r="O236" i="4" s="1"/>
  <c r="AA236" i="3"/>
  <c r="AA236" i="4" s="1"/>
  <c r="F237" i="3"/>
  <c r="F237" i="4" s="1"/>
  <c r="R237" i="3"/>
  <c r="R237" i="4" s="1"/>
  <c r="I238" i="3"/>
  <c r="I238" i="4" s="1"/>
  <c r="U238" i="3"/>
  <c r="U238" i="4" s="1"/>
  <c r="L239" i="3"/>
  <c r="L239" i="4" s="1"/>
  <c r="X239" i="3"/>
  <c r="X239" i="4" s="1"/>
  <c r="C240" i="3"/>
  <c r="C240" i="4" s="1"/>
  <c r="O240" i="3"/>
  <c r="O240" i="4" s="1"/>
  <c r="AA240" i="3"/>
  <c r="AA240" i="4" s="1"/>
  <c r="F241" i="3"/>
  <c r="F241" i="4" s="1"/>
  <c r="R241" i="3"/>
  <c r="R241" i="4" s="1"/>
  <c r="I242" i="3"/>
  <c r="I242" i="4" s="1"/>
  <c r="U242" i="3"/>
  <c r="U242" i="4" s="1"/>
  <c r="L243" i="3"/>
  <c r="L243" i="4" s="1"/>
  <c r="X243" i="3"/>
  <c r="X243" i="4" s="1"/>
  <c r="C244" i="3"/>
  <c r="C244" i="4" s="1"/>
  <c r="O244" i="3"/>
  <c r="O244" i="4" s="1"/>
  <c r="AA244" i="3"/>
  <c r="AA244" i="4" s="1"/>
  <c r="F245" i="3"/>
  <c r="F245" i="4" s="1"/>
  <c r="R245" i="3"/>
  <c r="R245" i="4" s="1"/>
  <c r="I246" i="3"/>
  <c r="I246" i="4" s="1"/>
  <c r="U246" i="3"/>
  <c r="U246" i="4" s="1"/>
  <c r="L247" i="3"/>
  <c r="L247" i="4" s="1"/>
  <c r="X247" i="3"/>
  <c r="X247" i="4" s="1"/>
  <c r="C248" i="3"/>
  <c r="C248" i="4" s="1"/>
  <c r="O248" i="3"/>
  <c r="O248" i="4" s="1"/>
  <c r="AA248" i="3"/>
  <c r="AA248" i="4" s="1"/>
  <c r="F249" i="3"/>
  <c r="F249" i="4" s="1"/>
  <c r="R249" i="3"/>
  <c r="R249" i="4" s="1"/>
  <c r="I250" i="3"/>
  <c r="I250" i="4" s="1"/>
  <c r="U250" i="3"/>
  <c r="U250" i="4" s="1"/>
  <c r="L251" i="3"/>
  <c r="L251" i="4" s="1"/>
  <c r="X251" i="3"/>
  <c r="X251" i="4" s="1"/>
  <c r="C252" i="3"/>
  <c r="C252" i="4" s="1"/>
  <c r="O252" i="3"/>
  <c r="O252" i="4" s="1"/>
  <c r="AA252" i="3"/>
  <c r="AA252" i="4" s="1"/>
  <c r="F253" i="3"/>
  <c r="F253" i="4" s="1"/>
  <c r="R253" i="3"/>
  <c r="R253" i="4" s="1"/>
  <c r="I254" i="3"/>
  <c r="I254" i="4" s="1"/>
  <c r="U254" i="3"/>
  <c r="U254" i="4" s="1"/>
  <c r="L255" i="3"/>
  <c r="L255" i="4" s="1"/>
  <c r="X255" i="3"/>
  <c r="X255" i="4" s="1"/>
  <c r="C256" i="3"/>
  <c r="C256" i="4" s="1"/>
  <c r="O256" i="3"/>
  <c r="O256" i="4" s="1"/>
  <c r="AA256" i="3"/>
  <c r="AA256" i="4" s="1"/>
  <c r="F257" i="3"/>
  <c r="F257" i="4" s="1"/>
  <c r="R257" i="3"/>
  <c r="R257" i="4" s="1"/>
  <c r="I258" i="3"/>
  <c r="I258" i="4" s="1"/>
  <c r="U258" i="3"/>
  <c r="U258" i="4" s="1"/>
  <c r="L259" i="3"/>
  <c r="L259" i="4" s="1"/>
  <c r="X259" i="3"/>
  <c r="X259" i="4" s="1"/>
  <c r="C260" i="3"/>
  <c r="C260" i="4" s="1"/>
  <c r="O260" i="3"/>
  <c r="O260" i="4" s="1"/>
  <c r="AA260" i="3"/>
  <c r="AA260" i="4" s="1"/>
  <c r="F261" i="3"/>
  <c r="F261" i="4" s="1"/>
  <c r="R261" i="3"/>
  <c r="R261" i="4" s="1"/>
  <c r="I262" i="3"/>
  <c r="I262" i="4" s="1"/>
  <c r="U262" i="3"/>
  <c r="U262" i="4" s="1"/>
  <c r="L263" i="3"/>
  <c r="L263" i="4" s="1"/>
  <c r="X263" i="3"/>
  <c r="X263" i="4" s="1"/>
  <c r="C264" i="3"/>
  <c r="C264" i="4" s="1"/>
  <c r="O264" i="3"/>
  <c r="O264" i="4" s="1"/>
  <c r="AA264" i="3"/>
  <c r="AA264" i="4" s="1"/>
  <c r="F265" i="3"/>
  <c r="F265" i="4" s="1"/>
  <c r="R265" i="3"/>
  <c r="R265" i="4" s="1"/>
  <c r="I266" i="3"/>
  <c r="I266" i="4" s="1"/>
  <c r="U266" i="3"/>
  <c r="U266" i="4" s="1"/>
  <c r="L267" i="3"/>
  <c r="L267" i="4" s="1"/>
  <c r="X267" i="3"/>
  <c r="X267" i="4" s="1"/>
  <c r="C268" i="3"/>
  <c r="C268" i="4" s="1"/>
  <c r="O268" i="3"/>
  <c r="O268" i="4" s="1"/>
  <c r="AA268" i="3"/>
  <c r="AA268" i="4" s="1"/>
  <c r="F269" i="3"/>
  <c r="F269" i="4" s="1"/>
  <c r="R269" i="3"/>
  <c r="R269" i="4" s="1"/>
  <c r="I270" i="3"/>
  <c r="I270" i="4" s="1"/>
  <c r="U270" i="3"/>
  <c r="U270" i="4" s="1"/>
  <c r="L271" i="3"/>
  <c r="L271" i="4" s="1"/>
  <c r="X271" i="3"/>
  <c r="X271" i="4" s="1"/>
  <c r="C272" i="3"/>
  <c r="C272" i="4" s="1"/>
  <c r="O272" i="3"/>
  <c r="O272" i="4" s="1"/>
  <c r="AA272" i="3"/>
  <c r="AA272" i="4" s="1"/>
  <c r="F273" i="3"/>
  <c r="F273" i="4" s="1"/>
  <c r="R273" i="3"/>
  <c r="R273" i="4" s="1"/>
  <c r="I274" i="3"/>
  <c r="I274" i="4" s="1"/>
  <c r="U274" i="3"/>
  <c r="U274" i="4" s="1"/>
  <c r="L275" i="3"/>
  <c r="L275" i="4" s="1"/>
  <c r="X275" i="3"/>
  <c r="X275" i="4" s="1"/>
  <c r="C276" i="3"/>
  <c r="C276" i="4" s="1"/>
  <c r="O276" i="3"/>
  <c r="O276" i="4" s="1"/>
  <c r="AA276" i="3"/>
  <c r="AA276" i="4" s="1"/>
  <c r="F277" i="3"/>
  <c r="F277" i="4" s="1"/>
  <c r="R277" i="3"/>
  <c r="R277" i="4" s="1"/>
  <c r="I278" i="3"/>
  <c r="I278" i="4" s="1"/>
  <c r="U278" i="3"/>
  <c r="U278" i="4" s="1"/>
  <c r="L279" i="3"/>
  <c r="L279" i="4" s="1"/>
  <c r="X279" i="3"/>
  <c r="X279" i="4" s="1"/>
  <c r="C280" i="3"/>
  <c r="C280" i="4" s="1"/>
  <c r="O280" i="3"/>
  <c r="O280" i="4" s="1"/>
  <c r="AA280" i="3"/>
  <c r="AA280" i="4" s="1"/>
  <c r="F281" i="3"/>
  <c r="F281" i="4" s="1"/>
  <c r="R281" i="3"/>
  <c r="R281" i="4" s="1"/>
  <c r="I282" i="3"/>
  <c r="I282" i="4" s="1"/>
  <c r="U282" i="3"/>
  <c r="U282" i="4" s="1"/>
  <c r="L283" i="3"/>
  <c r="L283" i="4" s="1"/>
  <c r="X283" i="3"/>
  <c r="X283" i="4" s="1"/>
  <c r="C284" i="3"/>
  <c r="C284" i="4" s="1"/>
  <c r="O284" i="3"/>
  <c r="O284" i="4" s="1"/>
  <c r="AA284" i="3"/>
  <c r="AA284" i="4" s="1"/>
  <c r="F285" i="3"/>
  <c r="F285" i="4" s="1"/>
  <c r="R285" i="3"/>
  <c r="R285" i="4" s="1"/>
  <c r="I286" i="3"/>
  <c r="I286" i="4" s="1"/>
  <c r="U286" i="3"/>
  <c r="U286" i="4" s="1"/>
  <c r="L287" i="3"/>
  <c r="L287" i="4" s="1"/>
  <c r="X287" i="3"/>
  <c r="X287" i="4" s="1"/>
  <c r="C288" i="3"/>
  <c r="C288" i="4" s="1"/>
  <c r="O288" i="3"/>
  <c r="O288" i="4" s="1"/>
  <c r="AA288" i="3"/>
  <c r="AA288" i="4" s="1"/>
  <c r="F289" i="3"/>
  <c r="F289" i="4" s="1"/>
  <c r="R289" i="3"/>
  <c r="R289" i="4" s="1"/>
  <c r="I290" i="3"/>
  <c r="I290" i="4" s="1"/>
  <c r="U290" i="3"/>
  <c r="U290" i="4" s="1"/>
  <c r="L291" i="3"/>
  <c r="L291" i="4" s="1"/>
  <c r="X291" i="3"/>
  <c r="X291" i="4" s="1"/>
  <c r="C292" i="3"/>
  <c r="C292" i="4" s="1"/>
  <c r="O292" i="3"/>
  <c r="O292" i="4" s="1"/>
  <c r="AA292" i="3"/>
  <c r="AA292" i="4" s="1"/>
  <c r="F293" i="3"/>
  <c r="F293" i="4" s="1"/>
  <c r="R293" i="3"/>
  <c r="R293" i="4" s="1"/>
  <c r="I294" i="3"/>
  <c r="I294" i="4" s="1"/>
  <c r="U294" i="3"/>
  <c r="U294" i="4" s="1"/>
  <c r="L295" i="3"/>
  <c r="L295" i="4" s="1"/>
  <c r="X295" i="3"/>
  <c r="X295" i="4" s="1"/>
  <c r="C296" i="3"/>
  <c r="C296" i="4" s="1"/>
  <c r="O296" i="3"/>
  <c r="O296" i="4" s="1"/>
  <c r="AA296" i="3"/>
  <c r="AA296" i="4" s="1"/>
  <c r="F297" i="3"/>
  <c r="F297" i="4" s="1"/>
  <c r="R297" i="3"/>
  <c r="R297" i="4" s="1"/>
  <c r="I298" i="3"/>
  <c r="I298" i="4" s="1"/>
  <c r="U298" i="3"/>
  <c r="U298" i="4" s="1"/>
  <c r="L299" i="3"/>
  <c r="L299" i="4" s="1"/>
  <c r="X299" i="3"/>
  <c r="X299" i="4" s="1"/>
  <c r="C300" i="3"/>
  <c r="C300" i="4" s="1"/>
  <c r="O300" i="3"/>
  <c r="O300" i="4" s="1"/>
  <c r="AA300" i="3"/>
  <c r="AA300" i="4" s="1"/>
  <c r="F301" i="3"/>
  <c r="F301" i="4" s="1"/>
  <c r="R301" i="3"/>
  <c r="R301" i="4" s="1"/>
  <c r="I302" i="3"/>
  <c r="I302" i="4" s="1"/>
  <c r="U302" i="3"/>
  <c r="U302" i="4" s="1"/>
  <c r="L303" i="3"/>
  <c r="L303" i="4" s="1"/>
  <c r="X303" i="3"/>
  <c r="X303" i="4" s="1"/>
  <c r="C304" i="3"/>
  <c r="C304" i="4" s="1"/>
  <c r="O304" i="3"/>
  <c r="O304" i="4" s="1"/>
  <c r="AA304" i="3"/>
  <c r="AA304" i="4" s="1"/>
  <c r="F305" i="3"/>
  <c r="F305" i="4" s="1"/>
  <c r="R305" i="3"/>
  <c r="R305" i="4" s="1"/>
  <c r="I306" i="3"/>
  <c r="I306" i="4" s="1"/>
  <c r="U306" i="3"/>
  <c r="U306" i="4" s="1"/>
  <c r="L307" i="3"/>
  <c r="L307" i="4" s="1"/>
  <c r="X307" i="3"/>
  <c r="X307" i="4" s="1"/>
  <c r="C308" i="3"/>
  <c r="C308" i="4" s="1"/>
  <c r="O308" i="3"/>
  <c r="O308" i="4" s="1"/>
  <c r="AA308" i="3"/>
  <c r="AA308" i="4" s="1"/>
  <c r="F309" i="3"/>
  <c r="F309" i="4" s="1"/>
  <c r="R309" i="3"/>
  <c r="R309" i="4" s="1"/>
  <c r="I310" i="3"/>
  <c r="I310" i="4" s="1"/>
  <c r="U310" i="3"/>
  <c r="U310" i="4" s="1"/>
  <c r="L311" i="3"/>
  <c r="L311" i="4" s="1"/>
  <c r="X311" i="3"/>
  <c r="X311" i="4" s="1"/>
  <c r="C312" i="3"/>
  <c r="C312" i="4" s="1"/>
  <c r="O312" i="3"/>
  <c r="O312" i="4" s="1"/>
  <c r="AA312" i="3"/>
  <c r="AA312" i="4" s="1"/>
  <c r="F313" i="3"/>
  <c r="F313" i="4" s="1"/>
  <c r="R313" i="3"/>
  <c r="R313" i="4" s="1"/>
  <c r="I314" i="3"/>
  <c r="I314" i="4" s="1"/>
  <c r="U314" i="3"/>
  <c r="U314" i="4" s="1"/>
  <c r="L315" i="3"/>
  <c r="L315" i="4" s="1"/>
  <c r="X315" i="3"/>
  <c r="X315" i="4" s="1"/>
  <c r="C316" i="3"/>
  <c r="C316" i="4" s="1"/>
  <c r="O316" i="3"/>
  <c r="O316" i="4" s="1"/>
  <c r="AA316" i="3"/>
  <c r="AA316" i="4" s="1"/>
  <c r="F317" i="3"/>
  <c r="F317" i="4" s="1"/>
  <c r="R317" i="3"/>
  <c r="R317" i="4" s="1"/>
  <c r="I318" i="3"/>
  <c r="I318" i="4" s="1"/>
  <c r="U318" i="3"/>
  <c r="U318" i="4" s="1"/>
  <c r="L319" i="3"/>
  <c r="L319" i="4" s="1"/>
  <c r="X319" i="3"/>
  <c r="X319" i="4" s="1"/>
  <c r="C320" i="3"/>
  <c r="C320" i="4" s="1"/>
  <c r="O320" i="3"/>
  <c r="O320" i="4" s="1"/>
  <c r="AA320" i="3"/>
  <c r="AA320" i="4" s="1"/>
  <c r="F321" i="3"/>
  <c r="F321" i="4" s="1"/>
  <c r="R321" i="3"/>
  <c r="R321" i="4" s="1"/>
  <c r="I322" i="3"/>
  <c r="I322" i="4" s="1"/>
  <c r="U322" i="3"/>
  <c r="U322" i="4" s="1"/>
  <c r="L323" i="3"/>
  <c r="L323" i="4" s="1"/>
  <c r="X323" i="3"/>
  <c r="X323" i="4" s="1"/>
  <c r="C324" i="3"/>
  <c r="C324" i="4" s="1"/>
  <c r="O324" i="3"/>
  <c r="O324" i="4" s="1"/>
  <c r="AA324" i="3"/>
  <c r="AA324" i="4" s="1"/>
  <c r="F325" i="3"/>
  <c r="F325" i="4" s="1"/>
  <c r="R325" i="3"/>
  <c r="R325" i="4" s="1"/>
  <c r="I326" i="3"/>
  <c r="I326" i="4" s="1"/>
  <c r="U326" i="3"/>
  <c r="U326" i="4" s="1"/>
  <c r="L327" i="3"/>
  <c r="L327" i="4" s="1"/>
  <c r="X327" i="3"/>
  <c r="X327" i="4" s="1"/>
  <c r="C328" i="3"/>
  <c r="C328" i="4" s="1"/>
  <c r="O328" i="3"/>
  <c r="O328" i="4" s="1"/>
  <c r="AA328" i="3"/>
  <c r="AA328" i="4" s="1"/>
  <c r="F329" i="3"/>
  <c r="F329" i="4" s="1"/>
  <c r="R329" i="3"/>
  <c r="R329" i="4" s="1"/>
  <c r="I330" i="3"/>
  <c r="I330" i="4" s="1"/>
  <c r="U330" i="3"/>
  <c r="U330" i="4" s="1"/>
  <c r="L331" i="3"/>
  <c r="L331" i="4" s="1"/>
  <c r="X331" i="3"/>
  <c r="X331" i="4" s="1"/>
  <c r="C332" i="3"/>
  <c r="C332" i="4" s="1"/>
  <c r="O332" i="3"/>
  <c r="O332" i="4" s="1"/>
  <c r="AA332" i="3"/>
  <c r="AA332" i="4" s="1"/>
  <c r="F333" i="3"/>
  <c r="F333" i="4" s="1"/>
  <c r="R333" i="3"/>
  <c r="R333" i="4" s="1"/>
  <c r="I334" i="3"/>
  <c r="I334" i="4" s="1"/>
  <c r="U334" i="3"/>
  <c r="U334" i="4" s="1"/>
  <c r="L335" i="3"/>
  <c r="L335" i="4" s="1"/>
  <c r="X335" i="3"/>
  <c r="X335" i="4" s="1"/>
  <c r="C336" i="3"/>
  <c r="C336" i="4" s="1"/>
  <c r="O336" i="3"/>
  <c r="O336" i="4" s="1"/>
  <c r="AA336" i="3"/>
  <c r="AA336" i="4" s="1"/>
  <c r="F337" i="3"/>
  <c r="F337" i="4" s="1"/>
  <c r="R337" i="3"/>
  <c r="R337" i="4" s="1"/>
  <c r="I338" i="3"/>
  <c r="I338" i="4" s="1"/>
  <c r="U338" i="3"/>
  <c r="U338" i="4" s="1"/>
  <c r="L339" i="3"/>
  <c r="L339" i="4" s="1"/>
  <c r="X339" i="3"/>
  <c r="X339" i="4" s="1"/>
  <c r="C340" i="3"/>
  <c r="C340" i="4" s="1"/>
  <c r="O340" i="3"/>
  <c r="O340" i="4" s="1"/>
  <c r="AA340" i="3"/>
  <c r="AA340" i="4" s="1"/>
  <c r="F341" i="3"/>
  <c r="F341" i="4" s="1"/>
  <c r="R341" i="3"/>
  <c r="R341" i="4" s="1"/>
  <c r="I342" i="3"/>
  <c r="I342" i="4" s="1"/>
  <c r="U342" i="3"/>
  <c r="U342" i="4" s="1"/>
  <c r="L343" i="3"/>
  <c r="L343" i="4" s="1"/>
  <c r="X343" i="3"/>
  <c r="X343" i="4" s="1"/>
  <c r="C344" i="3"/>
  <c r="C344" i="4" s="1"/>
  <c r="O344" i="3"/>
  <c r="O344" i="4" s="1"/>
  <c r="AA344" i="3"/>
  <c r="AA344" i="4" s="1"/>
  <c r="F345" i="3"/>
  <c r="F345" i="4" s="1"/>
  <c r="R345" i="3"/>
  <c r="R345" i="4" s="1"/>
  <c r="I346" i="3"/>
  <c r="I346" i="4" s="1"/>
  <c r="U346" i="3"/>
  <c r="U346" i="4" s="1"/>
  <c r="L347" i="3"/>
  <c r="L347" i="4" s="1"/>
  <c r="X347" i="3"/>
  <c r="X347" i="4" s="1"/>
  <c r="C348" i="3"/>
  <c r="C348" i="4" s="1"/>
  <c r="O348" i="3"/>
  <c r="O348" i="4" s="1"/>
  <c r="AA348" i="3"/>
  <c r="AA348" i="4" s="1"/>
  <c r="F349" i="3"/>
  <c r="F349" i="4" s="1"/>
  <c r="R349" i="3"/>
  <c r="R349" i="4" s="1"/>
  <c r="I350" i="3"/>
  <c r="I350" i="4" s="1"/>
  <c r="U350" i="3"/>
  <c r="U350" i="4" s="1"/>
  <c r="L351" i="3"/>
  <c r="L351" i="4" s="1"/>
  <c r="X351" i="3"/>
  <c r="X351" i="4" s="1"/>
  <c r="C352" i="3"/>
  <c r="C352" i="4" s="1"/>
  <c r="O352" i="3"/>
  <c r="O352" i="4" s="1"/>
  <c r="AA352" i="3"/>
  <c r="AA352" i="4" s="1"/>
  <c r="F353" i="3"/>
  <c r="F353" i="4" s="1"/>
  <c r="R353" i="3"/>
  <c r="R353" i="4" s="1"/>
  <c r="I354" i="3"/>
  <c r="I354" i="4" s="1"/>
  <c r="U354" i="3"/>
  <c r="U354" i="4" s="1"/>
  <c r="L355" i="3"/>
  <c r="L355" i="4" s="1"/>
  <c r="X355" i="3"/>
  <c r="X355" i="4" s="1"/>
  <c r="C356" i="3"/>
  <c r="C356" i="4" s="1"/>
  <c r="S185" i="3"/>
  <c r="S185" i="4" s="1"/>
  <c r="J186" i="3"/>
  <c r="J186" i="4" s="1"/>
  <c r="V186" i="3"/>
  <c r="V186" i="4" s="1"/>
  <c r="A187" i="3"/>
  <c r="A187" i="4" s="1"/>
  <c r="M187" i="3"/>
  <c r="M187" i="4" s="1"/>
  <c r="Y187" i="3"/>
  <c r="Y187" i="4" s="1"/>
  <c r="D188" i="3"/>
  <c r="D188" i="4" s="1"/>
  <c r="P188" i="3"/>
  <c r="P188" i="4" s="1"/>
  <c r="AB188" i="3"/>
  <c r="AB188" i="4" s="1"/>
  <c r="G189" i="3"/>
  <c r="G189" i="4" s="1"/>
  <c r="S189" i="3"/>
  <c r="S189" i="4" s="1"/>
  <c r="J190" i="3"/>
  <c r="J190" i="4" s="1"/>
  <c r="V190" i="3"/>
  <c r="V190" i="4" s="1"/>
  <c r="A191" i="3"/>
  <c r="A191" i="4" s="1"/>
  <c r="M191" i="3"/>
  <c r="M191" i="4" s="1"/>
  <c r="Y191" i="3"/>
  <c r="Y191" i="4" s="1"/>
  <c r="D192" i="3"/>
  <c r="D192" i="4" s="1"/>
  <c r="P192" i="3"/>
  <c r="P192" i="4" s="1"/>
  <c r="AB192" i="3"/>
  <c r="AB192" i="4" s="1"/>
  <c r="G193" i="3"/>
  <c r="G193" i="4" s="1"/>
  <c r="S193" i="3"/>
  <c r="S193" i="4" s="1"/>
  <c r="J194" i="3"/>
  <c r="J194" i="4" s="1"/>
  <c r="V194" i="3"/>
  <c r="V194" i="4" s="1"/>
  <c r="A195" i="3"/>
  <c r="A195" i="4" s="1"/>
  <c r="M195" i="3"/>
  <c r="M195" i="4" s="1"/>
  <c r="Y195" i="3"/>
  <c r="Y195" i="4" s="1"/>
  <c r="D196" i="3"/>
  <c r="D196" i="4" s="1"/>
  <c r="P196" i="3"/>
  <c r="P196" i="4" s="1"/>
  <c r="AB196" i="3"/>
  <c r="AB196" i="4" s="1"/>
  <c r="G197" i="3"/>
  <c r="G197" i="4" s="1"/>
  <c r="S197" i="3"/>
  <c r="S197" i="4" s="1"/>
  <c r="J198" i="3"/>
  <c r="J198" i="4" s="1"/>
  <c r="V198" i="3"/>
  <c r="V198" i="4" s="1"/>
  <c r="A199" i="3"/>
  <c r="A199" i="4" s="1"/>
  <c r="M199" i="3"/>
  <c r="M199" i="4" s="1"/>
  <c r="Y199" i="3"/>
  <c r="Y199" i="4" s="1"/>
  <c r="D200" i="3"/>
  <c r="D200" i="4" s="1"/>
  <c r="P200" i="3"/>
  <c r="P200" i="4" s="1"/>
  <c r="AB200" i="3"/>
  <c r="AB200" i="4" s="1"/>
  <c r="G201" i="3"/>
  <c r="G201" i="4" s="1"/>
  <c r="S201" i="3"/>
  <c r="S201" i="4" s="1"/>
  <c r="J202" i="3"/>
  <c r="J202" i="4" s="1"/>
  <c r="V202" i="3"/>
  <c r="V202" i="4" s="1"/>
  <c r="A203" i="3"/>
  <c r="A203" i="4" s="1"/>
  <c r="M203" i="3"/>
  <c r="M203" i="4" s="1"/>
  <c r="Y203" i="3"/>
  <c r="Y203" i="4" s="1"/>
  <c r="D204" i="3"/>
  <c r="D204" i="4" s="1"/>
  <c r="P204" i="3"/>
  <c r="P204" i="4" s="1"/>
  <c r="AB204" i="3"/>
  <c r="AB204" i="4" s="1"/>
  <c r="G205" i="3"/>
  <c r="G205" i="4" s="1"/>
  <c r="S205" i="3"/>
  <c r="S205" i="4" s="1"/>
  <c r="J206" i="3"/>
  <c r="J206" i="4" s="1"/>
  <c r="V206" i="3"/>
  <c r="V206" i="4" s="1"/>
  <c r="A207" i="3"/>
  <c r="A207" i="4" s="1"/>
  <c r="M207" i="3"/>
  <c r="M207" i="4" s="1"/>
  <c r="Y207" i="3"/>
  <c r="Y207" i="4" s="1"/>
  <c r="D208" i="3"/>
  <c r="D208" i="4" s="1"/>
  <c r="P208" i="3"/>
  <c r="P208" i="4" s="1"/>
  <c r="AB208" i="3"/>
  <c r="AB208" i="4" s="1"/>
  <c r="G209" i="3"/>
  <c r="G209" i="4" s="1"/>
  <c r="S209" i="3"/>
  <c r="S209" i="4" s="1"/>
  <c r="J210" i="3"/>
  <c r="J210" i="4" s="1"/>
  <c r="V210" i="3"/>
  <c r="V210" i="4" s="1"/>
  <c r="A211" i="3"/>
  <c r="A211" i="4" s="1"/>
  <c r="M211" i="3"/>
  <c r="M211" i="4" s="1"/>
  <c r="Y211" i="3"/>
  <c r="Y211" i="4" s="1"/>
  <c r="D212" i="3"/>
  <c r="D212" i="4" s="1"/>
  <c r="P212" i="3"/>
  <c r="P212" i="4" s="1"/>
  <c r="AB212" i="3"/>
  <c r="AB212" i="4" s="1"/>
  <c r="G213" i="3"/>
  <c r="G213" i="4" s="1"/>
  <c r="S213" i="3"/>
  <c r="S213" i="4" s="1"/>
  <c r="J214" i="3"/>
  <c r="J214" i="4" s="1"/>
  <c r="V214" i="3"/>
  <c r="V214" i="4" s="1"/>
  <c r="A215" i="3"/>
  <c r="A215" i="4" s="1"/>
  <c r="M215" i="3"/>
  <c r="M215" i="4" s="1"/>
  <c r="Y215" i="3"/>
  <c r="Y215" i="4" s="1"/>
  <c r="D216" i="3"/>
  <c r="D216" i="4" s="1"/>
  <c r="P216" i="3"/>
  <c r="P216" i="4" s="1"/>
  <c r="AB216" i="3"/>
  <c r="AB216" i="4" s="1"/>
  <c r="G217" i="3"/>
  <c r="G217" i="4" s="1"/>
  <c r="S217" i="3"/>
  <c r="S217" i="4" s="1"/>
  <c r="J218" i="3"/>
  <c r="J218" i="4" s="1"/>
  <c r="V218" i="3"/>
  <c r="V218" i="4" s="1"/>
  <c r="A219" i="3"/>
  <c r="A219" i="4" s="1"/>
  <c r="M219" i="3"/>
  <c r="M219" i="4" s="1"/>
  <c r="Y219" i="3"/>
  <c r="Y219" i="4" s="1"/>
  <c r="D220" i="3"/>
  <c r="D220" i="4" s="1"/>
  <c r="P220" i="3"/>
  <c r="P220" i="4" s="1"/>
  <c r="AB220" i="3"/>
  <c r="AB220" i="4" s="1"/>
  <c r="G221" i="3"/>
  <c r="G221" i="4" s="1"/>
  <c r="S221" i="3"/>
  <c r="S221" i="4" s="1"/>
  <c r="J222" i="3"/>
  <c r="J222" i="4" s="1"/>
  <c r="V222" i="3"/>
  <c r="V222" i="4" s="1"/>
  <c r="A223" i="3"/>
  <c r="A223" i="4" s="1"/>
  <c r="M223" i="3"/>
  <c r="M223" i="4" s="1"/>
  <c r="Y223" i="3"/>
  <c r="Y223" i="4" s="1"/>
  <c r="D224" i="3"/>
  <c r="D224" i="4" s="1"/>
  <c r="P224" i="3"/>
  <c r="P224" i="4" s="1"/>
  <c r="AB224" i="3"/>
  <c r="AB224" i="4" s="1"/>
  <c r="G225" i="3"/>
  <c r="G225" i="4" s="1"/>
  <c r="S225" i="3"/>
  <c r="S225" i="4" s="1"/>
  <c r="J226" i="3"/>
  <c r="J226" i="4" s="1"/>
  <c r="V226" i="3"/>
  <c r="V226" i="4" s="1"/>
  <c r="A227" i="3"/>
  <c r="A227" i="4" s="1"/>
  <c r="M227" i="3"/>
  <c r="M227" i="4" s="1"/>
  <c r="Y227" i="3"/>
  <c r="Y227" i="4" s="1"/>
  <c r="D228" i="3"/>
  <c r="D228" i="4" s="1"/>
  <c r="P228" i="3"/>
  <c r="P228" i="4" s="1"/>
  <c r="AB228" i="3"/>
  <c r="AB228" i="4" s="1"/>
  <c r="G229" i="3"/>
  <c r="G229" i="4" s="1"/>
  <c r="S229" i="3"/>
  <c r="S229" i="4" s="1"/>
  <c r="J230" i="3"/>
  <c r="J230" i="4" s="1"/>
  <c r="V230" i="3"/>
  <c r="V230" i="4" s="1"/>
  <c r="A231" i="3"/>
  <c r="A231" i="4" s="1"/>
  <c r="M231" i="3"/>
  <c r="M231" i="4" s="1"/>
  <c r="Y231" i="3"/>
  <c r="Y231" i="4" s="1"/>
  <c r="D232" i="3"/>
  <c r="D232" i="4" s="1"/>
  <c r="P232" i="3"/>
  <c r="P232" i="4" s="1"/>
  <c r="AB232" i="3"/>
  <c r="AB232" i="4" s="1"/>
  <c r="G233" i="3"/>
  <c r="G233" i="4" s="1"/>
  <c r="S233" i="3"/>
  <c r="S233" i="4" s="1"/>
  <c r="J234" i="3"/>
  <c r="J234" i="4" s="1"/>
  <c r="V234" i="3"/>
  <c r="V234" i="4" s="1"/>
  <c r="A235" i="3"/>
  <c r="A235" i="4" s="1"/>
  <c r="M235" i="3"/>
  <c r="M235" i="4" s="1"/>
  <c r="Y235" i="3"/>
  <c r="Y235" i="4" s="1"/>
  <c r="D236" i="3"/>
  <c r="D236" i="4" s="1"/>
  <c r="P236" i="3"/>
  <c r="P236" i="4" s="1"/>
  <c r="AB236" i="3"/>
  <c r="AB236" i="4" s="1"/>
  <c r="G237" i="3"/>
  <c r="G237" i="4" s="1"/>
  <c r="S237" i="3"/>
  <c r="S237" i="4" s="1"/>
  <c r="J238" i="3"/>
  <c r="J238" i="4" s="1"/>
  <c r="V238" i="3"/>
  <c r="V238" i="4" s="1"/>
  <c r="A239" i="3"/>
  <c r="A239" i="4" s="1"/>
  <c r="M239" i="3"/>
  <c r="M239" i="4" s="1"/>
  <c r="Y239" i="3"/>
  <c r="Y239" i="4" s="1"/>
  <c r="D240" i="3"/>
  <c r="D240" i="4" s="1"/>
  <c r="P240" i="3"/>
  <c r="P240" i="4" s="1"/>
  <c r="AB240" i="3"/>
  <c r="AB240" i="4" s="1"/>
  <c r="G241" i="3"/>
  <c r="G241" i="4" s="1"/>
  <c r="S241" i="3"/>
  <c r="S241" i="4" s="1"/>
  <c r="J242" i="3"/>
  <c r="J242" i="4" s="1"/>
  <c r="V242" i="3"/>
  <c r="V242" i="4" s="1"/>
  <c r="A243" i="3"/>
  <c r="A243" i="4" s="1"/>
  <c r="M243" i="3"/>
  <c r="M243" i="4" s="1"/>
  <c r="Y243" i="3"/>
  <c r="Y243" i="4" s="1"/>
  <c r="D244" i="3"/>
  <c r="D244" i="4" s="1"/>
  <c r="P244" i="3"/>
  <c r="P244" i="4" s="1"/>
  <c r="AB244" i="3"/>
  <c r="AB244" i="4" s="1"/>
  <c r="G245" i="3"/>
  <c r="G245" i="4" s="1"/>
  <c r="S245" i="3"/>
  <c r="S245" i="4" s="1"/>
  <c r="J246" i="3"/>
  <c r="J246" i="4" s="1"/>
  <c r="V246" i="3"/>
  <c r="V246" i="4" s="1"/>
  <c r="A247" i="3"/>
  <c r="A247" i="4" s="1"/>
  <c r="M247" i="3"/>
  <c r="M247" i="4" s="1"/>
  <c r="Y247" i="3"/>
  <c r="Y247" i="4" s="1"/>
  <c r="D248" i="3"/>
  <c r="D248" i="4" s="1"/>
  <c r="P248" i="3"/>
  <c r="P248" i="4" s="1"/>
  <c r="AB248" i="3"/>
  <c r="AB248" i="4" s="1"/>
  <c r="G249" i="3"/>
  <c r="G249" i="4" s="1"/>
  <c r="S249" i="3"/>
  <c r="S249" i="4" s="1"/>
  <c r="J250" i="3"/>
  <c r="J250" i="4" s="1"/>
  <c r="V250" i="3"/>
  <c r="V250" i="4" s="1"/>
  <c r="A251" i="3"/>
  <c r="A251" i="4" s="1"/>
  <c r="M251" i="3"/>
  <c r="M251" i="4" s="1"/>
  <c r="Y251" i="3"/>
  <c r="Y251" i="4" s="1"/>
  <c r="D252" i="3"/>
  <c r="D252" i="4" s="1"/>
  <c r="P252" i="3"/>
  <c r="P252" i="4" s="1"/>
  <c r="AB252" i="3"/>
  <c r="AB252" i="4" s="1"/>
  <c r="G253" i="3"/>
  <c r="G253" i="4" s="1"/>
  <c r="S253" i="3"/>
  <c r="S253" i="4" s="1"/>
  <c r="J254" i="3"/>
  <c r="J254" i="4" s="1"/>
  <c r="V254" i="3"/>
  <c r="V254" i="4" s="1"/>
  <c r="A255" i="3"/>
  <c r="A255" i="4" s="1"/>
  <c r="M255" i="3"/>
  <c r="M255" i="4" s="1"/>
  <c r="Y255" i="3"/>
  <c r="Y255" i="4" s="1"/>
  <c r="D256" i="3"/>
  <c r="D256" i="4" s="1"/>
  <c r="P256" i="3"/>
  <c r="P256" i="4" s="1"/>
  <c r="AB256" i="3"/>
  <c r="AB256" i="4" s="1"/>
  <c r="E297" i="3"/>
  <c r="E297" i="4" s="1"/>
  <c r="Q297" i="3"/>
  <c r="Q297" i="4" s="1"/>
  <c r="H298" i="3"/>
  <c r="H298" i="4" s="1"/>
  <c r="T298" i="3"/>
  <c r="T298" i="4" s="1"/>
  <c r="K299" i="3"/>
  <c r="K299" i="4" s="1"/>
  <c r="W299" i="3"/>
  <c r="W299" i="4" s="1"/>
  <c r="B300" i="3"/>
  <c r="B300" i="4" s="1"/>
  <c r="N300" i="3"/>
  <c r="N300" i="4" s="1"/>
  <c r="Z300" i="3"/>
  <c r="Z300" i="4" s="1"/>
  <c r="E301" i="3"/>
  <c r="E301" i="4" s="1"/>
  <c r="Q301" i="3"/>
  <c r="Q301" i="4" s="1"/>
  <c r="H302" i="3"/>
  <c r="H302" i="4" s="1"/>
  <c r="T302" i="3"/>
  <c r="T302" i="4" s="1"/>
  <c r="K303" i="3"/>
  <c r="K303" i="4" s="1"/>
  <c r="W303" i="3"/>
  <c r="W303" i="4" s="1"/>
  <c r="B304" i="3"/>
  <c r="B304" i="4" s="1"/>
  <c r="N304" i="3"/>
  <c r="N304" i="4" s="1"/>
  <c r="Z304" i="3"/>
  <c r="Z304" i="4" s="1"/>
  <c r="E305" i="3"/>
  <c r="E305" i="4" s="1"/>
  <c r="Q305" i="3"/>
  <c r="Q305" i="4" s="1"/>
  <c r="H306" i="3"/>
  <c r="H306" i="4" s="1"/>
  <c r="T306" i="3"/>
  <c r="T306" i="4" s="1"/>
  <c r="K307" i="3"/>
  <c r="K307" i="4" s="1"/>
  <c r="W307" i="3"/>
  <c r="W307" i="4" s="1"/>
  <c r="B308" i="3"/>
  <c r="B308" i="4" s="1"/>
  <c r="N308" i="3"/>
  <c r="N308" i="4" s="1"/>
  <c r="Z308" i="3"/>
  <c r="Z308" i="4" s="1"/>
  <c r="E309" i="3"/>
  <c r="E309" i="4" s="1"/>
  <c r="Q309" i="3"/>
  <c r="Q309" i="4" s="1"/>
  <c r="H310" i="3"/>
  <c r="H310" i="4" s="1"/>
  <c r="T310" i="3"/>
  <c r="T310" i="4" s="1"/>
  <c r="K311" i="3"/>
  <c r="K311" i="4" s="1"/>
  <c r="W311" i="3"/>
  <c r="W311" i="4" s="1"/>
  <c r="B312" i="3"/>
  <c r="B312" i="4" s="1"/>
  <c r="N312" i="3"/>
  <c r="N312" i="4" s="1"/>
  <c r="Z312" i="3"/>
  <c r="Z312" i="4" s="1"/>
  <c r="E313" i="3"/>
  <c r="E313" i="4" s="1"/>
  <c r="Q313" i="3"/>
  <c r="Q313" i="4" s="1"/>
  <c r="H314" i="3"/>
  <c r="H314" i="4" s="1"/>
  <c r="T314" i="3"/>
  <c r="T314" i="4" s="1"/>
  <c r="K315" i="3"/>
  <c r="K315" i="4" s="1"/>
  <c r="W315" i="3"/>
  <c r="W315" i="4" s="1"/>
  <c r="B316" i="3"/>
  <c r="B316" i="4" s="1"/>
  <c r="N316" i="3"/>
  <c r="N316" i="4" s="1"/>
  <c r="Z316" i="3"/>
  <c r="Z316" i="4" s="1"/>
  <c r="E317" i="3"/>
  <c r="E317" i="4" s="1"/>
  <c r="Q317" i="3"/>
  <c r="Q317" i="4" s="1"/>
  <c r="H318" i="3"/>
  <c r="H318" i="4" s="1"/>
  <c r="T318" i="3"/>
  <c r="T318" i="4" s="1"/>
  <c r="K319" i="3"/>
  <c r="K319" i="4" s="1"/>
  <c r="W319" i="3"/>
  <c r="W319" i="4" s="1"/>
  <c r="B320" i="3"/>
  <c r="B320" i="4" s="1"/>
  <c r="N320" i="3"/>
  <c r="N320" i="4" s="1"/>
  <c r="Z320" i="3"/>
  <c r="Z320" i="4" s="1"/>
  <c r="E321" i="3"/>
  <c r="E321" i="4" s="1"/>
  <c r="Q321" i="3"/>
  <c r="Q321" i="4" s="1"/>
  <c r="H322" i="3"/>
  <c r="H322" i="4" s="1"/>
  <c r="T322" i="3"/>
  <c r="T322" i="4" s="1"/>
  <c r="K323" i="3"/>
  <c r="K323" i="4" s="1"/>
  <c r="W323" i="3"/>
  <c r="W323" i="4" s="1"/>
  <c r="B324" i="3"/>
  <c r="B324" i="4" s="1"/>
  <c r="N324" i="3"/>
  <c r="N324" i="4" s="1"/>
  <c r="Z324" i="3"/>
  <c r="Z324" i="4" s="1"/>
  <c r="E325" i="3"/>
  <c r="E325" i="4" s="1"/>
  <c r="Q325" i="3"/>
  <c r="Q325" i="4" s="1"/>
  <c r="H326" i="3"/>
  <c r="H326" i="4" s="1"/>
  <c r="T326" i="3"/>
  <c r="T326" i="4" s="1"/>
  <c r="K327" i="3"/>
  <c r="K327" i="4" s="1"/>
  <c r="W327" i="3"/>
  <c r="W327" i="4" s="1"/>
  <c r="B328" i="3"/>
  <c r="B328" i="4" s="1"/>
  <c r="N328" i="3"/>
  <c r="N328" i="4" s="1"/>
  <c r="Z328" i="3"/>
  <c r="Z328" i="4" s="1"/>
  <c r="E329" i="3"/>
  <c r="E329" i="4" s="1"/>
  <c r="Q329" i="3"/>
  <c r="Q329" i="4" s="1"/>
  <c r="H330" i="3"/>
  <c r="H330" i="4" s="1"/>
  <c r="T330" i="3"/>
  <c r="T330" i="4" s="1"/>
  <c r="K331" i="3"/>
  <c r="K331" i="4" s="1"/>
  <c r="W331" i="3"/>
  <c r="W331" i="4" s="1"/>
  <c r="B332" i="3"/>
  <c r="B332" i="4" s="1"/>
  <c r="N332" i="3"/>
  <c r="N332" i="4" s="1"/>
  <c r="Z332" i="3"/>
  <c r="Z332" i="4" s="1"/>
  <c r="E333" i="3"/>
  <c r="E333" i="4" s="1"/>
  <c r="Q333" i="3"/>
  <c r="Q333" i="4" s="1"/>
  <c r="H334" i="3"/>
  <c r="H334" i="4" s="1"/>
  <c r="T334" i="3"/>
  <c r="T334" i="4" s="1"/>
  <c r="K335" i="3"/>
  <c r="K335" i="4" s="1"/>
  <c r="W335" i="3"/>
  <c r="W335" i="4" s="1"/>
  <c r="B336" i="3"/>
  <c r="B336" i="4" s="1"/>
  <c r="N336" i="3"/>
  <c r="N336" i="4" s="1"/>
  <c r="Z336" i="3"/>
  <c r="Z336" i="4" s="1"/>
  <c r="E337" i="3"/>
  <c r="E337" i="4" s="1"/>
  <c r="Q337" i="3"/>
  <c r="Q337" i="4" s="1"/>
  <c r="H338" i="3"/>
  <c r="H338" i="4" s="1"/>
  <c r="T338" i="3"/>
  <c r="T338" i="4" s="1"/>
  <c r="K339" i="3"/>
  <c r="K339" i="4" s="1"/>
  <c r="W339" i="3"/>
  <c r="W339" i="4" s="1"/>
  <c r="B340" i="3"/>
  <c r="B340" i="4" s="1"/>
  <c r="N340" i="3"/>
  <c r="N340" i="4" s="1"/>
  <c r="Z340" i="3"/>
  <c r="Z340" i="4" s="1"/>
  <c r="E341" i="3"/>
  <c r="E341" i="4" s="1"/>
  <c r="Q341" i="3"/>
  <c r="Q341" i="4" s="1"/>
  <c r="H342" i="3"/>
  <c r="H342" i="4" s="1"/>
  <c r="T342" i="3"/>
  <c r="T342" i="4" s="1"/>
  <c r="K343" i="3"/>
  <c r="K343" i="4" s="1"/>
  <c r="W343" i="3"/>
  <c r="W343" i="4" s="1"/>
  <c r="B344" i="3"/>
  <c r="B344" i="4" s="1"/>
  <c r="N344" i="3"/>
  <c r="N344" i="4" s="1"/>
  <c r="Z344" i="3"/>
  <c r="Z344" i="4" s="1"/>
  <c r="E345" i="3"/>
  <c r="E345" i="4" s="1"/>
  <c r="Q345" i="3"/>
  <c r="Q345" i="4" s="1"/>
  <c r="H346" i="3"/>
  <c r="H346" i="4" s="1"/>
  <c r="T346" i="3"/>
  <c r="T346" i="4" s="1"/>
  <c r="K347" i="3"/>
  <c r="K347" i="4" s="1"/>
  <c r="W347" i="3"/>
  <c r="W347" i="4" s="1"/>
  <c r="B348" i="3"/>
  <c r="B348" i="4" s="1"/>
  <c r="N348" i="3"/>
  <c r="N348" i="4" s="1"/>
  <c r="Z348" i="3"/>
  <c r="Z348" i="4" s="1"/>
  <c r="E349" i="3"/>
  <c r="E349" i="4" s="1"/>
  <c r="Q349" i="3"/>
  <c r="Q349" i="4" s="1"/>
  <c r="H350" i="3"/>
  <c r="H350" i="4" s="1"/>
  <c r="T350" i="3"/>
  <c r="T350" i="4" s="1"/>
  <c r="K351" i="3"/>
  <c r="K351" i="4" s="1"/>
  <c r="W351" i="3"/>
  <c r="W351" i="4" s="1"/>
  <c r="B352" i="3"/>
  <c r="B352" i="4" s="1"/>
  <c r="N352" i="3"/>
  <c r="N352" i="4" s="1"/>
  <c r="Z352" i="3"/>
  <c r="Z352" i="4" s="1"/>
  <c r="E353" i="3"/>
  <c r="E353" i="4" s="1"/>
  <c r="Q353" i="3"/>
  <c r="Q353" i="4" s="1"/>
  <c r="H354" i="3"/>
  <c r="H354" i="4" s="1"/>
  <c r="T354" i="3"/>
  <c r="T354" i="4" s="1"/>
  <c r="K355" i="3"/>
  <c r="K355" i="4" s="1"/>
  <c r="W355" i="3"/>
  <c r="W355" i="4" s="1"/>
  <c r="B356" i="3"/>
  <c r="B356" i="4" s="1"/>
  <c r="N356" i="3"/>
  <c r="N356" i="4" s="1"/>
  <c r="Z356" i="3"/>
  <c r="Z356" i="4" s="1"/>
  <c r="E357" i="3"/>
  <c r="E357" i="4" s="1"/>
  <c r="Q357" i="3"/>
  <c r="Q357" i="4" s="1"/>
  <c r="H358" i="3"/>
  <c r="H358" i="4" s="1"/>
  <c r="T358" i="3"/>
  <c r="T358" i="4" s="1"/>
  <c r="K359" i="3"/>
  <c r="K359" i="4" s="1"/>
  <c r="W359" i="3"/>
  <c r="W359" i="4" s="1"/>
  <c r="B360" i="3"/>
  <c r="B360" i="4" s="1"/>
  <c r="N360" i="3"/>
  <c r="N360" i="4" s="1"/>
  <c r="Z360" i="3"/>
  <c r="Z360" i="4" s="1"/>
  <c r="E361" i="3"/>
  <c r="E361" i="4" s="1"/>
  <c r="Q361" i="3"/>
  <c r="Q361" i="4" s="1"/>
  <c r="H362" i="3"/>
  <c r="H362" i="4" s="1"/>
  <c r="T362" i="3"/>
  <c r="T362" i="4" s="1"/>
  <c r="K363" i="3"/>
  <c r="K363" i="4" s="1"/>
  <c r="W363" i="3"/>
  <c r="W363" i="4" s="1"/>
  <c r="B364" i="3"/>
  <c r="B364" i="4" s="1"/>
  <c r="N364" i="3"/>
  <c r="N364" i="4" s="1"/>
  <c r="Z364" i="3"/>
  <c r="Z364" i="4" s="1"/>
  <c r="E365" i="3"/>
  <c r="E365" i="4" s="1"/>
  <c r="Q365" i="3"/>
  <c r="Q365" i="4" s="1"/>
  <c r="H366" i="3"/>
  <c r="H366" i="4" s="1"/>
  <c r="T366" i="3"/>
  <c r="T366" i="4" s="1"/>
  <c r="K367" i="3"/>
  <c r="K367" i="4" s="1"/>
  <c r="W367" i="3"/>
  <c r="W367" i="4" s="1"/>
  <c r="B368" i="3"/>
  <c r="B368" i="4" s="1"/>
  <c r="N368" i="3"/>
  <c r="N368" i="4" s="1"/>
  <c r="Z368" i="3"/>
  <c r="Z368" i="4" s="1"/>
  <c r="E369" i="3"/>
  <c r="E369" i="4" s="1"/>
  <c r="Q369" i="3"/>
  <c r="Q369" i="4" s="1"/>
  <c r="H370" i="3"/>
  <c r="H370" i="4" s="1"/>
  <c r="T370" i="3"/>
  <c r="T370" i="4" s="1"/>
  <c r="K371" i="3"/>
  <c r="K371" i="4" s="1"/>
  <c r="W371" i="3"/>
  <c r="W371" i="4" s="1"/>
  <c r="B372" i="3"/>
  <c r="B372" i="4" s="1"/>
  <c r="N372" i="3"/>
  <c r="N372" i="4" s="1"/>
  <c r="O356" i="3"/>
  <c r="O356" i="4" s="1"/>
  <c r="AA356" i="3"/>
  <c r="AA356" i="4" s="1"/>
  <c r="F357" i="3"/>
  <c r="F357" i="4" s="1"/>
  <c r="R357" i="3"/>
  <c r="R357" i="4" s="1"/>
  <c r="I358" i="3"/>
  <c r="I358" i="4" s="1"/>
  <c r="U358" i="3"/>
  <c r="U358" i="4" s="1"/>
  <c r="L359" i="3"/>
  <c r="L359" i="4" s="1"/>
  <c r="X359" i="3"/>
  <c r="X359" i="4" s="1"/>
  <c r="C360" i="3"/>
  <c r="C360" i="4" s="1"/>
  <c r="O360" i="3"/>
  <c r="O360" i="4" s="1"/>
  <c r="AA360" i="3"/>
  <c r="AA360" i="4" s="1"/>
  <c r="F361" i="3"/>
  <c r="F361" i="4" s="1"/>
  <c r="R361" i="3"/>
  <c r="R361" i="4" s="1"/>
  <c r="I362" i="3"/>
  <c r="I362" i="4" s="1"/>
  <c r="U362" i="3"/>
  <c r="U362" i="4" s="1"/>
  <c r="L363" i="3"/>
  <c r="L363" i="4" s="1"/>
  <c r="X363" i="3"/>
  <c r="X363" i="4" s="1"/>
  <c r="C364" i="3"/>
  <c r="C364" i="4" s="1"/>
  <c r="O364" i="3"/>
  <c r="O364" i="4" s="1"/>
  <c r="AA364" i="3"/>
  <c r="AA364" i="4" s="1"/>
  <c r="F365" i="3"/>
  <c r="F365" i="4" s="1"/>
  <c r="R365" i="3"/>
  <c r="R365" i="4" s="1"/>
  <c r="I366" i="3"/>
  <c r="I366" i="4" s="1"/>
  <c r="U366" i="3"/>
  <c r="U366" i="4" s="1"/>
  <c r="L367" i="3"/>
  <c r="L367" i="4" s="1"/>
  <c r="X367" i="3"/>
  <c r="X367" i="4" s="1"/>
  <c r="C368" i="3"/>
  <c r="C368" i="4" s="1"/>
  <c r="O368" i="3"/>
  <c r="O368" i="4" s="1"/>
  <c r="AA368" i="3"/>
  <c r="AA368" i="4" s="1"/>
  <c r="F369" i="3"/>
  <c r="F369" i="4" s="1"/>
  <c r="R369" i="3"/>
  <c r="R369" i="4" s="1"/>
  <c r="I370" i="3"/>
  <c r="I370" i="4" s="1"/>
  <c r="U370" i="3"/>
  <c r="U370" i="4" s="1"/>
  <c r="L371" i="3"/>
  <c r="L371" i="4" s="1"/>
  <c r="X371" i="3"/>
  <c r="X371" i="4" s="1"/>
  <c r="C372" i="3"/>
  <c r="C372" i="4" s="1"/>
  <c r="O372" i="3"/>
  <c r="O372" i="4" s="1"/>
  <c r="AA372" i="3"/>
  <c r="AA372" i="4" s="1"/>
  <c r="F373" i="3"/>
  <c r="F373" i="4" s="1"/>
  <c r="R373" i="3"/>
  <c r="R373" i="4" s="1"/>
  <c r="I374" i="3"/>
  <c r="I374" i="4" s="1"/>
  <c r="U374" i="3"/>
  <c r="U374" i="4" s="1"/>
  <c r="L375" i="3"/>
  <c r="L375" i="4" s="1"/>
  <c r="X375" i="3"/>
  <c r="X375" i="4" s="1"/>
  <c r="C376" i="3"/>
  <c r="C376" i="4" s="1"/>
  <c r="O376" i="3"/>
  <c r="O376" i="4" s="1"/>
  <c r="AA376" i="3"/>
  <c r="AA376" i="4" s="1"/>
  <c r="F377" i="3"/>
  <c r="F377" i="4" s="1"/>
  <c r="R377" i="3"/>
  <c r="R377" i="4" s="1"/>
  <c r="I378" i="3"/>
  <c r="I378" i="4" s="1"/>
  <c r="U378" i="3"/>
  <c r="U378" i="4" s="1"/>
  <c r="L379" i="3"/>
  <c r="L379" i="4" s="1"/>
  <c r="X379" i="3"/>
  <c r="X379" i="4" s="1"/>
  <c r="C380" i="3"/>
  <c r="C380" i="4" s="1"/>
  <c r="O380" i="3"/>
  <c r="O380" i="4" s="1"/>
  <c r="AA380" i="3"/>
  <c r="AA380" i="4" s="1"/>
  <c r="F381" i="3"/>
  <c r="F381" i="4" s="1"/>
  <c r="R381" i="3"/>
  <c r="R381" i="4" s="1"/>
  <c r="I382" i="3"/>
  <c r="I382" i="4" s="1"/>
  <c r="U382" i="3"/>
  <c r="U382" i="4" s="1"/>
  <c r="L383" i="3"/>
  <c r="L383" i="4" s="1"/>
  <c r="X383" i="3"/>
  <c r="X383" i="4" s="1"/>
  <c r="C384" i="3"/>
  <c r="C384" i="4" s="1"/>
  <c r="O384" i="3"/>
  <c r="O384" i="4" s="1"/>
  <c r="AA384" i="3"/>
  <c r="AA384" i="4" s="1"/>
  <c r="F385" i="3"/>
  <c r="F385" i="4" s="1"/>
  <c r="R385" i="3"/>
  <c r="R385" i="4" s="1"/>
  <c r="I386" i="3"/>
  <c r="I386" i="4" s="1"/>
  <c r="U386" i="3"/>
  <c r="U386" i="4" s="1"/>
  <c r="L387" i="3"/>
  <c r="L387" i="4" s="1"/>
  <c r="X387" i="3"/>
  <c r="X387" i="4" s="1"/>
  <c r="C388" i="3"/>
  <c r="C388" i="4" s="1"/>
  <c r="O388" i="3"/>
  <c r="O388" i="4" s="1"/>
  <c r="AA388" i="3"/>
  <c r="AA388" i="4" s="1"/>
  <c r="F389" i="3"/>
  <c r="F389" i="4" s="1"/>
  <c r="R389" i="3"/>
  <c r="R389" i="4" s="1"/>
  <c r="I390" i="3"/>
  <c r="I390" i="4" s="1"/>
  <c r="U390" i="3"/>
  <c r="U390" i="4" s="1"/>
  <c r="L391" i="3"/>
  <c r="L391" i="4" s="1"/>
  <c r="X391" i="3"/>
  <c r="X391" i="4" s="1"/>
  <c r="C392" i="3"/>
  <c r="C392" i="4" s="1"/>
  <c r="O392" i="3"/>
  <c r="O392" i="4" s="1"/>
  <c r="AA392" i="3"/>
  <c r="AA392" i="4" s="1"/>
  <c r="F393" i="3"/>
  <c r="F393" i="4" s="1"/>
  <c r="R393" i="3"/>
  <c r="R393" i="4" s="1"/>
  <c r="I394" i="3"/>
  <c r="I394" i="4" s="1"/>
  <c r="U394" i="3"/>
  <c r="U394" i="4" s="1"/>
  <c r="L395" i="3"/>
  <c r="L395" i="4" s="1"/>
  <c r="X395" i="3"/>
  <c r="X395" i="4" s="1"/>
  <c r="C396" i="3"/>
  <c r="C396" i="4" s="1"/>
  <c r="O396" i="3"/>
  <c r="O396" i="4" s="1"/>
  <c r="AA396" i="3"/>
  <c r="AA396" i="4" s="1"/>
  <c r="F397" i="3"/>
  <c r="F397" i="4" s="1"/>
  <c r="R397" i="3"/>
  <c r="R397" i="4" s="1"/>
  <c r="I398" i="3"/>
  <c r="I398" i="4" s="1"/>
  <c r="U398" i="3"/>
  <c r="U398" i="4" s="1"/>
  <c r="L399" i="3"/>
  <c r="L399" i="4" s="1"/>
  <c r="X399" i="3"/>
  <c r="X399" i="4" s="1"/>
  <c r="C400" i="3"/>
  <c r="C400" i="4" s="1"/>
  <c r="O400" i="3"/>
  <c r="O400" i="4" s="1"/>
  <c r="AA400" i="3"/>
  <c r="AA400" i="4" s="1"/>
  <c r="F401" i="3"/>
  <c r="F401" i="4" s="1"/>
  <c r="R401" i="3"/>
  <c r="R401" i="4" s="1"/>
  <c r="I402" i="3"/>
  <c r="I402" i="4" s="1"/>
  <c r="U402" i="3"/>
  <c r="U402" i="4" s="1"/>
  <c r="L403" i="3"/>
  <c r="L403" i="4" s="1"/>
  <c r="X403" i="3"/>
  <c r="X403" i="4" s="1"/>
  <c r="C404" i="3"/>
  <c r="C404" i="4" s="1"/>
  <c r="O404" i="3"/>
  <c r="O404" i="4" s="1"/>
  <c r="AA404" i="3"/>
  <c r="AA404" i="4" s="1"/>
  <c r="F405" i="3"/>
  <c r="F405" i="4" s="1"/>
  <c r="R405" i="3"/>
  <c r="R405" i="4" s="1"/>
  <c r="I406" i="3"/>
  <c r="I406" i="4" s="1"/>
  <c r="U406" i="3"/>
  <c r="U406" i="4" s="1"/>
  <c r="L407" i="3"/>
  <c r="L407" i="4" s="1"/>
  <c r="X407" i="3"/>
  <c r="X407" i="4" s="1"/>
  <c r="C408" i="3"/>
  <c r="C408" i="4" s="1"/>
  <c r="O408" i="3"/>
  <c r="O408" i="4" s="1"/>
  <c r="AA408" i="3"/>
  <c r="AA408" i="4" s="1"/>
  <c r="F409" i="3"/>
  <c r="F409" i="4" s="1"/>
  <c r="R409" i="3"/>
  <c r="R409" i="4" s="1"/>
  <c r="I410" i="3"/>
  <c r="I410" i="4" s="1"/>
  <c r="U410" i="3"/>
  <c r="U410" i="4" s="1"/>
  <c r="L411" i="3"/>
  <c r="L411" i="4" s="1"/>
  <c r="X411" i="3"/>
  <c r="X411" i="4" s="1"/>
  <c r="C412" i="3"/>
  <c r="C412" i="4" s="1"/>
  <c r="O412" i="3"/>
  <c r="O412" i="4" s="1"/>
  <c r="AA412" i="3"/>
  <c r="AA412" i="4" s="1"/>
  <c r="F413" i="3"/>
  <c r="F413" i="4" s="1"/>
  <c r="R413" i="3"/>
  <c r="R413" i="4" s="1"/>
  <c r="I414" i="3"/>
  <c r="I414" i="4" s="1"/>
  <c r="U414" i="3"/>
  <c r="U414" i="4" s="1"/>
  <c r="L415" i="3"/>
  <c r="L415" i="4" s="1"/>
  <c r="X415" i="3"/>
  <c r="X415" i="4" s="1"/>
  <c r="C416" i="3"/>
  <c r="C416" i="4" s="1"/>
  <c r="O416" i="3"/>
  <c r="O416" i="4" s="1"/>
  <c r="AA416" i="3"/>
  <c r="AA416" i="4" s="1"/>
  <c r="F417" i="3"/>
  <c r="F417" i="4" s="1"/>
  <c r="R417" i="3"/>
  <c r="R417" i="4" s="1"/>
  <c r="I418" i="3"/>
  <c r="I418" i="4" s="1"/>
  <c r="U418" i="3"/>
  <c r="U418" i="4" s="1"/>
  <c r="L419" i="3"/>
  <c r="L419" i="4" s="1"/>
  <c r="X419" i="3"/>
  <c r="X419" i="4" s="1"/>
  <c r="C420" i="3"/>
  <c r="C420" i="4" s="1"/>
  <c r="O420" i="3"/>
  <c r="O420" i="4" s="1"/>
  <c r="AA420" i="3"/>
  <c r="AA420" i="4" s="1"/>
  <c r="F421" i="3"/>
  <c r="F421" i="4" s="1"/>
  <c r="R421" i="3"/>
  <c r="R421" i="4" s="1"/>
  <c r="I422" i="3"/>
  <c r="I422" i="4" s="1"/>
  <c r="U422" i="3"/>
  <c r="U422" i="4" s="1"/>
  <c r="L423" i="3"/>
  <c r="L423" i="4" s="1"/>
  <c r="X423" i="3"/>
  <c r="X423" i="4" s="1"/>
  <c r="C424" i="3"/>
  <c r="C424" i="4" s="1"/>
  <c r="O424" i="3"/>
  <c r="O424" i="4" s="1"/>
  <c r="AA424" i="3"/>
  <c r="AA424" i="4" s="1"/>
  <c r="F425" i="3"/>
  <c r="F425" i="4" s="1"/>
  <c r="R425" i="3"/>
  <c r="R425" i="4" s="1"/>
  <c r="I426" i="3"/>
  <c r="I426" i="4" s="1"/>
  <c r="U426" i="3"/>
  <c r="U426" i="4" s="1"/>
  <c r="L427" i="3"/>
  <c r="L427" i="4" s="1"/>
  <c r="X427" i="3"/>
  <c r="X427" i="4" s="1"/>
  <c r="C428" i="3"/>
  <c r="C428" i="4" s="1"/>
  <c r="O428" i="3"/>
  <c r="O428" i="4" s="1"/>
  <c r="AA428" i="3"/>
  <c r="AA428" i="4" s="1"/>
  <c r="F429" i="3"/>
  <c r="F429" i="4" s="1"/>
  <c r="R429" i="3"/>
  <c r="R429" i="4" s="1"/>
  <c r="I430" i="3"/>
  <c r="I430" i="4" s="1"/>
  <c r="U430" i="3"/>
  <c r="U430" i="4" s="1"/>
  <c r="L431" i="3"/>
  <c r="L431" i="4" s="1"/>
  <c r="X431" i="3"/>
  <c r="X431" i="4" s="1"/>
  <c r="C432" i="3"/>
  <c r="C432" i="4" s="1"/>
  <c r="O432" i="3"/>
  <c r="O432" i="4" s="1"/>
  <c r="AA432" i="3"/>
  <c r="AA432" i="4" s="1"/>
  <c r="F433" i="3"/>
  <c r="F433" i="4" s="1"/>
  <c r="R433" i="3"/>
  <c r="R433" i="4" s="1"/>
  <c r="I434" i="3"/>
  <c r="I434" i="4" s="1"/>
  <c r="U434" i="3"/>
  <c r="U434" i="4" s="1"/>
  <c r="L435" i="3"/>
  <c r="L435" i="4" s="1"/>
  <c r="X435" i="3"/>
  <c r="X435" i="4" s="1"/>
  <c r="C436" i="3"/>
  <c r="C436" i="4" s="1"/>
  <c r="O436" i="3"/>
  <c r="O436" i="4" s="1"/>
  <c r="AA436" i="3"/>
  <c r="AA436" i="4" s="1"/>
  <c r="F437" i="3"/>
  <c r="F437" i="4" s="1"/>
  <c r="R437" i="3"/>
  <c r="R437" i="4" s="1"/>
  <c r="I438" i="3"/>
  <c r="I438" i="4" s="1"/>
  <c r="U438" i="3"/>
  <c r="U438" i="4" s="1"/>
  <c r="L439" i="3"/>
  <c r="L439" i="4" s="1"/>
  <c r="X439" i="3"/>
  <c r="X439" i="4" s="1"/>
  <c r="C440" i="3"/>
  <c r="C440" i="4" s="1"/>
  <c r="O440" i="3"/>
  <c r="O440" i="4" s="1"/>
  <c r="AA440" i="3"/>
  <c r="AA440" i="4" s="1"/>
  <c r="F441" i="3"/>
  <c r="F441" i="4" s="1"/>
  <c r="R441" i="3"/>
  <c r="R441" i="4" s="1"/>
  <c r="I442" i="3"/>
  <c r="I442" i="4" s="1"/>
  <c r="U442" i="3"/>
  <c r="U442" i="4" s="1"/>
  <c r="L443" i="3"/>
  <c r="L443" i="4" s="1"/>
  <c r="X443" i="3"/>
  <c r="X443" i="4" s="1"/>
  <c r="C444" i="3"/>
  <c r="C444" i="4" s="1"/>
  <c r="O444" i="3"/>
  <c r="O444" i="4" s="1"/>
  <c r="AA444" i="3"/>
  <c r="AA444" i="4" s="1"/>
  <c r="F445" i="3"/>
  <c r="F445" i="4" s="1"/>
  <c r="R445" i="3"/>
  <c r="R445" i="4" s="1"/>
  <c r="I446" i="3"/>
  <c r="I446" i="4" s="1"/>
  <c r="U446" i="3"/>
  <c r="U446" i="4" s="1"/>
  <c r="L447" i="3"/>
  <c r="L447" i="4" s="1"/>
  <c r="X447" i="3"/>
  <c r="X447" i="4" s="1"/>
  <c r="C448" i="3"/>
  <c r="C448" i="4" s="1"/>
  <c r="O448" i="3"/>
  <c r="O448" i="4" s="1"/>
  <c r="AA448" i="3"/>
  <c r="AA448" i="4" s="1"/>
  <c r="F449" i="3"/>
  <c r="F449" i="4" s="1"/>
  <c r="R449" i="3"/>
  <c r="R449" i="4" s="1"/>
  <c r="I450" i="3"/>
  <c r="I450" i="4" s="1"/>
  <c r="U450" i="3"/>
  <c r="U450" i="4" s="1"/>
  <c r="L451" i="3"/>
  <c r="L451" i="4" s="1"/>
  <c r="X451" i="3"/>
  <c r="X451" i="4" s="1"/>
  <c r="C452" i="3"/>
  <c r="C452" i="4" s="1"/>
  <c r="O452" i="3"/>
  <c r="O452" i="4" s="1"/>
  <c r="AA452" i="3"/>
  <c r="AA452" i="4" s="1"/>
  <c r="F453" i="3"/>
  <c r="F453" i="4" s="1"/>
  <c r="R453" i="3"/>
  <c r="R453" i="4" s="1"/>
  <c r="I454" i="3"/>
  <c r="I454" i="4" s="1"/>
  <c r="U454" i="3"/>
  <c r="U454" i="4" s="1"/>
  <c r="L455" i="3"/>
  <c r="L455" i="4" s="1"/>
  <c r="X455" i="3"/>
  <c r="X455" i="4" s="1"/>
  <c r="C456" i="3"/>
  <c r="C456" i="4" s="1"/>
  <c r="O456" i="3"/>
  <c r="O456" i="4" s="1"/>
  <c r="AA456" i="3"/>
  <c r="AA456" i="4" s="1"/>
  <c r="F457" i="3"/>
  <c r="F457" i="4" s="1"/>
  <c r="R457" i="3"/>
  <c r="R457" i="4" s="1"/>
  <c r="I458" i="3"/>
  <c r="I458" i="4" s="1"/>
  <c r="U458" i="3"/>
  <c r="U458" i="4" s="1"/>
  <c r="L459" i="3"/>
  <c r="L459" i="4" s="1"/>
  <c r="X459" i="3"/>
  <c r="X459" i="4" s="1"/>
  <c r="C460" i="3"/>
  <c r="C460" i="4" s="1"/>
  <c r="O460" i="3"/>
  <c r="O460" i="4" s="1"/>
  <c r="AA460" i="3"/>
  <c r="AA460" i="4" s="1"/>
  <c r="F461" i="3"/>
  <c r="F461" i="4" s="1"/>
  <c r="R461" i="3"/>
  <c r="R461" i="4" s="1"/>
  <c r="I462" i="3"/>
  <c r="I462" i="4" s="1"/>
  <c r="U462" i="3"/>
  <c r="U462" i="4" s="1"/>
  <c r="L463" i="3"/>
  <c r="L463" i="4" s="1"/>
  <c r="X463" i="3"/>
  <c r="X463" i="4" s="1"/>
  <c r="C464" i="3"/>
  <c r="C464" i="4" s="1"/>
  <c r="O464" i="3"/>
  <c r="O464" i="4" s="1"/>
  <c r="AA464" i="3"/>
  <c r="AA464" i="4" s="1"/>
  <c r="F465" i="3"/>
  <c r="F465" i="4" s="1"/>
  <c r="R465" i="3"/>
  <c r="R465" i="4" s="1"/>
  <c r="I466" i="3"/>
  <c r="I466" i="4" s="1"/>
  <c r="U466" i="3"/>
  <c r="U466" i="4" s="1"/>
  <c r="L467" i="3"/>
  <c r="L467" i="4" s="1"/>
  <c r="X467" i="3"/>
  <c r="X467" i="4" s="1"/>
  <c r="C468" i="3"/>
  <c r="C468" i="4" s="1"/>
  <c r="O468" i="3"/>
  <c r="O468" i="4" s="1"/>
  <c r="AA468" i="3"/>
  <c r="AA468" i="4" s="1"/>
  <c r="F469" i="3"/>
  <c r="F469" i="4" s="1"/>
  <c r="R469" i="3"/>
  <c r="R469" i="4" s="1"/>
  <c r="I470" i="3"/>
  <c r="I470" i="4" s="1"/>
  <c r="U470" i="3"/>
  <c r="U470" i="4" s="1"/>
  <c r="L471" i="3"/>
  <c r="L471" i="4" s="1"/>
  <c r="X471" i="3"/>
  <c r="X471" i="4" s="1"/>
  <c r="C472" i="3"/>
  <c r="C472" i="4" s="1"/>
  <c r="O472" i="3"/>
  <c r="O472" i="4" s="1"/>
  <c r="AA472" i="3"/>
  <c r="AA472" i="4" s="1"/>
  <c r="F473" i="3"/>
  <c r="F473" i="4" s="1"/>
  <c r="R473" i="3"/>
  <c r="R473" i="4" s="1"/>
  <c r="I474" i="3"/>
  <c r="I474" i="4" s="1"/>
  <c r="U474" i="3"/>
  <c r="U474" i="4" s="1"/>
  <c r="L475" i="3"/>
  <c r="L475" i="4" s="1"/>
  <c r="X475" i="3"/>
  <c r="X475" i="4" s="1"/>
  <c r="C476" i="3"/>
  <c r="C476" i="4" s="1"/>
  <c r="O476" i="3"/>
  <c r="O476" i="4" s="1"/>
  <c r="AA476" i="3"/>
  <c r="AA476" i="4" s="1"/>
  <c r="F477" i="3"/>
  <c r="F477" i="4" s="1"/>
  <c r="R477" i="3"/>
  <c r="R477" i="4" s="1"/>
  <c r="I478" i="3"/>
  <c r="I478" i="4" s="1"/>
  <c r="U478" i="3"/>
  <c r="U478" i="4" s="1"/>
  <c r="L479" i="3"/>
  <c r="L479" i="4" s="1"/>
  <c r="X479" i="3"/>
  <c r="X479" i="4" s="1"/>
  <c r="C480" i="3"/>
  <c r="C480" i="4" s="1"/>
  <c r="O480" i="3"/>
  <c r="O480" i="4" s="1"/>
  <c r="AA480" i="3"/>
  <c r="AA480" i="4" s="1"/>
  <c r="F481" i="3"/>
  <c r="F481" i="4" s="1"/>
  <c r="R481" i="3"/>
  <c r="R481" i="4" s="1"/>
  <c r="I482" i="3"/>
  <c r="I482" i="4" s="1"/>
  <c r="U482" i="3"/>
  <c r="U482" i="4" s="1"/>
  <c r="L483" i="3"/>
  <c r="L483" i="4" s="1"/>
  <c r="X483" i="3"/>
  <c r="X483" i="4" s="1"/>
  <c r="C484" i="3"/>
  <c r="C484" i="4" s="1"/>
  <c r="O484" i="3"/>
  <c r="O484" i="4" s="1"/>
  <c r="AA484" i="3"/>
  <c r="AA484" i="4" s="1"/>
  <c r="F485" i="3"/>
  <c r="F485" i="4" s="1"/>
  <c r="R485" i="3"/>
  <c r="R485" i="4" s="1"/>
  <c r="I486" i="3"/>
  <c r="I486" i="4" s="1"/>
  <c r="U486" i="3"/>
  <c r="U486" i="4" s="1"/>
  <c r="G257" i="3"/>
  <c r="G257" i="4" s="1"/>
  <c r="S257" i="3"/>
  <c r="S257" i="4" s="1"/>
  <c r="J258" i="3"/>
  <c r="J258" i="4" s="1"/>
  <c r="V258" i="3"/>
  <c r="V258" i="4" s="1"/>
  <c r="A259" i="3"/>
  <c r="A259" i="4" s="1"/>
  <c r="M259" i="3"/>
  <c r="M259" i="4" s="1"/>
  <c r="Y259" i="3"/>
  <c r="Y259" i="4" s="1"/>
  <c r="D260" i="3"/>
  <c r="D260" i="4" s="1"/>
  <c r="P260" i="3"/>
  <c r="P260" i="4" s="1"/>
  <c r="AB260" i="3"/>
  <c r="AB260" i="4" s="1"/>
  <c r="G261" i="3"/>
  <c r="G261" i="4" s="1"/>
  <c r="S261" i="3"/>
  <c r="S261" i="4" s="1"/>
  <c r="J262" i="3"/>
  <c r="J262" i="4" s="1"/>
  <c r="V262" i="3"/>
  <c r="V262" i="4" s="1"/>
  <c r="A263" i="3"/>
  <c r="A263" i="4" s="1"/>
  <c r="M263" i="3"/>
  <c r="M263" i="4" s="1"/>
  <c r="Y263" i="3"/>
  <c r="Y263" i="4" s="1"/>
  <c r="D264" i="3"/>
  <c r="D264" i="4" s="1"/>
  <c r="P264" i="3"/>
  <c r="P264" i="4" s="1"/>
  <c r="AB264" i="3"/>
  <c r="AB264" i="4" s="1"/>
  <c r="G265" i="3"/>
  <c r="G265" i="4" s="1"/>
  <c r="S265" i="3"/>
  <c r="S265" i="4" s="1"/>
  <c r="J266" i="3"/>
  <c r="J266" i="4" s="1"/>
  <c r="V266" i="3"/>
  <c r="V266" i="4" s="1"/>
  <c r="A267" i="3"/>
  <c r="A267" i="4" s="1"/>
  <c r="M267" i="3"/>
  <c r="M267" i="4" s="1"/>
  <c r="Y267" i="3"/>
  <c r="Y267" i="4" s="1"/>
  <c r="D268" i="3"/>
  <c r="D268" i="4" s="1"/>
  <c r="P268" i="3"/>
  <c r="P268" i="4" s="1"/>
  <c r="AB268" i="3"/>
  <c r="AB268" i="4" s="1"/>
  <c r="G269" i="3"/>
  <c r="G269" i="4" s="1"/>
  <c r="S269" i="3"/>
  <c r="S269" i="4" s="1"/>
  <c r="J270" i="3"/>
  <c r="J270" i="4" s="1"/>
  <c r="V270" i="3"/>
  <c r="V270" i="4" s="1"/>
  <c r="A271" i="3"/>
  <c r="A271" i="4" s="1"/>
  <c r="M271" i="3"/>
  <c r="M271" i="4" s="1"/>
  <c r="Y271" i="3"/>
  <c r="Y271" i="4" s="1"/>
  <c r="D272" i="3"/>
  <c r="D272" i="4" s="1"/>
  <c r="P272" i="3"/>
  <c r="P272" i="4" s="1"/>
  <c r="AB272" i="3"/>
  <c r="AB272" i="4" s="1"/>
  <c r="G273" i="3"/>
  <c r="G273" i="4" s="1"/>
  <c r="S273" i="3"/>
  <c r="S273" i="4" s="1"/>
  <c r="J274" i="3"/>
  <c r="J274" i="4" s="1"/>
  <c r="V274" i="3"/>
  <c r="V274" i="4" s="1"/>
  <c r="A275" i="3"/>
  <c r="A275" i="4" s="1"/>
  <c r="M275" i="3"/>
  <c r="M275" i="4" s="1"/>
  <c r="Y275" i="3"/>
  <c r="Y275" i="4" s="1"/>
  <c r="D276" i="3"/>
  <c r="D276" i="4" s="1"/>
  <c r="P276" i="3"/>
  <c r="P276" i="4" s="1"/>
  <c r="AB276" i="3"/>
  <c r="AB276" i="4" s="1"/>
  <c r="G277" i="3"/>
  <c r="G277" i="4" s="1"/>
  <c r="S277" i="3"/>
  <c r="S277" i="4" s="1"/>
  <c r="J278" i="3"/>
  <c r="J278" i="4" s="1"/>
  <c r="V278" i="3"/>
  <c r="V278" i="4" s="1"/>
  <c r="A279" i="3"/>
  <c r="A279" i="4" s="1"/>
  <c r="M279" i="3"/>
  <c r="M279" i="4" s="1"/>
  <c r="Y279" i="3"/>
  <c r="Y279" i="4" s="1"/>
  <c r="D280" i="3"/>
  <c r="D280" i="4" s="1"/>
  <c r="P280" i="3"/>
  <c r="P280" i="4" s="1"/>
  <c r="AB280" i="3"/>
  <c r="AB280" i="4" s="1"/>
  <c r="G281" i="3"/>
  <c r="G281" i="4" s="1"/>
  <c r="S281" i="3"/>
  <c r="S281" i="4" s="1"/>
  <c r="J282" i="3"/>
  <c r="J282" i="4" s="1"/>
  <c r="V282" i="3"/>
  <c r="V282" i="4" s="1"/>
  <c r="A283" i="3"/>
  <c r="A283" i="4" s="1"/>
  <c r="M283" i="3"/>
  <c r="M283" i="4" s="1"/>
  <c r="Y283" i="3"/>
  <c r="Y283" i="4" s="1"/>
  <c r="D284" i="3"/>
  <c r="D284" i="4" s="1"/>
  <c r="P284" i="3"/>
  <c r="P284" i="4" s="1"/>
  <c r="AB284" i="3"/>
  <c r="AB284" i="4" s="1"/>
  <c r="G285" i="3"/>
  <c r="G285" i="4" s="1"/>
  <c r="S285" i="3"/>
  <c r="S285" i="4" s="1"/>
  <c r="J286" i="3"/>
  <c r="J286" i="4" s="1"/>
  <c r="V286" i="3"/>
  <c r="V286" i="4" s="1"/>
  <c r="A287" i="3"/>
  <c r="A287" i="4" s="1"/>
  <c r="M287" i="3"/>
  <c r="M287" i="4" s="1"/>
  <c r="Y287" i="3"/>
  <c r="Y287" i="4" s="1"/>
  <c r="D288" i="3"/>
  <c r="D288" i="4" s="1"/>
  <c r="P288" i="3"/>
  <c r="P288" i="4" s="1"/>
  <c r="AB288" i="3"/>
  <c r="AB288" i="4" s="1"/>
  <c r="G289" i="3"/>
  <c r="G289" i="4" s="1"/>
  <c r="S289" i="3"/>
  <c r="S289" i="4" s="1"/>
  <c r="J290" i="3"/>
  <c r="J290" i="4" s="1"/>
  <c r="V290" i="3"/>
  <c r="V290" i="4" s="1"/>
  <c r="A291" i="3"/>
  <c r="A291" i="4" s="1"/>
  <c r="M291" i="3"/>
  <c r="M291" i="4" s="1"/>
  <c r="Y291" i="3"/>
  <c r="Y291" i="4" s="1"/>
  <c r="D292" i="3"/>
  <c r="D292" i="4" s="1"/>
  <c r="P292" i="3"/>
  <c r="P292" i="4" s="1"/>
  <c r="AB292" i="3"/>
  <c r="AB292" i="4" s="1"/>
  <c r="G293" i="3"/>
  <c r="G293" i="4" s="1"/>
  <c r="S293" i="3"/>
  <c r="S293" i="4" s="1"/>
  <c r="J294" i="3"/>
  <c r="J294" i="4" s="1"/>
  <c r="V294" i="3"/>
  <c r="V294" i="4" s="1"/>
  <c r="A295" i="3"/>
  <c r="A295" i="4" s="1"/>
  <c r="M295" i="3"/>
  <c r="M295" i="4" s="1"/>
  <c r="Y295" i="3"/>
  <c r="Y295" i="4" s="1"/>
  <c r="D296" i="3"/>
  <c r="D296" i="4" s="1"/>
  <c r="P296" i="3"/>
  <c r="P296" i="4" s="1"/>
  <c r="AB296" i="3"/>
  <c r="AB296" i="4" s="1"/>
  <c r="G297" i="3"/>
  <c r="G297" i="4" s="1"/>
  <c r="S297" i="3"/>
  <c r="S297" i="4" s="1"/>
  <c r="J298" i="3"/>
  <c r="J298" i="4" s="1"/>
  <c r="V298" i="3"/>
  <c r="V298" i="4" s="1"/>
  <c r="A299" i="3"/>
  <c r="A299" i="4" s="1"/>
  <c r="M299" i="3"/>
  <c r="M299" i="4" s="1"/>
  <c r="Y299" i="3"/>
  <c r="Y299" i="4" s="1"/>
  <c r="D300" i="3"/>
  <c r="D300" i="4" s="1"/>
  <c r="P300" i="3"/>
  <c r="P300" i="4" s="1"/>
  <c r="AB300" i="3"/>
  <c r="AB300" i="4" s="1"/>
  <c r="G301" i="3"/>
  <c r="G301" i="4" s="1"/>
  <c r="S301" i="3"/>
  <c r="S301" i="4" s="1"/>
  <c r="J302" i="3"/>
  <c r="J302" i="4" s="1"/>
  <c r="V302" i="3"/>
  <c r="V302" i="4" s="1"/>
  <c r="A303" i="3"/>
  <c r="A303" i="4" s="1"/>
  <c r="M303" i="3"/>
  <c r="M303" i="4" s="1"/>
  <c r="Y303" i="3"/>
  <c r="Y303" i="4" s="1"/>
  <c r="D304" i="3"/>
  <c r="D304" i="4" s="1"/>
  <c r="P304" i="3"/>
  <c r="P304" i="4" s="1"/>
  <c r="L487" i="3"/>
  <c r="L487" i="4" s="1"/>
  <c r="X487" i="3"/>
  <c r="X487" i="4" s="1"/>
  <c r="C488" i="3"/>
  <c r="C488" i="4" s="1"/>
  <c r="O488" i="3"/>
  <c r="O488" i="4" s="1"/>
  <c r="AA488" i="3"/>
  <c r="AA488" i="4" s="1"/>
  <c r="F489" i="3"/>
  <c r="F489" i="4" s="1"/>
  <c r="R489" i="3"/>
  <c r="R489" i="4" s="1"/>
  <c r="I490" i="3"/>
  <c r="I490" i="4" s="1"/>
  <c r="U490" i="3"/>
  <c r="U490" i="4" s="1"/>
  <c r="L491" i="3"/>
  <c r="L491" i="4" s="1"/>
  <c r="X491" i="3"/>
  <c r="X491" i="4" s="1"/>
  <c r="C492" i="3"/>
  <c r="C492" i="4" s="1"/>
  <c r="O492" i="3"/>
  <c r="O492" i="4" s="1"/>
  <c r="AA492" i="3"/>
  <c r="AA492" i="4" s="1"/>
  <c r="F493" i="3"/>
  <c r="F493" i="4" s="1"/>
  <c r="R493" i="3"/>
  <c r="R493" i="4" s="1"/>
  <c r="I494" i="3"/>
  <c r="I494" i="4" s="1"/>
  <c r="U494" i="3"/>
  <c r="U494" i="4" s="1"/>
  <c r="L495" i="3"/>
  <c r="L495" i="4" s="1"/>
  <c r="X495" i="3"/>
  <c r="X495" i="4" s="1"/>
  <c r="C496" i="3"/>
  <c r="C496" i="4" s="1"/>
  <c r="O496" i="3"/>
  <c r="O496" i="4" s="1"/>
  <c r="AA496" i="3"/>
  <c r="AA496" i="4" s="1"/>
  <c r="F497" i="3"/>
  <c r="F497" i="4" s="1"/>
  <c r="R497" i="3"/>
  <c r="R497" i="4" s="1"/>
  <c r="I498" i="3"/>
  <c r="I498" i="4" s="1"/>
  <c r="U498" i="3"/>
  <c r="U498" i="4" s="1"/>
  <c r="L499" i="3"/>
  <c r="L499" i="4" s="1"/>
  <c r="X499" i="3"/>
  <c r="X499" i="4" s="1"/>
  <c r="C500" i="3"/>
  <c r="C500" i="4" s="1"/>
  <c r="O500" i="3"/>
  <c r="O500" i="4" s="1"/>
  <c r="AA500" i="3"/>
  <c r="AA500" i="4" s="1"/>
  <c r="F501" i="3"/>
  <c r="F501" i="4" s="1"/>
  <c r="R501" i="3"/>
  <c r="R501" i="4" s="1"/>
  <c r="I502" i="3"/>
  <c r="I502" i="4" s="1"/>
  <c r="U502" i="3"/>
  <c r="U502" i="4" s="1"/>
  <c r="L503" i="3"/>
  <c r="L503" i="4" s="1"/>
  <c r="X503" i="3"/>
  <c r="X503" i="4" s="1"/>
  <c r="C504" i="3"/>
  <c r="C504" i="4" s="1"/>
  <c r="O504" i="3"/>
  <c r="O504" i="4" s="1"/>
  <c r="AA504" i="3"/>
  <c r="AA504" i="4" s="1"/>
  <c r="F505" i="3"/>
  <c r="F505" i="4" s="1"/>
  <c r="R505" i="3"/>
  <c r="R505" i="4" s="1"/>
  <c r="I506" i="3"/>
  <c r="I506" i="4" s="1"/>
  <c r="U506" i="3"/>
  <c r="U506" i="4" s="1"/>
  <c r="L507" i="3"/>
  <c r="L507" i="4" s="1"/>
  <c r="X507" i="3"/>
  <c r="X507" i="4" s="1"/>
  <c r="C508" i="3"/>
  <c r="C508" i="4" s="1"/>
  <c r="O508" i="3"/>
  <c r="O508" i="4" s="1"/>
  <c r="AA508" i="3"/>
  <c r="AA508" i="4" s="1"/>
  <c r="F509" i="3"/>
  <c r="F509" i="4" s="1"/>
  <c r="R509" i="3"/>
  <c r="R509" i="4" s="1"/>
  <c r="I510" i="3"/>
  <c r="I510" i="4" s="1"/>
  <c r="U510" i="3"/>
  <c r="U510" i="4" s="1"/>
  <c r="L511" i="3"/>
  <c r="L511" i="4" s="1"/>
  <c r="X511" i="3"/>
  <c r="X511" i="4" s="1"/>
  <c r="C512" i="3"/>
  <c r="C512" i="4" s="1"/>
  <c r="O512" i="3"/>
  <c r="O512" i="4" s="1"/>
  <c r="AA512" i="3"/>
  <c r="AA512" i="4" s="1"/>
  <c r="F513" i="3"/>
  <c r="F513" i="4" s="1"/>
  <c r="R513" i="3"/>
  <c r="R513" i="4" s="1"/>
  <c r="I514" i="3"/>
  <c r="I514" i="4" s="1"/>
  <c r="U514" i="3"/>
  <c r="U514" i="4" s="1"/>
  <c r="L515" i="3"/>
  <c r="L515" i="4" s="1"/>
  <c r="X515" i="3"/>
  <c r="X515" i="4" s="1"/>
  <c r="C516" i="3"/>
  <c r="C516" i="4" s="1"/>
  <c r="O516" i="3"/>
  <c r="O516" i="4" s="1"/>
  <c r="AA516" i="3"/>
  <c r="AA516" i="4" s="1"/>
  <c r="F517" i="3"/>
  <c r="F517" i="4" s="1"/>
  <c r="R517" i="3"/>
  <c r="R517" i="4" s="1"/>
  <c r="I518" i="3"/>
  <c r="I518" i="4" s="1"/>
  <c r="U518" i="3"/>
  <c r="U518" i="4" s="1"/>
  <c r="L519" i="3"/>
  <c r="L519" i="4" s="1"/>
  <c r="X519" i="3"/>
  <c r="X519" i="4" s="1"/>
  <c r="C520" i="3"/>
  <c r="C520" i="4" s="1"/>
  <c r="O520" i="3"/>
  <c r="O520" i="4" s="1"/>
  <c r="AA520" i="3"/>
  <c r="AA520" i="4" s="1"/>
  <c r="F521" i="3"/>
  <c r="F521" i="4" s="1"/>
  <c r="R521" i="3"/>
  <c r="R521" i="4" s="1"/>
  <c r="I522" i="3"/>
  <c r="I522" i="4" s="1"/>
  <c r="U522" i="3"/>
  <c r="U522" i="4" s="1"/>
  <c r="L523" i="3"/>
  <c r="L523" i="4" s="1"/>
  <c r="X523" i="3"/>
  <c r="X523" i="4" s="1"/>
  <c r="C524" i="3"/>
  <c r="C524" i="4" s="1"/>
  <c r="O524" i="3"/>
  <c r="O524" i="4" s="1"/>
  <c r="AA524" i="3"/>
  <c r="AA524" i="4" s="1"/>
  <c r="F525" i="3"/>
  <c r="F525" i="4" s="1"/>
  <c r="R525" i="3"/>
  <c r="R525" i="4" s="1"/>
  <c r="I526" i="3"/>
  <c r="I526" i="4" s="1"/>
  <c r="U526" i="3"/>
  <c r="U526" i="4" s="1"/>
  <c r="L527" i="3"/>
  <c r="L527" i="4" s="1"/>
  <c r="X527" i="3"/>
  <c r="X527" i="4" s="1"/>
  <c r="C528" i="3"/>
  <c r="C528" i="4" s="1"/>
  <c r="O528" i="3"/>
  <c r="O528" i="4" s="1"/>
  <c r="AA528" i="3"/>
  <c r="AA528" i="4" s="1"/>
  <c r="F529" i="3"/>
  <c r="F529" i="4" s="1"/>
  <c r="R529" i="3"/>
  <c r="R529" i="4" s="1"/>
  <c r="I530" i="3"/>
  <c r="I530" i="4" s="1"/>
  <c r="U530" i="3"/>
  <c r="U530" i="4" s="1"/>
  <c r="L531" i="3"/>
  <c r="L531" i="4" s="1"/>
  <c r="X531" i="3"/>
  <c r="X531" i="4" s="1"/>
  <c r="C532" i="3"/>
  <c r="C532" i="4" s="1"/>
  <c r="O532" i="3"/>
  <c r="O532" i="4" s="1"/>
  <c r="AA532" i="3"/>
  <c r="AA532" i="4" s="1"/>
  <c r="F533" i="3"/>
  <c r="F533" i="4" s="1"/>
  <c r="R533" i="3"/>
  <c r="R533" i="4" s="1"/>
  <c r="I534" i="3"/>
  <c r="I534" i="4" s="1"/>
  <c r="U534" i="3"/>
  <c r="U534" i="4" s="1"/>
  <c r="L535" i="3"/>
  <c r="L535" i="4" s="1"/>
  <c r="X535" i="3"/>
  <c r="X535" i="4" s="1"/>
  <c r="C536" i="3"/>
  <c r="C536" i="4" s="1"/>
  <c r="O536" i="3"/>
  <c r="O536" i="4" s="1"/>
  <c r="AA536" i="3"/>
  <c r="AA536" i="4" s="1"/>
  <c r="F537" i="3"/>
  <c r="F537" i="4" s="1"/>
  <c r="R537" i="3"/>
  <c r="R537" i="4" s="1"/>
  <c r="I538" i="3"/>
  <c r="I538" i="4" s="1"/>
  <c r="U538" i="3"/>
  <c r="U538" i="4" s="1"/>
  <c r="L539" i="3"/>
  <c r="L539" i="4" s="1"/>
  <c r="X539" i="3"/>
  <c r="X539" i="4" s="1"/>
  <c r="C540" i="3"/>
  <c r="C540" i="4" s="1"/>
  <c r="O540" i="3"/>
  <c r="O540" i="4" s="1"/>
  <c r="AA540" i="3"/>
  <c r="AA540" i="4" s="1"/>
  <c r="F541" i="3"/>
  <c r="F541" i="4" s="1"/>
  <c r="R541" i="3"/>
  <c r="R541" i="4" s="1"/>
  <c r="I542" i="3"/>
  <c r="I542" i="4" s="1"/>
  <c r="U542" i="3"/>
  <c r="U542" i="4" s="1"/>
  <c r="L543" i="3"/>
  <c r="L543" i="4" s="1"/>
  <c r="X543" i="3"/>
  <c r="X543" i="4" s="1"/>
  <c r="C544" i="3"/>
  <c r="C544" i="4" s="1"/>
  <c r="O544" i="3"/>
  <c r="O544" i="4" s="1"/>
  <c r="AA544" i="3"/>
  <c r="AA544" i="4" s="1"/>
  <c r="F545" i="3"/>
  <c r="F545" i="4" s="1"/>
  <c r="R545" i="3"/>
  <c r="R545" i="4" s="1"/>
  <c r="I546" i="3"/>
  <c r="I546" i="4" s="1"/>
  <c r="U546" i="3"/>
  <c r="U546" i="4" s="1"/>
  <c r="L547" i="3"/>
  <c r="L547" i="4" s="1"/>
  <c r="X547" i="3"/>
  <c r="X547" i="4" s="1"/>
  <c r="C548" i="3"/>
  <c r="C548" i="4" s="1"/>
  <c r="O548" i="3"/>
  <c r="O548" i="4" s="1"/>
  <c r="AA548" i="3"/>
  <c r="AA548" i="4" s="1"/>
  <c r="F549" i="3"/>
  <c r="F549" i="4" s="1"/>
  <c r="R549" i="3"/>
  <c r="R549" i="4" s="1"/>
  <c r="I550" i="3"/>
  <c r="I550" i="4" s="1"/>
  <c r="U550" i="3"/>
  <c r="U550" i="4" s="1"/>
  <c r="L551" i="3"/>
  <c r="L551" i="4" s="1"/>
  <c r="X551" i="3"/>
  <c r="X551" i="4" s="1"/>
  <c r="C552" i="3"/>
  <c r="C552" i="4" s="1"/>
  <c r="O552" i="3"/>
  <c r="O552" i="4" s="1"/>
  <c r="AA552" i="3"/>
  <c r="AA552" i="4" s="1"/>
  <c r="F553" i="3"/>
  <c r="F553" i="4" s="1"/>
  <c r="R553" i="3"/>
  <c r="R553" i="4" s="1"/>
  <c r="I554" i="3"/>
  <c r="I554" i="4" s="1"/>
  <c r="U554" i="3"/>
  <c r="U554" i="4" s="1"/>
  <c r="L555" i="3"/>
  <c r="L555" i="4" s="1"/>
  <c r="X555" i="3"/>
  <c r="X555" i="4" s="1"/>
  <c r="C556" i="3"/>
  <c r="C556" i="4" s="1"/>
  <c r="O556" i="3"/>
  <c r="O556" i="4" s="1"/>
  <c r="AA556" i="3"/>
  <c r="AA556" i="4" s="1"/>
  <c r="F557" i="3"/>
  <c r="F557" i="4" s="1"/>
  <c r="R557" i="3"/>
  <c r="R557" i="4" s="1"/>
  <c r="I558" i="3"/>
  <c r="I558" i="4" s="1"/>
  <c r="U558" i="3"/>
  <c r="U558" i="4" s="1"/>
  <c r="L559" i="3"/>
  <c r="L559" i="4" s="1"/>
  <c r="X559" i="3"/>
  <c r="X559" i="4" s="1"/>
  <c r="C560" i="3"/>
  <c r="C560" i="4" s="1"/>
  <c r="O560" i="3"/>
  <c r="O560" i="4" s="1"/>
  <c r="AA560" i="3"/>
  <c r="AA560" i="4" s="1"/>
  <c r="F561" i="3"/>
  <c r="F561" i="4" s="1"/>
  <c r="R561" i="3"/>
  <c r="R561" i="4" s="1"/>
  <c r="I562" i="3"/>
  <c r="I562" i="4" s="1"/>
  <c r="AB304" i="3"/>
  <c r="AB304" i="4" s="1"/>
  <c r="G305" i="3"/>
  <c r="G305" i="4" s="1"/>
  <c r="S305" i="3"/>
  <c r="S305" i="4" s="1"/>
  <c r="J306" i="3"/>
  <c r="J306" i="4" s="1"/>
  <c r="V306" i="3"/>
  <c r="V306" i="4" s="1"/>
  <c r="A307" i="3"/>
  <c r="A307" i="4" s="1"/>
  <c r="M307" i="3"/>
  <c r="M307" i="4" s="1"/>
  <c r="Y307" i="3"/>
  <c r="Y307" i="4" s="1"/>
  <c r="D308" i="3"/>
  <c r="D308" i="4" s="1"/>
  <c r="P308" i="3"/>
  <c r="P308" i="4" s="1"/>
  <c r="AB308" i="3"/>
  <c r="AB308" i="4" s="1"/>
  <c r="G309" i="3"/>
  <c r="G309" i="4" s="1"/>
  <c r="S309" i="3"/>
  <c r="S309" i="4" s="1"/>
  <c r="J310" i="3"/>
  <c r="J310" i="4" s="1"/>
  <c r="V310" i="3"/>
  <c r="V310" i="4" s="1"/>
  <c r="A311" i="3"/>
  <c r="A311" i="4" s="1"/>
  <c r="M311" i="3"/>
  <c r="M311" i="4" s="1"/>
  <c r="Y311" i="3"/>
  <c r="Y311" i="4" s="1"/>
  <c r="D312" i="3"/>
  <c r="D312" i="4" s="1"/>
  <c r="P312" i="3"/>
  <c r="P312" i="4" s="1"/>
  <c r="AB312" i="3"/>
  <c r="AB312" i="4" s="1"/>
  <c r="G313" i="3"/>
  <c r="G313" i="4" s="1"/>
  <c r="S313" i="3"/>
  <c r="S313" i="4" s="1"/>
  <c r="J314" i="3"/>
  <c r="J314" i="4" s="1"/>
  <c r="V314" i="3"/>
  <c r="V314" i="4" s="1"/>
  <c r="A315" i="3"/>
  <c r="A315" i="4" s="1"/>
  <c r="M315" i="3"/>
  <c r="M315" i="4" s="1"/>
  <c r="Y315" i="3"/>
  <c r="Y315" i="4" s="1"/>
  <c r="D316" i="3"/>
  <c r="D316" i="4" s="1"/>
  <c r="P316" i="3"/>
  <c r="P316" i="4" s="1"/>
  <c r="AB316" i="3"/>
  <c r="AB316" i="4" s="1"/>
  <c r="G317" i="3"/>
  <c r="G317" i="4" s="1"/>
  <c r="S317" i="3"/>
  <c r="S317" i="4" s="1"/>
  <c r="J318" i="3"/>
  <c r="J318" i="4" s="1"/>
  <c r="V318" i="3"/>
  <c r="V318" i="4" s="1"/>
  <c r="A319" i="3"/>
  <c r="A319" i="4" s="1"/>
  <c r="M319" i="3"/>
  <c r="M319" i="4" s="1"/>
  <c r="Y319" i="3"/>
  <c r="Y319" i="4" s="1"/>
  <c r="D320" i="3"/>
  <c r="D320" i="4" s="1"/>
  <c r="P320" i="3"/>
  <c r="P320" i="4" s="1"/>
  <c r="AB320" i="3"/>
  <c r="AB320" i="4" s="1"/>
  <c r="G321" i="3"/>
  <c r="G321" i="4" s="1"/>
  <c r="S321" i="3"/>
  <c r="S321" i="4" s="1"/>
  <c r="J322" i="3"/>
  <c r="J322" i="4" s="1"/>
  <c r="V322" i="3"/>
  <c r="V322" i="4" s="1"/>
  <c r="A323" i="3"/>
  <c r="A323" i="4" s="1"/>
  <c r="M323" i="3"/>
  <c r="M323" i="4" s="1"/>
  <c r="Y323" i="3"/>
  <c r="Y323" i="4" s="1"/>
  <c r="D324" i="3"/>
  <c r="D324" i="4" s="1"/>
  <c r="P324" i="3"/>
  <c r="P324" i="4" s="1"/>
  <c r="AB324" i="3"/>
  <c r="AB324" i="4" s="1"/>
  <c r="G325" i="3"/>
  <c r="G325" i="4" s="1"/>
  <c r="S325" i="3"/>
  <c r="S325" i="4" s="1"/>
  <c r="J326" i="3"/>
  <c r="J326" i="4" s="1"/>
  <c r="V326" i="3"/>
  <c r="V326" i="4" s="1"/>
  <c r="A327" i="3"/>
  <c r="A327" i="4" s="1"/>
  <c r="M327" i="3"/>
  <c r="M327" i="4" s="1"/>
  <c r="Y327" i="3"/>
  <c r="Y327" i="4" s="1"/>
  <c r="D328" i="3"/>
  <c r="D328" i="4" s="1"/>
  <c r="P328" i="3"/>
  <c r="P328" i="4" s="1"/>
  <c r="AB328" i="3"/>
  <c r="AB328" i="4" s="1"/>
  <c r="G329" i="3"/>
  <c r="G329" i="4" s="1"/>
  <c r="S329" i="3"/>
  <c r="S329" i="4" s="1"/>
  <c r="J330" i="3"/>
  <c r="J330" i="4" s="1"/>
  <c r="V330" i="3"/>
  <c r="V330" i="4" s="1"/>
  <c r="A331" i="3"/>
  <c r="A331" i="4" s="1"/>
  <c r="M331" i="3"/>
  <c r="M331" i="4" s="1"/>
  <c r="Y331" i="3"/>
  <c r="Y331" i="4" s="1"/>
  <c r="D332" i="3"/>
  <c r="D332" i="4" s="1"/>
  <c r="P332" i="3"/>
  <c r="P332" i="4" s="1"/>
  <c r="AB332" i="3"/>
  <c r="AB332" i="4" s="1"/>
  <c r="G333" i="3"/>
  <c r="G333" i="4" s="1"/>
  <c r="S333" i="3"/>
  <c r="S333" i="4" s="1"/>
  <c r="U562" i="3"/>
  <c r="U562" i="4" s="1"/>
  <c r="L563" i="3"/>
  <c r="L563" i="4" s="1"/>
  <c r="X563" i="3"/>
  <c r="X563" i="4" s="1"/>
  <c r="C564" i="3"/>
  <c r="C564" i="4" s="1"/>
  <c r="O564" i="3"/>
  <c r="O564" i="4" s="1"/>
  <c r="AA564" i="3"/>
  <c r="AA564" i="4" s="1"/>
  <c r="F565" i="3"/>
  <c r="F565" i="4" s="1"/>
  <c r="R565" i="3"/>
  <c r="R565" i="4" s="1"/>
  <c r="I566" i="3"/>
  <c r="I566" i="4" s="1"/>
  <c r="U566" i="3"/>
  <c r="U566" i="4" s="1"/>
  <c r="L567" i="3"/>
  <c r="L567" i="4" s="1"/>
  <c r="X567" i="3"/>
  <c r="X567" i="4" s="1"/>
  <c r="C568" i="3"/>
  <c r="C568" i="4" s="1"/>
  <c r="O568" i="3"/>
  <c r="O568" i="4" s="1"/>
  <c r="AA568" i="3"/>
  <c r="AA568" i="4" s="1"/>
  <c r="F569" i="3"/>
  <c r="F569" i="4" s="1"/>
  <c r="R569" i="3"/>
  <c r="R569" i="4" s="1"/>
  <c r="I570" i="3"/>
  <c r="I570" i="4" s="1"/>
  <c r="U570" i="3"/>
  <c r="U570" i="4" s="1"/>
  <c r="L571" i="3"/>
  <c r="L571" i="4" s="1"/>
  <c r="X571" i="3"/>
  <c r="X571" i="4" s="1"/>
  <c r="C572" i="3"/>
  <c r="C572" i="4" s="1"/>
  <c r="O572" i="3"/>
  <c r="O572" i="4" s="1"/>
  <c r="AA572" i="3"/>
  <c r="AA572" i="4" s="1"/>
  <c r="F573" i="3"/>
  <c r="F573" i="4" s="1"/>
  <c r="R573" i="3"/>
  <c r="R573" i="4" s="1"/>
  <c r="I574" i="3"/>
  <c r="I574" i="4" s="1"/>
  <c r="U574" i="3"/>
  <c r="U574" i="4" s="1"/>
  <c r="L575" i="3"/>
  <c r="L575" i="4" s="1"/>
  <c r="X575" i="3"/>
  <c r="X575" i="4" s="1"/>
  <c r="C576" i="3"/>
  <c r="C576" i="4" s="1"/>
  <c r="O576" i="3"/>
  <c r="O576" i="4" s="1"/>
  <c r="AA576" i="3"/>
  <c r="AA576" i="4" s="1"/>
  <c r="F577" i="3"/>
  <c r="F577" i="4" s="1"/>
  <c r="R577" i="3"/>
  <c r="R577" i="4" s="1"/>
  <c r="I578" i="3"/>
  <c r="I578" i="4" s="1"/>
  <c r="U578" i="3"/>
  <c r="U578" i="4" s="1"/>
  <c r="L579" i="3"/>
  <c r="L579" i="4" s="1"/>
  <c r="X579" i="3"/>
  <c r="X579" i="4" s="1"/>
  <c r="C580" i="3"/>
  <c r="C580" i="4" s="1"/>
  <c r="O580" i="3"/>
  <c r="O580" i="4" s="1"/>
  <c r="AA580" i="3"/>
  <c r="AA580" i="4" s="1"/>
  <c r="F581" i="3"/>
  <c r="F581" i="4" s="1"/>
  <c r="R581" i="3"/>
  <c r="R581" i="4" s="1"/>
  <c r="I582" i="3"/>
  <c r="I582" i="4" s="1"/>
  <c r="U582" i="3"/>
  <c r="U582" i="4" s="1"/>
  <c r="L583" i="3"/>
  <c r="L583" i="4" s="1"/>
  <c r="X583" i="3"/>
  <c r="X583" i="4" s="1"/>
  <c r="C584" i="3"/>
  <c r="C584" i="4" s="1"/>
  <c r="O584" i="3"/>
  <c r="O584" i="4" s="1"/>
  <c r="AA584" i="3"/>
  <c r="AA584" i="4" s="1"/>
  <c r="F585" i="3"/>
  <c r="F585" i="4" s="1"/>
  <c r="R585" i="3"/>
  <c r="R585" i="4" s="1"/>
  <c r="I586" i="3"/>
  <c r="I586" i="4" s="1"/>
  <c r="U586" i="3"/>
  <c r="U586" i="4" s="1"/>
  <c r="L587" i="3"/>
  <c r="L587" i="4" s="1"/>
  <c r="X587" i="3"/>
  <c r="X587" i="4" s="1"/>
  <c r="C588" i="3"/>
  <c r="C588" i="4" s="1"/>
  <c r="O588" i="3"/>
  <c r="O588" i="4" s="1"/>
  <c r="AA588" i="3"/>
  <c r="AA588" i="4" s="1"/>
  <c r="F589" i="3"/>
  <c r="F589" i="4" s="1"/>
  <c r="R589" i="3"/>
  <c r="R589" i="4" s="1"/>
  <c r="I590" i="3"/>
  <c r="I590" i="4" s="1"/>
  <c r="U590" i="3"/>
  <c r="U590" i="4" s="1"/>
  <c r="L591" i="3"/>
  <c r="L591" i="4" s="1"/>
  <c r="X591" i="3"/>
  <c r="X591" i="4" s="1"/>
  <c r="C592" i="3"/>
  <c r="C592" i="4" s="1"/>
  <c r="O592" i="3"/>
  <c r="O592" i="4" s="1"/>
  <c r="AA592" i="3"/>
  <c r="AA592" i="4" s="1"/>
  <c r="F593" i="3"/>
  <c r="F593" i="4" s="1"/>
  <c r="R593" i="3"/>
  <c r="R593" i="4" s="1"/>
  <c r="I594" i="3"/>
  <c r="I594" i="4" s="1"/>
  <c r="U594" i="3"/>
  <c r="U594" i="4" s="1"/>
  <c r="L595" i="3"/>
  <c r="L595" i="4" s="1"/>
  <c r="X595" i="3"/>
  <c r="X595" i="4" s="1"/>
  <c r="C596" i="3"/>
  <c r="C596" i="4" s="1"/>
  <c r="O596" i="3"/>
  <c r="O596" i="4" s="1"/>
  <c r="AA596" i="3"/>
  <c r="AA596" i="4" s="1"/>
  <c r="F597" i="3"/>
  <c r="F597" i="4" s="1"/>
  <c r="R597" i="3"/>
  <c r="R597" i="4" s="1"/>
  <c r="I598" i="3"/>
  <c r="I598" i="4" s="1"/>
  <c r="U598" i="3"/>
  <c r="U598" i="4" s="1"/>
  <c r="L599" i="3"/>
  <c r="L599" i="4" s="1"/>
  <c r="X599" i="3"/>
  <c r="X599" i="4" s="1"/>
  <c r="C600" i="3"/>
  <c r="C600" i="4" s="1"/>
  <c r="O600" i="3"/>
  <c r="O600" i="4" s="1"/>
  <c r="AA600" i="3"/>
  <c r="AA600" i="4" s="1"/>
  <c r="F601" i="3"/>
  <c r="F601" i="4" s="1"/>
  <c r="R601" i="3"/>
  <c r="R601" i="4" s="1"/>
  <c r="I602" i="3"/>
  <c r="I602" i="4" s="1"/>
  <c r="U602" i="3"/>
  <c r="U602" i="4" s="1"/>
  <c r="L603" i="3"/>
  <c r="L603" i="4" s="1"/>
  <c r="X603" i="3"/>
  <c r="X603" i="4" s="1"/>
  <c r="C604" i="3"/>
  <c r="C604" i="4" s="1"/>
  <c r="O604" i="3"/>
  <c r="O604" i="4" s="1"/>
  <c r="AA604" i="3"/>
  <c r="AA604" i="4" s="1"/>
  <c r="F605" i="3"/>
  <c r="F605" i="4" s="1"/>
  <c r="R605" i="3"/>
  <c r="R605" i="4" s="1"/>
  <c r="I606" i="3"/>
  <c r="I606" i="4" s="1"/>
  <c r="J334" i="3"/>
  <c r="J334" i="4" s="1"/>
  <c r="V334" i="3"/>
  <c r="V334" i="4" s="1"/>
  <c r="A335" i="3"/>
  <c r="A335" i="4" s="1"/>
  <c r="M335" i="3"/>
  <c r="M335" i="4" s="1"/>
  <c r="Y335" i="3"/>
  <c r="Y335" i="4" s="1"/>
  <c r="D336" i="3"/>
  <c r="D336" i="4" s="1"/>
  <c r="P336" i="3"/>
  <c r="P336" i="4" s="1"/>
  <c r="AB336" i="3"/>
  <c r="AB336" i="4" s="1"/>
  <c r="G337" i="3"/>
  <c r="G337" i="4" s="1"/>
  <c r="S337" i="3"/>
  <c r="S337" i="4" s="1"/>
  <c r="J338" i="3"/>
  <c r="J338" i="4" s="1"/>
  <c r="V338" i="3"/>
  <c r="V338" i="4" s="1"/>
  <c r="A339" i="3"/>
  <c r="A339" i="4" s="1"/>
  <c r="M339" i="3"/>
  <c r="M339" i="4" s="1"/>
  <c r="Y339" i="3"/>
  <c r="Y339" i="4" s="1"/>
  <c r="D340" i="3"/>
  <c r="D340" i="4" s="1"/>
  <c r="P340" i="3"/>
  <c r="P340" i="4" s="1"/>
  <c r="AB340" i="3"/>
  <c r="AB340" i="4" s="1"/>
  <c r="G341" i="3"/>
  <c r="G341" i="4" s="1"/>
  <c r="S341" i="3"/>
  <c r="S341" i="4" s="1"/>
  <c r="J342" i="3"/>
  <c r="J342" i="4" s="1"/>
  <c r="V342" i="3"/>
  <c r="V342" i="4" s="1"/>
  <c r="A343" i="3"/>
  <c r="A343" i="4" s="1"/>
  <c r="M343" i="3"/>
  <c r="M343" i="4" s="1"/>
  <c r="Y343" i="3"/>
  <c r="Y343" i="4" s="1"/>
  <c r="D344" i="3"/>
  <c r="D344" i="4" s="1"/>
  <c r="P344" i="3"/>
  <c r="P344" i="4" s="1"/>
  <c r="AB344" i="3"/>
  <c r="AB344" i="4" s="1"/>
  <c r="G345" i="3"/>
  <c r="G345" i="4" s="1"/>
  <c r="S345" i="3"/>
  <c r="S345" i="4" s="1"/>
  <c r="J346" i="3"/>
  <c r="J346" i="4" s="1"/>
  <c r="V346" i="3"/>
  <c r="V346" i="4" s="1"/>
  <c r="A347" i="3"/>
  <c r="A347" i="4" s="1"/>
  <c r="M347" i="3"/>
  <c r="M347" i="4" s="1"/>
  <c r="Y347" i="3"/>
  <c r="Y347" i="4" s="1"/>
  <c r="D348" i="3"/>
  <c r="D348" i="4" s="1"/>
  <c r="P348" i="3"/>
  <c r="P348" i="4" s="1"/>
  <c r="AB348" i="3"/>
  <c r="AB348" i="4" s="1"/>
  <c r="G349" i="3"/>
  <c r="G349" i="4" s="1"/>
  <c r="S349" i="3"/>
  <c r="S349" i="4" s="1"/>
  <c r="J350" i="3"/>
  <c r="J350" i="4" s="1"/>
  <c r="V350" i="3"/>
  <c r="V350" i="4" s="1"/>
  <c r="A351" i="3"/>
  <c r="A351" i="4" s="1"/>
  <c r="M351" i="3"/>
  <c r="M351" i="4" s="1"/>
  <c r="Y351" i="3"/>
  <c r="Y351" i="4" s="1"/>
  <c r="D352" i="3"/>
  <c r="D352" i="4" s="1"/>
  <c r="P352" i="3"/>
  <c r="P352" i="4" s="1"/>
  <c r="AB352" i="3"/>
  <c r="AB352" i="4" s="1"/>
  <c r="G353" i="3"/>
  <c r="G353" i="4" s="1"/>
  <c r="S353" i="3"/>
  <c r="S353" i="4" s="1"/>
  <c r="J354" i="3"/>
  <c r="J354" i="4" s="1"/>
  <c r="V354" i="3"/>
  <c r="V354" i="4" s="1"/>
  <c r="A355" i="3"/>
  <c r="A355" i="4" s="1"/>
  <c r="M355" i="3"/>
  <c r="M355" i="4" s="1"/>
  <c r="Y355" i="3"/>
  <c r="Y355" i="4" s="1"/>
  <c r="D356" i="3"/>
  <c r="D356" i="4" s="1"/>
  <c r="P356" i="3"/>
  <c r="P356" i="4" s="1"/>
  <c r="AB356" i="3"/>
  <c r="AB356" i="4" s="1"/>
  <c r="G357" i="3"/>
  <c r="G357" i="4" s="1"/>
  <c r="S357" i="3"/>
  <c r="S357" i="4" s="1"/>
  <c r="J358" i="3"/>
  <c r="J358" i="4" s="1"/>
  <c r="V358" i="3"/>
  <c r="V358" i="4" s="1"/>
  <c r="A359" i="3"/>
  <c r="A359" i="4" s="1"/>
  <c r="M359" i="3"/>
  <c r="M359" i="4" s="1"/>
  <c r="Y359" i="3"/>
  <c r="Y359" i="4" s="1"/>
  <c r="D360" i="3"/>
  <c r="D360" i="4" s="1"/>
  <c r="P360" i="3"/>
  <c r="P360" i="4" s="1"/>
  <c r="AB360" i="3"/>
  <c r="AB360" i="4" s="1"/>
  <c r="G361" i="3"/>
  <c r="G361" i="4" s="1"/>
  <c r="S361" i="3"/>
  <c r="S361" i="4" s="1"/>
  <c r="J362" i="3"/>
  <c r="J362" i="4" s="1"/>
  <c r="V362" i="3"/>
  <c r="V362" i="4" s="1"/>
  <c r="A363" i="3"/>
  <c r="A363" i="4" s="1"/>
  <c r="M363" i="3"/>
  <c r="M363" i="4" s="1"/>
  <c r="Y363" i="3"/>
  <c r="Y363" i="4" s="1"/>
  <c r="D364" i="3"/>
  <c r="D364" i="4" s="1"/>
  <c r="P364" i="3"/>
  <c r="P364" i="4" s="1"/>
  <c r="AB364" i="3"/>
  <c r="AB364" i="4" s="1"/>
  <c r="G365" i="3"/>
  <c r="G365" i="4" s="1"/>
  <c r="S365" i="3"/>
  <c r="S365" i="4" s="1"/>
  <c r="J366" i="3"/>
  <c r="J366" i="4" s="1"/>
  <c r="V366" i="3"/>
  <c r="V366" i="4" s="1"/>
  <c r="A367" i="3"/>
  <c r="A367" i="4" s="1"/>
  <c r="M367" i="3"/>
  <c r="M367" i="4" s="1"/>
  <c r="Y367" i="3"/>
  <c r="Y367" i="4" s="1"/>
  <c r="D368" i="3"/>
  <c r="D368" i="4" s="1"/>
  <c r="P368" i="3"/>
  <c r="P368" i="4" s="1"/>
  <c r="AB368" i="3"/>
  <c r="AB368" i="4" s="1"/>
  <c r="G369" i="3"/>
  <c r="G369" i="4" s="1"/>
  <c r="S369" i="3"/>
  <c r="S369" i="4" s="1"/>
  <c r="J370" i="3"/>
  <c r="J370" i="4" s="1"/>
  <c r="V370" i="3"/>
  <c r="V370" i="4" s="1"/>
  <c r="A371" i="3"/>
  <c r="A371" i="4" s="1"/>
  <c r="M371" i="3"/>
  <c r="M371" i="4" s="1"/>
  <c r="Y371" i="3"/>
  <c r="Y371" i="4" s="1"/>
  <c r="D372" i="3"/>
  <c r="D372" i="4" s="1"/>
  <c r="P372" i="3"/>
  <c r="P372" i="4" s="1"/>
  <c r="AB372" i="3"/>
  <c r="AB372" i="4" s="1"/>
  <c r="G373" i="3"/>
  <c r="G373" i="4" s="1"/>
  <c r="S373" i="3"/>
  <c r="S373" i="4" s="1"/>
  <c r="J374" i="3"/>
  <c r="J374" i="4" s="1"/>
  <c r="V374" i="3"/>
  <c r="V374" i="4" s="1"/>
  <c r="A375" i="3"/>
  <c r="A375" i="4" s="1"/>
  <c r="M375" i="3"/>
  <c r="M375" i="4" s="1"/>
  <c r="Y375" i="3"/>
  <c r="Y375" i="4" s="1"/>
  <c r="D376" i="3"/>
  <c r="D376" i="4" s="1"/>
  <c r="P376" i="3"/>
  <c r="P376" i="4" s="1"/>
  <c r="AB376" i="3"/>
  <c r="AB376" i="4" s="1"/>
  <c r="G377" i="3"/>
  <c r="G377" i="4" s="1"/>
  <c r="S377" i="3"/>
  <c r="S377" i="4" s="1"/>
  <c r="J378" i="3"/>
  <c r="J378" i="4" s="1"/>
  <c r="V378" i="3"/>
  <c r="V378" i="4" s="1"/>
  <c r="A379" i="3"/>
  <c r="A379" i="4" s="1"/>
  <c r="M379" i="3"/>
  <c r="M379" i="4" s="1"/>
  <c r="Y379" i="3"/>
  <c r="Y379" i="4" s="1"/>
  <c r="D380" i="3"/>
  <c r="D380" i="4" s="1"/>
  <c r="P380" i="3"/>
  <c r="P380" i="4" s="1"/>
  <c r="AB380" i="3"/>
  <c r="AB380" i="4" s="1"/>
  <c r="G381" i="3"/>
  <c r="G381" i="4" s="1"/>
  <c r="S381" i="3"/>
  <c r="S381" i="4" s="1"/>
  <c r="J382" i="3"/>
  <c r="J382" i="4" s="1"/>
  <c r="V382" i="3"/>
  <c r="V382" i="4" s="1"/>
  <c r="A383" i="3"/>
  <c r="A383" i="4" s="1"/>
  <c r="M383" i="3"/>
  <c r="M383" i="4" s="1"/>
  <c r="Y383" i="3"/>
  <c r="Y383" i="4" s="1"/>
  <c r="D384" i="3"/>
  <c r="D384" i="4" s="1"/>
  <c r="P384" i="3"/>
  <c r="P384" i="4" s="1"/>
  <c r="AB384" i="3"/>
  <c r="AB384" i="4" s="1"/>
  <c r="G385" i="3"/>
  <c r="G385" i="4" s="1"/>
  <c r="S385" i="3"/>
  <c r="S385" i="4" s="1"/>
  <c r="J386" i="3"/>
  <c r="J386" i="4" s="1"/>
  <c r="V386" i="3"/>
  <c r="V386" i="4" s="1"/>
  <c r="A387" i="3"/>
  <c r="A387" i="4" s="1"/>
  <c r="M387" i="3"/>
  <c r="M387" i="4" s="1"/>
  <c r="Y387" i="3"/>
  <c r="Y387" i="4" s="1"/>
  <c r="D388" i="3"/>
  <c r="D388" i="4" s="1"/>
  <c r="P388" i="3"/>
  <c r="P388" i="4" s="1"/>
  <c r="AB388" i="3"/>
  <c r="AB388" i="4" s="1"/>
  <c r="G389" i="3"/>
  <c r="G389" i="4" s="1"/>
  <c r="S389" i="3"/>
  <c r="S389" i="4" s="1"/>
  <c r="J390" i="3"/>
  <c r="J390" i="4" s="1"/>
  <c r="V390" i="3"/>
  <c r="V390" i="4" s="1"/>
  <c r="A391" i="3"/>
  <c r="A391" i="4" s="1"/>
  <c r="M391" i="3"/>
  <c r="M391" i="4" s="1"/>
  <c r="Y391" i="3"/>
  <c r="Y391" i="4" s="1"/>
  <c r="D392" i="3"/>
  <c r="D392" i="4" s="1"/>
  <c r="P392" i="3"/>
  <c r="P392" i="4" s="1"/>
  <c r="AB392" i="3"/>
  <c r="AB392" i="4" s="1"/>
  <c r="G393" i="3"/>
  <c r="G393" i="4" s="1"/>
  <c r="S393" i="3"/>
  <c r="S393" i="4" s="1"/>
  <c r="J394" i="3"/>
  <c r="J394" i="4" s="1"/>
  <c r="V394" i="3"/>
  <c r="V394" i="4" s="1"/>
  <c r="A395" i="3"/>
  <c r="A395" i="4" s="1"/>
  <c r="M395" i="3"/>
  <c r="M395" i="4" s="1"/>
  <c r="Y395" i="3"/>
  <c r="Y395" i="4" s="1"/>
  <c r="D396" i="3"/>
  <c r="D396" i="4" s="1"/>
  <c r="P396" i="3"/>
  <c r="P396" i="4" s="1"/>
  <c r="AB396" i="3"/>
  <c r="AB396" i="4" s="1"/>
  <c r="G397" i="3"/>
  <c r="G397" i="4" s="1"/>
  <c r="S397" i="3"/>
  <c r="S397" i="4" s="1"/>
  <c r="J398" i="3"/>
  <c r="J398" i="4" s="1"/>
  <c r="V398" i="3"/>
  <c r="V398" i="4" s="1"/>
  <c r="A399" i="3"/>
  <c r="A399" i="4" s="1"/>
  <c r="M399" i="3"/>
  <c r="M399" i="4" s="1"/>
  <c r="Y399" i="3"/>
  <c r="Y399" i="4" s="1"/>
  <c r="D400" i="3"/>
  <c r="D400" i="4" s="1"/>
  <c r="P400" i="3"/>
  <c r="P400" i="4" s="1"/>
  <c r="AB400" i="3"/>
  <c r="AB400" i="4" s="1"/>
  <c r="G401" i="3"/>
  <c r="G401" i="4" s="1"/>
  <c r="S401" i="3"/>
  <c r="S401" i="4" s="1"/>
  <c r="U606" i="3"/>
  <c r="U606" i="4" s="1"/>
  <c r="L607" i="3"/>
  <c r="L607" i="4" s="1"/>
  <c r="X607" i="3"/>
  <c r="X607" i="4" s="1"/>
  <c r="C608" i="3"/>
  <c r="C608" i="4" s="1"/>
  <c r="O608" i="3"/>
  <c r="O608" i="4" s="1"/>
  <c r="AA608" i="3"/>
  <c r="AA608" i="4" s="1"/>
  <c r="F609" i="3"/>
  <c r="F609" i="4" s="1"/>
  <c r="R609" i="3"/>
  <c r="R609" i="4" s="1"/>
  <c r="I610" i="3"/>
  <c r="I610" i="4" s="1"/>
  <c r="U610" i="3"/>
  <c r="U610" i="4" s="1"/>
  <c r="L611" i="3"/>
  <c r="L611" i="4" s="1"/>
  <c r="X611" i="3"/>
  <c r="X611" i="4" s="1"/>
  <c r="C612" i="3"/>
  <c r="C612" i="4" s="1"/>
  <c r="O612" i="3"/>
  <c r="O612" i="4" s="1"/>
  <c r="AA612" i="3"/>
  <c r="AA612" i="4" s="1"/>
  <c r="F613" i="3"/>
  <c r="F613" i="4" s="1"/>
  <c r="R613" i="3"/>
  <c r="R613" i="4" s="1"/>
  <c r="I614" i="3"/>
  <c r="I614" i="4" s="1"/>
  <c r="U614" i="3"/>
  <c r="U614" i="4" s="1"/>
  <c r="L615" i="3"/>
  <c r="L615" i="4" s="1"/>
  <c r="X615" i="3"/>
  <c r="X615" i="4" s="1"/>
  <c r="C616" i="3"/>
  <c r="C616" i="4" s="1"/>
  <c r="O616" i="3"/>
  <c r="O616" i="4" s="1"/>
  <c r="AA616" i="3"/>
  <c r="AA616" i="4" s="1"/>
  <c r="F617" i="3"/>
  <c r="F617" i="4" s="1"/>
  <c r="R617" i="3"/>
  <c r="R617" i="4" s="1"/>
  <c r="I618" i="3"/>
  <c r="I618" i="4" s="1"/>
  <c r="U618" i="3"/>
  <c r="U618" i="4" s="1"/>
  <c r="L619" i="3"/>
  <c r="L619" i="4" s="1"/>
  <c r="X619" i="3"/>
  <c r="X619" i="4" s="1"/>
  <c r="C620" i="3"/>
  <c r="C620" i="4" s="1"/>
  <c r="O620" i="3"/>
  <c r="O620" i="4" s="1"/>
  <c r="AA620" i="3"/>
  <c r="AA620" i="4" s="1"/>
  <c r="F621" i="3"/>
  <c r="F621" i="4" s="1"/>
  <c r="R621" i="3"/>
  <c r="R621" i="4" s="1"/>
  <c r="I622" i="3"/>
  <c r="I622" i="4" s="1"/>
  <c r="U622" i="3"/>
  <c r="U622" i="4" s="1"/>
  <c r="L623" i="3"/>
  <c r="L623" i="4" s="1"/>
  <c r="X623" i="3"/>
  <c r="X623" i="4" s="1"/>
  <c r="C624" i="3"/>
  <c r="C624" i="4" s="1"/>
  <c r="O624" i="3"/>
  <c r="O624" i="4" s="1"/>
  <c r="AA624" i="3"/>
  <c r="AA624" i="4" s="1"/>
  <c r="F625" i="3"/>
  <c r="F625" i="4" s="1"/>
  <c r="R625" i="3"/>
  <c r="R625" i="4" s="1"/>
  <c r="I626" i="3"/>
  <c r="I626" i="4" s="1"/>
  <c r="U626" i="3"/>
  <c r="U626" i="4" s="1"/>
  <c r="L627" i="3"/>
  <c r="L627" i="4" s="1"/>
  <c r="X627" i="3"/>
  <c r="X627" i="4" s="1"/>
  <c r="C628" i="3"/>
  <c r="C628" i="4" s="1"/>
  <c r="O628" i="3"/>
  <c r="O628" i="4" s="1"/>
  <c r="AA628" i="3"/>
  <c r="AA628" i="4" s="1"/>
  <c r="F629" i="3"/>
  <c r="F629" i="4" s="1"/>
  <c r="R629" i="3"/>
  <c r="R629" i="4" s="1"/>
  <c r="I630" i="3"/>
  <c r="I630" i="4" s="1"/>
  <c r="U630" i="3"/>
  <c r="U630" i="4" s="1"/>
  <c r="L631" i="3"/>
  <c r="L631" i="4" s="1"/>
  <c r="X631" i="3"/>
  <c r="X631" i="4" s="1"/>
  <c r="C632" i="3"/>
  <c r="C632" i="4" s="1"/>
  <c r="O632" i="3"/>
  <c r="O632" i="4" s="1"/>
  <c r="AA632" i="3"/>
  <c r="AA632" i="4" s="1"/>
  <c r="F633" i="3"/>
  <c r="F633" i="4" s="1"/>
  <c r="R633" i="3"/>
  <c r="R633" i="4" s="1"/>
  <c r="I634" i="3"/>
  <c r="I634" i="4" s="1"/>
  <c r="U634" i="3"/>
  <c r="U634" i="4" s="1"/>
  <c r="L635" i="3"/>
  <c r="L635" i="4" s="1"/>
  <c r="X635" i="3"/>
  <c r="X635" i="4" s="1"/>
  <c r="C636" i="3"/>
  <c r="C636" i="4" s="1"/>
  <c r="O636" i="3"/>
  <c r="O636" i="4" s="1"/>
  <c r="AA636" i="3"/>
  <c r="AA636" i="4" s="1"/>
  <c r="F637" i="3"/>
  <c r="F637" i="4" s="1"/>
  <c r="R637" i="3"/>
  <c r="R637" i="4" s="1"/>
  <c r="I638" i="3"/>
  <c r="I638" i="4" s="1"/>
  <c r="U638" i="3"/>
  <c r="U638" i="4" s="1"/>
  <c r="L639" i="3"/>
  <c r="L639" i="4" s="1"/>
  <c r="X639" i="3"/>
  <c r="X639" i="4" s="1"/>
  <c r="C640" i="3"/>
  <c r="C640" i="4" s="1"/>
  <c r="O640" i="3"/>
  <c r="O640" i="4" s="1"/>
  <c r="AA640" i="3"/>
  <c r="AA640" i="4" s="1"/>
  <c r="F641" i="3"/>
  <c r="F641" i="4" s="1"/>
  <c r="R641" i="3"/>
  <c r="R641" i="4" s="1"/>
  <c r="I642" i="3"/>
  <c r="I642" i="4" s="1"/>
  <c r="U642" i="3"/>
  <c r="U642" i="4" s="1"/>
  <c r="L643" i="3"/>
  <c r="L643" i="4" s="1"/>
  <c r="X643" i="3"/>
  <c r="X643" i="4" s="1"/>
  <c r="C644" i="3"/>
  <c r="C644" i="4" s="1"/>
  <c r="J402" i="3"/>
  <c r="J402" i="4" s="1"/>
  <c r="V402" i="3"/>
  <c r="V402" i="4" s="1"/>
  <c r="A403" i="3"/>
  <c r="A403" i="4" s="1"/>
  <c r="M403" i="3"/>
  <c r="M403" i="4" s="1"/>
  <c r="Y403" i="3"/>
  <c r="Y403" i="4" s="1"/>
  <c r="D404" i="3"/>
  <c r="D404" i="4" s="1"/>
  <c r="P404" i="3"/>
  <c r="P404" i="4" s="1"/>
  <c r="AB404" i="3"/>
  <c r="AB404" i="4" s="1"/>
  <c r="G405" i="3"/>
  <c r="G405" i="4" s="1"/>
  <c r="S405" i="3"/>
  <c r="S405" i="4" s="1"/>
  <c r="J406" i="3"/>
  <c r="J406" i="4" s="1"/>
  <c r="V406" i="3"/>
  <c r="V406" i="4" s="1"/>
  <c r="A407" i="3"/>
  <c r="A407" i="4" s="1"/>
  <c r="M407" i="3"/>
  <c r="M407" i="4" s="1"/>
  <c r="Y407" i="3"/>
  <c r="Y407" i="4" s="1"/>
  <c r="D408" i="3"/>
  <c r="D408" i="4" s="1"/>
  <c r="P408" i="3"/>
  <c r="P408" i="4" s="1"/>
  <c r="AB408" i="3"/>
  <c r="AB408" i="4" s="1"/>
  <c r="G409" i="3"/>
  <c r="G409" i="4" s="1"/>
  <c r="S409" i="3"/>
  <c r="S409" i="4" s="1"/>
  <c r="J410" i="3"/>
  <c r="J410" i="4" s="1"/>
  <c r="V410" i="3"/>
  <c r="V410" i="4" s="1"/>
  <c r="A411" i="3"/>
  <c r="A411" i="4" s="1"/>
  <c r="M411" i="3"/>
  <c r="M411" i="4" s="1"/>
  <c r="Y411" i="3"/>
  <c r="Y411" i="4" s="1"/>
  <c r="D412" i="3"/>
  <c r="D412" i="4" s="1"/>
  <c r="P412" i="3"/>
  <c r="P412" i="4" s="1"/>
  <c r="AB412" i="3"/>
  <c r="AB412" i="4" s="1"/>
  <c r="G413" i="3"/>
  <c r="G413" i="4" s="1"/>
  <c r="S413" i="3"/>
  <c r="S413" i="4" s="1"/>
  <c r="J414" i="3"/>
  <c r="J414" i="4" s="1"/>
  <c r="V414" i="3"/>
  <c r="V414" i="4" s="1"/>
  <c r="A415" i="3"/>
  <c r="A415" i="4" s="1"/>
  <c r="M415" i="3"/>
  <c r="M415" i="4" s="1"/>
  <c r="Y415" i="3"/>
  <c r="Y415" i="4" s="1"/>
  <c r="D416" i="3"/>
  <c r="D416" i="4" s="1"/>
  <c r="P416" i="3"/>
  <c r="P416" i="4" s="1"/>
  <c r="AB416" i="3"/>
  <c r="AB416" i="4" s="1"/>
  <c r="G417" i="3"/>
  <c r="G417" i="4" s="1"/>
  <c r="S417" i="3"/>
  <c r="S417" i="4" s="1"/>
  <c r="J418" i="3"/>
  <c r="J418" i="4" s="1"/>
  <c r="V418" i="3"/>
  <c r="V418" i="4" s="1"/>
  <c r="A419" i="3"/>
  <c r="A419" i="4" s="1"/>
  <c r="M419" i="3"/>
  <c r="M419" i="4" s="1"/>
  <c r="Y419" i="3"/>
  <c r="Y419" i="4" s="1"/>
  <c r="D420" i="3"/>
  <c r="D420" i="4" s="1"/>
  <c r="P420" i="3"/>
  <c r="P420" i="4" s="1"/>
  <c r="AB420" i="3"/>
  <c r="AB420" i="4" s="1"/>
  <c r="G421" i="3"/>
  <c r="G421" i="4" s="1"/>
  <c r="S421" i="3"/>
  <c r="S421" i="4" s="1"/>
  <c r="J422" i="3"/>
  <c r="J422" i="4" s="1"/>
  <c r="V422" i="3"/>
  <c r="V422" i="4" s="1"/>
  <c r="A423" i="3"/>
  <c r="A423" i="4" s="1"/>
  <c r="M423" i="3"/>
  <c r="M423" i="4" s="1"/>
  <c r="Y423" i="3"/>
  <c r="Y423" i="4" s="1"/>
  <c r="D424" i="3"/>
  <c r="D424" i="4" s="1"/>
  <c r="P424" i="3"/>
  <c r="P424" i="4" s="1"/>
  <c r="AB424" i="3"/>
  <c r="AB424" i="4" s="1"/>
  <c r="G425" i="3"/>
  <c r="G425" i="4" s="1"/>
  <c r="S425" i="3"/>
  <c r="S425" i="4" s="1"/>
  <c r="J426" i="3"/>
  <c r="J426" i="4" s="1"/>
  <c r="V426" i="3"/>
  <c r="V426" i="4" s="1"/>
  <c r="A427" i="3"/>
  <c r="A427" i="4" s="1"/>
  <c r="M427" i="3"/>
  <c r="M427" i="4" s="1"/>
  <c r="Y427" i="3"/>
  <c r="Y427" i="4" s="1"/>
  <c r="D428" i="3"/>
  <c r="D428" i="4" s="1"/>
  <c r="P428" i="3"/>
  <c r="P428" i="4" s="1"/>
  <c r="AB428" i="3"/>
  <c r="AB428" i="4" s="1"/>
  <c r="G429" i="3"/>
  <c r="G429" i="4" s="1"/>
  <c r="S429" i="3"/>
  <c r="S429" i="4" s="1"/>
  <c r="J430" i="3"/>
  <c r="J430" i="4" s="1"/>
  <c r="V430" i="3"/>
  <c r="V430" i="4" s="1"/>
  <c r="A431" i="3"/>
  <c r="A431" i="4" s="1"/>
  <c r="M431" i="3"/>
  <c r="M431" i="4" s="1"/>
  <c r="Y431" i="3"/>
  <c r="Y431" i="4" s="1"/>
  <c r="D432" i="3"/>
  <c r="D432" i="4" s="1"/>
  <c r="P432" i="3"/>
  <c r="P432" i="4" s="1"/>
  <c r="AB432" i="3"/>
  <c r="AB432" i="4" s="1"/>
  <c r="G433" i="3"/>
  <c r="G433" i="4" s="1"/>
  <c r="O644" i="3"/>
  <c r="O644" i="4" s="1"/>
  <c r="AA644" i="3"/>
  <c r="AA644" i="4" s="1"/>
  <c r="F645" i="3"/>
  <c r="F645" i="4" s="1"/>
  <c r="R645" i="3"/>
  <c r="R645" i="4" s="1"/>
  <c r="I646" i="3"/>
  <c r="I646" i="4" s="1"/>
  <c r="U646" i="3"/>
  <c r="U646" i="4" s="1"/>
  <c r="L647" i="3"/>
  <c r="L647" i="4" s="1"/>
  <c r="X647" i="3"/>
  <c r="X647" i="4" s="1"/>
  <c r="C648" i="3"/>
  <c r="C648" i="4" s="1"/>
  <c r="O648" i="3"/>
  <c r="O648" i="4" s="1"/>
  <c r="AA648" i="3"/>
  <c r="AA648" i="4" s="1"/>
  <c r="F649" i="3"/>
  <c r="F649" i="4" s="1"/>
  <c r="R649" i="3"/>
  <c r="R649" i="4" s="1"/>
  <c r="I650" i="3"/>
  <c r="I650" i="4" s="1"/>
  <c r="U650" i="3"/>
  <c r="U650" i="4" s="1"/>
  <c r="L651" i="3"/>
  <c r="L651" i="4" s="1"/>
  <c r="X651" i="3"/>
  <c r="X651" i="4" s="1"/>
  <c r="C652" i="3"/>
  <c r="C652" i="4" s="1"/>
  <c r="O652" i="3"/>
  <c r="O652" i="4" s="1"/>
  <c r="AA652" i="3"/>
  <c r="AA652" i="4" s="1"/>
  <c r="F653" i="3"/>
  <c r="F653" i="4" s="1"/>
  <c r="R653" i="3"/>
  <c r="R653" i="4" s="1"/>
  <c r="I654" i="3"/>
  <c r="I654" i="4" s="1"/>
  <c r="U654" i="3"/>
  <c r="U654" i="4" s="1"/>
  <c r="L655" i="3"/>
  <c r="L655" i="4" s="1"/>
  <c r="X655" i="3"/>
  <c r="X655" i="4" s="1"/>
  <c r="C656" i="3"/>
  <c r="C656" i="4" s="1"/>
  <c r="O656" i="3"/>
  <c r="O656" i="4" s="1"/>
  <c r="AA656" i="3"/>
  <c r="AA656" i="4" s="1"/>
  <c r="F657" i="3"/>
  <c r="F657" i="4" s="1"/>
  <c r="R657" i="3"/>
  <c r="R657" i="4" s="1"/>
  <c r="I658" i="3"/>
  <c r="I658" i="4" s="1"/>
  <c r="U658" i="3"/>
  <c r="U658" i="4" s="1"/>
  <c r="L659" i="3"/>
  <c r="L659" i="4" s="1"/>
  <c r="X659" i="3"/>
  <c r="X659" i="4" s="1"/>
  <c r="C660" i="3"/>
  <c r="C660" i="4" s="1"/>
  <c r="O660" i="3"/>
  <c r="O660" i="4" s="1"/>
  <c r="AA660" i="3"/>
  <c r="AA660" i="4" s="1"/>
  <c r="F661" i="3"/>
  <c r="F661" i="4" s="1"/>
  <c r="R661" i="3"/>
  <c r="R661" i="4" s="1"/>
  <c r="I662" i="3"/>
  <c r="I662" i="4" s="1"/>
  <c r="U662" i="3"/>
  <c r="U662" i="4" s="1"/>
  <c r="L663" i="3"/>
  <c r="L663" i="4" s="1"/>
  <c r="X663" i="3"/>
  <c r="X663" i="4" s="1"/>
  <c r="C664" i="3"/>
  <c r="C664" i="4" s="1"/>
  <c r="O664" i="3"/>
  <c r="O664" i="4" s="1"/>
  <c r="AA664" i="3"/>
  <c r="AA664" i="4" s="1"/>
  <c r="F665" i="3"/>
  <c r="F665" i="4" s="1"/>
  <c r="R665" i="3"/>
  <c r="R665" i="4" s="1"/>
  <c r="I666" i="3"/>
  <c r="I666" i="4" s="1"/>
  <c r="U666" i="3"/>
  <c r="U666" i="4" s="1"/>
  <c r="L667" i="3"/>
  <c r="L667" i="4" s="1"/>
  <c r="X667" i="3"/>
  <c r="X667" i="4" s="1"/>
  <c r="C668" i="3"/>
  <c r="C668" i="4" s="1"/>
  <c r="O668" i="3"/>
  <c r="O668" i="4" s="1"/>
  <c r="AA668" i="3"/>
  <c r="AA668" i="4" s="1"/>
  <c r="F669" i="3"/>
  <c r="F669" i="4" s="1"/>
  <c r="R669" i="3"/>
  <c r="R669" i="4" s="1"/>
  <c r="I670" i="3"/>
  <c r="I670" i="4" s="1"/>
  <c r="U670" i="3"/>
  <c r="U670" i="4" s="1"/>
  <c r="L671" i="3"/>
  <c r="L671" i="4" s="1"/>
  <c r="X671" i="3"/>
  <c r="X671" i="4" s="1"/>
  <c r="C672" i="3"/>
  <c r="C672" i="4" s="1"/>
  <c r="O672" i="3"/>
  <c r="O672" i="4" s="1"/>
  <c r="AA672" i="3"/>
  <c r="AA672" i="4" s="1"/>
  <c r="F673" i="3"/>
  <c r="F673" i="4" s="1"/>
  <c r="R673" i="3"/>
  <c r="R673" i="4" s="1"/>
  <c r="I674" i="3"/>
  <c r="I674" i="4" s="1"/>
  <c r="U674" i="3"/>
  <c r="U674" i="4" s="1"/>
  <c r="L675" i="3"/>
  <c r="L675" i="4" s="1"/>
  <c r="X675" i="3"/>
  <c r="X675" i="4" s="1"/>
  <c r="C676" i="3"/>
  <c r="C676" i="4" s="1"/>
  <c r="O676" i="3"/>
  <c r="O676" i="4" s="1"/>
  <c r="AA676" i="3"/>
  <c r="AA676" i="4" s="1"/>
  <c r="F677" i="3"/>
  <c r="F677" i="4" s="1"/>
  <c r="R677" i="3"/>
  <c r="R677" i="4" s="1"/>
  <c r="I678" i="3"/>
  <c r="I678" i="4" s="1"/>
  <c r="U678" i="3"/>
  <c r="U678" i="4" s="1"/>
  <c r="L679" i="3"/>
  <c r="L679" i="4" s="1"/>
  <c r="X679" i="3"/>
  <c r="X679" i="4" s="1"/>
  <c r="C680" i="3"/>
  <c r="C680" i="4" s="1"/>
  <c r="O680" i="3"/>
  <c r="O680" i="4" s="1"/>
  <c r="AA680" i="3"/>
  <c r="AA680" i="4" s="1"/>
  <c r="F681" i="3"/>
  <c r="F681" i="4" s="1"/>
  <c r="R681" i="3"/>
  <c r="R681" i="4" s="1"/>
  <c r="S433" i="3"/>
  <c r="S433" i="4" s="1"/>
  <c r="J434" i="3"/>
  <c r="J434" i="4" s="1"/>
  <c r="V434" i="3"/>
  <c r="V434" i="4" s="1"/>
  <c r="A435" i="3"/>
  <c r="A435" i="4" s="1"/>
  <c r="M435" i="3"/>
  <c r="M435" i="4" s="1"/>
  <c r="Y435" i="3"/>
  <c r="Y435" i="4" s="1"/>
  <c r="D436" i="3"/>
  <c r="D436" i="4" s="1"/>
  <c r="P436" i="3"/>
  <c r="P436" i="4" s="1"/>
  <c r="AB436" i="3"/>
  <c r="AB436" i="4" s="1"/>
  <c r="G437" i="3"/>
  <c r="G437" i="4" s="1"/>
  <c r="S437" i="3"/>
  <c r="S437" i="4" s="1"/>
  <c r="J438" i="3"/>
  <c r="J438" i="4" s="1"/>
  <c r="V438" i="3"/>
  <c r="V438" i="4" s="1"/>
  <c r="A439" i="3"/>
  <c r="A439" i="4" s="1"/>
  <c r="M439" i="3"/>
  <c r="M439" i="4" s="1"/>
  <c r="Y439" i="3"/>
  <c r="Y439" i="4" s="1"/>
  <c r="D440" i="3"/>
  <c r="D440" i="4" s="1"/>
  <c r="P440" i="3"/>
  <c r="P440" i="4" s="1"/>
  <c r="AB440" i="3"/>
  <c r="AB440" i="4" s="1"/>
  <c r="G441" i="3"/>
  <c r="G441" i="4" s="1"/>
  <c r="S441" i="3"/>
  <c r="S441" i="4" s="1"/>
  <c r="J442" i="3"/>
  <c r="J442" i="4" s="1"/>
  <c r="V442" i="3"/>
  <c r="V442" i="4" s="1"/>
  <c r="A443" i="3"/>
  <c r="A443" i="4" s="1"/>
  <c r="M443" i="3"/>
  <c r="M443" i="4" s="1"/>
  <c r="Y443" i="3"/>
  <c r="Y443" i="4" s="1"/>
  <c r="D444" i="3"/>
  <c r="D444" i="4" s="1"/>
  <c r="P444" i="3"/>
  <c r="P444" i="4" s="1"/>
  <c r="AB444" i="3"/>
  <c r="AB444" i="4" s="1"/>
  <c r="G445" i="3"/>
  <c r="G445" i="4" s="1"/>
  <c r="S445" i="3"/>
  <c r="S445" i="4" s="1"/>
  <c r="J446" i="3"/>
  <c r="J446" i="4" s="1"/>
  <c r="V446" i="3"/>
  <c r="V446" i="4" s="1"/>
  <c r="A447" i="3"/>
  <c r="A447" i="4" s="1"/>
  <c r="M447" i="3"/>
  <c r="M447" i="4" s="1"/>
  <c r="Y447" i="3"/>
  <c r="Y447" i="4" s="1"/>
  <c r="D448" i="3"/>
  <c r="D448" i="4" s="1"/>
  <c r="P448" i="3"/>
  <c r="P448" i="4" s="1"/>
  <c r="AB448" i="3"/>
  <c r="AB448" i="4" s="1"/>
  <c r="G449" i="3"/>
  <c r="G449" i="4" s="1"/>
  <c r="S449" i="3"/>
  <c r="S449" i="4" s="1"/>
  <c r="J450" i="3"/>
  <c r="J450" i="4" s="1"/>
  <c r="V450" i="3"/>
  <c r="V450" i="4" s="1"/>
  <c r="A451" i="3"/>
  <c r="A451" i="4" s="1"/>
  <c r="M451" i="3"/>
  <c r="M451" i="4" s="1"/>
  <c r="Y451" i="3"/>
  <c r="Y451" i="4" s="1"/>
  <c r="D452" i="3"/>
  <c r="D452" i="4" s="1"/>
  <c r="P452" i="3"/>
  <c r="P452" i="4" s="1"/>
  <c r="AB452" i="3"/>
  <c r="AB452" i="4" s="1"/>
  <c r="G453" i="3"/>
  <c r="G453" i="4" s="1"/>
  <c r="S453" i="3"/>
  <c r="S453" i="4" s="1"/>
  <c r="J454" i="3"/>
  <c r="J454" i="4" s="1"/>
  <c r="V454" i="3"/>
  <c r="V454" i="4" s="1"/>
  <c r="A455" i="3"/>
  <c r="A455" i="4" s="1"/>
  <c r="M455" i="3"/>
  <c r="M455" i="4" s="1"/>
  <c r="Y455" i="3"/>
  <c r="Y455" i="4" s="1"/>
  <c r="D456" i="3"/>
  <c r="D456" i="4" s="1"/>
  <c r="E372" i="3"/>
  <c r="E372" i="4" s="1"/>
  <c r="Q372" i="3"/>
  <c r="Q372" i="4" s="1"/>
  <c r="H373" i="3"/>
  <c r="H373" i="4" s="1"/>
  <c r="T373" i="3"/>
  <c r="T373" i="4" s="1"/>
  <c r="K374" i="3"/>
  <c r="K374" i="4" s="1"/>
  <c r="W374" i="3"/>
  <c r="W374" i="4" s="1"/>
  <c r="B375" i="3"/>
  <c r="B375" i="4" s="1"/>
  <c r="N375" i="3"/>
  <c r="N375" i="4" s="1"/>
  <c r="Z375" i="3"/>
  <c r="Z375" i="4" s="1"/>
  <c r="E376" i="3"/>
  <c r="E376" i="4" s="1"/>
  <c r="Q376" i="3"/>
  <c r="Q376" i="4" s="1"/>
  <c r="H377" i="3"/>
  <c r="H377" i="4" s="1"/>
  <c r="T377" i="3"/>
  <c r="T377" i="4" s="1"/>
  <c r="K378" i="3"/>
  <c r="K378" i="4" s="1"/>
  <c r="W378" i="3"/>
  <c r="W378" i="4" s="1"/>
  <c r="B379" i="3"/>
  <c r="B379" i="4" s="1"/>
  <c r="N379" i="3"/>
  <c r="N379" i="4" s="1"/>
  <c r="Z379" i="3"/>
  <c r="Z379" i="4" s="1"/>
  <c r="E380" i="3"/>
  <c r="E380" i="4" s="1"/>
  <c r="Q380" i="3"/>
  <c r="Q380" i="4" s="1"/>
  <c r="H381" i="3"/>
  <c r="H381" i="4" s="1"/>
  <c r="T381" i="3"/>
  <c r="T381" i="4" s="1"/>
  <c r="K382" i="3"/>
  <c r="K382" i="4" s="1"/>
  <c r="W382" i="3"/>
  <c r="W382" i="4" s="1"/>
  <c r="B383" i="3"/>
  <c r="B383" i="4" s="1"/>
  <c r="N383" i="3"/>
  <c r="N383" i="4" s="1"/>
  <c r="Z383" i="3"/>
  <c r="Z383" i="4" s="1"/>
  <c r="E384" i="3"/>
  <c r="E384" i="4" s="1"/>
  <c r="Q384" i="3"/>
  <c r="Q384" i="4" s="1"/>
  <c r="H385" i="3"/>
  <c r="H385" i="4" s="1"/>
  <c r="T385" i="3"/>
  <c r="T385" i="4" s="1"/>
  <c r="K386" i="3"/>
  <c r="K386" i="4" s="1"/>
  <c r="W386" i="3"/>
  <c r="W386" i="4" s="1"/>
  <c r="B387" i="3"/>
  <c r="B387" i="4" s="1"/>
  <c r="N387" i="3"/>
  <c r="N387" i="4" s="1"/>
  <c r="Z387" i="3"/>
  <c r="Z387" i="4" s="1"/>
  <c r="E388" i="3"/>
  <c r="E388" i="4" s="1"/>
  <c r="Q388" i="3"/>
  <c r="Q388" i="4" s="1"/>
  <c r="H389" i="3"/>
  <c r="H389" i="4" s="1"/>
  <c r="T389" i="3"/>
  <c r="T389" i="4" s="1"/>
  <c r="K390" i="3"/>
  <c r="K390" i="4" s="1"/>
  <c r="W390" i="3"/>
  <c r="W390" i="4" s="1"/>
  <c r="B391" i="3"/>
  <c r="B391" i="4" s="1"/>
  <c r="N391" i="3"/>
  <c r="N391" i="4" s="1"/>
  <c r="Z391" i="3"/>
  <c r="Z391" i="4" s="1"/>
  <c r="E392" i="3"/>
  <c r="E392" i="4" s="1"/>
  <c r="Q392" i="3"/>
  <c r="Q392" i="4" s="1"/>
  <c r="H393" i="3"/>
  <c r="H393" i="4" s="1"/>
  <c r="T393" i="3"/>
  <c r="T393" i="4" s="1"/>
  <c r="K394" i="3"/>
  <c r="K394" i="4" s="1"/>
  <c r="W394" i="3"/>
  <c r="W394" i="4" s="1"/>
  <c r="B395" i="3"/>
  <c r="B395" i="4" s="1"/>
  <c r="N395" i="3"/>
  <c r="N395" i="4" s="1"/>
  <c r="Z395" i="3"/>
  <c r="Z395" i="4" s="1"/>
  <c r="E396" i="3"/>
  <c r="E396" i="4" s="1"/>
  <c r="Q396" i="3"/>
  <c r="Q396" i="4" s="1"/>
  <c r="H397" i="3"/>
  <c r="H397" i="4" s="1"/>
  <c r="T397" i="3"/>
  <c r="T397" i="4" s="1"/>
  <c r="K398" i="3"/>
  <c r="K398" i="4" s="1"/>
  <c r="W398" i="3"/>
  <c r="W398" i="4" s="1"/>
  <c r="B399" i="3"/>
  <c r="B399" i="4" s="1"/>
  <c r="N399" i="3"/>
  <c r="N399" i="4" s="1"/>
  <c r="Z399" i="3"/>
  <c r="Z399" i="4" s="1"/>
  <c r="E400" i="3"/>
  <c r="E400" i="4" s="1"/>
  <c r="Q400" i="3"/>
  <c r="Q400" i="4" s="1"/>
  <c r="H401" i="3"/>
  <c r="H401" i="4" s="1"/>
  <c r="T401" i="3"/>
  <c r="T401" i="4" s="1"/>
  <c r="K402" i="3"/>
  <c r="K402" i="4" s="1"/>
  <c r="W402" i="3"/>
  <c r="W402" i="4" s="1"/>
  <c r="B403" i="3"/>
  <c r="B403" i="4" s="1"/>
  <c r="N403" i="3"/>
  <c r="N403" i="4" s="1"/>
  <c r="Z403" i="3"/>
  <c r="Z403" i="4" s="1"/>
  <c r="E404" i="3"/>
  <c r="E404" i="4" s="1"/>
  <c r="Q404" i="3"/>
  <c r="Q404" i="4" s="1"/>
  <c r="H405" i="3"/>
  <c r="H405" i="4" s="1"/>
  <c r="T405" i="3"/>
  <c r="T405" i="4" s="1"/>
  <c r="K406" i="3"/>
  <c r="K406" i="4" s="1"/>
  <c r="W406" i="3"/>
  <c r="W406" i="4" s="1"/>
  <c r="B407" i="3"/>
  <c r="B407" i="4" s="1"/>
  <c r="N407" i="3"/>
  <c r="N407" i="4" s="1"/>
  <c r="Z407" i="3"/>
  <c r="Z407" i="4" s="1"/>
  <c r="E408" i="3"/>
  <c r="E408" i="4" s="1"/>
  <c r="Q408" i="3"/>
  <c r="Q408" i="4" s="1"/>
  <c r="H409" i="3"/>
  <c r="H409" i="4" s="1"/>
  <c r="T409" i="3"/>
  <c r="T409" i="4" s="1"/>
  <c r="K410" i="3"/>
  <c r="K410" i="4" s="1"/>
  <c r="W410" i="3"/>
  <c r="W410" i="4" s="1"/>
  <c r="B411" i="3"/>
  <c r="B411" i="4" s="1"/>
  <c r="N411" i="3"/>
  <c r="N411" i="4" s="1"/>
  <c r="Z411" i="3"/>
  <c r="Z411" i="4" s="1"/>
  <c r="E412" i="3"/>
  <c r="E412" i="4" s="1"/>
  <c r="Q412" i="3"/>
  <c r="Q412" i="4" s="1"/>
  <c r="H413" i="3"/>
  <c r="H413" i="4" s="1"/>
  <c r="T413" i="3"/>
  <c r="T413" i="4" s="1"/>
  <c r="K414" i="3"/>
  <c r="K414" i="4" s="1"/>
  <c r="W414" i="3"/>
  <c r="W414" i="4" s="1"/>
  <c r="B415" i="3"/>
  <c r="B415" i="4" s="1"/>
  <c r="N415" i="3"/>
  <c r="N415" i="4" s="1"/>
  <c r="Z415" i="3"/>
  <c r="Z415" i="4" s="1"/>
  <c r="E416" i="3"/>
  <c r="E416" i="4" s="1"/>
  <c r="Q416" i="3"/>
  <c r="Q416" i="4" s="1"/>
  <c r="H417" i="3"/>
  <c r="H417" i="4" s="1"/>
  <c r="T417" i="3"/>
  <c r="T417" i="4" s="1"/>
  <c r="K418" i="3"/>
  <c r="K418" i="4" s="1"/>
  <c r="W418" i="3"/>
  <c r="W418" i="4" s="1"/>
  <c r="B419" i="3"/>
  <c r="B419" i="4" s="1"/>
  <c r="N419" i="3"/>
  <c r="N419" i="4" s="1"/>
  <c r="Z419" i="3"/>
  <c r="Z419" i="4" s="1"/>
  <c r="E420" i="3"/>
  <c r="E420" i="4" s="1"/>
  <c r="Q420" i="3"/>
  <c r="Q420" i="4" s="1"/>
  <c r="H421" i="3"/>
  <c r="H421" i="4" s="1"/>
  <c r="T421" i="3"/>
  <c r="T421" i="4" s="1"/>
  <c r="K422" i="3"/>
  <c r="K422" i="4" s="1"/>
  <c r="W422" i="3"/>
  <c r="W422" i="4" s="1"/>
  <c r="B423" i="3"/>
  <c r="B423" i="4" s="1"/>
  <c r="N423" i="3"/>
  <c r="N423" i="4" s="1"/>
  <c r="Z423" i="3"/>
  <c r="Z423" i="4" s="1"/>
  <c r="E424" i="3"/>
  <c r="E424" i="4" s="1"/>
  <c r="Q424" i="3"/>
  <c r="Q424" i="4" s="1"/>
  <c r="H425" i="3"/>
  <c r="H425" i="4" s="1"/>
  <c r="T425" i="3"/>
  <c r="T425" i="4" s="1"/>
  <c r="K426" i="3"/>
  <c r="K426" i="4" s="1"/>
  <c r="W426" i="3"/>
  <c r="W426" i="4" s="1"/>
  <c r="B427" i="3"/>
  <c r="B427" i="4" s="1"/>
  <c r="N427" i="3"/>
  <c r="N427" i="4" s="1"/>
  <c r="Z427" i="3"/>
  <c r="Z427" i="4" s="1"/>
  <c r="E428" i="3"/>
  <c r="E428" i="4" s="1"/>
  <c r="Q428" i="3"/>
  <c r="Q428" i="4" s="1"/>
  <c r="H429" i="3"/>
  <c r="H429" i="4" s="1"/>
  <c r="T429" i="3"/>
  <c r="T429" i="4" s="1"/>
  <c r="K430" i="3"/>
  <c r="K430" i="4" s="1"/>
  <c r="W430" i="3"/>
  <c r="W430" i="4" s="1"/>
  <c r="B431" i="3"/>
  <c r="B431" i="4" s="1"/>
  <c r="N431" i="3"/>
  <c r="N431" i="4" s="1"/>
  <c r="Z431" i="3"/>
  <c r="Z431" i="4" s="1"/>
  <c r="E432" i="3"/>
  <c r="E432" i="4" s="1"/>
  <c r="Q432" i="3"/>
  <c r="Q432" i="4" s="1"/>
  <c r="H433" i="3"/>
  <c r="H433" i="4" s="1"/>
  <c r="T433" i="3"/>
  <c r="T433" i="4" s="1"/>
  <c r="K434" i="3"/>
  <c r="K434" i="4" s="1"/>
  <c r="M619" i="3"/>
  <c r="M619" i="4" s="1"/>
  <c r="V726" i="3"/>
  <c r="V726" i="4" s="1"/>
  <c r="A727" i="3"/>
  <c r="A727" i="4" s="1"/>
  <c r="M727" i="3"/>
  <c r="M727" i="4" s="1"/>
  <c r="Y727" i="3"/>
  <c r="Y727" i="4" s="1"/>
  <c r="D728" i="3"/>
  <c r="D728" i="4" s="1"/>
  <c r="P728" i="3"/>
  <c r="P728" i="4" s="1"/>
  <c r="AB728" i="3"/>
  <c r="AB728" i="4" s="1"/>
  <c r="G729" i="3"/>
  <c r="G729" i="4" s="1"/>
  <c r="S729" i="3"/>
  <c r="S729" i="4" s="1"/>
  <c r="J730" i="3"/>
  <c r="J730" i="4" s="1"/>
  <c r="V730" i="3"/>
  <c r="V730" i="4" s="1"/>
  <c r="A731" i="3"/>
  <c r="A731" i="4" s="1"/>
  <c r="M731" i="3"/>
  <c r="M731" i="4" s="1"/>
  <c r="Y731" i="3"/>
  <c r="Y731" i="4" s="1"/>
  <c r="D732" i="3"/>
  <c r="D732" i="4" s="1"/>
  <c r="P732" i="3"/>
  <c r="P732" i="4" s="1"/>
  <c r="AB732" i="3"/>
  <c r="AB732" i="4" s="1"/>
  <c r="G733" i="3"/>
  <c r="G733" i="4" s="1"/>
  <c r="S733" i="3"/>
  <c r="S733" i="4" s="1"/>
  <c r="J734" i="3"/>
  <c r="J734" i="4" s="1"/>
  <c r="V734" i="3"/>
  <c r="V734" i="4" s="1"/>
  <c r="A735" i="3"/>
  <c r="A735" i="4" s="1"/>
  <c r="M735" i="3"/>
  <c r="M735" i="4" s="1"/>
  <c r="Y735" i="3"/>
  <c r="Y735" i="4" s="1"/>
  <c r="D736" i="3"/>
  <c r="D736" i="4" s="1"/>
  <c r="P736" i="3"/>
  <c r="P736" i="4" s="1"/>
  <c r="AB736" i="3"/>
  <c r="AB736" i="4" s="1"/>
  <c r="G737" i="3"/>
  <c r="G737" i="4" s="1"/>
  <c r="S737" i="3"/>
  <c r="S737" i="4" s="1"/>
  <c r="J738" i="3"/>
  <c r="J738" i="4" s="1"/>
  <c r="V738" i="3"/>
  <c r="V738" i="4" s="1"/>
  <c r="A739" i="3"/>
  <c r="A739" i="4" s="1"/>
  <c r="M739" i="3"/>
  <c r="M739" i="4" s="1"/>
  <c r="Y739" i="3"/>
  <c r="Y739" i="4" s="1"/>
  <c r="D740" i="3"/>
  <c r="D740" i="4" s="1"/>
  <c r="P740" i="3"/>
  <c r="P740" i="4" s="1"/>
  <c r="AB740" i="3"/>
  <c r="AB740" i="4" s="1"/>
  <c r="G741" i="3"/>
  <c r="G741" i="4" s="1"/>
  <c r="S741" i="3"/>
  <c r="S741" i="4" s="1"/>
  <c r="J742" i="3"/>
  <c r="J742" i="4" s="1"/>
  <c r="V742" i="3"/>
  <c r="V742" i="4" s="1"/>
  <c r="A743" i="3"/>
  <c r="A743" i="4" s="1"/>
  <c r="M743" i="3"/>
  <c r="M743" i="4" s="1"/>
  <c r="Y743" i="3"/>
  <c r="Y743" i="4" s="1"/>
  <c r="D744" i="3"/>
  <c r="D744" i="4" s="1"/>
  <c r="P744" i="3"/>
  <c r="P744" i="4" s="1"/>
  <c r="AB744" i="3"/>
  <c r="AB744" i="4" s="1"/>
  <c r="G745" i="3"/>
  <c r="G745" i="4" s="1"/>
  <c r="S745" i="3"/>
  <c r="S745" i="4" s="1"/>
  <c r="J746" i="3"/>
  <c r="J746" i="4" s="1"/>
  <c r="V746" i="3"/>
  <c r="V746" i="4" s="1"/>
  <c r="A747" i="3"/>
  <c r="A747" i="4" s="1"/>
  <c r="M747" i="3"/>
  <c r="M747" i="4" s="1"/>
  <c r="Y747" i="3"/>
  <c r="Y747" i="4" s="1"/>
  <c r="D748" i="3"/>
  <c r="D748" i="4" s="1"/>
  <c r="P748" i="3"/>
  <c r="P748" i="4" s="1"/>
  <c r="AB748" i="3"/>
  <c r="AB748" i="4" s="1"/>
  <c r="G749" i="3"/>
  <c r="G749" i="4" s="1"/>
  <c r="S749" i="3"/>
  <c r="S749" i="4" s="1"/>
  <c r="J750" i="3"/>
  <c r="J750" i="4" s="1"/>
  <c r="V750" i="3"/>
  <c r="V750" i="4" s="1"/>
  <c r="A751" i="3"/>
  <c r="A751" i="4" s="1"/>
  <c r="G752" i="3"/>
  <c r="G752" i="4" s="1"/>
  <c r="S752" i="3"/>
  <c r="S752" i="4" s="1"/>
  <c r="L753" i="3"/>
  <c r="L753" i="4" s="1"/>
  <c r="W434" i="3"/>
  <c r="W434" i="4" s="1"/>
  <c r="B435" i="3"/>
  <c r="B435" i="4" s="1"/>
  <c r="N435" i="3"/>
  <c r="N435" i="4" s="1"/>
  <c r="Z435" i="3"/>
  <c r="Z435" i="4" s="1"/>
  <c r="E436" i="3"/>
  <c r="E436" i="4" s="1"/>
  <c r="Q436" i="3"/>
  <c r="Q436" i="4" s="1"/>
  <c r="H437" i="3"/>
  <c r="H437" i="4" s="1"/>
  <c r="T437" i="3"/>
  <c r="T437" i="4" s="1"/>
  <c r="K438" i="3"/>
  <c r="K438" i="4" s="1"/>
  <c r="W438" i="3"/>
  <c r="W438" i="4" s="1"/>
  <c r="B439" i="3"/>
  <c r="B439" i="4" s="1"/>
  <c r="N439" i="3"/>
  <c r="N439" i="4" s="1"/>
  <c r="Z439" i="3"/>
  <c r="Z439" i="4" s="1"/>
  <c r="E440" i="3"/>
  <c r="E440" i="4" s="1"/>
  <c r="Q440" i="3"/>
  <c r="Q440" i="4" s="1"/>
  <c r="H441" i="3"/>
  <c r="H441" i="4" s="1"/>
  <c r="T441" i="3"/>
  <c r="T441" i="4" s="1"/>
  <c r="K442" i="3"/>
  <c r="K442" i="4" s="1"/>
  <c r="W442" i="3"/>
  <c r="W442" i="4" s="1"/>
  <c r="B443" i="3"/>
  <c r="B443" i="4" s="1"/>
  <c r="N443" i="3"/>
  <c r="N443" i="4" s="1"/>
  <c r="Z443" i="3"/>
  <c r="Z443" i="4" s="1"/>
  <c r="E444" i="3"/>
  <c r="E444" i="4" s="1"/>
  <c r="Q444" i="3"/>
  <c r="Q444" i="4" s="1"/>
  <c r="H445" i="3"/>
  <c r="H445" i="4" s="1"/>
  <c r="T445" i="3"/>
  <c r="T445" i="4" s="1"/>
  <c r="K446" i="3"/>
  <c r="K446" i="4" s="1"/>
  <c r="W446" i="3"/>
  <c r="W446" i="4" s="1"/>
  <c r="B447" i="3"/>
  <c r="B447" i="4" s="1"/>
  <c r="N447" i="3"/>
  <c r="N447" i="4" s="1"/>
  <c r="Z447" i="3"/>
  <c r="Z447" i="4" s="1"/>
  <c r="E448" i="3"/>
  <c r="E448" i="4" s="1"/>
  <c r="Q448" i="3"/>
  <c r="Q448" i="4" s="1"/>
  <c r="H449" i="3"/>
  <c r="H449" i="4" s="1"/>
  <c r="T449" i="3"/>
  <c r="T449" i="4" s="1"/>
  <c r="K450" i="3"/>
  <c r="K450" i="4" s="1"/>
  <c r="W450" i="3"/>
  <c r="W450" i="4" s="1"/>
  <c r="B451" i="3"/>
  <c r="B451" i="4" s="1"/>
  <c r="N451" i="3"/>
  <c r="N451" i="4" s="1"/>
  <c r="Z451" i="3"/>
  <c r="Z451" i="4" s="1"/>
  <c r="E452" i="3"/>
  <c r="E452" i="4" s="1"/>
  <c r="Q452" i="3"/>
  <c r="Q452" i="4" s="1"/>
  <c r="H453" i="3"/>
  <c r="H453" i="4" s="1"/>
  <c r="T453" i="3"/>
  <c r="T453" i="4" s="1"/>
  <c r="K454" i="3"/>
  <c r="K454" i="4" s="1"/>
  <c r="W454" i="3"/>
  <c r="W454" i="4" s="1"/>
  <c r="B455" i="3"/>
  <c r="B455" i="4" s="1"/>
  <c r="N455" i="3"/>
  <c r="N455" i="4" s="1"/>
  <c r="Z455" i="3"/>
  <c r="Z455" i="4" s="1"/>
  <c r="E456" i="3"/>
  <c r="E456" i="4" s="1"/>
  <c r="Q456" i="3"/>
  <c r="Q456" i="4" s="1"/>
  <c r="H457" i="3"/>
  <c r="H457" i="4" s="1"/>
  <c r="T457" i="3"/>
  <c r="T457" i="4" s="1"/>
  <c r="K458" i="3"/>
  <c r="K458" i="4" s="1"/>
  <c r="W458" i="3"/>
  <c r="W458" i="4" s="1"/>
  <c r="B459" i="3"/>
  <c r="B459" i="4" s="1"/>
  <c r="N459" i="3"/>
  <c r="N459" i="4" s="1"/>
  <c r="Z459" i="3"/>
  <c r="Z459" i="4" s="1"/>
  <c r="E460" i="3"/>
  <c r="E460" i="4" s="1"/>
  <c r="Q460" i="3"/>
  <c r="Q460" i="4" s="1"/>
  <c r="H461" i="3"/>
  <c r="H461" i="4" s="1"/>
  <c r="T461" i="3"/>
  <c r="T461" i="4" s="1"/>
  <c r="K462" i="3"/>
  <c r="K462" i="4" s="1"/>
  <c r="W462" i="3"/>
  <c r="W462" i="4" s="1"/>
  <c r="B463" i="3"/>
  <c r="B463" i="4" s="1"/>
  <c r="N463" i="3"/>
  <c r="N463" i="4" s="1"/>
  <c r="Z463" i="3"/>
  <c r="Z463" i="4" s="1"/>
  <c r="E464" i="3"/>
  <c r="E464" i="4" s="1"/>
  <c r="Q464" i="3"/>
  <c r="Q464" i="4" s="1"/>
  <c r="H465" i="3"/>
  <c r="H465" i="4" s="1"/>
  <c r="T465" i="3"/>
  <c r="T465" i="4" s="1"/>
  <c r="K466" i="3"/>
  <c r="K466" i="4" s="1"/>
  <c r="W466" i="3"/>
  <c r="W466" i="4" s="1"/>
  <c r="B467" i="3"/>
  <c r="B467" i="4" s="1"/>
  <c r="N467" i="3"/>
  <c r="N467" i="4" s="1"/>
  <c r="Z467" i="3"/>
  <c r="Z467" i="4" s="1"/>
  <c r="E468" i="3"/>
  <c r="E468" i="4" s="1"/>
  <c r="Q468" i="3"/>
  <c r="Q468" i="4" s="1"/>
  <c r="H469" i="3"/>
  <c r="H469" i="4" s="1"/>
  <c r="T469" i="3"/>
  <c r="T469" i="4" s="1"/>
  <c r="K470" i="3"/>
  <c r="K470" i="4" s="1"/>
  <c r="W470" i="3"/>
  <c r="W470" i="4" s="1"/>
  <c r="B471" i="3"/>
  <c r="B471" i="4" s="1"/>
  <c r="N471" i="3"/>
  <c r="N471" i="4" s="1"/>
  <c r="Z471" i="3"/>
  <c r="Z471" i="4" s="1"/>
  <c r="R714" i="3"/>
  <c r="R714" i="4" s="1"/>
  <c r="I715" i="3"/>
  <c r="I715" i="4" s="1"/>
  <c r="U715" i="3"/>
  <c r="U715" i="4" s="1"/>
  <c r="L716" i="3"/>
  <c r="L716" i="4" s="1"/>
  <c r="X716" i="3"/>
  <c r="X716" i="4" s="1"/>
  <c r="C717" i="3"/>
  <c r="C717" i="4" s="1"/>
  <c r="O717" i="3"/>
  <c r="O717" i="4" s="1"/>
  <c r="AA717" i="3"/>
  <c r="AA717" i="4" s="1"/>
  <c r="F718" i="3"/>
  <c r="F718" i="4" s="1"/>
  <c r="R718" i="3"/>
  <c r="R718" i="4" s="1"/>
  <c r="I719" i="3"/>
  <c r="I719" i="4" s="1"/>
  <c r="U719" i="3"/>
  <c r="U719" i="4" s="1"/>
  <c r="L720" i="3"/>
  <c r="L720" i="4" s="1"/>
  <c r="X720" i="3"/>
  <c r="X720" i="4" s="1"/>
  <c r="C721" i="3"/>
  <c r="C721" i="4" s="1"/>
  <c r="O721" i="3"/>
  <c r="O721" i="4" s="1"/>
  <c r="AA721" i="3"/>
  <c r="AA721" i="4" s="1"/>
  <c r="F722" i="3"/>
  <c r="F722" i="4" s="1"/>
  <c r="R722" i="3"/>
  <c r="R722" i="4" s="1"/>
  <c r="I723" i="3"/>
  <c r="I723" i="4" s="1"/>
  <c r="U723" i="3"/>
  <c r="U723" i="4" s="1"/>
  <c r="L724" i="3"/>
  <c r="L724" i="4" s="1"/>
  <c r="X724" i="3"/>
  <c r="X724" i="4" s="1"/>
  <c r="C725" i="3"/>
  <c r="C725" i="4" s="1"/>
  <c r="O725" i="3"/>
  <c r="O725" i="4" s="1"/>
  <c r="AA725" i="3"/>
  <c r="AA725" i="4" s="1"/>
  <c r="F726" i="3"/>
  <c r="F726" i="4" s="1"/>
  <c r="R726" i="3"/>
  <c r="R726" i="4" s="1"/>
  <c r="I727" i="3"/>
  <c r="I727" i="4" s="1"/>
  <c r="U727" i="3"/>
  <c r="U727" i="4" s="1"/>
  <c r="L728" i="3"/>
  <c r="L728" i="4" s="1"/>
  <c r="X728" i="3"/>
  <c r="X728" i="4" s="1"/>
  <c r="C729" i="3"/>
  <c r="C729" i="4" s="1"/>
  <c r="O729" i="3"/>
  <c r="O729" i="4" s="1"/>
  <c r="AA729" i="3"/>
  <c r="AA729" i="4" s="1"/>
  <c r="F730" i="3"/>
  <c r="F730" i="4" s="1"/>
  <c r="R730" i="3"/>
  <c r="R730" i="4" s="1"/>
  <c r="I731" i="3"/>
  <c r="I731" i="4" s="1"/>
  <c r="U731" i="3"/>
  <c r="U731" i="4" s="1"/>
  <c r="L732" i="3"/>
  <c r="L732" i="4" s="1"/>
  <c r="X732" i="3"/>
  <c r="X732" i="4" s="1"/>
  <c r="C733" i="3"/>
  <c r="C733" i="4" s="1"/>
  <c r="O733" i="3"/>
  <c r="O733" i="4" s="1"/>
  <c r="AA733" i="3"/>
  <c r="AA733" i="4" s="1"/>
  <c r="F734" i="3"/>
  <c r="F734" i="4" s="1"/>
  <c r="R734" i="3"/>
  <c r="R734" i="4" s="1"/>
  <c r="I735" i="3"/>
  <c r="I735" i="4" s="1"/>
  <c r="U735" i="3"/>
  <c r="U735" i="4" s="1"/>
  <c r="L736" i="3"/>
  <c r="L736" i="4" s="1"/>
  <c r="X736" i="3"/>
  <c r="X736" i="4" s="1"/>
  <c r="C737" i="3"/>
  <c r="C737" i="4" s="1"/>
  <c r="O737" i="3"/>
  <c r="O737" i="4" s="1"/>
  <c r="AA737" i="3"/>
  <c r="AA737" i="4" s="1"/>
  <c r="F738" i="3"/>
  <c r="F738" i="4" s="1"/>
  <c r="R738" i="3"/>
  <c r="R738" i="4" s="1"/>
  <c r="I739" i="3"/>
  <c r="I739" i="4" s="1"/>
  <c r="U739" i="3"/>
  <c r="U739" i="4" s="1"/>
  <c r="L740" i="3"/>
  <c r="L740" i="4" s="1"/>
  <c r="X740" i="3"/>
  <c r="X740" i="4" s="1"/>
  <c r="C741" i="3"/>
  <c r="C741" i="4" s="1"/>
  <c r="O741" i="3"/>
  <c r="O741" i="4" s="1"/>
  <c r="AA741" i="3"/>
  <c r="AA741" i="4" s="1"/>
  <c r="F742" i="3"/>
  <c r="F742" i="4" s="1"/>
  <c r="R742" i="3"/>
  <c r="R742" i="4" s="1"/>
  <c r="I743" i="3"/>
  <c r="I743" i="4" s="1"/>
  <c r="U743" i="3"/>
  <c r="U743" i="4" s="1"/>
  <c r="L744" i="3"/>
  <c r="L744" i="4" s="1"/>
  <c r="X744" i="3"/>
  <c r="X744" i="4" s="1"/>
  <c r="C745" i="3"/>
  <c r="C745" i="4" s="1"/>
  <c r="O745" i="3"/>
  <c r="O745" i="4" s="1"/>
  <c r="AA745" i="3"/>
  <c r="AA745" i="4" s="1"/>
  <c r="F746" i="3"/>
  <c r="F746" i="4" s="1"/>
  <c r="R746" i="3"/>
  <c r="R746" i="4" s="1"/>
  <c r="I747" i="3"/>
  <c r="I747" i="4" s="1"/>
  <c r="U747" i="3"/>
  <c r="U747" i="4" s="1"/>
  <c r="L748" i="3"/>
  <c r="L748" i="4" s="1"/>
  <c r="X748" i="3"/>
  <c r="X748" i="4" s="1"/>
  <c r="C749" i="3"/>
  <c r="C749" i="4" s="1"/>
  <c r="O749" i="3"/>
  <c r="O749" i="4" s="1"/>
  <c r="AA749" i="3"/>
  <c r="AA749" i="4" s="1"/>
  <c r="F750" i="3"/>
  <c r="F750" i="4" s="1"/>
  <c r="R750" i="3"/>
  <c r="R750" i="4" s="1"/>
  <c r="J751" i="3"/>
  <c r="J751" i="4" s="1"/>
  <c r="V751" i="3"/>
  <c r="V751" i="4" s="1"/>
  <c r="U753" i="3"/>
  <c r="U753" i="4" s="1"/>
  <c r="Y750" i="3"/>
  <c r="Y750" i="4" s="1"/>
  <c r="Q753" i="3"/>
  <c r="Q753" i="4" s="1"/>
  <c r="Y221" i="3"/>
  <c r="Y221" i="4" s="1"/>
  <c r="D222" i="3"/>
  <c r="D222" i="4" s="1"/>
  <c r="P222" i="3"/>
  <c r="P222" i="4" s="1"/>
  <c r="AB222" i="3"/>
  <c r="AB222" i="4" s="1"/>
  <c r="G223" i="3"/>
  <c r="G223" i="4" s="1"/>
  <c r="S223" i="3"/>
  <c r="S223" i="4" s="1"/>
  <c r="J224" i="3"/>
  <c r="J224" i="4" s="1"/>
  <c r="V224" i="3"/>
  <c r="V224" i="4" s="1"/>
  <c r="A225" i="3"/>
  <c r="A225" i="4" s="1"/>
  <c r="M225" i="3"/>
  <c r="M225" i="4" s="1"/>
  <c r="Y225" i="3"/>
  <c r="Y225" i="4" s="1"/>
  <c r="D226" i="3"/>
  <c r="D226" i="4" s="1"/>
  <c r="P226" i="3"/>
  <c r="P226" i="4" s="1"/>
  <c r="AB226" i="3"/>
  <c r="AB226" i="4" s="1"/>
  <c r="G227" i="3"/>
  <c r="G227" i="4" s="1"/>
  <c r="S227" i="3"/>
  <c r="S227" i="4" s="1"/>
  <c r="J228" i="3"/>
  <c r="J228" i="4" s="1"/>
  <c r="V228" i="3"/>
  <c r="V228" i="4" s="1"/>
  <c r="A229" i="3"/>
  <c r="A229" i="4" s="1"/>
  <c r="M229" i="3"/>
  <c r="M229" i="4" s="1"/>
  <c r="Y229" i="3"/>
  <c r="Y229" i="4" s="1"/>
  <c r="D230" i="3"/>
  <c r="D230" i="4" s="1"/>
  <c r="P230" i="3"/>
  <c r="P230" i="4" s="1"/>
  <c r="AB230" i="3"/>
  <c r="AB230" i="4" s="1"/>
  <c r="G231" i="3"/>
  <c r="G231" i="4" s="1"/>
  <c r="S231" i="3"/>
  <c r="S231" i="4" s="1"/>
  <c r="J232" i="3"/>
  <c r="J232" i="4" s="1"/>
  <c r="V232" i="3"/>
  <c r="V232" i="4" s="1"/>
  <c r="A233" i="3"/>
  <c r="A233" i="4" s="1"/>
  <c r="M233" i="3"/>
  <c r="M233" i="4" s="1"/>
  <c r="Y233" i="3"/>
  <c r="Y233" i="4" s="1"/>
  <c r="D234" i="3"/>
  <c r="D234" i="4" s="1"/>
  <c r="P234" i="3"/>
  <c r="P234" i="4" s="1"/>
  <c r="AB234" i="3"/>
  <c r="AB234" i="4" s="1"/>
  <c r="G235" i="3"/>
  <c r="G235" i="4" s="1"/>
  <c r="S235" i="3"/>
  <c r="S235" i="4" s="1"/>
  <c r="J236" i="3"/>
  <c r="J236" i="4" s="1"/>
  <c r="V236" i="3"/>
  <c r="V236" i="4" s="1"/>
  <c r="A237" i="3"/>
  <c r="A237" i="4" s="1"/>
  <c r="M237" i="3"/>
  <c r="M237" i="4" s="1"/>
  <c r="Y237" i="3"/>
  <c r="Y237" i="4" s="1"/>
  <c r="D238" i="3"/>
  <c r="D238" i="4" s="1"/>
  <c r="P238" i="3"/>
  <c r="P238" i="4" s="1"/>
  <c r="AB238" i="3"/>
  <c r="AB238" i="4" s="1"/>
  <c r="G239" i="3"/>
  <c r="G239" i="4" s="1"/>
  <c r="S239" i="3"/>
  <c r="S239" i="4" s="1"/>
  <c r="J240" i="3"/>
  <c r="J240" i="4" s="1"/>
  <c r="V240" i="3"/>
  <c r="V240" i="4" s="1"/>
  <c r="A241" i="3"/>
  <c r="A241" i="4" s="1"/>
  <c r="M241" i="3"/>
  <c r="M241" i="4" s="1"/>
  <c r="Y241" i="3"/>
  <c r="Y241" i="4" s="1"/>
  <c r="D242" i="3"/>
  <c r="D242" i="4" s="1"/>
  <c r="P242" i="3"/>
  <c r="P242" i="4" s="1"/>
  <c r="AB242" i="3"/>
  <c r="AB242" i="4" s="1"/>
  <c r="G243" i="3"/>
  <c r="G243" i="4" s="1"/>
  <c r="S243" i="3"/>
  <c r="S243" i="4" s="1"/>
  <c r="J244" i="3"/>
  <c r="J244" i="4" s="1"/>
  <c r="V244" i="3"/>
  <c r="V244" i="4" s="1"/>
  <c r="A245" i="3"/>
  <c r="A245" i="4" s="1"/>
  <c r="M245" i="3"/>
  <c r="M245" i="4" s="1"/>
  <c r="Y245" i="3"/>
  <c r="Y245" i="4" s="1"/>
  <c r="D246" i="3"/>
  <c r="D246" i="4" s="1"/>
  <c r="P246" i="3"/>
  <c r="P246" i="4" s="1"/>
  <c r="AB246" i="3"/>
  <c r="AB246" i="4" s="1"/>
  <c r="G247" i="3"/>
  <c r="G247" i="4" s="1"/>
  <c r="S247" i="3"/>
  <c r="S247" i="4" s="1"/>
  <c r="J248" i="3"/>
  <c r="J248" i="4" s="1"/>
  <c r="V248" i="3"/>
  <c r="V248" i="4" s="1"/>
  <c r="A249" i="3"/>
  <c r="A249" i="4" s="1"/>
  <c r="M249" i="3"/>
  <c r="M249" i="4" s="1"/>
  <c r="Y249" i="3"/>
  <c r="Y249" i="4" s="1"/>
  <c r="D250" i="3"/>
  <c r="D250" i="4" s="1"/>
  <c r="P250" i="3"/>
  <c r="P250" i="4" s="1"/>
  <c r="AB250" i="3"/>
  <c r="AB250" i="4" s="1"/>
  <c r="G251" i="3"/>
  <c r="G251" i="4" s="1"/>
  <c r="S251" i="3"/>
  <c r="S251" i="4" s="1"/>
  <c r="J252" i="3"/>
  <c r="J252" i="4" s="1"/>
  <c r="V252" i="3"/>
  <c r="V252" i="4" s="1"/>
  <c r="A253" i="3"/>
  <c r="A253" i="4" s="1"/>
  <c r="M253" i="3"/>
  <c r="M253" i="4" s="1"/>
  <c r="Y253" i="3"/>
  <c r="Y253" i="4" s="1"/>
  <c r="D254" i="3"/>
  <c r="D254" i="4" s="1"/>
  <c r="P254" i="3"/>
  <c r="P254" i="4" s="1"/>
  <c r="AB254" i="3"/>
  <c r="AB254" i="4" s="1"/>
  <c r="G255" i="3"/>
  <c r="G255" i="4" s="1"/>
  <c r="S255" i="3"/>
  <c r="S255" i="4" s="1"/>
  <c r="J256" i="3"/>
  <c r="J256" i="4" s="1"/>
  <c r="V256" i="3"/>
  <c r="V256" i="4" s="1"/>
  <c r="A257" i="3"/>
  <c r="A257" i="4" s="1"/>
  <c r="M257" i="3"/>
  <c r="M257" i="4" s="1"/>
  <c r="Y257" i="3"/>
  <c r="Y257" i="4" s="1"/>
  <c r="D258" i="3"/>
  <c r="D258" i="4" s="1"/>
  <c r="P258" i="3"/>
  <c r="P258" i="4" s="1"/>
  <c r="AB258" i="3"/>
  <c r="AB258" i="4" s="1"/>
  <c r="G259" i="3"/>
  <c r="G259" i="4" s="1"/>
  <c r="S259" i="3"/>
  <c r="S259" i="4" s="1"/>
  <c r="J260" i="3"/>
  <c r="J260" i="4" s="1"/>
  <c r="V260" i="3"/>
  <c r="V260" i="4" s="1"/>
  <c r="A261" i="3"/>
  <c r="A261" i="4" s="1"/>
  <c r="M261" i="3"/>
  <c r="M261" i="4" s="1"/>
  <c r="E2" i="3"/>
  <c r="E2" i="4" s="1"/>
  <c r="Q2" i="3"/>
  <c r="Q2" i="4" s="1"/>
  <c r="H3" i="3"/>
  <c r="H3" i="4" s="1"/>
  <c r="T3" i="3"/>
  <c r="T3" i="4" s="1"/>
  <c r="K4" i="3"/>
  <c r="K4" i="4" s="1"/>
  <c r="W4" i="3"/>
  <c r="W4" i="4" s="1"/>
  <c r="B5" i="3"/>
  <c r="B5" i="4" s="1"/>
  <c r="N5" i="3"/>
  <c r="N5" i="4" s="1"/>
  <c r="Z5" i="3"/>
  <c r="Z5" i="4" s="1"/>
  <c r="E6" i="3"/>
  <c r="E6" i="4" s="1"/>
  <c r="F2" i="3"/>
  <c r="F2" i="4" s="1"/>
  <c r="R2" i="3"/>
  <c r="R2" i="4" s="1"/>
  <c r="I3" i="3"/>
  <c r="I3" i="4" s="1"/>
  <c r="U3" i="3"/>
  <c r="U3" i="4" s="1"/>
  <c r="L4" i="3"/>
  <c r="L4" i="4" s="1"/>
  <c r="X4" i="3"/>
  <c r="X4" i="4" s="1"/>
  <c r="C5" i="3"/>
  <c r="C5" i="4" s="1"/>
  <c r="O5" i="3"/>
  <c r="O5" i="4" s="1"/>
  <c r="AA5" i="3"/>
  <c r="AA5" i="4" s="1"/>
  <c r="F6" i="3"/>
  <c r="F6" i="4" s="1"/>
  <c r="R6" i="3"/>
  <c r="R6" i="4" s="1"/>
  <c r="I7" i="3"/>
  <c r="I7" i="4" s="1"/>
  <c r="U7" i="3"/>
  <c r="U7" i="4" s="1"/>
  <c r="L8" i="3"/>
  <c r="L8" i="4" s="1"/>
  <c r="X8" i="3"/>
  <c r="X8" i="4" s="1"/>
  <c r="C9" i="3"/>
  <c r="C9" i="4" s="1"/>
  <c r="O9" i="3"/>
  <c r="O9" i="4" s="1"/>
  <c r="AA9" i="3"/>
  <c r="AA9" i="4" s="1"/>
  <c r="F10" i="3"/>
  <c r="F10" i="4" s="1"/>
  <c r="R10" i="3"/>
  <c r="R10" i="4" s="1"/>
  <c r="I11" i="3"/>
  <c r="I11" i="4" s="1"/>
  <c r="U11" i="3"/>
  <c r="U11" i="4" s="1"/>
  <c r="L12" i="3"/>
  <c r="L12" i="4" s="1"/>
  <c r="X12" i="3"/>
  <c r="X12" i="4" s="1"/>
  <c r="C13" i="3"/>
  <c r="C13" i="4" s="1"/>
  <c r="O13" i="3"/>
  <c r="O13" i="4" s="1"/>
  <c r="AA13" i="3"/>
  <c r="AA13" i="4" s="1"/>
  <c r="F14" i="3"/>
  <c r="F14" i="4" s="1"/>
  <c r="R14" i="3"/>
  <c r="R14" i="4" s="1"/>
  <c r="I15" i="3"/>
  <c r="I15" i="4" s="1"/>
  <c r="U15" i="3"/>
  <c r="U15" i="4" s="1"/>
  <c r="L16" i="3"/>
  <c r="L16" i="4" s="1"/>
  <c r="X16" i="3"/>
  <c r="X16" i="4" s="1"/>
  <c r="C17" i="3"/>
  <c r="C17" i="4" s="1"/>
  <c r="O17" i="3"/>
  <c r="O17" i="4" s="1"/>
  <c r="AA17" i="3"/>
  <c r="AA17" i="4" s="1"/>
  <c r="F18" i="3"/>
  <c r="F18" i="4" s="1"/>
  <c r="R18" i="3"/>
  <c r="R18" i="4" s="1"/>
  <c r="I19" i="3"/>
  <c r="I19" i="4" s="1"/>
  <c r="U19" i="3"/>
  <c r="U19" i="4" s="1"/>
  <c r="L20" i="3"/>
  <c r="L20" i="4" s="1"/>
  <c r="X20" i="3"/>
  <c r="X20" i="4" s="1"/>
  <c r="C21" i="3"/>
  <c r="C21" i="4" s="1"/>
  <c r="O21" i="3"/>
  <c r="O21" i="4" s="1"/>
  <c r="AA21" i="3"/>
  <c r="AA21" i="4" s="1"/>
  <c r="F22" i="3"/>
  <c r="F22" i="4" s="1"/>
  <c r="R22" i="3"/>
  <c r="R22" i="4" s="1"/>
  <c r="I23" i="3"/>
  <c r="I23" i="4" s="1"/>
  <c r="U23" i="3"/>
  <c r="U23" i="4" s="1"/>
  <c r="L24" i="3"/>
  <c r="L24" i="4" s="1"/>
  <c r="X24" i="3"/>
  <c r="X24" i="4" s="1"/>
  <c r="C25" i="3"/>
  <c r="C25" i="4" s="1"/>
  <c r="O25" i="3"/>
  <c r="O25" i="4" s="1"/>
  <c r="AA25" i="3"/>
  <c r="AA25" i="4" s="1"/>
  <c r="F26" i="3"/>
  <c r="F26" i="4" s="1"/>
  <c r="R26" i="3"/>
  <c r="R26" i="4" s="1"/>
  <c r="I27" i="3"/>
  <c r="I27" i="4" s="1"/>
  <c r="U27" i="3"/>
  <c r="U27" i="4" s="1"/>
  <c r="L28" i="3"/>
  <c r="L28" i="4" s="1"/>
  <c r="X28" i="3"/>
  <c r="X28" i="4" s="1"/>
  <c r="Q6" i="3"/>
  <c r="Q6" i="4" s="1"/>
  <c r="H7" i="3"/>
  <c r="H7" i="4" s="1"/>
  <c r="T7" i="3"/>
  <c r="T7" i="4" s="1"/>
  <c r="K8" i="3"/>
  <c r="K8" i="4" s="1"/>
  <c r="W8" i="3"/>
  <c r="W8" i="4" s="1"/>
  <c r="B9" i="3"/>
  <c r="B9" i="4" s="1"/>
  <c r="N9" i="3"/>
  <c r="N9" i="4" s="1"/>
  <c r="Z9" i="3"/>
  <c r="Z9" i="4" s="1"/>
  <c r="E10" i="3"/>
  <c r="E10" i="4" s="1"/>
  <c r="Q10" i="3"/>
  <c r="Q10" i="4" s="1"/>
  <c r="H11" i="3"/>
  <c r="H11" i="4" s="1"/>
  <c r="T11" i="3"/>
  <c r="T11" i="4" s="1"/>
  <c r="K12" i="3"/>
  <c r="K12" i="4" s="1"/>
  <c r="W12" i="3"/>
  <c r="W12" i="4" s="1"/>
  <c r="B13" i="3"/>
  <c r="B13" i="4" s="1"/>
  <c r="N13" i="3"/>
  <c r="N13" i="4" s="1"/>
  <c r="Z13" i="3"/>
  <c r="Z13" i="4" s="1"/>
  <c r="E14" i="3"/>
  <c r="E14" i="4" s="1"/>
  <c r="Q14" i="3"/>
  <c r="Q14" i="4" s="1"/>
  <c r="H15" i="3"/>
  <c r="H15" i="4" s="1"/>
  <c r="T15" i="3"/>
  <c r="T15" i="4" s="1"/>
  <c r="K16" i="3"/>
  <c r="K16" i="4" s="1"/>
  <c r="W16" i="3"/>
  <c r="W16" i="4" s="1"/>
  <c r="B17" i="3"/>
  <c r="B17" i="4" s="1"/>
  <c r="N17" i="3"/>
  <c r="N17" i="4" s="1"/>
  <c r="Z17" i="3"/>
  <c r="Z17" i="4" s="1"/>
  <c r="E18" i="3"/>
  <c r="E18" i="4" s="1"/>
  <c r="Q18" i="3"/>
  <c r="Q18" i="4" s="1"/>
  <c r="H19" i="3"/>
  <c r="H19" i="4" s="1"/>
  <c r="T19" i="3"/>
  <c r="T19" i="4" s="1"/>
  <c r="K20" i="3"/>
  <c r="K20" i="4" s="1"/>
  <c r="W20" i="3"/>
  <c r="W20" i="4" s="1"/>
  <c r="B21" i="3"/>
  <c r="B21" i="4" s="1"/>
  <c r="N21" i="3"/>
  <c r="N21" i="4" s="1"/>
  <c r="Z21" i="3"/>
  <c r="Z21" i="4" s="1"/>
  <c r="E22" i="3"/>
  <c r="E22" i="4" s="1"/>
  <c r="Q22" i="3"/>
  <c r="Q22" i="4" s="1"/>
  <c r="H23" i="3"/>
  <c r="H23" i="4" s="1"/>
  <c r="T23" i="3"/>
  <c r="T23" i="4" s="1"/>
  <c r="K24" i="3"/>
  <c r="K24" i="4" s="1"/>
  <c r="W24" i="3"/>
  <c r="W24" i="4" s="1"/>
  <c r="B25" i="3"/>
  <c r="B25" i="4" s="1"/>
  <c r="N25" i="3"/>
  <c r="N25" i="4" s="1"/>
  <c r="Z25" i="3"/>
  <c r="Z25" i="4" s="1"/>
  <c r="E26" i="3"/>
  <c r="E26" i="4" s="1"/>
  <c r="Q26" i="3"/>
  <c r="Q26" i="4" s="1"/>
  <c r="H27" i="3"/>
  <c r="H27" i="4" s="1"/>
  <c r="T27" i="3"/>
  <c r="T27" i="4" s="1"/>
  <c r="K28" i="3"/>
  <c r="K28" i="4" s="1"/>
  <c r="W28" i="3"/>
  <c r="W28" i="4" s="1"/>
  <c r="B29" i="3"/>
  <c r="B29" i="4" s="1"/>
  <c r="N29" i="3"/>
  <c r="N29" i="4" s="1"/>
  <c r="Z29" i="3"/>
  <c r="Z29" i="4" s="1"/>
  <c r="E30" i="3"/>
  <c r="E30" i="4" s="1"/>
  <c r="Q30" i="3"/>
  <c r="Q30" i="4" s="1"/>
  <c r="H31" i="3"/>
  <c r="H31" i="4" s="1"/>
  <c r="T31" i="3"/>
  <c r="T31" i="4" s="1"/>
  <c r="K32" i="3"/>
  <c r="K32" i="4" s="1"/>
  <c r="W32" i="3"/>
  <c r="W32" i="4" s="1"/>
  <c r="B33" i="3"/>
  <c r="B33" i="4" s="1"/>
  <c r="N33" i="3"/>
  <c r="N33" i="4" s="1"/>
  <c r="Z33" i="3"/>
  <c r="Z33" i="4" s="1"/>
  <c r="E34" i="3"/>
  <c r="E34" i="4" s="1"/>
  <c r="Q34" i="3"/>
  <c r="Q34" i="4" s="1"/>
  <c r="H35" i="3"/>
  <c r="H35" i="4" s="1"/>
  <c r="T35" i="3"/>
  <c r="T35" i="4" s="1"/>
  <c r="K36" i="3"/>
  <c r="K36" i="4" s="1"/>
  <c r="W36" i="3"/>
  <c r="W36" i="4" s="1"/>
  <c r="B37" i="3"/>
  <c r="B37" i="4" s="1"/>
  <c r="N37" i="3"/>
  <c r="N37" i="4" s="1"/>
  <c r="Z37" i="3"/>
  <c r="Z37" i="4" s="1"/>
  <c r="E38" i="3"/>
  <c r="E38" i="4" s="1"/>
  <c r="Q38" i="3"/>
  <c r="Q38" i="4" s="1"/>
  <c r="H39" i="3"/>
  <c r="H39" i="4" s="1"/>
  <c r="T39" i="3"/>
  <c r="T39" i="4" s="1"/>
  <c r="K40" i="3"/>
  <c r="K40" i="4" s="1"/>
  <c r="W40" i="3"/>
  <c r="W40" i="4" s="1"/>
  <c r="B41" i="3"/>
  <c r="B41" i="4" s="1"/>
  <c r="N41" i="3"/>
  <c r="N41" i="4" s="1"/>
  <c r="Z41" i="3"/>
  <c r="Z41" i="4" s="1"/>
  <c r="E42" i="3"/>
  <c r="E42" i="4" s="1"/>
  <c r="Q42" i="3"/>
  <c r="Q42" i="4" s="1"/>
  <c r="H43" i="3"/>
  <c r="H43" i="4" s="1"/>
  <c r="Z45" i="3"/>
  <c r="Z45" i="4" s="1"/>
  <c r="W60" i="3"/>
  <c r="W60" i="4" s="1"/>
  <c r="C29" i="3"/>
  <c r="C29" i="4" s="1"/>
  <c r="O29" i="3"/>
  <c r="O29" i="4" s="1"/>
  <c r="AA29" i="3"/>
  <c r="AA29" i="4" s="1"/>
  <c r="F30" i="3"/>
  <c r="F30" i="4" s="1"/>
  <c r="R30" i="3"/>
  <c r="R30" i="4" s="1"/>
  <c r="I31" i="3"/>
  <c r="I31" i="4" s="1"/>
  <c r="U31" i="3"/>
  <c r="U31" i="4" s="1"/>
  <c r="L32" i="3"/>
  <c r="L32" i="4" s="1"/>
  <c r="X32" i="3"/>
  <c r="X32" i="4" s="1"/>
  <c r="C33" i="3"/>
  <c r="C33" i="4" s="1"/>
  <c r="O33" i="3"/>
  <c r="O33" i="4" s="1"/>
  <c r="AA33" i="3"/>
  <c r="AA33" i="4" s="1"/>
  <c r="F34" i="3"/>
  <c r="F34" i="4" s="1"/>
  <c r="R34" i="3"/>
  <c r="R34" i="4" s="1"/>
  <c r="I35" i="3"/>
  <c r="I35" i="4" s="1"/>
  <c r="U35" i="3"/>
  <c r="U35" i="4" s="1"/>
  <c r="L36" i="3"/>
  <c r="L36" i="4" s="1"/>
  <c r="X36" i="3"/>
  <c r="X36" i="4" s="1"/>
  <c r="C37" i="3"/>
  <c r="C37" i="4" s="1"/>
  <c r="O37" i="3"/>
  <c r="O37" i="4" s="1"/>
  <c r="AA37" i="3"/>
  <c r="AA37" i="4" s="1"/>
  <c r="F38" i="3"/>
  <c r="F38" i="4" s="1"/>
  <c r="R38" i="3"/>
  <c r="R38" i="4" s="1"/>
  <c r="I39" i="3"/>
  <c r="I39" i="4" s="1"/>
  <c r="U39" i="3"/>
  <c r="U39" i="4" s="1"/>
  <c r="L40" i="3"/>
  <c r="L40" i="4" s="1"/>
  <c r="X40" i="3"/>
  <c r="X40" i="4" s="1"/>
  <c r="C41" i="3"/>
  <c r="C41" i="4" s="1"/>
  <c r="O41" i="3"/>
  <c r="O41" i="4" s="1"/>
  <c r="AA41" i="3"/>
  <c r="AA41" i="4" s="1"/>
  <c r="F42" i="3"/>
  <c r="F42" i="4" s="1"/>
  <c r="R42" i="3"/>
  <c r="R42" i="4" s="1"/>
  <c r="I43" i="3"/>
  <c r="I43" i="4" s="1"/>
  <c r="U43" i="3"/>
  <c r="U43" i="4" s="1"/>
  <c r="L44" i="3"/>
  <c r="L44" i="4" s="1"/>
  <c r="X44" i="3"/>
  <c r="X44" i="4" s="1"/>
  <c r="C45" i="3"/>
  <c r="C45" i="4" s="1"/>
  <c r="O45" i="3"/>
  <c r="O45" i="4" s="1"/>
  <c r="AA45" i="3"/>
  <c r="AA45" i="4" s="1"/>
  <c r="F46" i="3"/>
  <c r="F46" i="4" s="1"/>
  <c r="R46" i="3"/>
  <c r="R46" i="4" s="1"/>
  <c r="I47" i="3"/>
  <c r="I47" i="4" s="1"/>
  <c r="U47" i="3"/>
  <c r="U47" i="4" s="1"/>
  <c r="L48" i="3"/>
  <c r="L48" i="4" s="1"/>
  <c r="X48" i="3"/>
  <c r="X48" i="4" s="1"/>
  <c r="C49" i="3"/>
  <c r="C49" i="4" s="1"/>
  <c r="O49" i="3"/>
  <c r="O49" i="4" s="1"/>
  <c r="AA49" i="3"/>
  <c r="AA49" i="4" s="1"/>
  <c r="F50" i="3"/>
  <c r="F50" i="4" s="1"/>
  <c r="R50" i="3"/>
  <c r="R50" i="4" s="1"/>
  <c r="I51" i="3"/>
  <c r="I51" i="4" s="1"/>
  <c r="U51" i="3"/>
  <c r="U51" i="4" s="1"/>
  <c r="L52" i="3"/>
  <c r="L52" i="4" s="1"/>
  <c r="X52" i="3"/>
  <c r="X52" i="4" s="1"/>
  <c r="C53" i="3"/>
  <c r="C53" i="4" s="1"/>
  <c r="O53" i="3"/>
  <c r="O53" i="4" s="1"/>
  <c r="AA53" i="3"/>
  <c r="AA53" i="4" s="1"/>
  <c r="F54" i="3"/>
  <c r="F54" i="4" s="1"/>
  <c r="R54" i="3"/>
  <c r="R54" i="4" s="1"/>
  <c r="I55" i="3"/>
  <c r="I55" i="4" s="1"/>
  <c r="U55" i="3"/>
  <c r="U55" i="4" s="1"/>
  <c r="L56" i="3"/>
  <c r="L56" i="4" s="1"/>
  <c r="X56" i="3"/>
  <c r="X56" i="4" s="1"/>
  <c r="C57" i="3"/>
  <c r="C57" i="4" s="1"/>
  <c r="O57" i="3"/>
  <c r="O57" i="4" s="1"/>
  <c r="AA57" i="3"/>
  <c r="AA57" i="4" s="1"/>
  <c r="F58" i="3"/>
  <c r="F58" i="4" s="1"/>
  <c r="K2" i="3"/>
  <c r="K2" i="4" s="1"/>
  <c r="Z3" i="3"/>
  <c r="Z3" i="4" s="1"/>
  <c r="H5" i="3"/>
  <c r="H5" i="4" s="1"/>
  <c r="W6" i="3"/>
  <c r="W6" i="4" s="1"/>
  <c r="Z7" i="3"/>
  <c r="Z7" i="4" s="1"/>
  <c r="W10" i="3"/>
  <c r="W10" i="4" s="1"/>
  <c r="E12" i="3"/>
  <c r="E12" i="4" s="1"/>
  <c r="T13" i="3"/>
  <c r="T13" i="4" s="1"/>
  <c r="B15" i="3"/>
  <c r="B15" i="4" s="1"/>
  <c r="Q16" i="3"/>
  <c r="Q16" i="4" s="1"/>
  <c r="Z19" i="3"/>
  <c r="Z19" i="4" s="1"/>
  <c r="H21" i="3"/>
  <c r="H21" i="4" s="1"/>
  <c r="W22" i="3"/>
  <c r="W22" i="4" s="1"/>
  <c r="Z23" i="3"/>
  <c r="Z23" i="4" s="1"/>
  <c r="Z27" i="3"/>
  <c r="Z27" i="4" s="1"/>
  <c r="W30" i="3"/>
  <c r="W30" i="4" s="1"/>
  <c r="Z31" i="3"/>
  <c r="Z31" i="4" s="1"/>
  <c r="W34" i="3"/>
  <c r="W34" i="4" s="1"/>
  <c r="Q36" i="3"/>
  <c r="Q36" i="4" s="1"/>
  <c r="T37" i="3"/>
  <c r="T37" i="4" s="1"/>
  <c r="W38" i="3"/>
  <c r="W38" i="4" s="1"/>
  <c r="Z39" i="3"/>
  <c r="Z39" i="4" s="1"/>
  <c r="W42" i="3"/>
  <c r="W42" i="4" s="1"/>
  <c r="Z43" i="3"/>
  <c r="Z43" i="4" s="1"/>
  <c r="T45" i="3"/>
  <c r="T45" i="4" s="1"/>
  <c r="W46" i="3"/>
  <c r="W46" i="4" s="1"/>
  <c r="Z47" i="3"/>
  <c r="Z47" i="4" s="1"/>
  <c r="T49" i="3"/>
  <c r="T49" i="4" s="1"/>
  <c r="W50" i="3"/>
  <c r="W50" i="4" s="1"/>
  <c r="Z51" i="3"/>
  <c r="Z51" i="4" s="1"/>
  <c r="H53" i="3"/>
  <c r="H53" i="4" s="1"/>
  <c r="W54" i="3"/>
  <c r="W54" i="4" s="1"/>
  <c r="Z55" i="3"/>
  <c r="Z55" i="4" s="1"/>
  <c r="K58" i="3"/>
  <c r="K58" i="4" s="1"/>
  <c r="N59" i="3"/>
  <c r="N59" i="4" s="1"/>
  <c r="Q60" i="3"/>
  <c r="Q60" i="4" s="1"/>
  <c r="T61" i="3"/>
  <c r="T61" i="4" s="1"/>
  <c r="K62" i="3"/>
  <c r="K62" i="4" s="1"/>
  <c r="W62" i="3"/>
  <c r="W62" i="4" s="1"/>
  <c r="B63" i="3"/>
  <c r="B63" i="4" s="1"/>
  <c r="N63" i="3"/>
  <c r="N63" i="4" s="1"/>
  <c r="E64" i="3"/>
  <c r="E64" i="4" s="1"/>
  <c r="H65" i="3"/>
  <c r="H65" i="4" s="1"/>
  <c r="T65" i="3"/>
  <c r="T65" i="4" s="1"/>
  <c r="K66" i="3"/>
  <c r="K66" i="4" s="1"/>
  <c r="W66" i="3"/>
  <c r="W66" i="4" s="1"/>
  <c r="B67" i="3"/>
  <c r="B67" i="4" s="1"/>
  <c r="N67" i="3"/>
  <c r="N67" i="4" s="1"/>
  <c r="Z67" i="3"/>
  <c r="Z67" i="4" s="1"/>
  <c r="E68" i="3"/>
  <c r="E68" i="4" s="1"/>
  <c r="Q68" i="3"/>
  <c r="Q68" i="4" s="1"/>
  <c r="H69" i="3"/>
  <c r="H69" i="4" s="1"/>
  <c r="T69" i="3"/>
  <c r="T69" i="4" s="1"/>
  <c r="B95" i="3"/>
  <c r="B95" i="4" s="1"/>
  <c r="W2" i="3"/>
  <c r="W2" i="4" s="1"/>
  <c r="N3" i="3"/>
  <c r="N3" i="4" s="1"/>
  <c r="Q4" i="3"/>
  <c r="Q4" i="4" s="1"/>
  <c r="T5" i="3"/>
  <c r="T5" i="4" s="1"/>
  <c r="N7" i="3"/>
  <c r="N7" i="4" s="1"/>
  <c r="Q8" i="3"/>
  <c r="Q8" i="4" s="1"/>
  <c r="H9" i="3"/>
  <c r="H9" i="4" s="1"/>
  <c r="B11" i="3"/>
  <c r="B11" i="4" s="1"/>
  <c r="Z11" i="3"/>
  <c r="Z11" i="4" s="1"/>
  <c r="K14" i="3"/>
  <c r="K14" i="4" s="1"/>
  <c r="N15" i="3"/>
  <c r="N15" i="4" s="1"/>
  <c r="E16" i="3"/>
  <c r="E16" i="4" s="1"/>
  <c r="T17" i="3"/>
  <c r="T17" i="4" s="1"/>
  <c r="K18" i="3"/>
  <c r="K18" i="4" s="1"/>
  <c r="N19" i="3"/>
  <c r="N19" i="4" s="1"/>
  <c r="Q20" i="3"/>
  <c r="Q20" i="4" s="1"/>
  <c r="T21" i="3"/>
  <c r="T21" i="4" s="1"/>
  <c r="B23" i="3"/>
  <c r="B23" i="4" s="1"/>
  <c r="Q24" i="3"/>
  <c r="Q24" i="4" s="1"/>
  <c r="T25" i="3"/>
  <c r="T25" i="4" s="1"/>
  <c r="W26" i="3"/>
  <c r="W26" i="4" s="1"/>
  <c r="N27" i="3"/>
  <c r="N27" i="4" s="1"/>
  <c r="Q28" i="3"/>
  <c r="Q28" i="4" s="1"/>
  <c r="T29" i="3"/>
  <c r="T29" i="4" s="1"/>
  <c r="N31" i="3"/>
  <c r="N31" i="4" s="1"/>
  <c r="Q32" i="3"/>
  <c r="Q32" i="4" s="1"/>
  <c r="T33" i="3"/>
  <c r="T33" i="4" s="1"/>
  <c r="N35" i="3"/>
  <c r="N35" i="4" s="1"/>
  <c r="E36" i="3"/>
  <c r="E36" i="4" s="1"/>
  <c r="H37" i="3"/>
  <c r="H37" i="4" s="1"/>
  <c r="K38" i="3"/>
  <c r="K38" i="4" s="1"/>
  <c r="N39" i="3"/>
  <c r="N39" i="4" s="1"/>
  <c r="Q40" i="3"/>
  <c r="Q40" i="4" s="1"/>
  <c r="T41" i="3"/>
  <c r="T41" i="4" s="1"/>
  <c r="B43" i="3"/>
  <c r="B43" i="4" s="1"/>
  <c r="E44" i="3"/>
  <c r="E44" i="4" s="1"/>
  <c r="H45" i="3"/>
  <c r="H45" i="4" s="1"/>
  <c r="K46" i="3"/>
  <c r="K46" i="4" s="1"/>
  <c r="N47" i="3"/>
  <c r="N47" i="4" s="1"/>
  <c r="Q48" i="3"/>
  <c r="Q48" i="4" s="1"/>
  <c r="N51" i="3"/>
  <c r="N51" i="4" s="1"/>
  <c r="Q52" i="3"/>
  <c r="Q52" i="4" s="1"/>
  <c r="T53" i="3"/>
  <c r="T53" i="4" s="1"/>
  <c r="B55" i="3"/>
  <c r="B55" i="4" s="1"/>
  <c r="E56" i="3"/>
  <c r="E56" i="4" s="1"/>
  <c r="H57" i="3"/>
  <c r="H57" i="4" s="1"/>
  <c r="B59" i="3"/>
  <c r="B59" i="4" s="1"/>
  <c r="E60" i="3"/>
  <c r="E60" i="4" s="1"/>
  <c r="Q64" i="3"/>
  <c r="Q64" i="4" s="1"/>
  <c r="L2" i="3"/>
  <c r="L2" i="4" s="1"/>
  <c r="X2" i="3"/>
  <c r="X2" i="4" s="1"/>
  <c r="C3" i="3"/>
  <c r="C3" i="4" s="1"/>
  <c r="O3" i="3"/>
  <c r="O3" i="4" s="1"/>
  <c r="AA3" i="3"/>
  <c r="AA3" i="4" s="1"/>
  <c r="F4" i="3"/>
  <c r="F4" i="4" s="1"/>
  <c r="R4" i="3"/>
  <c r="R4" i="4" s="1"/>
  <c r="I5" i="3"/>
  <c r="I5" i="4" s="1"/>
  <c r="U5" i="3"/>
  <c r="U5" i="4" s="1"/>
  <c r="L6" i="3"/>
  <c r="L6" i="4" s="1"/>
  <c r="X6" i="3"/>
  <c r="X6" i="4" s="1"/>
  <c r="C7" i="3"/>
  <c r="C7" i="4" s="1"/>
  <c r="O7" i="3"/>
  <c r="O7" i="4" s="1"/>
  <c r="AA7" i="3"/>
  <c r="AA7" i="4" s="1"/>
  <c r="F8" i="3"/>
  <c r="F8" i="4" s="1"/>
  <c r="R8" i="3"/>
  <c r="R8" i="4" s="1"/>
  <c r="I9" i="3"/>
  <c r="I9" i="4" s="1"/>
  <c r="U9" i="3"/>
  <c r="U9" i="4" s="1"/>
  <c r="L10" i="3"/>
  <c r="L10" i="4" s="1"/>
  <c r="X10" i="3"/>
  <c r="X10" i="4" s="1"/>
  <c r="C11" i="3"/>
  <c r="C11" i="4" s="1"/>
  <c r="O11" i="3"/>
  <c r="O11" i="4" s="1"/>
  <c r="AA11" i="3"/>
  <c r="AA11" i="4" s="1"/>
  <c r="F12" i="3"/>
  <c r="F12" i="4" s="1"/>
  <c r="R12" i="3"/>
  <c r="R12" i="4" s="1"/>
  <c r="I13" i="3"/>
  <c r="I13" i="4" s="1"/>
  <c r="U13" i="3"/>
  <c r="U13" i="4" s="1"/>
  <c r="L14" i="3"/>
  <c r="L14" i="4" s="1"/>
  <c r="X14" i="3"/>
  <c r="X14" i="4" s="1"/>
  <c r="C15" i="3"/>
  <c r="C15" i="4" s="1"/>
  <c r="O15" i="3"/>
  <c r="O15" i="4" s="1"/>
  <c r="AA15" i="3"/>
  <c r="AA15" i="4" s="1"/>
  <c r="F16" i="3"/>
  <c r="F16" i="4" s="1"/>
  <c r="R16" i="3"/>
  <c r="R16" i="4" s="1"/>
  <c r="I17" i="3"/>
  <c r="I17" i="4" s="1"/>
  <c r="U17" i="3"/>
  <c r="U17" i="4" s="1"/>
  <c r="L18" i="3"/>
  <c r="L18" i="4" s="1"/>
  <c r="X18" i="3"/>
  <c r="X18" i="4" s="1"/>
  <c r="C19" i="3"/>
  <c r="C19" i="4" s="1"/>
  <c r="O19" i="3"/>
  <c r="O19" i="4" s="1"/>
  <c r="AA19" i="3"/>
  <c r="AA19" i="4" s="1"/>
  <c r="F20" i="3"/>
  <c r="F20" i="4" s="1"/>
  <c r="R20" i="3"/>
  <c r="R20" i="4" s="1"/>
  <c r="I21" i="3"/>
  <c r="I21" i="4" s="1"/>
  <c r="U21" i="3"/>
  <c r="U21" i="4" s="1"/>
  <c r="L22" i="3"/>
  <c r="L22" i="4" s="1"/>
  <c r="X22" i="3"/>
  <c r="X22" i="4" s="1"/>
  <c r="C23" i="3"/>
  <c r="C23" i="4" s="1"/>
  <c r="O23" i="3"/>
  <c r="O23" i="4" s="1"/>
  <c r="AA23" i="3"/>
  <c r="AA23" i="4" s="1"/>
  <c r="F24" i="3"/>
  <c r="F24" i="4" s="1"/>
  <c r="R24" i="3"/>
  <c r="R24" i="4" s="1"/>
  <c r="I25" i="3"/>
  <c r="I25" i="4" s="1"/>
  <c r="U25" i="3"/>
  <c r="U25" i="4" s="1"/>
  <c r="L26" i="3"/>
  <c r="L26" i="4" s="1"/>
  <c r="X26" i="3"/>
  <c r="X26" i="4" s="1"/>
  <c r="C27" i="3"/>
  <c r="C27" i="4" s="1"/>
  <c r="O27" i="3"/>
  <c r="O27" i="4" s="1"/>
  <c r="AA27" i="3"/>
  <c r="AA27" i="4" s="1"/>
  <c r="F28" i="3"/>
  <c r="F28" i="4" s="1"/>
  <c r="R28" i="3"/>
  <c r="R28" i="4" s="1"/>
  <c r="I29" i="3"/>
  <c r="I29" i="4" s="1"/>
  <c r="U29" i="3"/>
  <c r="U29" i="4" s="1"/>
  <c r="L30" i="3"/>
  <c r="L30" i="4" s="1"/>
  <c r="X30" i="3"/>
  <c r="X30" i="4" s="1"/>
  <c r="C31" i="3"/>
  <c r="C31" i="4" s="1"/>
  <c r="O31" i="3"/>
  <c r="O31" i="4" s="1"/>
  <c r="AA31" i="3"/>
  <c r="AA31" i="4" s="1"/>
  <c r="F32" i="3"/>
  <c r="F32" i="4" s="1"/>
  <c r="R32" i="3"/>
  <c r="R32" i="4" s="1"/>
  <c r="I33" i="3"/>
  <c r="I33" i="4" s="1"/>
  <c r="U33" i="3"/>
  <c r="U33" i="4" s="1"/>
  <c r="L34" i="3"/>
  <c r="L34" i="4" s="1"/>
  <c r="X34" i="3"/>
  <c r="X34" i="4" s="1"/>
  <c r="C35" i="3"/>
  <c r="C35" i="4" s="1"/>
  <c r="O35" i="3"/>
  <c r="O35" i="4" s="1"/>
  <c r="AA35" i="3"/>
  <c r="AA35" i="4" s="1"/>
  <c r="F36" i="3"/>
  <c r="F36" i="4" s="1"/>
  <c r="R36" i="3"/>
  <c r="R36" i="4" s="1"/>
  <c r="I37" i="3"/>
  <c r="I37" i="4" s="1"/>
  <c r="U37" i="3"/>
  <c r="U37" i="4" s="1"/>
  <c r="L38" i="3"/>
  <c r="L38" i="4" s="1"/>
  <c r="X38" i="3"/>
  <c r="X38" i="4" s="1"/>
  <c r="C39" i="3"/>
  <c r="C39" i="4" s="1"/>
  <c r="O39" i="3"/>
  <c r="O39" i="4" s="1"/>
  <c r="B3" i="3"/>
  <c r="B3" i="4" s="1"/>
  <c r="E4" i="3"/>
  <c r="E4" i="4" s="1"/>
  <c r="K6" i="3"/>
  <c r="K6" i="4" s="1"/>
  <c r="B7" i="3"/>
  <c r="B7" i="4" s="1"/>
  <c r="E8" i="3"/>
  <c r="E8" i="4" s="1"/>
  <c r="T9" i="3"/>
  <c r="T9" i="4" s="1"/>
  <c r="K10" i="3"/>
  <c r="K10" i="4" s="1"/>
  <c r="N11" i="3"/>
  <c r="N11" i="4" s="1"/>
  <c r="Q12" i="3"/>
  <c r="Q12" i="4" s="1"/>
  <c r="H13" i="3"/>
  <c r="H13" i="4" s="1"/>
  <c r="W14" i="3"/>
  <c r="W14" i="4" s="1"/>
  <c r="Z15" i="3"/>
  <c r="Z15" i="4" s="1"/>
  <c r="H17" i="3"/>
  <c r="H17" i="4" s="1"/>
  <c r="W18" i="3"/>
  <c r="W18" i="4" s="1"/>
  <c r="B19" i="3"/>
  <c r="B19" i="4" s="1"/>
  <c r="E20" i="3"/>
  <c r="E20" i="4" s="1"/>
  <c r="K22" i="3"/>
  <c r="K22" i="4" s="1"/>
  <c r="N23" i="3"/>
  <c r="N23" i="4" s="1"/>
  <c r="E24" i="3"/>
  <c r="E24" i="4" s="1"/>
  <c r="H25" i="3"/>
  <c r="H25" i="4" s="1"/>
  <c r="K26" i="3"/>
  <c r="K26" i="4" s="1"/>
  <c r="B27" i="3"/>
  <c r="B27" i="4" s="1"/>
  <c r="E28" i="3"/>
  <c r="E28" i="4" s="1"/>
  <c r="H29" i="3"/>
  <c r="H29" i="4" s="1"/>
  <c r="K30" i="3"/>
  <c r="K30" i="4" s="1"/>
  <c r="B31" i="3"/>
  <c r="B31" i="4" s="1"/>
  <c r="E32" i="3"/>
  <c r="E32" i="4" s="1"/>
  <c r="H33" i="3"/>
  <c r="H33" i="4" s="1"/>
  <c r="K34" i="3"/>
  <c r="K34" i="4" s="1"/>
  <c r="B35" i="3"/>
  <c r="B35" i="4" s="1"/>
  <c r="Z35" i="3"/>
  <c r="Z35" i="4" s="1"/>
  <c r="B39" i="3"/>
  <c r="B39" i="4" s="1"/>
  <c r="E40" i="3"/>
  <c r="E40" i="4" s="1"/>
  <c r="H41" i="3"/>
  <c r="H41" i="4" s="1"/>
  <c r="K42" i="3"/>
  <c r="K42" i="4" s="1"/>
  <c r="N43" i="3"/>
  <c r="N43" i="4" s="1"/>
  <c r="Q44" i="3"/>
  <c r="Q44" i="4" s="1"/>
  <c r="B47" i="3"/>
  <c r="B47" i="4" s="1"/>
  <c r="E48" i="3"/>
  <c r="E48" i="4" s="1"/>
  <c r="H49" i="3"/>
  <c r="H49" i="4" s="1"/>
  <c r="K50" i="3"/>
  <c r="K50" i="4" s="1"/>
  <c r="B51" i="3"/>
  <c r="B51" i="4" s="1"/>
  <c r="E52" i="3"/>
  <c r="E52" i="4" s="1"/>
  <c r="K54" i="3"/>
  <c r="K54" i="4" s="1"/>
  <c r="N55" i="3"/>
  <c r="N55" i="4" s="1"/>
  <c r="Q56" i="3"/>
  <c r="Q56" i="4" s="1"/>
  <c r="T57" i="3"/>
  <c r="T57" i="4" s="1"/>
  <c r="W58" i="3"/>
  <c r="W58" i="4" s="1"/>
  <c r="Z59" i="3"/>
  <c r="Z59" i="4" s="1"/>
  <c r="H61" i="3"/>
  <c r="H61" i="4" s="1"/>
  <c r="Z63" i="3"/>
  <c r="Z63" i="4" s="1"/>
  <c r="A2" i="3"/>
  <c r="A2" i="4" s="1"/>
  <c r="M2" i="3"/>
  <c r="M2" i="4" s="1"/>
  <c r="Y2" i="3"/>
  <c r="Y2" i="4" s="1"/>
  <c r="D3" i="3"/>
  <c r="D3" i="4" s="1"/>
  <c r="P3" i="3"/>
  <c r="P3" i="4" s="1"/>
  <c r="AB3" i="3"/>
  <c r="AB3" i="4" s="1"/>
  <c r="G4" i="3"/>
  <c r="G4" i="4" s="1"/>
  <c r="S4" i="3"/>
  <c r="S4" i="4" s="1"/>
  <c r="J5" i="3"/>
  <c r="J5" i="4" s="1"/>
  <c r="V5" i="3"/>
  <c r="V5" i="4" s="1"/>
  <c r="A6" i="3"/>
  <c r="A6" i="4" s="1"/>
  <c r="M6" i="3"/>
  <c r="M6" i="4" s="1"/>
  <c r="Y6" i="3"/>
  <c r="Y6" i="4" s="1"/>
  <c r="D7" i="3"/>
  <c r="D7" i="4" s="1"/>
  <c r="P7" i="3"/>
  <c r="P7" i="4" s="1"/>
  <c r="AB7" i="3"/>
  <c r="AB7" i="4" s="1"/>
  <c r="G8" i="3"/>
  <c r="G8" i="4" s="1"/>
  <c r="S8" i="3"/>
  <c r="S8" i="4" s="1"/>
  <c r="J9" i="3"/>
  <c r="J9" i="4" s="1"/>
  <c r="V9" i="3"/>
  <c r="V9" i="4" s="1"/>
  <c r="A10" i="3"/>
  <c r="A10" i="4" s="1"/>
  <c r="M10" i="3"/>
  <c r="M10" i="4" s="1"/>
  <c r="Y10" i="3"/>
  <c r="Y10" i="4" s="1"/>
  <c r="D11" i="3"/>
  <c r="D11" i="4" s="1"/>
  <c r="P11" i="3"/>
  <c r="P11" i="4" s="1"/>
  <c r="AB11" i="3"/>
  <c r="AB11" i="4" s="1"/>
  <c r="G12" i="3"/>
  <c r="G12" i="4" s="1"/>
  <c r="S12" i="3"/>
  <c r="S12" i="4" s="1"/>
  <c r="J13" i="3"/>
  <c r="J13" i="4" s="1"/>
  <c r="V13" i="3"/>
  <c r="V13" i="4" s="1"/>
  <c r="A14" i="3"/>
  <c r="A14" i="4" s="1"/>
  <c r="M14" i="3"/>
  <c r="M14" i="4" s="1"/>
  <c r="Y14" i="3"/>
  <c r="Y14" i="4" s="1"/>
  <c r="D15" i="3"/>
  <c r="D15" i="4" s="1"/>
  <c r="P15" i="3"/>
  <c r="P15" i="4" s="1"/>
  <c r="AB15" i="3"/>
  <c r="AB15" i="4" s="1"/>
  <c r="G16" i="3"/>
  <c r="G16" i="4" s="1"/>
  <c r="S16" i="3"/>
  <c r="S16" i="4" s="1"/>
  <c r="J17" i="3"/>
  <c r="J17" i="4" s="1"/>
  <c r="V17" i="3"/>
  <c r="V17" i="4" s="1"/>
  <c r="A18" i="3"/>
  <c r="A18" i="4" s="1"/>
  <c r="M18" i="3"/>
  <c r="M18" i="4" s="1"/>
  <c r="Y18" i="3"/>
  <c r="Y18" i="4" s="1"/>
  <c r="D19" i="3"/>
  <c r="D19" i="4" s="1"/>
  <c r="P19" i="3"/>
  <c r="P19" i="4" s="1"/>
  <c r="AB19" i="3"/>
  <c r="AB19" i="4" s="1"/>
  <c r="G20" i="3"/>
  <c r="G20" i="4" s="1"/>
  <c r="S20" i="3"/>
  <c r="S20" i="4" s="1"/>
  <c r="J21" i="3"/>
  <c r="J21" i="4" s="1"/>
  <c r="V21" i="3"/>
  <c r="V21" i="4" s="1"/>
  <c r="A22" i="3"/>
  <c r="A22" i="4" s="1"/>
  <c r="M22" i="3"/>
  <c r="M22" i="4" s="1"/>
  <c r="Y22" i="3"/>
  <c r="Y22" i="4" s="1"/>
  <c r="D23" i="3"/>
  <c r="D23" i="4" s="1"/>
  <c r="P23" i="3"/>
  <c r="P23" i="4" s="1"/>
  <c r="AB23" i="3"/>
  <c r="AB23" i="4" s="1"/>
  <c r="G24" i="3"/>
  <c r="G24" i="4" s="1"/>
  <c r="S24" i="3"/>
  <c r="S24" i="4" s="1"/>
  <c r="J25" i="3"/>
  <c r="J25" i="4" s="1"/>
  <c r="V25" i="3"/>
  <c r="V25" i="4" s="1"/>
  <c r="A26" i="3"/>
  <c r="A26" i="4" s="1"/>
  <c r="M26" i="3"/>
  <c r="M26" i="4" s="1"/>
  <c r="Y26" i="3"/>
  <c r="Y26" i="4" s="1"/>
  <c r="D27" i="3"/>
  <c r="D27" i="4" s="1"/>
  <c r="P27" i="3"/>
  <c r="P27" i="4" s="1"/>
  <c r="AB27" i="3"/>
  <c r="AB27" i="4" s="1"/>
  <c r="G28" i="3"/>
  <c r="G28" i="4" s="1"/>
  <c r="S28" i="3"/>
  <c r="S28" i="4" s="1"/>
  <c r="J29" i="3"/>
  <c r="J29" i="4" s="1"/>
  <c r="V29" i="3"/>
  <c r="V29" i="4" s="1"/>
  <c r="A30" i="3"/>
  <c r="A30" i="4" s="1"/>
  <c r="M30" i="3"/>
  <c r="M30" i="4" s="1"/>
  <c r="Y30" i="3"/>
  <c r="Y30" i="4" s="1"/>
  <c r="D31" i="3"/>
  <c r="D31" i="4" s="1"/>
  <c r="P31" i="3"/>
  <c r="P31" i="4" s="1"/>
  <c r="AB31" i="3"/>
  <c r="AB31" i="4" s="1"/>
  <c r="G32" i="3"/>
  <c r="G32" i="4" s="1"/>
  <c r="S32" i="3"/>
  <c r="S32" i="4" s="1"/>
  <c r="J33" i="3"/>
  <c r="J33" i="4" s="1"/>
  <c r="V33" i="3"/>
  <c r="V33" i="4" s="1"/>
  <c r="A34" i="3"/>
  <c r="A34" i="4" s="1"/>
  <c r="M34" i="3"/>
  <c r="M34" i="4" s="1"/>
  <c r="Y34" i="3"/>
  <c r="Y34" i="4" s="1"/>
  <c r="D35" i="3"/>
  <c r="D35" i="4" s="1"/>
  <c r="P35" i="3"/>
  <c r="P35" i="4" s="1"/>
  <c r="AB35" i="3"/>
  <c r="AB35" i="4" s="1"/>
  <c r="G36" i="3"/>
  <c r="G36" i="4" s="1"/>
  <c r="S36" i="3"/>
  <c r="S36" i="4" s="1"/>
  <c r="J37" i="3"/>
  <c r="J37" i="4" s="1"/>
  <c r="V37" i="3"/>
  <c r="V37" i="4" s="1"/>
  <c r="A38" i="3"/>
  <c r="A38" i="4" s="1"/>
  <c r="M38" i="3"/>
  <c r="M38" i="4" s="1"/>
  <c r="Y38" i="3"/>
  <c r="Y38" i="4" s="1"/>
  <c r="D39" i="3"/>
  <c r="D39" i="4" s="1"/>
  <c r="P39" i="3"/>
  <c r="P39" i="4" s="1"/>
  <c r="S56" i="3"/>
  <c r="S56" i="4" s="1"/>
  <c r="A94" i="3"/>
  <c r="A94" i="4" s="1"/>
  <c r="P143" i="3"/>
  <c r="P143" i="4" s="1"/>
  <c r="Y261" i="3"/>
  <c r="Y261" i="4" s="1"/>
  <c r="D262" i="3"/>
  <c r="D262" i="4" s="1"/>
  <c r="P262" i="3"/>
  <c r="P262" i="4" s="1"/>
  <c r="AB262" i="3"/>
  <c r="AB262" i="4" s="1"/>
  <c r="G263" i="3"/>
  <c r="G263" i="4" s="1"/>
  <c r="S263" i="3"/>
  <c r="S263" i="4" s="1"/>
  <c r="J264" i="3"/>
  <c r="J264" i="4" s="1"/>
  <c r="V264" i="3"/>
  <c r="V264" i="4" s="1"/>
  <c r="A265" i="3"/>
  <c r="A265" i="4" s="1"/>
  <c r="M265" i="3"/>
  <c r="M265" i="4" s="1"/>
  <c r="Y265" i="3"/>
  <c r="Y265" i="4" s="1"/>
  <c r="D266" i="3"/>
  <c r="D266" i="4" s="1"/>
  <c r="P266" i="3"/>
  <c r="P266" i="4" s="1"/>
  <c r="AB266" i="3"/>
  <c r="AB266" i="4" s="1"/>
  <c r="G267" i="3"/>
  <c r="G267" i="4" s="1"/>
  <c r="S267" i="3"/>
  <c r="S267" i="4" s="1"/>
  <c r="J268" i="3"/>
  <c r="J268" i="4" s="1"/>
  <c r="V268" i="3"/>
  <c r="V268" i="4" s="1"/>
  <c r="A269" i="3"/>
  <c r="A269" i="4" s="1"/>
  <c r="M269" i="3"/>
  <c r="M269" i="4" s="1"/>
  <c r="Y269" i="3"/>
  <c r="Y269" i="4" s="1"/>
  <c r="D270" i="3"/>
  <c r="D270" i="4" s="1"/>
  <c r="P270" i="3"/>
  <c r="P270" i="4" s="1"/>
  <c r="AB270" i="3"/>
  <c r="AB270" i="4" s="1"/>
  <c r="G271" i="3"/>
  <c r="G271" i="4" s="1"/>
  <c r="S271" i="3"/>
  <c r="S271" i="4" s="1"/>
  <c r="J272" i="3"/>
  <c r="J272" i="4" s="1"/>
  <c r="V272" i="3"/>
  <c r="V272" i="4" s="1"/>
  <c r="A273" i="3"/>
  <c r="A273" i="4" s="1"/>
  <c r="M273" i="3"/>
  <c r="M273" i="4" s="1"/>
  <c r="Y273" i="3"/>
  <c r="Y273" i="4" s="1"/>
  <c r="D274" i="3"/>
  <c r="D274" i="4" s="1"/>
  <c r="P274" i="3"/>
  <c r="P274" i="4" s="1"/>
  <c r="AB274" i="3"/>
  <c r="AB274" i="4" s="1"/>
  <c r="G275" i="3"/>
  <c r="G275" i="4" s="1"/>
  <c r="S275" i="3"/>
  <c r="S275" i="4" s="1"/>
  <c r="J276" i="3"/>
  <c r="J276" i="4" s="1"/>
  <c r="V276" i="3"/>
  <c r="V276" i="4" s="1"/>
  <c r="A277" i="3"/>
  <c r="A277" i="4" s="1"/>
  <c r="M277" i="3"/>
  <c r="M277" i="4" s="1"/>
  <c r="Y277" i="3"/>
  <c r="Y277" i="4" s="1"/>
  <c r="D278" i="3"/>
  <c r="D278" i="4" s="1"/>
  <c r="P278" i="3"/>
  <c r="P278" i="4" s="1"/>
  <c r="AB278" i="3"/>
  <c r="AB278" i="4" s="1"/>
  <c r="G279" i="3"/>
  <c r="G279" i="4" s="1"/>
  <c r="S279" i="3"/>
  <c r="S279" i="4" s="1"/>
  <c r="J280" i="3"/>
  <c r="J280" i="4" s="1"/>
  <c r="V280" i="3"/>
  <c r="V280" i="4" s="1"/>
  <c r="A281" i="3"/>
  <c r="A281" i="4" s="1"/>
  <c r="M281" i="3"/>
  <c r="M281" i="4" s="1"/>
  <c r="Y281" i="3"/>
  <c r="Y281" i="4" s="1"/>
  <c r="D282" i="3"/>
  <c r="D282" i="4" s="1"/>
  <c r="P282" i="3"/>
  <c r="P282" i="4" s="1"/>
  <c r="AB282" i="3"/>
  <c r="AB282" i="4" s="1"/>
  <c r="G283" i="3"/>
  <c r="G283" i="4" s="1"/>
  <c r="S283" i="3"/>
  <c r="S283" i="4" s="1"/>
  <c r="J284" i="3"/>
  <c r="J284" i="4" s="1"/>
  <c r="V284" i="3"/>
  <c r="V284" i="4" s="1"/>
  <c r="A285" i="3"/>
  <c r="A285" i="4" s="1"/>
  <c r="M285" i="3"/>
  <c r="M285" i="4" s="1"/>
  <c r="Y285" i="3"/>
  <c r="Y285" i="4" s="1"/>
  <c r="D286" i="3"/>
  <c r="D286" i="4" s="1"/>
  <c r="P286" i="3"/>
  <c r="P286" i="4" s="1"/>
  <c r="AB286" i="3"/>
  <c r="AB286" i="4" s="1"/>
  <c r="G287" i="3"/>
  <c r="G287" i="4" s="1"/>
  <c r="S287" i="3"/>
  <c r="S287" i="4" s="1"/>
  <c r="J288" i="3"/>
  <c r="J288" i="4" s="1"/>
  <c r="V288" i="3"/>
  <c r="V288" i="4" s="1"/>
  <c r="A289" i="3"/>
  <c r="A289" i="4" s="1"/>
  <c r="M289" i="3"/>
  <c r="M289" i="4" s="1"/>
  <c r="Y289" i="3"/>
  <c r="Y289" i="4" s="1"/>
  <c r="D290" i="3"/>
  <c r="D290" i="4" s="1"/>
  <c r="P290" i="3"/>
  <c r="P290" i="4" s="1"/>
  <c r="AB290" i="3"/>
  <c r="AB290" i="4" s="1"/>
  <c r="G291" i="3"/>
  <c r="G291" i="4" s="1"/>
  <c r="S291" i="3"/>
  <c r="S291" i="4" s="1"/>
  <c r="J292" i="3"/>
  <c r="J292" i="4" s="1"/>
  <c r="V292" i="3"/>
  <c r="V292" i="4" s="1"/>
  <c r="A293" i="3"/>
  <c r="A293" i="4" s="1"/>
  <c r="M293" i="3"/>
  <c r="M293" i="4" s="1"/>
  <c r="Y293" i="3"/>
  <c r="Y293" i="4" s="1"/>
  <c r="D294" i="3"/>
  <c r="D294" i="4" s="1"/>
  <c r="P294" i="3"/>
  <c r="P294" i="4" s="1"/>
  <c r="AB294" i="3"/>
  <c r="AB294" i="4" s="1"/>
  <c r="G295" i="3"/>
  <c r="G295" i="4" s="1"/>
  <c r="S295" i="3"/>
  <c r="S295" i="4" s="1"/>
  <c r="J296" i="3"/>
  <c r="J296" i="4" s="1"/>
  <c r="V296" i="3"/>
  <c r="V296" i="4" s="1"/>
  <c r="A297" i="3"/>
  <c r="A297" i="4" s="1"/>
  <c r="M297" i="3"/>
  <c r="M297" i="4" s="1"/>
  <c r="Y297" i="3"/>
  <c r="Y297" i="4" s="1"/>
  <c r="D298" i="3"/>
  <c r="D298" i="4" s="1"/>
  <c r="P298" i="3"/>
  <c r="P298" i="4" s="1"/>
  <c r="AB298" i="3"/>
  <c r="AB298" i="4" s="1"/>
  <c r="G299" i="3"/>
  <c r="G299" i="4" s="1"/>
  <c r="S299" i="3"/>
  <c r="S299" i="4" s="1"/>
  <c r="J300" i="3"/>
  <c r="J300" i="4" s="1"/>
  <c r="V300" i="3"/>
  <c r="V300" i="4" s="1"/>
  <c r="A301" i="3"/>
  <c r="A301" i="4" s="1"/>
  <c r="M301" i="3"/>
  <c r="M301" i="4" s="1"/>
  <c r="Y301" i="3"/>
  <c r="Y301" i="4" s="1"/>
  <c r="D302" i="3"/>
  <c r="D302" i="4" s="1"/>
  <c r="P302" i="3"/>
  <c r="P302" i="4" s="1"/>
  <c r="AB302" i="3"/>
  <c r="AB302" i="4" s="1"/>
  <c r="G303" i="3"/>
  <c r="G303" i="4" s="1"/>
  <c r="S303" i="3"/>
  <c r="S303" i="4" s="1"/>
  <c r="J304" i="3"/>
  <c r="J304" i="4" s="1"/>
  <c r="V304" i="3"/>
  <c r="V304" i="4" s="1"/>
  <c r="A305" i="3"/>
  <c r="A305" i="4" s="1"/>
  <c r="M305" i="3"/>
  <c r="M305" i="4" s="1"/>
  <c r="Y305" i="3"/>
  <c r="Y305" i="4" s="1"/>
  <c r="D306" i="3"/>
  <c r="D306" i="4" s="1"/>
  <c r="P306" i="3"/>
  <c r="P306" i="4" s="1"/>
  <c r="AB306" i="3"/>
  <c r="AB306" i="4" s="1"/>
  <c r="G307" i="3"/>
  <c r="G307" i="4" s="1"/>
  <c r="S307" i="3"/>
  <c r="S307" i="4" s="1"/>
  <c r="J308" i="3"/>
  <c r="J308" i="4" s="1"/>
  <c r="V308" i="3"/>
  <c r="V308" i="4" s="1"/>
  <c r="A309" i="3"/>
  <c r="A309" i="4" s="1"/>
  <c r="M309" i="3"/>
  <c r="M309" i="4" s="1"/>
  <c r="Y309" i="3"/>
  <c r="Y309" i="4" s="1"/>
  <c r="D310" i="3"/>
  <c r="D310" i="4" s="1"/>
  <c r="P310" i="3"/>
  <c r="P310" i="4" s="1"/>
  <c r="AB310" i="3"/>
  <c r="AB310" i="4" s="1"/>
  <c r="G311" i="3"/>
  <c r="G311" i="4" s="1"/>
  <c r="S311" i="3"/>
  <c r="S311" i="4" s="1"/>
  <c r="J312" i="3"/>
  <c r="J312" i="4" s="1"/>
  <c r="V312" i="3"/>
  <c r="V312" i="4" s="1"/>
  <c r="A313" i="3"/>
  <c r="A313" i="4" s="1"/>
  <c r="M313" i="3"/>
  <c r="M313" i="4" s="1"/>
  <c r="Y313" i="3"/>
  <c r="Y313" i="4" s="1"/>
  <c r="D314" i="3"/>
  <c r="D314" i="4" s="1"/>
  <c r="P314" i="3"/>
  <c r="P314" i="4" s="1"/>
  <c r="AB314" i="3"/>
  <c r="AB314" i="4" s="1"/>
  <c r="G315" i="3"/>
  <c r="G315" i="4" s="1"/>
  <c r="S315" i="3"/>
  <c r="S315" i="4" s="1"/>
  <c r="J316" i="3"/>
  <c r="J316" i="4" s="1"/>
  <c r="V316" i="3"/>
  <c r="V316" i="4" s="1"/>
  <c r="A317" i="3"/>
  <c r="A317" i="4" s="1"/>
  <c r="M317" i="3"/>
  <c r="M317" i="4" s="1"/>
  <c r="Y317" i="3"/>
  <c r="Y317" i="4" s="1"/>
  <c r="D318" i="3"/>
  <c r="D318" i="4" s="1"/>
  <c r="P318" i="3"/>
  <c r="P318" i="4" s="1"/>
  <c r="AB318" i="3"/>
  <c r="AB318" i="4" s="1"/>
  <c r="G319" i="3"/>
  <c r="G319" i="4" s="1"/>
  <c r="S319" i="3"/>
  <c r="S319" i="4" s="1"/>
  <c r="J320" i="3"/>
  <c r="J320" i="4" s="1"/>
  <c r="V320" i="3"/>
  <c r="V320" i="4" s="1"/>
  <c r="A321" i="3"/>
  <c r="A321" i="4" s="1"/>
  <c r="M321" i="3"/>
  <c r="M321" i="4" s="1"/>
  <c r="Y321" i="3"/>
  <c r="Y321" i="4" s="1"/>
  <c r="D322" i="3"/>
  <c r="D322" i="4" s="1"/>
  <c r="P322" i="3"/>
  <c r="P322" i="4" s="1"/>
  <c r="AB322" i="3"/>
  <c r="AB322" i="4" s="1"/>
  <c r="G323" i="3"/>
  <c r="G323" i="4" s="1"/>
  <c r="S323" i="3"/>
  <c r="S323" i="4" s="1"/>
  <c r="J324" i="3"/>
  <c r="J324" i="4" s="1"/>
  <c r="V324" i="3"/>
  <c r="V324" i="4" s="1"/>
  <c r="A325" i="3"/>
  <c r="A325" i="4" s="1"/>
  <c r="M325" i="3"/>
  <c r="M325" i="4" s="1"/>
  <c r="Y325" i="3"/>
  <c r="Y325" i="4" s="1"/>
  <c r="D326" i="3"/>
  <c r="D326" i="4" s="1"/>
  <c r="P326" i="3"/>
  <c r="P326" i="4" s="1"/>
  <c r="AB326" i="3"/>
  <c r="AB326" i="4" s="1"/>
  <c r="G327" i="3"/>
  <c r="G327" i="4" s="1"/>
  <c r="S327" i="3"/>
  <c r="S327" i="4" s="1"/>
  <c r="J328" i="3"/>
  <c r="J328" i="4" s="1"/>
  <c r="V328" i="3"/>
  <c r="V328" i="4" s="1"/>
  <c r="A329" i="3"/>
  <c r="A329" i="4" s="1"/>
  <c r="M329" i="3"/>
  <c r="M329" i="4" s="1"/>
  <c r="Y329" i="3"/>
  <c r="Y329" i="4" s="1"/>
  <c r="D330" i="3"/>
  <c r="D330" i="4" s="1"/>
  <c r="P330" i="3"/>
  <c r="P330" i="4" s="1"/>
  <c r="AB330" i="3"/>
  <c r="AB330" i="4" s="1"/>
  <c r="G331" i="3"/>
  <c r="G331" i="4" s="1"/>
  <c r="S331" i="3"/>
  <c r="S331" i="4" s="1"/>
  <c r="J332" i="3"/>
  <c r="J332" i="4" s="1"/>
  <c r="V332" i="3"/>
  <c r="V332" i="4" s="1"/>
  <c r="A333" i="3"/>
  <c r="A333" i="4" s="1"/>
  <c r="M333" i="3"/>
  <c r="M333" i="4" s="1"/>
  <c r="Y333" i="3"/>
  <c r="Y333" i="4" s="1"/>
  <c r="D334" i="3"/>
  <c r="D334" i="4" s="1"/>
  <c r="P334" i="3"/>
  <c r="P334" i="4" s="1"/>
  <c r="AB334" i="3"/>
  <c r="AB334" i="4" s="1"/>
  <c r="G335" i="3"/>
  <c r="G335" i="4" s="1"/>
  <c r="S335" i="3"/>
  <c r="S335" i="4" s="1"/>
  <c r="J336" i="3"/>
  <c r="J336" i="4" s="1"/>
  <c r="V336" i="3"/>
  <c r="V336" i="4" s="1"/>
  <c r="A337" i="3"/>
  <c r="A337" i="4" s="1"/>
  <c r="M337" i="3"/>
  <c r="M337" i="4" s="1"/>
  <c r="Y337" i="3"/>
  <c r="Y337" i="4" s="1"/>
  <c r="D338" i="3"/>
  <c r="D338" i="4" s="1"/>
  <c r="P338" i="3"/>
  <c r="P338" i="4" s="1"/>
  <c r="AB338" i="3"/>
  <c r="AB338" i="4" s="1"/>
  <c r="G339" i="3"/>
  <c r="G339" i="4" s="1"/>
  <c r="S339" i="3"/>
  <c r="S339" i="4" s="1"/>
  <c r="J340" i="3"/>
  <c r="J340" i="4" s="1"/>
  <c r="V340" i="3"/>
  <c r="V340" i="4" s="1"/>
  <c r="A341" i="3"/>
  <c r="A341" i="4" s="1"/>
  <c r="M341" i="3"/>
  <c r="M341" i="4" s="1"/>
  <c r="Y341" i="3"/>
  <c r="Y341" i="4" s="1"/>
  <c r="D342" i="3"/>
  <c r="D342" i="4" s="1"/>
  <c r="P342" i="3"/>
  <c r="P342" i="4" s="1"/>
  <c r="AB342" i="3"/>
  <c r="AB342" i="4" s="1"/>
  <c r="G343" i="3"/>
  <c r="G343" i="4" s="1"/>
  <c r="S343" i="3"/>
  <c r="S343" i="4" s="1"/>
  <c r="J344" i="3"/>
  <c r="J344" i="4" s="1"/>
  <c r="V344" i="3"/>
  <c r="V344" i="4" s="1"/>
  <c r="A345" i="3"/>
  <c r="A345" i="4" s="1"/>
  <c r="M345" i="3"/>
  <c r="M345" i="4" s="1"/>
  <c r="Y345" i="3"/>
  <c r="Y345" i="4" s="1"/>
  <c r="D346" i="3"/>
  <c r="D346" i="4" s="1"/>
  <c r="P346" i="3"/>
  <c r="P346" i="4" s="1"/>
  <c r="AB346" i="3"/>
  <c r="AB346" i="4" s="1"/>
  <c r="G347" i="3"/>
  <c r="G347" i="4" s="1"/>
  <c r="S347" i="3"/>
  <c r="S347" i="4" s="1"/>
  <c r="J348" i="3"/>
  <c r="J348" i="4" s="1"/>
  <c r="V348" i="3"/>
  <c r="V348" i="4" s="1"/>
  <c r="A349" i="3"/>
  <c r="A349" i="4" s="1"/>
  <c r="M349" i="3"/>
  <c r="M349" i="4" s="1"/>
  <c r="Y349" i="3"/>
  <c r="Y349" i="4" s="1"/>
  <c r="D350" i="3"/>
  <c r="D350" i="4" s="1"/>
  <c r="P350" i="3"/>
  <c r="P350" i="4" s="1"/>
  <c r="AB350" i="3"/>
  <c r="AB350" i="4" s="1"/>
  <c r="G351" i="3"/>
  <c r="G351" i="4" s="1"/>
  <c r="S351" i="3"/>
  <c r="S351" i="4" s="1"/>
  <c r="J352" i="3"/>
  <c r="J352" i="4" s="1"/>
  <c r="V352" i="3"/>
  <c r="V352" i="4" s="1"/>
  <c r="A353" i="3"/>
  <c r="A353" i="4" s="1"/>
  <c r="M353" i="3"/>
  <c r="M353" i="4" s="1"/>
  <c r="Y353" i="3"/>
  <c r="Y353" i="4" s="1"/>
  <c r="T43" i="3"/>
  <c r="T43" i="4" s="1"/>
  <c r="K44" i="3"/>
  <c r="K44" i="4" s="1"/>
  <c r="W44" i="3"/>
  <c r="W44" i="4" s="1"/>
  <c r="B45" i="3"/>
  <c r="B45" i="4" s="1"/>
  <c r="N45" i="3"/>
  <c r="N45" i="4" s="1"/>
  <c r="E46" i="3"/>
  <c r="E46" i="4" s="1"/>
  <c r="Q46" i="3"/>
  <c r="Q46" i="4" s="1"/>
  <c r="H47" i="3"/>
  <c r="H47" i="4" s="1"/>
  <c r="T47" i="3"/>
  <c r="T47" i="4" s="1"/>
  <c r="K48" i="3"/>
  <c r="K48" i="4" s="1"/>
  <c r="W48" i="3"/>
  <c r="W48" i="4" s="1"/>
  <c r="B49" i="3"/>
  <c r="B49" i="4" s="1"/>
  <c r="N49" i="3"/>
  <c r="N49" i="4" s="1"/>
  <c r="Z49" i="3"/>
  <c r="Z49" i="4" s="1"/>
  <c r="E50" i="3"/>
  <c r="E50" i="4" s="1"/>
  <c r="Q50" i="3"/>
  <c r="Q50" i="4" s="1"/>
  <c r="H51" i="3"/>
  <c r="H51" i="4" s="1"/>
  <c r="T51" i="3"/>
  <c r="T51" i="4" s="1"/>
  <c r="K52" i="3"/>
  <c r="K52" i="4" s="1"/>
  <c r="W52" i="3"/>
  <c r="W52" i="4" s="1"/>
  <c r="B53" i="3"/>
  <c r="B53" i="4" s="1"/>
  <c r="N53" i="3"/>
  <c r="N53" i="4" s="1"/>
  <c r="Z53" i="3"/>
  <c r="Z53" i="4" s="1"/>
  <c r="E54" i="3"/>
  <c r="E54" i="4" s="1"/>
  <c r="Q54" i="3"/>
  <c r="Q54" i="4" s="1"/>
  <c r="H55" i="3"/>
  <c r="H55" i="4" s="1"/>
  <c r="T55" i="3"/>
  <c r="T55" i="4" s="1"/>
  <c r="K56" i="3"/>
  <c r="K56" i="4" s="1"/>
  <c r="W56" i="3"/>
  <c r="W56" i="4" s="1"/>
  <c r="B57" i="3"/>
  <c r="B57" i="4" s="1"/>
  <c r="N57" i="3"/>
  <c r="N57" i="4" s="1"/>
  <c r="Z57" i="3"/>
  <c r="Z57" i="4" s="1"/>
  <c r="E58" i="3"/>
  <c r="E58" i="4" s="1"/>
  <c r="Q58" i="3"/>
  <c r="Q58" i="4" s="1"/>
  <c r="H59" i="3"/>
  <c r="H59" i="4" s="1"/>
  <c r="T59" i="3"/>
  <c r="T59" i="4" s="1"/>
  <c r="K60" i="3"/>
  <c r="K60" i="4" s="1"/>
  <c r="B61" i="3"/>
  <c r="B61" i="4" s="1"/>
  <c r="N61" i="3"/>
  <c r="N61" i="4" s="1"/>
  <c r="Z61" i="3"/>
  <c r="Z61" i="4" s="1"/>
  <c r="E62" i="3"/>
  <c r="E62" i="4" s="1"/>
  <c r="Q62" i="3"/>
  <c r="Q62" i="4" s="1"/>
  <c r="H63" i="3"/>
  <c r="H63" i="4" s="1"/>
  <c r="T63" i="3"/>
  <c r="T63" i="4" s="1"/>
  <c r="K64" i="3"/>
  <c r="K64" i="4" s="1"/>
  <c r="W64" i="3"/>
  <c r="W64" i="4" s="1"/>
  <c r="B65" i="3"/>
  <c r="B65" i="4" s="1"/>
  <c r="N65" i="3"/>
  <c r="N65" i="4" s="1"/>
  <c r="Z65" i="3"/>
  <c r="Z65" i="4" s="1"/>
  <c r="E66" i="3"/>
  <c r="E66" i="4" s="1"/>
  <c r="Q66" i="3"/>
  <c r="Q66" i="4" s="1"/>
  <c r="H67" i="3"/>
  <c r="H67" i="4" s="1"/>
  <c r="T67" i="3"/>
  <c r="T67" i="4" s="1"/>
  <c r="K68" i="3"/>
  <c r="K68" i="4" s="1"/>
  <c r="W68" i="3"/>
  <c r="W68" i="4" s="1"/>
  <c r="B69" i="3"/>
  <c r="B69" i="4" s="1"/>
  <c r="N69" i="3"/>
  <c r="N69" i="4" s="1"/>
  <c r="Z69" i="3"/>
  <c r="Z69" i="4" s="1"/>
  <c r="E70" i="3"/>
  <c r="E70" i="4" s="1"/>
  <c r="Q70" i="3"/>
  <c r="Q70" i="4" s="1"/>
  <c r="H71" i="3"/>
  <c r="H71" i="4" s="1"/>
  <c r="T71" i="3"/>
  <c r="T71" i="4" s="1"/>
  <c r="K72" i="3"/>
  <c r="K72" i="4" s="1"/>
  <c r="W72" i="3"/>
  <c r="W72" i="4" s="1"/>
  <c r="B73" i="3"/>
  <c r="B73" i="4" s="1"/>
  <c r="N73" i="3"/>
  <c r="N73" i="4" s="1"/>
  <c r="Z73" i="3"/>
  <c r="Z73" i="4" s="1"/>
  <c r="E74" i="3"/>
  <c r="E74" i="4" s="1"/>
  <c r="Q74" i="3"/>
  <c r="Q74" i="4" s="1"/>
  <c r="H75" i="3"/>
  <c r="H75" i="4" s="1"/>
  <c r="T75" i="3"/>
  <c r="T75" i="4" s="1"/>
  <c r="K76" i="3"/>
  <c r="K76" i="4" s="1"/>
  <c r="W76" i="3"/>
  <c r="W76" i="4" s="1"/>
  <c r="B77" i="3"/>
  <c r="B77" i="4" s="1"/>
  <c r="N77" i="3"/>
  <c r="N77" i="4" s="1"/>
  <c r="Z77" i="3"/>
  <c r="Z77" i="4" s="1"/>
  <c r="E78" i="3"/>
  <c r="E78" i="4" s="1"/>
  <c r="Q78" i="3"/>
  <c r="Q78" i="4" s="1"/>
  <c r="H79" i="3"/>
  <c r="H79" i="4" s="1"/>
  <c r="T79" i="3"/>
  <c r="T79" i="4" s="1"/>
  <c r="K80" i="3"/>
  <c r="K80" i="4" s="1"/>
  <c r="W80" i="3"/>
  <c r="W80" i="4" s="1"/>
  <c r="B81" i="3"/>
  <c r="B81" i="4" s="1"/>
  <c r="N81" i="3"/>
  <c r="N81" i="4" s="1"/>
  <c r="Z81" i="3"/>
  <c r="Z81" i="4" s="1"/>
  <c r="E82" i="3"/>
  <c r="E82" i="4" s="1"/>
  <c r="Q82" i="3"/>
  <c r="Q82" i="4" s="1"/>
  <c r="H83" i="3"/>
  <c r="H83" i="4" s="1"/>
  <c r="T83" i="3"/>
  <c r="T83" i="4" s="1"/>
  <c r="K84" i="3"/>
  <c r="K84" i="4" s="1"/>
  <c r="W84" i="3"/>
  <c r="W84" i="4" s="1"/>
  <c r="B85" i="3"/>
  <c r="B85" i="4" s="1"/>
  <c r="N85" i="3"/>
  <c r="N85" i="4" s="1"/>
  <c r="Z85" i="3"/>
  <c r="Z85" i="4" s="1"/>
  <c r="E86" i="3"/>
  <c r="E86" i="4" s="1"/>
  <c r="Q86" i="3"/>
  <c r="Q86" i="4" s="1"/>
  <c r="H87" i="3"/>
  <c r="H87" i="4" s="1"/>
  <c r="T87" i="3"/>
  <c r="T87" i="4" s="1"/>
  <c r="K88" i="3"/>
  <c r="K88" i="4" s="1"/>
  <c r="W88" i="3"/>
  <c r="W88" i="4" s="1"/>
  <c r="B89" i="3"/>
  <c r="B89" i="4" s="1"/>
  <c r="N89" i="3"/>
  <c r="N89" i="4" s="1"/>
  <c r="Z89" i="3"/>
  <c r="Z89" i="4" s="1"/>
  <c r="E90" i="3"/>
  <c r="E90" i="4" s="1"/>
  <c r="Q90" i="3"/>
  <c r="Q90" i="4" s="1"/>
  <c r="H91" i="3"/>
  <c r="H91" i="4" s="1"/>
  <c r="T91" i="3"/>
  <c r="T91" i="4" s="1"/>
  <c r="K92" i="3"/>
  <c r="K92" i="4" s="1"/>
  <c r="W92" i="3"/>
  <c r="W92" i="4" s="1"/>
  <c r="B93" i="3"/>
  <c r="B93" i="4" s="1"/>
  <c r="N93" i="3"/>
  <c r="N93" i="4" s="1"/>
  <c r="Z93" i="3"/>
  <c r="Z93" i="4" s="1"/>
  <c r="E94" i="3"/>
  <c r="E94" i="4" s="1"/>
  <c r="Q94" i="3"/>
  <c r="Q94" i="4" s="1"/>
  <c r="H95" i="3"/>
  <c r="H95" i="4" s="1"/>
  <c r="T95" i="3"/>
  <c r="T95" i="4" s="1"/>
  <c r="K96" i="3"/>
  <c r="K96" i="4" s="1"/>
  <c r="W96" i="3"/>
  <c r="W96" i="4" s="1"/>
  <c r="B97" i="3"/>
  <c r="B97" i="4" s="1"/>
  <c r="N97" i="3"/>
  <c r="N97" i="4" s="1"/>
  <c r="Z97" i="3"/>
  <c r="Z97" i="4" s="1"/>
  <c r="E98" i="3"/>
  <c r="E98" i="4" s="1"/>
  <c r="Q98" i="3"/>
  <c r="Q98" i="4" s="1"/>
  <c r="H99" i="3"/>
  <c r="H99" i="4" s="1"/>
  <c r="T99" i="3"/>
  <c r="T99" i="4" s="1"/>
  <c r="K100" i="3"/>
  <c r="K100" i="4" s="1"/>
  <c r="W100" i="3"/>
  <c r="W100" i="4" s="1"/>
  <c r="B101" i="3"/>
  <c r="B101" i="4" s="1"/>
  <c r="N101" i="3"/>
  <c r="N101" i="4" s="1"/>
  <c r="Z101" i="3"/>
  <c r="Z101" i="4" s="1"/>
  <c r="E102" i="3"/>
  <c r="E102" i="4" s="1"/>
  <c r="Q102" i="3"/>
  <c r="Q102" i="4" s="1"/>
  <c r="H103" i="3"/>
  <c r="H103" i="4" s="1"/>
  <c r="T103" i="3"/>
  <c r="T103" i="4" s="1"/>
  <c r="K104" i="3"/>
  <c r="K104" i="4" s="1"/>
  <c r="W104" i="3"/>
  <c r="W104" i="4" s="1"/>
  <c r="B105" i="3"/>
  <c r="B105" i="4" s="1"/>
  <c r="N105" i="3"/>
  <c r="N105" i="4" s="1"/>
  <c r="Z105" i="3"/>
  <c r="Z105" i="4" s="1"/>
  <c r="E106" i="3"/>
  <c r="E106" i="4" s="1"/>
  <c r="Q106" i="3"/>
  <c r="Q106" i="4" s="1"/>
  <c r="H107" i="3"/>
  <c r="H107" i="4" s="1"/>
  <c r="T107" i="3"/>
  <c r="T107" i="4" s="1"/>
  <c r="K108" i="3"/>
  <c r="K108" i="4" s="1"/>
  <c r="W108" i="3"/>
  <c r="W108" i="4" s="1"/>
  <c r="B109" i="3"/>
  <c r="B109" i="4" s="1"/>
  <c r="N109" i="3"/>
  <c r="N109" i="4" s="1"/>
  <c r="Z109" i="3"/>
  <c r="Z109" i="4" s="1"/>
  <c r="E110" i="3"/>
  <c r="E110" i="4" s="1"/>
  <c r="Q110" i="3"/>
  <c r="Q110" i="4" s="1"/>
  <c r="H111" i="3"/>
  <c r="H111" i="4" s="1"/>
  <c r="T111" i="3"/>
  <c r="T111" i="4" s="1"/>
  <c r="K112" i="3"/>
  <c r="K112" i="4" s="1"/>
  <c r="W112" i="3"/>
  <c r="W112" i="4" s="1"/>
  <c r="B113" i="3"/>
  <c r="B113" i="4" s="1"/>
  <c r="N113" i="3"/>
  <c r="N113" i="4" s="1"/>
  <c r="Z113" i="3"/>
  <c r="Z113" i="4" s="1"/>
  <c r="E114" i="3"/>
  <c r="E114" i="4" s="1"/>
  <c r="Q114" i="3"/>
  <c r="Q114" i="4" s="1"/>
  <c r="H115" i="3"/>
  <c r="H115" i="4" s="1"/>
  <c r="T115" i="3"/>
  <c r="T115" i="4" s="1"/>
  <c r="K116" i="3"/>
  <c r="K116" i="4" s="1"/>
  <c r="W116" i="3"/>
  <c r="W116" i="4" s="1"/>
  <c r="B117" i="3"/>
  <c r="B117" i="4" s="1"/>
  <c r="N117" i="3"/>
  <c r="N117" i="4" s="1"/>
  <c r="Z117" i="3"/>
  <c r="Z117" i="4" s="1"/>
  <c r="E118" i="3"/>
  <c r="E118" i="4" s="1"/>
  <c r="Q118" i="3"/>
  <c r="Q118" i="4" s="1"/>
  <c r="H119" i="3"/>
  <c r="H119" i="4" s="1"/>
  <c r="T119" i="3"/>
  <c r="T119" i="4" s="1"/>
  <c r="K120" i="3"/>
  <c r="K120" i="4" s="1"/>
  <c r="W120" i="3"/>
  <c r="W120" i="4" s="1"/>
  <c r="B121" i="3"/>
  <c r="B121" i="4" s="1"/>
  <c r="N121" i="3"/>
  <c r="N121" i="4" s="1"/>
  <c r="Z121" i="3"/>
  <c r="Z121" i="4" s="1"/>
  <c r="E122" i="3"/>
  <c r="E122" i="4" s="1"/>
  <c r="Q122" i="3"/>
  <c r="Q122" i="4" s="1"/>
  <c r="H123" i="3"/>
  <c r="H123" i="4" s="1"/>
  <c r="T123" i="3"/>
  <c r="T123" i="4" s="1"/>
  <c r="K124" i="3"/>
  <c r="K124" i="4" s="1"/>
  <c r="W124" i="3"/>
  <c r="W124" i="4" s="1"/>
  <c r="B125" i="3"/>
  <c r="B125" i="4" s="1"/>
  <c r="N125" i="3"/>
  <c r="N125" i="4" s="1"/>
  <c r="Z125" i="3"/>
  <c r="Z125" i="4" s="1"/>
  <c r="E126" i="3"/>
  <c r="E126" i="4" s="1"/>
  <c r="Q126" i="3"/>
  <c r="Q126" i="4" s="1"/>
  <c r="H127" i="3"/>
  <c r="H127" i="4" s="1"/>
  <c r="T127" i="3"/>
  <c r="T127" i="4" s="1"/>
  <c r="K128" i="3"/>
  <c r="K128" i="4" s="1"/>
  <c r="W128" i="3"/>
  <c r="W128" i="4" s="1"/>
  <c r="B129" i="3"/>
  <c r="B129" i="4" s="1"/>
  <c r="N129" i="3"/>
  <c r="N129" i="4" s="1"/>
  <c r="Z129" i="3"/>
  <c r="Z129" i="4" s="1"/>
  <c r="E130" i="3"/>
  <c r="E130" i="4" s="1"/>
  <c r="Q130" i="3"/>
  <c r="Q130" i="4" s="1"/>
  <c r="H131" i="3"/>
  <c r="H131" i="4" s="1"/>
  <c r="T131" i="3"/>
  <c r="T131" i="4" s="1"/>
  <c r="K132" i="3"/>
  <c r="K132" i="4" s="1"/>
  <c r="W132" i="3"/>
  <c r="W132" i="4" s="1"/>
  <c r="B133" i="3"/>
  <c r="B133" i="4" s="1"/>
  <c r="N133" i="3"/>
  <c r="N133" i="4" s="1"/>
  <c r="Z133" i="3"/>
  <c r="Z133" i="4" s="1"/>
  <c r="E134" i="3"/>
  <c r="E134" i="4" s="1"/>
  <c r="Q134" i="3"/>
  <c r="Q134" i="4" s="1"/>
  <c r="H135" i="3"/>
  <c r="H135" i="4" s="1"/>
  <c r="T135" i="3"/>
  <c r="T135" i="4" s="1"/>
  <c r="K136" i="3"/>
  <c r="K136" i="4" s="1"/>
  <c r="W136" i="3"/>
  <c r="W136" i="4" s="1"/>
  <c r="B137" i="3"/>
  <c r="B137" i="4" s="1"/>
  <c r="N137" i="3"/>
  <c r="N137" i="4" s="1"/>
  <c r="Z137" i="3"/>
  <c r="Z137" i="4" s="1"/>
  <c r="E138" i="3"/>
  <c r="E138" i="4" s="1"/>
  <c r="Q138" i="3"/>
  <c r="Q138" i="4" s="1"/>
  <c r="H139" i="3"/>
  <c r="H139" i="4" s="1"/>
  <c r="T139" i="3"/>
  <c r="T139" i="4" s="1"/>
  <c r="K140" i="3"/>
  <c r="K140" i="4" s="1"/>
  <c r="W140" i="3"/>
  <c r="W140" i="4" s="1"/>
  <c r="B141" i="3"/>
  <c r="B141" i="4" s="1"/>
  <c r="N141" i="3"/>
  <c r="N141" i="4" s="1"/>
  <c r="Z141" i="3"/>
  <c r="Z141" i="4" s="1"/>
  <c r="E142" i="3"/>
  <c r="E142" i="4" s="1"/>
  <c r="Q142" i="3"/>
  <c r="Q142" i="4" s="1"/>
  <c r="H143" i="3"/>
  <c r="H143" i="4" s="1"/>
  <c r="T143" i="3"/>
  <c r="T143" i="4" s="1"/>
  <c r="K144" i="3"/>
  <c r="K144" i="4" s="1"/>
  <c r="W144" i="3"/>
  <c r="W144" i="4" s="1"/>
  <c r="B145" i="3"/>
  <c r="B145" i="4" s="1"/>
  <c r="N145" i="3"/>
  <c r="N145" i="4" s="1"/>
  <c r="Z145" i="3"/>
  <c r="Z145" i="4" s="1"/>
  <c r="E146" i="3"/>
  <c r="E146" i="4" s="1"/>
  <c r="Q146" i="3"/>
  <c r="Q146" i="4" s="1"/>
  <c r="H147" i="3"/>
  <c r="H147" i="4" s="1"/>
  <c r="T147" i="3"/>
  <c r="T147" i="4" s="1"/>
  <c r="K148" i="3"/>
  <c r="K148" i="4" s="1"/>
  <c r="W148" i="3"/>
  <c r="W148" i="4" s="1"/>
  <c r="B149" i="3"/>
  <c r="B149" i="4" s="1"/>
  <c r="N149" i="3"/>
  <c r="N149" i="4" s="1"/>
  <c r="Z149" i="3"/>
  <c r="Z149" i="4" s="1"/>
  <c r="E150" i="3"/>
  <c r="E150" i="4" s="1"/>
  <c r="Q150" i="3"/>
  <c r="Q150" i="4" s="1"/>
  <c r="H151" i="3"/>
  <c r="H151" i="4" s="1"/>
  <c r="T151" i="3"/>
  <c r="T151" i="4" s="1"/>
  <c r="K152" i="3"/>
  <c r="K152" i="4" s="1"/>
  <c r="W152" i="3"/>
  <c r="W152" i="4" s="1"/>
  <c r="B153" i="3"/>
  <c r="B153" i="4" s="1"/>
  <c r="N153" i="3"/>
  <c r="N153" i="4" s="1"/>
  <c r="Z153" i="3"/>
  <c r="Z153" i="4" s="1"/>
  <c r="E154" i="3"/>
  <c r="E154" i="4" s="1"/>
  <c r="Q154" i="3"/>
  <c r="Q154" i="4" s="1"/>
  <c r="H155" i="3"/>
  <c r="H155" i="4" s="1"/>
  <c r="T155" i="3"/>
  <c r="T155" i="4" s="1"/>
  <c r="K156" i="3"/>
  <c r="K156" i="4" s="1"/>
  <c r="W156" i="3"/>
  <c r="W156" i="4" s="1"/>
  <c r="B157" i="3"/>
  <c r="B157" i="4" s="1"/>
  <c r="N157" i="3"/>
  <c r="N157" i="4" s="1"/>
  <c r="Z157" i="3"/>
  <c r="Z157" i="4" s="1"/>
  <c r="E158" i="3"/>
  <c r="E158" i="4" s="1"/>
  <c r="Q158" i="3"/>
  <c r="Q158" i="4" s="1"/>
  <c r="H159" i="3"/>
  <c r="H159" i="4" s="1"/>
  <c r="T159" i="3"/>
  <c r="T159" i="4" s="1"/>
  <c r="K160" i="3"/>
  <c r="K160" i="4" s="1"/>
  <c r="W160" i="3"/>
  <c r="W160" i="4" s="1"/>
  <c r="B161" i="3"/>
  <c r="B161" i="4" s="1"/>
  <c r="N161" i="3"/>
  <c r="N161" i="4" s="1"/>
  <c r="Z161" i="3"/>
  <c r="Z161" i="4" s="1"/>
  <c r="E162" i="3"/>
  <c r="E162" i="4" s="1"/>
  <c r="Q162" i="3"/>
  <c r="Q162" i="4" s="1"/>
  <c r="H163" i="3"/>
  <c r="H163" i="4" s="1"/>
  <c r="T163" i="3"/>
  <c r="T163" i="4" s="1"/>
  <c r="K164" i="3"/>
  <c r="K164" i="4" s="1"/>
  <c r="W164" i="3"/>
  <c r="W164" i="4" s="1"/>
  <c r="B165" i="3"/>
  <c r="B165" i="4" s="1"/>
  <c r="N165" i="3"/>
  <c r="N165" i="4" s="1"/>
  <c r="Z165" i="3"/>
  <c r="Z165" i="4" s="1"/>
  <c r="E166" i="3"/>
  <c r="E166" i="4" s="1"/>
  <c r="Q166" i="3"/>
  <c r="Q166" i="4" s="1"/>
  <c r="H167" i="3"/>
  <c r="H167" i="4" s="1"/>
  <c r="T167" i="3"/>
  <c r="T167" i="4" s="1"/>
  <c r="K168" i="3"/>
  <c r="K168" i="4" s="1"/>
  <c r="W168" i="3"/>
  <c r="W168" i="4" s="1"/>
  <c r="B169" i="3"/>
  <c r="B169" i="4" s="1"/>
  <c r="N169" i="3"/>
  <c r="N169" i="4" s="1"/>
  <c r="Z169" i="3"/>
  <c r="Z169" i="4" s="1"/>
  <c r="E170" i="3"/>
  <c r="E170" i="4" s="1"/>
  <c r="Q170" i="3"/>
  <c r="Q170" i="4" s="1"/>
  <c r="H171" i="3"/>
  <c r="H171" i="4" s="1"/>
  <c r="T171" i="3"/>
  <c r="T171" i="4" s="1"/>
  <c r="K172" i="3"/>
  <c r="K172" i="4" s="1"/>
  <c r="W172" i="3"/>
  <c r="W172" i="4" s="1"/>
  <c r="B173" i="3"/>
  <c r="B173" i="4" s="1"/>
  <c r="N173" i="3"/>
  <c r="N173" i="4" s="1"/>
  <c r="Z173" i="3"/>
  <c r="Z173" i="4" s="1"/>
  <c r="E174" i="3"/>
  <c r="E174" i="4" s="1"/>
  <c r="Q174" i="3"/>
  <c r="Q174" i="4" s="1"/>
  <c r="H175" i="3"/>
  <c r="H175" i="4" s="1"/>
  <c r="T175" i="3"/>
  <c r="T175" i="4" s="1"/>
  <c r="K176" i="3"/>
  <c r="K176" i="4" s="1"/>
  <c r="W176" i="3"/>
  <c r="W176" i="4" s="1"/>
  <c r="B177" i="3"/>
  <c r="B177" i="4" s="1"/>
  <c r="N177" i="3"/>
  <c r="N177" i="4" s="1"/>
  <c r="Z177" i="3"/>
  <c r="Z177" i="4" s="1"/>
  <c r="E178" i="3"/>
  <c r="E178" i="4" s="1"/>
  <c r="Q178" i="3"/>
  <c r="Q178" i="4" s="1"/>
  <c r="H179" i="3"/>
  <c r="H179" i="4" s="1"/>
  <c r="T179" i="3"/>
  <c r="T179" i="4" s="1"/>
  <c r="K180" i="3"/>
  <c r="K180" i="4" s="1"/>
  <c r="W180" i="3"/>
  <c r="W180" i="4" s="1"/>
  <c r="B181" i="3"/>
  <c r="B181" i="4" s="1"/>
  <c r="N181" i="3"/>
  <c r="N181" i="4" s="1"/>
  <c r="Z181" i="3"/>
  <c r="Z181" i="4" s="1"/>
  <c r="E182" i="3"/>
  <c r="E182" i="4" s="1"/>
  <c r="Q182" i="3"/>
  <c r="Q182" i="4" s="1"/>
  <c r="H183" i="3"/>
  <c r="H183" i="4" s="1"/>
  <c r="T183" i="3"/>
  <c r="T183" i="4" s="1"/>
  <c r="K184" i="3"/>
  <c r="K184" i="4" s="1"/>
  <c r="W184" i="3"/>
  <c r="W184" i="4" s="1"/>
  <c r="B185" i="3"/>
  <c r="B185" i="4" s="1"/>
  <c r="N185" i="3"/>
  <c r="N185" i="4" s="1"/>
  <c r="Z185" i="3"/>
  <c r="Z185" i="4" s="1"/>
  <c r="E186" i="3"/>
  <c r="E186" i="4" s="1"/>
  <c r="Q186" i="3"/>
  <c r="Q186" i="4" s="1"/>
  <c r="H187" i="3"/>
  <c r="H187" i="4" s="1"/>
  <c r="T187" i="3"/>
  <c r="T187" i="4" s="1"/>
  <c r="K188" i="3"/>
  <c r="K188" i="4" s="1"/>
  <c r="W188" i="3"/>
  <c r="W188" i="4" s="1"/>
  <c r="B189" i="3"/>
  <c r="B189" i="4" s="1"/>
  <c r="N189" i="3"/>
  <c r="N189" i="4" s="1"/>
  <c r="Z189" i="3"/>
  <c r="Z189" i="4" s="1"/>
  <c r="E190" i="3"/>
  <c r="E190" i="4" s="1"/>
  <c r="Q190" i="3"/>
  <c r="Q190" i="4" s="1"/>
  <c r="H191" i="3"/>
  <c r="H191" i="4" s="1"/>
  <c r="T191" i="3"/>
  <c r="T191" i="4" s="1"/>
  <c r="K192" i="3"/>
  <c r="K192" i="4" s="1"/>
  <c r="W192" i="3"/>
  <c r="W192" i="4" s="1"/>
  <c r="B193" i="3"/>
  <c r="B193" i="4" s="1"/>
  <c r="N193" i="3"/>
  <c r="N193" i="4" s="1"/>
  <c r="Z193" i="3"/>
  <c r="Z193" i="4" s="1"/>
  <c r="E194" i="3"/>
  <c r="E194" i="4" s="1"/>
  <c r="Q194" i="3"/>
  <c r="Q194" i="4" s="1"/>
  <c r="H195" i="3"/>
  <c r="H195" i="4" s="1"/>
  <c r="T195" i="3"/>
  <c r="T195" i="4" s="1"/>
  <c r="K196" i="3"/>
  <c r="K196" i="4" s="1"/>
  <c r="W196" i="3"/>
  <c r="W196" i="4" s="1"/>
  <c r="B197" i="3"/>
  <c r="B197" i="4" s="1"/>
  <c r="N197" i="3"/>
  <c r="N197" i="4" s="1"/>
  <c r="Z197" i="3"/>
  <c r="Z197" i="4" s="1"/>
  <c r="E198" i="3"/>
  <c r="E198" i="4" s="1"/>
  <c r="Q198" i="3"/>
  <c r="Q198" i="4" s="1"/>
  <c r="H199" i="3"/>
  <c r="H199" i="4" s="1"/>
  <c r="T199" i="3"/>
  <c r="T199" i="4" s="1"/>
  <c r="K200" i="3"/>
  <c r="K200" i="4" s="1"/>
  <c r="W200" i="3"/>
  <c r="W200" i="4" s="1"/>
  <c r="B201" i="3"/>
  <c r="B201" i="4" s="1"/>
  <c r="N201" i="3"/>
  <c r="N201" i="4" s="1"/>
  <c r="Z201" i="3"/>
  <c r="Z201" i="4" s="1"/>
  <c r="E202" i="3"/>
  <c r="E202" i="4" s="1"/>
  <c r="Q202" i="3"/>
  <c r="Q202" i="4" s="1"/>
  <c r="H203" i="3"/>
  <c r="H203" i="4" s="1"/>
  <c r="T203" i="3"/>
  <c r="T203" i="4" s="1"/>
  <c r="K204" i="3"/>
  <c r="K204" i="4" s="1"/>
  <c r="W204" i="3"/>
  <c r="W204" i="4" s="1"/>
  <c r="B205" i="3"/>
  <c r="B205" i="4" s="1"/>
  <c r="N205" i="3"/>
  <c r="N205" i="4" s="1"/>
  <c r="Z205" i="3"/>
  <c r="Z205" i="4" s="1"/>
  <c r="E206" i="3"/>
  <c r="E206" i="4" s="1"/>
  <c r="Q206" i="3"/>
  <c r="Q206" i="4" s="1"/>
  <c r="H207" i="3"/>
  <c r="H207" i="4" s="1"/>
  <c r="T207" i="3"/>
  <c r="T207" i="4" s="1"/>
  <c r="K208" i="3"/>
  <c r="K208" i="4" s="1"/>
  <c r="W208" i="3"/>
  <c r="W208" i="4" s="1"/>
  <c r="B209" i="3"/>
  <c r="B209" i="4" s="1"/>
  <c r="N209" i="3"/>
  <c r="N209" i="4" s="1"/>
  <c r="Z209" i="3"/>
  <c r="Z209" i="4" s="1"/>
  <c r="E210" i="3"/>
  <c r="E210" i="4" s="1"/>
  <c r="Q210" i="3"/>
  <c r="Q210" i="4" s="1"/>
  <c r="H211" i="3"/>
  <c r="H211" i="4" s="1"/>
  <c r="T211" i="3"/>
  <c r="T211" i="4" s="1"/>
  <c r="K212" i="3"/>
  <c r="K212" i="4" s="1"/>
  <c r="W212" i="3"/>
  <c r="W212" i="4" s="1"/>
  <c r="B213" i="3"/>
  <c r="B213" i="4" s="1"/>
  <c r="N213" i="3"/>
  <c r="N213" i="4" s="1"/>
  <c r="Z213" i="3"/>
  <c r="Z213" i="4" s="1"/>
  <c r="E214" i="3"/>
  <c r="E214" i="4" s="1"/>
  <c r="Q214" i="3"/>
  <c r="Q214" i="4" s="1"/>
  <c r="H215" i="3"/>
  <c r="H215" i="4" s="1"/>
  <c r="T215" i="3"/>
  <c r="T215" i="4" s="1"/>
  <c r="K216" i="3"/>
  <c r="K216" i="4" s="1"/>
  <c r="W216" i="3"/>
  <c r="W216" i="4" s="1"/>
  <c r="B217" i="3"/>
  <c r="B217" i="4" s="1"/>
  <c r="N217" i="3"/>
  <c r="N217" i="4" s="1"/>
  <c r="Z217" i="3"/>
  <c r="Z217" i="4" s="1"/>
  <c r="E218" i="3"/>
  <c r="E218" i="4" s="1"/>
  <c r="Q218" i="3"/>
  <c r="Q218" i="4" s="1"/>
  <c r="H219" i="3"/>
  <c r="H219" i="4" s="1"/>
  <c r="T219" i="3"/>
  <c r="T219" i="4" s="1"/>
  <c r="K220" i="3"/>
  <c r="K220" i="4" s="1"/>
  <c r="W220" i="3"/>
  <c r="W220" i="4" s="1"/>
  <c r="B221" i="3"/>
  <c r="B221" i="4" s="1"/>
  <c r="N221" i="3"/>
  <c r="N221" i="4" s="1"/>
  <c r="Z221" i="3"/>
  <c r="Z221" i="4" s="1"/>
  <c r="E222" i="3"/>
  <c r="E222" i="4" s="1"/>
  <c r="Q222" i="3"/>
  <c r="Q222" i="4" s="1"/>
  <c r="H223" i="3"/>
  <c r="H223" i="4" s="1"/>
  <c r="T223" i="3"/>
  <c r="T223" i="4" s="1"/>
  <c r="K224" i="3"/>
  <c r="K224" i="4" s="1"/>
  <c r="W224" i="3"/>
  <c r="W224" i="4" s="1"/>
  <c r="B225" i="3"/>
  <c r="B225" i="4" s="1"/>
  <c r="N225" i="3"/>
  <c r="N225" i="4" s="1"/>
  <c r="Z225" i="3"/>
  <c r="Z225" i="4" s="1"/>
  <c r="E226" i="3"/>
  <c r="E226" i="4" s="1"/>
  <c r="Q226" i="3"/>
  <c r="Q226" i="4" s="1"/>
  <c r="H227" i="3"/>
  <c r="H227" i="4" s="1"/>
  <c r="T227" i="3"/>
  <c r="T227" i="4" s="1"/>
  <c r="K228" i="3"/>
  <c r="K228" i="4" s="1"/>
  <c r="W228" i="3"/>
  <c r="W228" i="4" s="1"/>
  <c r="B229" i="3"/>
  <c r="B229" i="4" s="1"/>
  <c r="N229" i="3"/>
  <c r="N229" i="4" s="1"/>
  <c r="Z229" i="3"/>
  <c r="Z229" i="4" s="1"/>
  <c r="E230" i="3"/>
  <c r="E230" i="4" s="1"/>
  <c r="Q230" i="3"/>
  <c r="Q230" i="4" s="1"/>
  <c r="H231" i="3"/>
  <c r="H231" i="4" s="1"/>
  <c r="T231" i="3"/>
  <c r="T231" i="4" s="1"/>
  <c r="K232" i="3"/>
  <c r="K232" i="4" s="1"/>
  <c r="W232" i="3"/>
  <c r="W232" i="4" s="1"/>
  <c r="B233" i="3"/>
  <c r="B233" i="4" s="1"/>
  <c r="N233" i="3"/>
  <c r="N233" i="4" s="1"/>
  <c r="Z233" i="3"/>
  <c r="Z233" i="4" s="1"/>
  <c r="E234" i="3"/>
  <c r="E234" i="4" s="1"/>
  <c r="Q234" i="3"/>
  <c r="Q234" i="4" s="1"/>
  <c r="H235" i="3"/>
  <c r="H235" i="4" s="1"/>
  <c r="T235" i="3"/>
  <c r="T235" i="4" s="1"/>
  <c r="K236" i="3"/>
  <c r="K236" i="4" s="1"/>
  <c r="W236" i="3"/>
  <c r="W236" i="4" s="1"/>
  <c r="B237" i="3"/>
  <c r="B237" i="4" s="1"/>
  <c r="N237" i="3"/>
  <c r="N237" i="4" s="1"/>
  <c r="Z237" i="3"/>
  <c r="Z237" i="4" s="1"/>
  <c r="E238" i="3"/>
  <c r="E238" i="4" s="1"/>
  <c r="Q238" i="3"/>
  <c r="Q238" i="4" s="1"/>
  <c r="H239" i="3"/>
  <c r="H239" i="4" s="1"/>
  <c r="T239" i="3"/>
  <c r="T239" i="4" s="1"/>
  <c r="K240" i="3"/>
  <c r="K240" i="4" s="1"/>
  <c r="W240" i="3"/>
  <c r="W240" i="4" s="1"/>
  <c r="B241" i="3"/>
  <c r="B241" i="4" s="1"/>
  <c r="N241" i="3"/>
  <c r="N241" i="4" s="1"/>
  <c r="Z241" i="3"/>
  <c r="Z241" i="4" s="1"/>
  <c r="E242" i="3"/>
  <c r="E242" i="4" s="1"/>
  <c r="Q242" i="3"/>
  <c r="Q242" i="4" s="1"/>
  <c r="H243" i="3"/>
  <c r="H243" i="4" s="1"/>
  <c r="T243" i="3"/>
  <c r="T243" i="4" s="1"/>
  <c r="K244" i="3"/>
  <c r="K244" i="4" s="1"/>
  <c r="W244" i="3"/>
  <c r="W244" i="4" s="1"/>
  <c r="B245" i="3"/>
  <c r="B245" i="4" s="1"/>
  <c r="N245" i="3"/>
  <c r="N245" i="4" s="1"/>
  <c r="Z245" i="3"/>
  <c r="Z245" i="4" s="1"/>
  <c r="E246" i="3"/>
  <c r="E246" i="4" s="1"/>
  <c r="Q246" i="3"/>
  <c r="Q246" i="4" s="1"/>
  <c r="H247" i="3"/>
  <c r="H247" i="4" s="1"/>
  <c r="T247" i="3"/>
  <c r="T247" i="4" s="1"/>
  <c r="K248" i="3"/>
  <c r="K248" i="4" s="1"/>
  <c r="W248" i="3"/>
  <c r="W248" i="4" s="1"/>
  <c r="B249" i="3"/>
  <c r="B249" i="4" s="1"/>
  <c r="N249" i="3"/>
  <c r="N249" i="4" s="1"/>
  <c r="Z249" i="3"/>
  <c r="Z249" i="4" s="1"/>
  <c r="E250" i="3"/>
  <c r="E250" i="4" s="1"/>
  <c r="Q250" i="3"/>
  <c r="Q250" i="4" s="1"/>
  <c r="H251" i="3"/>
  <c r="H251" i="4" s="1"/>
  <c r="T251" i="3"/>
  <c r="T251" i="4" s="1"/>
  <c r="K252" i="3"/>
  <c r="K252" i="4" s="1"/>
  <c r="W252" i="3"/>
  <c r="W252" i="4" s="1"/>
  <c r="B253" i="3"/>
  <c r="B253" i="4" s="1"/>
  <c r="N253" i="3"/>
  <c r="N253" i="4" s="1"/>
  <c r="Z253" i="3"/>
  <c r="Z253" i="4" s="1"/>
  <c r="E254" i="3"/>
  <c r="E254" i="4" s="1"/>
  <c r="Q254" i="3"/>
  <c r="Q254" i="4" s="1"/>
  <c r="H255" i="3"/>
  <c r="H255" i="4" s="1"/>
  <c r="T255" i="3"/>
  <c r="T255" i="4" s="1"/>
  <c r="K256" i="3"/>
  <c r="K256" i="4" s="1"/>
  <c r="W256" i="3"/>
  <c r="W256" i="4" s="1"/>
  <c r="B257" i="3"/>
  <c r="B257" i="4" s="1"/>
  <c r="N257" i="3"/>
  <c r="N257" i="4" s="1"/>
  <c r="Z257" i="3"/>
  <c r="Z257" i="4" s="1"/>
  <c r="E258" i="3"/>
  <c r="E258" i="4" s="1"/>
  <c r="Q258" i="3"/>
  <c r="Q258" i="4" s="1"/>
  <c r="H259" i="3"/>
  <c r="H259" i="4" s="1"/>
  <c r="T259" i="3"/>
  <c r="T259" i="4" s="1"/>
  <c r="K260" i="3"/>
  <c r="K260" i="4" s="1"/>
  <c r="W260" i="3"/>
  <c r="W260" i="4" s="1"/>
  <c r="B261" i="3"/>
  <c r="B261" i="4" s="1"/>
  <c r="N261" i="3"/>
  <c r="N261" i="4" s="1"/>
  <c r="Z261" i="3"/>
  <c r="Z261" i="4" s="1"/>
  <c r="E262" i="3"/>
  <c r="E262" i="4" s="1"/>
  <c r="Q262" i="3"/>
  <c r="Q262" i="4" s="1"/>
  <c r="H263" i="3"/>
  <c r="H263" i="4" s="1"/>
  <c r="T263" i="3"/>
  <c r="T263" i="4" s="1"/>
  <c r="K264" i="3"/>
  <c r="K264" i="4" s="1"/>
  <c r="W264" i="3"/>
  <c r="W264" i="4" s="1"/>
  <c r="B265" i="3"/>
  <c r="B265" i="4" s="1"/>
  <c r="N265" i="3"/>
  <c r="N265" i="4" s="1"/>
  <c r="Z265" i="3"/>
  <c r="Z265" i="4" s="1"/>
  <c r="E266" i="3"/>
  <c r="E266" i="4" s="1"/>
  <c r="Q266" i="3"/>
  <c r="Q266" i="4" s="1"/>
  <c r="H267" i="3"/>
  <c r="H267" i="4" s="1"/>
  <c r="T267" i="3"/>
  <c r="T267" i="4" s="1"/>
  <c r="K268" i="3"/>
  <c r="K268" i="4" s="1"/>
  <c r="W268" i="3"/>
  <c r="W268" i="4" s="1"/>
  <c r="B269" i="3"/>
  <c r="B269" i="4" s="1"/>
  <c r="N269" i="3"/>
  <c r="N269" i="4" s="1"/>
  <c r="Z269" i="3"/>
  <c r="Z269" i="4" s="1"/>
  <c r="E270" i="3"/>
  <c r="E270" i="4" s="1"/>
  <c r="Q270" i="3"/>
  <c r="Q270" i="4" s="1"/>
  <c r="H271" i="3"/>
  <c r="H271" i="4" s="1"/>
  <c r="T271" i="3"/>
  <c r="T271" i="4" s="1"/>
  <c r="K272" i="3"/>
  <c r="K272" i="4" s="1"/>
  <c r="W272" i="3"/>
  <c r="W272" i="4" s="1"/>
  <c r="B273" i="3"/>
  <c r="B273" i="4" s="1"/>
  <c r="N273" i="3"/>
  <c r="N273" i="4" s="1"/>
  <c r="Z273" i="3"/>
  <c r="Z273" i="4" s="1"/>
  <c r="E274" i="3"/>
  <c r="E274" i="4" s="1"/>
  <c r="Q274" i="3"/>
  <c r="Q274" i="4" s="1"/>
  <c r="H275" i="3"/>
  <c r="H275" i="4" s="1"/>
  <c r="T275" i="3"/>
  <c r="T275" i="4" s="1"/>
  <c r="K276" i="3"/>
  <c r="K276" i="4" s="1"/>
  <c r="W276" i="3"/>
  <c r="W276" i="4" s="1"/>
  <c r="B277" i="3"/>
  <c r="B277" i="4" s="1"/>
  <c r="N277" i="3"/>
  <c r="N277" i="4" s="1"/>
  <c r="Z277" i="3"/>
  <c r="Z277" i="4" s="1"/>
  <c r="E278" i="3"/>
  <c r="E278" i="4" s="1"/>
  <c r="Q278" i="3"/>
  <c r="Q278" i="4" s="1"/>
  <c r="H279" i="3"/>
  <c r="H279" i="4" s="1"/>
  <c r="T279" i="3"/>
  <c r="T279" i="4" s="1"/>
  <c r="K280" i="3"/>
  <c r="K280" i="4" s="1"/>
  <c r="W280" i="3"/>
  <c r="W280" i="4" s="1"/>
  <c r="B281" i="3"/>
  <c r="B281" i="4" s="1"/>
  <c r="N281" i="3"/>
  <c r="N281" i="4" s="1"/>
  <c r="Z281" i="3"/>
  <c r="Z281" i="4" s="1"/>
  <c r="E282" i="3"/>
  <c r="E282" i="4" s="1"/>
  <c r="Q282" i="3"/>
  <c r="Q282" i="4" s="1"/>
  <c r="H283" i="3"/>
  <c r="H283" i="4" s="1"/>
  <c r="T283" i="3"/>
  <c r="T283" i="4" s="1"/>
  <c r="K284" i="3"/>
  <c r="K284" i="4" s="1"/>
  <c r="W284" i="3"/>
  <c r="W284" i="4" s="1"/>
  <c r="B285" i="3"/>
  <c r="B285" i="4" s="1"/>
  <c r="N285" i="3"/>
  <c r="N285" i="4" s="1"/>
  <c r="Z285" i="3"/>
  <c r="Z285" i="4" s="1"/>
  <c r="E286" i="3"/>
  <c r="E286" i="4" s="1"/>
  <c r="Q286" i="3"/>
  <c r="Q286" i="4" s="1"/>
  <c r="H287" i="3"/>
  <c r="H287" i="4" s="1"/>
  <c r="T287" i="3"/>
  <c r="T287" i="4" s="1"/>
  <c r="K288" i="3"/>
  <c r="K288" i="4" s="1"/>
  <c r="W288" i="3"/>
  <c r="W288" i="4" s="1"/>
  <c r="B289" i="3"/>
  <c r="B289" i="4" s="1"/>
  <c r="N289" i="3"/>
  <c r="N289" i="4" s="1"/>
  <c r="Z289" i="3"/>
  <c r="Z289" i="4" s="1"/>
  <c r="E290" i="3"/>
  <c r="E290" i="4" s="1"/>
  <c r="Q290" i="3"/>
  <c r="Q290" i="4" s="1"/>
  <c r="H291" i="3"/>
  <c r="H291" i="4" s="1"/>
  <c r="T291" i="3"/>
  <c r="T291" i="4" s="1"/>
  <c r="K292" i="3"/>
  <c r="K292" i="4" s="1"/>
  <c r="W292" i="3"/>
  <c r="W292" i="4" s="1"/>
  <c r="B293" i="3"/>
  <c r="B293" i="4" s="1"/>
  <c r="N293" i="3"/>
  <c r="N293" i="4" s="1"/>
  <c r="Z293" i="3"/>
  <c r="Z293" i="4" s="1"/>
  <c r="E294" i="3"/>
  <c r="E294" i="4" s="1"/>
  <c r="Q294" i="3"/>
  <c r="Q294" i="4" s="1"/>
  <c r="H295" i="3"/>
  <c r="H295" i="4" s="1"/>
  <c r="T295" i="3"/>
  <c r="T295" i="4" s="1"/>
  <c r="K296" i="3"/>
  <c r="K296" i="4" s="1"/>
  <c r="W296" i="3"/>
  <c r="W296" i="4" s="1"/>
  <c r="B297" i="3"/>
  <c r="B297" i="4" s="1"/>
  <c r="N297" i="3"/>
  <c r="N297" i="4" s="1"/>
  <c r="Z297" i="3"/>
  <c r="Z297" i="4" s="1"/>
  <c r="E298" i="3"/>
  <c r="E298" i="4" s="1"/>
  <c r="Q298" i="3"/>
  <c r="Q298" i="4" s="1"/>
  <c r="H299" i="3"/>
  <c r="H299" i="4" s="1"/>
  <c r="T299" i="3"/>
  <c r="T299" i="4" s="1"/>
  <c r="K300" i="3"/>
  <c r="K300" i="4" s="1"/>
  <c r="W300" i="3"/>
  <c r="W300" i="4" s="1"/>
  <c r="B301" i="3"/>
  <c r="B301" i="4" s="1"/>
  <c r="N301" i="3"/>
  <c r="N301" i="4" s="1"/>
  <c r="Z301" i="3"/>
  <c r="Z301" i="4" s="1"/>
  <c r="E302" i="3"/>
  <c r="E302" i="4" s="1"/>
  <c r="Q302" i="3"/>
  <c r="Q302" i="4" s="1"/>
  <c r="H303" i="3"/>
  <c r="H303" i="4" s="1"/>
  <c r="T303" i="3"/>
  <c r="T303" i="4" s="1"/>
  <c r="K304" i="3"/>
  <c r="K304" i="4" s="1"/>
  <c r="W304" i="3"/>
  <c r="W304" i="4" s="1"/>
  <c r="B305" i="3"/>
  <c r="B305" i="4" s="1"/>
  <c r="N305" i="3"/>
  <c r="N305" i="4" s="1"/>
  <c r="Z305" i="3"/>
  <c r="Z305" i="4" s="1"/>
  <c r="E306" i="3"/>
  <c r="E306" i="4" s="1"/>
  <c r="Q306" i="3"/>
  <c r="Q306" i="4" s="1"/>
  <c r="H307" i="3"/>
  <c r="H307" i="4" s="1"/>
  <c r="T307" i="3"/>
  <c r="T307" i="4" s="1"/>
  <c r="K308" i="3"/>
  <c r="K308" i="4" s="1"/>
  <c r="W308" i="3"/>
  <c r="W308" i="4" s="1"/>
  <c r="B309" i="3"/>
  <c r="B309" i="4" s="1"/>
  <c r="N309" i="3"/>
  <c r="N309" i="4" s="1"/>
  <c r="Z309" i="3"/>
  <c r="Z309" i="4" s="1"/>
  <c r="E310" i="3"/>
  <c r="E310" i="4" s="1"/>
  <c r="Q310" i="3"/>
  <c r="Q310" i="4" s="1"/>
  <c r="H311" i="3"/>
  <c r="H311" i="4" s="1"/>
  <c r="T311" i="3"/>
  <c r="T311" i="4" s="1"/>
  <c r="K312" i="3"/>
  <c r="K312" i="4" s="1"/>
  <c r="W312" i="3"/>
  <c r="W312" i="4" s="1"/>
  <c r="B313" i="3"/>
  <c r="B313" i="4" s="1"/>
  <c r="N313" i="3"/>
  <c r="N313" i="4" s="1"/>
  <c r="Z313" i="3"/>
  <c r="Z313" i="4" s="1"/>
  <c r="E314" i="3"/>
  <c r="E314" i="4" s="1"/>
  <c r="Q314" i="3"/>
  <c r="Q314" i="4" s="1"/>
  <c r="H315" i="3"/>
  <c r="H315" i="4" s="1"/>
  <c r="T315" i="3"/>
  <c r="T315" i="4" s="1"/>
  <c r="K316" i="3"/>
  <c r="K316" i="4" s="1"/>
  <c r="W316" i="3"/>
  <c r="W316" i="4" s="1"/>
  <c r="B317" i="3"/>
  <c r="B317" i="4" s="1"/>
  <c r="N317" i="3"/>
  <c r="N317" i="4" s="1"/>
  <c r="Z317" i="3"/>
  <c r="Z317" i="4" s="1"/>
  <c r="E318" i="3"/>
  <c r="E318" i="4" s="1"/>
  <c r="Q318" i="3"/>
  <c r="Q318" i="4" s="1"/>
  <c r="H319" i="3"/>
  <c r="H319" i="4" s="1"/>
  <c r="T319" i="3"/>
  <c r="T319" i="4" s="1"/>
  <c r="K320" i="3"/>
  <c r="K320" i="4" s="1"/>
  <c r="W320" i="3"/>
  <c r="W320" i="4" s="1"/>
  <c r="B321" i="3"/>
  <c r="B321" i="4" s="1"/>
  <c r="N321" i="3"/>
  <c r="N321" i="4" s="1"/>
  <c r="Z321" i="3"/>
  <c r="Z321" i="4" s="1"/>
  <c r="E322" i="3"/>
  <c r="E322" i="4" s="1"/>
  <c r="Q322" i="3"/>
  <c r="Q322" i="4" s="1"/>
  <c r="H323" i="3"/>
  <c r="H323" i="4" s="1"/>
  <c r="T323" i="3"/>
  <c r="T323" i="4" s="1"/>
  <c r="K324" i="3"/>
  <c r="K324" i="4" s="1"/>
  <c r="W324" i="3"/>
  <c r="W324" i="4" s="1"/>
  <c r="B325" i="3"/>
  <c r="B325" i="4" s="1"/>
  <c r="N325" i="3"/>
  <c r="N325" i="4" s="1"/>
  <c r="Z325" i="3"/>
  <c r="Z325" i="4" s="1"/>
  <c r="E326" i="3"/>
  <c r="E326" i="4" s="1"/>
  <c r="Q326" i="3"/>
  <c r="Q326" i="4" s="1"/>
  <c r="H327" i="3"/>
  <c r="H327" i="4" s="1"/>
  <c r="T327" i="3"/>
  <c r="T327" i="4" s="1"/>
  <c r="K328" i="3"/>
  <c r="K328" i="4" s="1"/>
  <c r="W328" i="3"/>
  <c r="W328" i="4" s="1"/>
  <c r="B329" i="3"/>
  <c r="B329" i="4" s="1"/>
  <c r="N329" i="3"/>
  <c r="N329" i="4" s="1"/>
  <c r="Z329" i="3"/>
  <c r="Z329" i="4" s="1"/>
  <c r="E330" i="3"/>
  <c r="E330" i="4" s="1"/>
  <c r="Q330" i="3"/>
  <c r="Q330" i="4" s="1"/>
  <c r="H331" i="3"/>
  <c r="H331" i="4" s="1"/>
  <c r="T331" i="3"/>
  <c r="T331" i="4" s="1"/>
  <c r="K332" i="3"/>
  <c r="K332" i="4" s="1"/>
  <c r="W332" i="3"/>
  <c r="W332" i="4" s="1"/>
  <c r="B333" i="3"/>
  <c r="B333" i="4" s="1"/>
  <c r="N333" i="3"/>
  <c r="N333" i="4" s="1"/>
  <c r="Z333" i="3"/>
  <c r="Z333" i="4" s="1"/>
  <c r="E334" i="3"/>
  <c r="E334" i="4" s="1"/>
  <c r="Q334" i="3"/>
  <c r="Q334" i="4" s="1"/>
  <c r="H335" i="3"/>
  <c r="H335" i="4" s="1"/>
  <c r="T335" i="3"/>
  <c r="T335" i="4" s="1"/>
  <c r="K336" i="3"/>
  <c r="K336" i="4" s="1"/>
  <c r="W336" i="3"/>
  <c r="W336" i="4" s="1"/>
  <c r="B337" i="3"/>
  <c r="B337" i="4" s="1"/>
  <c r="N337" i="3"/>
  <c r="N337" i="4" s="1"/>
  <c r="Z337" i="3"/>
  <c r="Z337" i="4" s="1"/>
  <c r="E338" i="3"/>
  <c r="E338" i="4" s="1"/>
  <c r="Q338" i="3"/>
  <c r="Q338" i="4" s="1"/>
  <c r="H339" i="3"/>
  <c r="H339" i="4" s="1"/>
  <c r="T339" i="3"/>
  <c r="T339" i="4" s="1"/>
  <c r="K340" i="3"/>
  <c r="K340" i="4" s="1"/>
  <c r="W340" i="3"/>
  <c r="W340" i="4" s="1"/>
  <c r="B341" i="3"/>
  <c r="B341" i="4" s="1"/>
  <c r="N341" i="3"/>
  <c r="N341" i="4" s="1"/>
  <c r="Z341" i="3"/>
  <c r="Z341" i="4" s="1"/>
  <c r="E342" i="3"/>
  <c r="E342" i="4" s="1"/>
  <c r="Q342" i="3"/>
  <c r="Q342" i="4" s="1"/>
  <c r="H343" i="3"/>
  <c r="H343" i="4" s="1"/>
  <c r="T343" i="3"/>
  <c r="T343" i="4" s="1"/>
  <c r="K344" i="3"/>
  <c r="K344" i="4" s="1"/>
  <c r="W344" i="3"/>
  <c r="W344" i="4" s="1"/>
  <c r="B345" i="3"/>
  <c r="B345" i="4" s="1"/>
  <c r="N345" i="3"/>
  <c r="N345" i="4" s="1"/>
  <c r="Z345" i="3"/>
  <c r="Z345" i="4" s="1"/>
  <c r="E346" i="3"/>
  <c r="E346" i="4" s="1"/>
  <c r="C469" i="3"/>
  <c r="C469" i="4" s="1"/>
  <c r="O469" i="3"/>
  <c r="O469" i="4" s="1"/>
  <c r="AA469" i="3"/>
  <c r="AA469" i="4" s="1"/>
  <c r="F470" i="3"/>
  <c r="F470" i="4" s="1"/>
  <c r="R470" i="3"/>
  <c r="R470" i="4" s="1"/>
  <c r="I471" i="3"/>
  <c r="I471" i="4" s="1"/>
  <c r="U471" i="3"/>
  <c r="U471" i="4" s="1"/>
  <c r="L472" i="3"/>
  <c r="L472" i="4" s="1"/>
  <c r="X472" i="3"/>
  <c r="X472" i="4" s="1"/>
  <c r="C473" i="3"/>
  <c r="C473" i="4" s="1"/>
  <c r="O473" i="3"/>
  <c r="O473" i="4" s="1"/>
  <c r="AA473" i="3"/>
  <c r="AA473" i="4" s="1"/>
  <c r="F474" i="3"/>
  <c r="F474" i="4" s="1"/>
  <c r="R474" i="3"/>
  <c r="R474" i="4" s="1"/>
  <c r="I475" i="3"/>
  <c r="I475" i="4" s="1"/>
  <c r="U475" i="3"/>
  <c r="U475" i="4" s="1"/>
  <c r="L476" i="3"/>
  <c r="L476" i="4" s="1"/>
  <c r="X476" i="3"/>
  <c r="X476" i="4" s="1"/>
  <c r="C477" i="3"/>
  <c r="C477" i="4" s="1"/>
  <c r="O477" i="3"/>
  <c r="O477" i="4" s="1"/>
  <c r="AA477" i="3"/>
  <c r="AA477" i="4" s="1"/>
  <c r="F478" i="3"/>
  <c r="F478" i="4" s="1"/>
  <c r="R478" i="3"/>
  <c r="R478" i="4" s="1"/>
  <c r="I479" i="3"/>
  <c r="I479" i="4" s="1"/>
  <c r="U479" i="3"/>
  <c r="U479" i="4" s="1"/>
  <c r="L480" i="3"/>
  <c r="L480" i="4" s="1"/>
  <c r="X480" i="3"/>
  <c r="X480" i="4" s="1"/>
  <c r="C481" i="3"/>
  <c r="C481" i="4" s="1"/>
  <c r="O481" i="3"/>
  <c r="O481" i="4" s="1"/>
  <c r="AA481" i="3"/>
  <c r="AA481" i="4" s="1"/>
  <c r="F482" i="3"/>
  <c r="F482" i="4" s="1"/>
  <c r="R482" i="3"/>
  <c r="R482" i="4" s="1"/>
  <c r="I483" i="3"/>
  <c r="I483" i="4" s="1"/>
  <c r="U483" i="3"/>
  <c r="U483" i="4" s="1"/>
  <c r="L484" i="3"/>
  <c r="L484" i="4" s="1"/>
  <c r="X484" i="3"/>
  <c r="X484" i="4" s="1"/>
  <c r="C485" i="3"/>
  <c r="C485" i="4" s="1"/>
  <c r="O485" i="3"/>
  <c r="O485" i="4" s="1"/>
  <c r="AA485" i="3"/>
  <c r="AA485" i="4" s="1"/>
  <c r="F486" i="3"/>
  <c r="F486" i="4" s="1"/>
  <c r="R486" i="3"/>
  <c r="R486" i="4" s="1"/>
  <c r="I487" i="3"/>
  <c r="I487" i="4" s="1"/>
  <c r="U487" i="3"/>
  <c r="U487" i="4" s="1"/>
  <c r="O493" i="3"/>
  <c r="O493" i="4" s="1"/>
  <c r="AA493" i="3"/>
  <c r="AA493" i="4" s="1"/>
  <c r="R494" i="3"/>
  <c r="R494" i="4" s="1"/>
  <c r="I495" i="3"/>
  <c r="I495" i="4" s="1"/>
  <c r="U495" i="3"/>
  <c r="U495" i="4" s="1"/>
  <c r="L496" i="3"/>
  <c r="L496" i="4" s="1"/>
  <c r="X496" i="3"/>
  <c r="X496" i="4" s="1"/>
  <c r="C497" i="3"/>
  <c r="C497" i="4" s="1"/>
  <c r="O497" i="3"/>
  <c r="O497" i="4" s="1"/>
  <c r="AA497" i="3"/>
  <c r="AA497" i="4" s="1"/>
  <c r="F498" i="3"/>
  <c r="F498" i="4" s="1"/>
  <c r="R498" i="3"/>
  <c r="R498" i="4" s="1"/>
  <c r="I499" i="3"/>
  <c r="I499" i="4" s="1"/>
  <c r="U499" i="3"/>
  <c r="U499" i="4" s="1"/>
  <c r="X500" i="3"/>
  <c r="X500" i="4" s="1"/>
  <c r="K70" i="3"/>
  <c r="K70" i="4" s="1"/>
  <c r="W70" i="3"/>
  <c r="W70" i="4" s="1"/>
  <c r="B71" i="3"/>
  <c r="B71" i="4" s="1"/>
  <c r="N71" i="3"/>
  <c r="N71" i="4" s="1"/>
  <c r="Z71" i="3"/>
  <c r="Z71" i="4" s="1"/>
  <c r="E72" i="3"/>
  <c r="E72" i="4" s="1"/>
  <c r="Q72" i="3"/>
  <c r="Q72" i="4" s="1"/>
  <c r="H73" i="3"/>
  <c r="H73" i="4" s="1"/>
  <c r="T73" i="3"/>
  <c r="T73" i="4" s="1"/>
  <c r="K74" i="3"/>
  <c r="K74" i="4" s="1"/>
  <c r="W74" i="3"/>
  <c r="W74" i="4" s="1"/>
  <c r="B75" i="3"/>
  <c r="B75" i="4" s="1"/>
  <c r="N75" i="3"/>
  <c r="N75" i="4" s="1"/>
  <c r="Z75" i="3"/>
  <c r="Z75" i="4" s="1"/>
  <c r="E76" i="3"/>
  <c r="E76" i="4" s="1"/>
  <c r="Q76" i="3"/>
  <c r="Q76" i="4" s="1"/>
  <c r="H77" i="3"/>
  <c r="H77" i="4" s="1"/>
  <c r="T77" i="3"/>
  <c r="T77" i="4" s="1"/>
  <c r="K78" i="3"/>
  <c r="K78" i="4" s="1"/>
  <c r="W78" i="3"/>
  <c r="W78" i="4" s="1"/>
  <c r="B79" i="3"/>
  <c r="B79" i="4" s="1"/>
  <c r="N79" i="3"/>
  <c r="N79" i="4" s="1"/>
  <c r="Z79" i="3"/>
  <c r="Z79" i="4" s="1"/>
  <c r="E80" i="3"/>
  <c r="E80" i="4" s="1"/>
  <c r="Q80" i="3"/>
  <c r="Q80" i="4" s="1"/>
  <c r="H81" i="3"/>
  <c r="H81" i="4" s="1"/>
  <c r="T81" i="3"/>
  <c r="T81" i="4" s="1"/>
  <c r="K82" i="3"/>
  <c r="K82" i="4" s="1"/>
  <c r="W82" i="3"/>
  <c r="W82" i="4" s="1"/>
  <c r="B83" i="3"/>
  <c r="B83" i="4" s="1"/>
  <c r="N83" i="3"/>
  <c r="N83" i="4" s="1"/>
  <c r="Z83" i="3"/>
  <c r="Z83" i="4" s="1"/>
  <c r="E84" i="3"/>
  <c r="E84" i="4" s="1"/>
  <c r="Q84" i="3"/>
  <c r="Q84" i="4" s="1"/>
  <c r="H85" i="3"/>
  <c r="H85" i="4" s="1"/>
  <c r="T85" i="3"/>
  <c r="T85" i="4" s="1"/>
  <c r="K86" i="3"/>
  <c r="K86" i="4" s="1"/>
  <c r="W86" i="3"/>
  <c r="W86" i="4" s="1"/>
  <c r="B87" i="3"/>
  <c r="B87" i="4" s="1"/>
  <c r="N87" i="3"/>
  <c r="N87" i="4" s="1"/>
  <c r="Z87" i="3"/>
  <c r="Z87" i="4" s="1"/>
  <c r="E88" i="3"/>
  <c r="E88" i="4" s="1"/>
  <c r="Q88" i="3"/>
  <c r="Q88" i="4" s="1"/>
  <c r="H89" i="3"/>
  <c r="H89" i="4" s="1"/>
  <c r="T89" i="3"/>
  <c r="T89" i="4" s="1"/>
  <c r="K90" i="3"/>
  <c r="K90" i="4" s="1"/>
  <c r="W90" i="3"/>
  <c r="W90" i="4" s="1"/>
  <c r="B91" i="3"/>
  <c r="B91" i="4" s="1"/>
  <c r="N91" i="3"/>
  <c r="N91" i="4" s="1"/>
  <c r="Z91" i="3"/>
  <c r="Z91" i="4" s="1"/>
  <c r="E92" i="3"/>
  <c r="E92" i="4" s="1"/>
  <c r="Q92" i="3"/>
  <c r="Q92" i="4" s="1"/>
  <c r="H93" i="3"/>
  <c r="H93" i="4" s="1"/>
  <c r="T93" i="3"/>
  <c r="T93" i="4" s="1"/>
  <c r="K94" i="3"/>
  <c r="K94" i="4" s="1"/>
  <c r="W94" i="3"/>
  <c r="W94" i="4" s="1"/>
  <c r="N95" i="3"/>
  <c r="N95" i="4" s="1"/>
  <c r="Z95" i="3"/>
  <c r="Z95" i="4" s="1"/>
  <c r="E96" i="3"/>
  <c r="E96" i="4" s="1"/>
  <c r="Q96" i="3"/>
  <c r="Q96" i="4" s="1"/>
  <c r="H97" i="3"/>
  <c r="H97" i="4" s="1"/>
  <c r="T97" i="3"/>
  <c r="T97" i="4" s="1"/>
  <c r="K98" i="3"/>
  <c r="K98" i="4" s="1"/>
  <c r="W98" i="3"/>
  <c r="W98" i="4" s="1"/>
  <c r="B99" i="3"/>
  <c r="B99" i="4" s="1"/>
  <c r="N99" i="3"/>
  <c r="N99" i="4" s="1"/>
  <c r="Z99" i="3"/>
  <c r="Z99" i="4" s="1"/>
  <c r="E100" i="3"/>
  <c r="E100" i="4" s="1"/>
  <c r="Q100" i="3"/>
  <c r="Q100" i="4" s="1"/>
  <c r="H101" i="3"/>
  <c r="H101" i="4" s="1"/>
  <c r="T101" i="3"/>
  <c r="T101" i="4" s="1"/>
  <c r="K102" i="3"/>
  <c r="K102" i="4" s="1"/>
  <c r="W102" i="3"/>
  <c r="W102" i="4" s="1"/>
  <c r="B103" i="3"/>
  <c r="B103" i="4" s="1"/>
  <c r="N103" i="3"/>
  <c r="N103" i="4" s="1"/>
  <c r="Z103" i="3"/>
  <c r="Z103" i="4" s="1"/>
  <c r="E104" i="3"/>
  <c r="E104" i="4" s="1"/>
  <c r="Q104" i="3"/>
  <c r="Q104" i="4" s="1"/>
  <c r="H105" i="3"/>
  <c r="H105" i="4" s="1"/>
  <c r="T105" i="3"/>
  <c r="T105" i="4" s="1"/>
  <c r="K106" i="3"/>
  <c r="K106" i="4" s="1"/>
  <c r="W106" i="3"/>
  <c r="W106" i="4" s="1"/>
  <c r="B107" i="3"/>
  <c r="B107" i="4" s="1"/>
  <c r="N107" i="3"/>
  <c r="N107" i="4" s="1"/>
  <c r="Z107" i="3"/>
  <c r="Z107" i="4" s="1"/>
  <c r="E108" i="3"/>
  <c r="E108" i="4" s="1"/>
  <c r="Q108" i="3"/>
  <c r="Q108" i="4" s="1"/>
  <c r="H109" i="3"/>
  <c r="H109" i="4" s="1"/>
  <c r="T109" i="3"/>
  <c r="T109" i="4" s="1"/>
  <c r="K110" i="3"/>
  <c r="K110" i="4" s="1"/>
  <c r="W110" i="3"/>
  <c r="W110" i="4" s="1"/>
  <c r="B111" i="3"/>
  <c r="B111" i="4" s="1"/>
  <c r="N111" i="3"/>
  <c r="N111" i="4" s="1"/>
  <c r="Z111" i="3"/>
  <c r="Z111" i="4" s="1"/>
  <c r="E112" i="3"/>
  <c r="E112" i="4" s="1"/>
  <c r="Q112" i="3"/>
  <c r="Q112" i="4" s="1"/>
  <c r="H113" i="3"/>
  <c r="H113" i="4" s="1"/>
  <c r="T113" i="3"/>
  <c r="T113" i="4" s="1"/>
  <c r="K114" i="3"/>
  <c r="K114" i="4" s="1"/>
  <c r="W114" i="3"/>
  <c r="W114" i="4" s="1"/>
  <c r="B115" i="3"/>
  <c r="B115" i="4" s="1"/>
  <c r="N115" i="3"/>
  <c r="N115" i="4" s="1"/>
  <c r="Z115" i="3"/>
  <c r="Z115" i="4" s="1"/>
  <c r="E116" i="3"/>
  <c r="E116" i="4" s="1"/>
  <c r="Q116" i="3"/>
  <c r="Q116" i="4" s="1"/>
  <c r="H117" i="3"/>
  <c r="H117" i="4" s="1"/>
  <c r="T117" i="3"/>
  <c r="T117" i="4" s="1"/>
  <c r="K118" i="3"/>
  <c r="K118" i="4" s="1"/>
  <c r="W118" i="3"/>
  <c r="W118" i="4" s="1"/>
  <c r="B119" i="3"/>
  <c r="B119" i="4" s="1"/>
  <c r="N119" i="3"/>
  <c r="N119" i="4" s="1"/>
  <c r="Z119" i="3"/>
  <c r="Z119" i="4" s="1"/>
  <c r="E120" i="3"/>
  <c r="E120" i="4" s="1"/>
  <c r="Q120" i="3"/>
  <c r="Q120" i="4" s="1"/>
  <c r="H121" i="3"/>
  <c r="H121" i="4" s="1"/>
  <c r="T121" i="3"/>
  <c r="T121" i="4" s="1"/>
  <c r="K122" i="3"/>
  <c r="K122" i="4" s="1"/>
  <c r="W122" i="3"/>
  <c r="W122" i="4" s="1"/>
  <c r="B123" i="3"/>
  <c r="B123" i="4" s="1"/>
  <c r="N123" i="3"/>
  <c r="N123" i="4" s="1"/>
  <c r="Z123" i="3"/>
  <c r="Z123" i="4" s="1"/>
  <c r="E124" i="3"/>
  <c r="E124" i="4" s="1"/>
  <c r="Q124" i="3"/>
  <c r="Q124" i="4" s="1"/>
  <c r="H125" i="3"/>
  <c r="H125" i="4" s="1"/>
  <c r="T125" i="3"/>
  <c r="T125" i="4" s="1"/>
  <c r="K126" i="3"/>
  <c r="K126" i="4" s="1"/>
  <c r="W126" i="3"/>
  <c r="W126" i="4" s="1"/>
  <c r="B127" i="3"/>
  <c r="B127" i="4" s="1"/>
  <c r="N127" i="3"/>
  <c r="N127" i="4" s="1"/>
  <c r="Z127" i="3"/>
  <c r="Z127" i="4" s="1"/>
  <c r="E128" i="3"/>
  <c r="E128" i="4" s="1"/>
  <c r="Q128" i="3"/>
  <c r="Q128" i="4" s="1"/>
  <c r="H129" i="3"/>
  <c r="H129" i="4" s="1"/>
  <c r="T129" i="3"/>
  <c r="T129" i="4" s="1"/>
  <c r="K130" i="3"/>
  <c r="K130" i="4" s="1"/>
  <c r="W130" i="3"/>
  <c r="W130" i="4" s="1"/>
  <c r="B131" i="3"/>
  <c r="B131" i="4" s="1"/>
  <c r="N131" i="3"/>
  <c r="N131" i="4" s="1"/>
  <c r="Z131" i="3"/>
  <c r="Z131" i="4" s="1"/>
  <c r="E132" i="3"/>
  <c r="E132" i="4" s="1"/>
  <c r="Q132" i="3"/>
  <c r="Q132" i="4" s="1"/>
  <c r="H133" i="3"/>
  <c r="H133" i="4" s="1"/>
  <c r="T133" i="3"/>
  <c r="T133" i="4" s="1"/>
  <c r="K134" i="3"/>
  <c r="K134" i="4" s="1"/>
  <c r="W134" i="3"/>
  <c r="W134" i="4" s="1"/>
  <c r="B135" i="3"/>
  <c r="B135" i="4" s="1"/>
  <c r="N135" i="3"/>
  <c r="N135" i="4" s="1"/>
  <c r="Z135" i="3"/>
  <c r="Z135" i="4" s="1"/>
  <c r="E136" i="3"/>
  <c r="E136" i="4" s="1"/>
  <c r="Q136" i="3"/>
  <c r="Q136" i="4" s="1"/>
  <c r="H137" i="3"/>
  <c r="H137" i="4" s="1"/>
  <c r="T137" i="3"/>
  <c r="T137" i="4" s="1"/>
  <c r="K138" i="3"/>
  <c r="K138" i="4" s="1"/>
  <c r="W138" i="3"/>
  <c r="W138" i="4" s="1"/>
  <c r="B139" i="3"/>
  <c r="B139" i="4" s="1"/>
  <c r="N139" i="3"/>
  <c r="N139" i="4" s="1"/>
  <c r="Z139" i="3"/>
  <c r="Z139" i="4" s="1"/>
  <c r="E140" i="3"/>
  <c r="E140" i="4" s="1"/>
  <c r="Q140" i="3"/>
  <c r="Q140" i="4" s="1"/>
  <c r="H141" i="3"/>
  <c r="H141" i="4" s="1"/>
  <c r="T141" i="3"/>
  <c r="T141" i="4" s="1"/>
  <c r="K142" i="3"/>
  <c r="K142" i="4" s="1"/>
  <c r="W142" i="3"/>
  <c r="W142" i="4" s="1"/>
  <c r="B143" i="3"/>
  <c r="B143" i="4" s="1"/>
  <c r="N143" i="3"/>
  <c r="N143" i="4" s="1"/>
  <c r="Z143" i="3"/>
  <c r="Z143" i="4" s="1"/>
  <c r="E144" i="3"/>
  <c r="E144" i="4" s="1"/>
  <c r="Q144" i="3"/>
  <c r="Q144" i="4" s="1"/>
  <c r="H145" i="3"/>
  <c r="H145" i="4" s="1"/>
  <c r="T145" i="3"/>
  <c r="T145" i="4" s="1"/>
  <c r="K146" i="3"/>
  <c r="K146" i="4" s="1"/>
  <c r="W146" i="3"/>
  <c r="W146" i="4" s="1"/>
  <c r="B147" i="3"/>
  <c r="B147" i="4" s="1"/>
  <c r="N147" i="3"/>
  <c r="N147" i="4" s="1"/>
  <c r="Z147" i="3"/>
  <c r="Z147" i="4" s="1"/>
  <c r="E148" i="3"/>
  <c r="E148" i="4" s="1"/>
  <c r="Q148" i="3"/>
  <c r="Q148" i="4" s="1"/>
  <c r="H149" i="3"/>
  <c r="H149" i="4" s="1"/>
  <c r="T149" i="3"/>
  <c r="T149" i="4" s="1"/>
  <c r="K150" i="3"/>
  <c r="K150" i="4" s="1"/>
  <c r="W150" i="3"/>
  <c r="W150" i="4" s="1"/>
  <c r="B151" i="3"/>
  <c r="B151" i="4" s="1"/>
  <c r="N151" i="3"/>
  <c r="N151" i="4" s="1"/>
  <c r="Z151" i="3"/>
  <c r="Z151" i="4" s="1"/>
  <c r="E152" i="3"/>
  <c r="E152" i="4" s="1"/>
  <c r="Q152" i="3"/>
  <c r="Q152" i="4" s="1"/>
  <c r="H153" i="3"/>
  <c r="H153" i="4" s="1"/>
  <c r="T153" i="3"/>
  <c r="T153" i="4" s="1"/>
  <c r="K154" i="3"/>
  <c r="K154" i="4" s="1"/>
  <c r="W154" i="3"/>
  <c r="W154" i="4" s="1"/>
  <c r="B155" i="3"/>
  <c r="B155" i="4" s="1"/>
  <c r="N155" i="3"/>
  <c r="N155" i="4" s="1"/>
  <c r="Z155" i="3"/>
  <c r="Z155" i="4" s="1"/>
  <c r="E156" i="3"/>
  <c r="E156" i="4" s="1"/>
  <c r="Q156" i="3"/>
  <c r="Q156" i="4" s="1"/>
  <c r="H157" i="3"/>
  <c r="H157" i="4" s="1"/>
  <c r="T157" i="3"/>
  <c r="T157" i="4" s="1"/>
  <c r="K158" i="3"/>
  <c r="K158" i="4" s="1"/>
  <c r="W158" i="3"/>
  <c r="W158" i="4" s="1"/>
  <c r="B159" i="3"/>
  <c r="B159" i="4" s="1"/>
  <c r="N159" i="3"/>
  <c r="N159" i="4" s="1"/>
  <c r="Z159" i="3"/>
  <c r="Z159" i="4" s="1"/>
  <c r="E160" i="3"/>
  <c r="E160" i="4" s="1"/>
  <c r="Q160" i="3"/>
  <c r="Q160" i="4" s="1"/>
  <c r="H161" i="3"/>
  <c r="H161" i="4" s="1"/>
  <c r="T161" i="3"/>
  <c r="T161" i="4" s="1"/>
  <c r="K162" i="3"/>
  <c r="K162" i="4" s="1"/>
  <c r="W162" i="3"/>
  <c r="W162" i="4" s="1"/>
  <c r="B163" i="3"/>
  <c r="B163" i="4" s="1"/>
  <c r="N163" i="3"/>
  <c r="N163" i="4" s="1"/>
  <c r="Z163" i="3"/>
  <c r="Z163" i="4" s="1"/>
  <c r="E164" i="3"/>
  <c r="E164" i="4" s="1"/>
  <c r="Q164" i="3"/>
  <c r="Q164" i="4" s="1"/>
  <c r="H165" i="3"/>
  <c r="H165" i="4" s="1"/>
  <c r="T165" i="3"/>
  <c r="T165" i="4" s="1"/>
  <c r="K166" i="3"/>
  <c r="K166" i="4" s="1"/>
  <c r="W166" i="3"/>
  <c r="W166" i="4" s="1"/>
  <c r="B167" i="3"/>
  <c r="B167" i="4" s="1"/>
  <c r="N167" i="3"/>
  <c r="N167" i="4" s="1"/>
  <c r="Z167" i="3"/>
  <c r="Z167" i="4" s="1"/>
  <c r="E168" i="3"/>
  <c r="E168" i="4" s="1"/>
  <c r="Q168" i="3"/>
  <c r="Q168" i="4" s="1"/>
  <c r="H169" i="3"/>
  <c r="H169" i="4" s="1"/>
  <c r="T169" i="3"/>
  <c r="T169" i="4" s="1"/>
  <c r="K170" i="3"/>
  <c r="K170" i="4" s="1"/>
  <c r="W170" i="3"/>
  <c r="W170" i="4" s="1"/>
  <c r="B171" i="3"/>
  <c r="B171" i="4" s="1"/>
  <c r="N171" i="3"/>
  <c r="N171" i="4" s="1"/>
  <c r="Z171" i="3"/>
  <c r="Z171" i="4" s="1"/>
  <c r="E172" i="3"/>
  <c r="E172" i="4" s="1"/>
  <c r="Q172" i="3"/>
  <c r="Q172" i="4" s="1"/>
  <c r="H173" i="3"/>
  <c r="H173" i="4" s="1"/>
  <c r="T173" i="3"/>
  <c r="T173" i="4" s="1"/>
  <c r="K174" i="3"/>
  <c r="K174" i="4" s="1"/>
  <c r="W174" i="3"/>
  <c r="W174" i="4" s="1"/>
  <c r="B175" i="3"/>
  <c r="B175" i="4" s="1"/>
  <c r="N175" i="3"/>
  <c r="N175" i="4" s="1"/>
  <c r="Z175" i="3"/>
  <c r="Z175" i="4" s="1"/>
  <c r="E176" i="3"/>
  <c r="E176" i="4" s="1"/>
  <c r="Q176" i="3"/>
  <c r="Q176" i="4" s="1"/>
  <c r="H177" i="3"/>
  <c r="H177" i="4" s="1"/>
  <c r="T177" i="3"/>
  <c r="T177" i="4" s="1"/>
  <c r="K178" i="3"/>
  <c r="K178" i="4" s="1"/>
  <c r="W178" i="3"/>
  <c r="W178" i="4" s="1"/>
  <c r="B179" i="3"/>
  <c r="B179" i="4" s="1"/>
  <c r="N179" i="3"/>
  <c r="N179" i="4" s="1"/>
  <c r="Z179" i="3"/>
  <c r="Z179" i="4" s="1"/>
  <c r="E180" i="3"/>
  <c r="E180" i="4" s="1"/>
  <c r="Q180" i="3"/>
  <c r="Q180" i="4" s="1"/>
  <c r="H181" i="3"/>
  <c r="H181" i="4" s="1"/>
  <c r="T181" i="3"/>
  <c r="T181" i="4" s="1"/>
  <c r="K182" i="3"/>
  <c r="K182" i="4" s="1"/>
  <c r="W182" i="3"/>
  <c r="W182" i="4" s="1"/>
  <c r="B183" i="3"/>
  <c r="B183" i="4" s="1"/>
  <c r="N183" i="3"/>
  <c r="N183" i="4" s="1"/>
  <c r="Z183" i="3"/>
  <c r="Z183" i="4" s="1"/>
  <c r="E184" i="3"/>
  <c r="E184" i="4" s="1"/>
  <c r="Q184" i="3"/>
  <c r="Q184" i="4" s="1"/>
  <c r="H185" i="3"/>
  <c r="H185" i="4" s="1"/>
  <c r="T185" i="3"/>
  <c r="T185" i="4" s="1"/>
  <c r="K186" i="3"/>
  <c r="K186" i="4" s="1"/>
  <c r="W186" i="3"/>
  <c r="W186" i="4" s="1"/>
  <c r="B187" i="3"/>
  <c r="B187" i="4" s="1"/>
  <c r="N187" i="3"/>
  <c r="N187" i="4" s="1"/>
  <c r="Z187" i="3"/>
  <c r="Z187" i="4" s="1"/>
  <c r="E188" i="3"/>
  <c r="E188" i="4" s="1"/>
  <c r="Q188" i="3"/>
  <c r="Q188" i="4" s="1"/>
  <c r="H189" i="3"/>
  <c r="H189" i="4" s="1"/>
  <c r="T189" i="3"/>
  <c r="T189" i="4" s="1"/>
  <c r="K190" i="3"/>
  <c r="K190" i="4" s="1"/>
  <c r="W190" i="3"/>
  <c r="W190" i="4" s="1"/>
  <c r="B191" i="3"/>
  <c r="B191" i="4" s="1"/>
  <c r="N191" i="3"/>
  <c r="N191" i="4" s="1"/>
  <c r="Z191" i="3"/>
  <c r="Z191" i="4" s="1"/>
  <c r="E192" i="3"/>
  <c r="E192" i="4" s="1"/>
  <c r="Q192" i="3"/>
  <c r="Q192" i="4" s="1"/>
  <c r="H193" i="3"/>
  <c r="H193" i="4" s="1"/>
  <c r="T193" i="3"/>
  <c r="T193" i="4" s="1"/>
  <c r="K194" i="3"/>
  <c r="K194" i="4" s="1"/>
  <c r="W194" i="3"/>
  <c r="W194" i="4" s="1"/>
  <c r="B195" i="3"/>
  <c r="B195" i="4" s="1"/>
  <c r="N195" i="3"/>
  <c r="N195" i="4" s="1"/>
  <c r="Z195" i="3"/>
  <c r="Z195" i="4" s="1"/>
  <c r="E196" i="3"/>
  <c r="E196" i="4" s="1"/>
  <c r="Q196" i="3"/>
  <c r="Q196" i="4" s="1"/>
  <c r="H197" i="3"/>
  <c r="H197" i="4" s="1"/>
  <c r="T197" i="3"/>
  <c r="T197" i="4" s="1"/>
  <c r="K198" i="3"/>
  <c r="K198" i="4" s="1"/>
  <c r="W198" i="3"/>
  <c r="W198" i="4" s="1"/>
  <c r="B199" i="3"/>
  <c r="B199" i="4" s="1"/>
  <c r="N199" i="3"/>
  <c r="N199" i="4" s="1"/>
  <c r="Z199" i="3"/>
  <c r="Z199" i="4" s="1"/>
  <c r="E200" i="3"/>
  <c r="E200" i="4" s="1"/>
  <c r="Q200" i="3"/>
  <c r="Q200" i="4" s="1"/>
  <c r="H201" i="3"/>
  <c r="H201" i="4" s="1"/>
  <c r="T201" i="3"/>
  <c r="T201" i="4" s="1"/>
  <c r="K202" i="3"/>
  <c r="K202" i="4" s="1"/>
  <c r="W202" i="3"/>
  <c r="W202" i="4" s="1"/>
  <c r="B203" i="3"/>
  <c r="B203" i="4" s="1"/>
  <c r="N203" i="3"/>
  <c r="N203" i="4" s="1"/>
  <c r="Z203" i="3"/>
  <c r="Z203" i="4" s="1"/>
  <c r="E204" i="3"/>
  <c r="E204" i="4" s="1"/>
  <c r="Q204" i="3"/>
  <c r="Q204" i="4" s="1"/>
  <c r="H205" i="3"/>
  <c r="H205" i="4" s="1"/>
  <c r="T205" i="3"/>
  <c r="T205" i="4" s="1"/>
  <c r="K206" i="3"/>
  <c r="K206" i="4" s="1"/>
  <c r="W206" i="3"/>
  <c r="W206" i="4" s="1"/>
  <c r="B207" i="3"/>
  <c r="B207" i="4" s="1"/>
  <c r="N207" i="3"/>
  <c r="N207" i="4" s="1"/>
  <c r="Z207" i="3"/>
  <c r="Z207" i="4" s="1"/>
  <c r="E208" i="3"/>
  <c r="E208" i="4" s="1"/>
  <c r="Q208" i="3"/>
  <c r="Q208" i="4" s="1"/>
  <c r="H209" i="3"/>
  <c r="H209" i="4" s="1"/>
  <c r="T209" i="3"/>
  <c r="T209" i="4" s="1"/>
  <c r="K210" i="3"/>
  <c r="K210" i="4" s="1"/>
  <c r="W210" i="3"/>
  <c r="W210" i="4" s="1"/>
  <c r="B211" i="3"/>
  <c r="B211" i="4" s="1"/>
  <c r="N211" i="3"/>
  <c r="N211" i="4" s="1"/>
  <c r="Z211" i="3"/>
  <c r="Z211" i="4" s="1"/>
  <c r="E212" i="3"/>
  <c r="E212" i="4" s="1"/>
  <c r="Q212" i="3"/>
  <c r="Q212" i="4" s="1"/>
  <c r="H213" i="3"/>
  <c r="H213" i="4" s="1"/>
  <c r="T213" i="3"/>
  <c r="T213" i="4" s="1"/>
  <c r="K214" i="3"/>
  <c r="K214" i="4" s="1"/>
  <c r="W214" i="3"/>
  <c r="W214" i="4" s="1"/>
  <c r="B215" i="3"/>
  <c r="B215" i="4" s="1"/>
  <c r="N215" i="3"/>
  <c r="N215" i="4" s="1"/>
  <c r="Z215" i="3"/>
  <c r="Z215" i="4" s="1"/>
  <c r="E216" i="3"/>
  <c r="E216" i="4" s="1"/>
  <c r="Q216" i="3"/>
  <c r="Q216" i="4" s="1"/>
  <c r="AA39" i="3"/>
  <c r="AA39" i="4" s="1"/>
  <c r="F40" i="3"/>
  <c r="F40" i="4" s="1"/>
  <c r="R40" i="3"/>
  <c r="R40" i="4" s="1"/>
  <c r="I41" i="3"/>
  <c r="I41" i="4" s="1"/>
  <c r="U41" i="3"/>
  <c r="U41" i="4" s="1"/>
  <c r="L42" i="3"/>
  <c r="L42" i="4" s="1"/>
  <c r="X42" i="3"/>
  <c r="X42" i="4" s="1"/>
  <c r="C43" i="3"/>
  <c r="C43" i="4" s="1"/>
  <c r="O43" i="3"/>
  <c r="O43" i="4" s="1"/>
  <c r="AA43" i="3"/>
  <c r="AA43" i="4" s="1"/>
  <c r="F44" i="3"/>
  <c r="F44" i="4" s="1"/>
  <c r="R44" i="3"/>
  <c r="R44" i="4" s="1"/>
  <c r="I45" i="3"/>
  <c r="I45" i="4" s="1"/>
  <c r="U45" i="3"/>
  <c r="U45" i="4" s="1"/>
  <c r="L46" i="3"/>
  <c r="L46" i="4" s="1"/>
  <c r="X46" i="3"/>
  <c r="X46" i="4" s="1"/>
  <c r="C47" i="3"/>
  <c r="C47" i="4" s="1"/>
  <c r="O47" i="3"/>
  <c r="O47" i="4" s="1"/>
  <c r="AA47" i="3"/>
  <c r="AA47" i="4" s="1"/>
  <c r="F48" i="3"/>
  <c r="F48" i="4" s="1"/>
  <c r="R48" i="3"/>
  <c r="R48" i="4" s="1"/>
  <c r="I49" i="3"/>
  <c r="I49" i="4" s="1"/>
  <c r="U49" i="3"/>
  <c r="U49" i="4" s="1"/>
  <c r="L50" i="3"/>
  <c r="L50" i="4" s="1"/>
  <c r="X50" i="3"/>
  <c r="X50" i="4" s="1"/>
  <c r="C51" i="3"/>
  <c r="C51" i="4" s="1"/>
  <c r="O51" i="3"/>
  <c r="O51" i="4" s="1"/>
  <c r="AA51" i="3"/>
  <c r="AA51" i="4" s="1"/>
  <c r="F52" i="3"/>
  <c r="F52" i="4" s="1"/>
  <c r="R52" i="3"/>
  <c r="R52" i="4" s="1"/>
  <c r="I53" i="3"/>
  <c r="I53" i="4" s="1"/>
  <c r="U53" i="3"/>
  <c r="U53" i="4" s="1"/>
  <c r="L54" i="3"/>
  <c r="L54" i="4" s="1"/>
  <c r="X54" i="3"/>
  <c r="X54" i="4" s="1"/>
  <c r="C55" i="3"/>
  <c r="C55" i="4" s="1"/>
  <c r="O55" i="3"/>
  <c r="O55" i="4" s="1"/>
  <c r="AA55" i="3"/>
  <c r="AA55" i="4" s="1"/>
  <c r="F56" i="3"/>
  <c r="F56" i="4" s="1"/>
  <c r="R56" i="3"/>
  <c r="R56" i="4" s="1"/>
  <c r="I57" i="3"/>
  <c r="I57" i="4" s="1"/>
  <c r="U57" i="3"/>
  <c r="U57" i="4" s="1"/>
  <c r="L58" i="3"/>
  <c r="L58" i="4" s="1"/>
  <c r="X58" i="3"/>
  <c r="X58" i="4" s="1"/>
  <c r="C59" i="3"/>
  <c r="C59" i="4" s="1"/>
  <c r="O59" i="3"/>
  <c r="O59" i="4" s="1"/>
  <c r="AA59" i="3"/>
  <c r="AA59" i="4" s="1"/>
  <c r="F60" i="3"/>
  <c r="F60" i="4" s="1"/>
  <c r="R60" i="3"/>
  <c r="R60" i="4" s="1"/>
  <c r="I61" i="3"/>
  <c r="I61" i="4" s="1"/>
  <c r="U61" i="3"/>
  <c r="U61" i="4" s="1"/>
  <c r="L62" i="3"/>
  <c r="L62" i="4" s="1"/>
  <c r="X62" i="3"/>
  <c r="X62" i="4" s="1"/>
  <c r="C63" i="3"/>
  <c r="C63" i="4" s="1"/>
  <c r="O63" i="3"/>
  <c r="O63" i="4" s="1"/>
  <c r="AA63" i="3"/>
  <c r="AA63" i="4" s="1"/>
  <c r="F64" i="3"/>
  <c r="F64" i="4" s="1"/>
  <c r="R64" i="3"/>
  <c r="R64" i="4" s="1"/>
  <c r="I65" i="3"/>
  <c r="I65" i="4" s="1"/>
  <c r="U65" i="3"/>
  <c r="U65" i="4" s="1"/>
  <c r="L66" i="3"/>
  <c r="L66" i="4" s="1"/>
  <c r="X66" i="3"/>
  <c r="X66" i="4" s="1"/>
  <c r="C67" i="3"/>
  <c r="C67" i="4" s="1"/>
  <c r="O67" i="3"/>
  <c r="O67" i="4" s="1"/>
  <c r="AA67" i="3"/>
  <c r="AA67" i="4" s="1"/>
  <c r="F68" i="3"/>
  <c r="F68" i="4" s="1"/>
  <c r="R68" i="3"/>
  <c r="R68" i="4" s="1"/>
  <c r="I69" i="3"/>
  <c r="I69" i="4" s="1"/>
  <c r="U69" i="3"/>
  <c r="U69" i="4" s="1"/>
  <c r="L70" i="3"/>
  <c r="L70" i="4" s="1"/>
  <c r="X70" i="3"/>
  <c r="X70" i="4" s="1"/>
  <c r="C71" i="3"/>
  <c r="C71" i="4" s="1"/>
  <c r="O71" i="3"/>
  <c r="O71" i="4" s="1"/>
  <c r="AA71" i="3"/>
  <c r="AA71" i="4" s="1"/>
  <c r="F72" i="3"/>
  <c r="F72" i="4" s="1"/>
  <c r="R72" i="3"/>
  <c r="R72" i="4" s="1"/>
  <c r="I73" i="3"/>
  <c r="I73" i="4" s="1"/>
  <c r="U73" i="3"/>
  <c r="U73" i="4" s="1"/>
  <c r="L74" i="3"/>
  <c r="L74" i="4" s="1"/>
  <c r="X74" i="3"/>
  <c r="X74" i="4" s="1"/>
  <c r="C75" i="3"/>
  <c r="C75" i="4" s="1"/>
  <c r="O75" i="3"/>
  <c r="O75" i="4" s="1"/>
  <c r="AA75" i="3"/>
  <c r="AA75" i="4" s="1"/>
  <c r="F76" i="3"/>
  <c r="F76" i="4" s="1"/>
  <c r="R76" i="3"/>
  <c r="R76" i="4" s="1"/>
  <c r="I77" i="3"/>
  <c r="I77" i="4" s="1"/>
  <c r="U77" i="3"/>
  <c r="U77" i="4" s="1"/>
  <c r="L78" i="3"/>
  <c r="L78" i="4" s="1"/>
  <c r="X78" i="3"/>
  <c r="X78" i="4" s="1"/>
  <c r="C79" i="3"/>
  <c r="C79" i="4" s="1"/>
  <c r="O79" i="3"/>
  <c r="O79" i="4" s="1"/>
  <c r="AA79" i="3"/>
  <c r="AA79" i="4" s="1"/>
  <c r="F80" i="3"/>
  <c r="F80" i="4" s="1"/>
  <c r="R80" i="3"/>
  <c r="R80" i="4" s="1"/>
  <c r="I81" i="3"/>
  <c r="I81" i="4" s="1"/>
  <c r="U81" i="3"/>
  <c r="U81" i="4" s="1"/>
  <c r="L82" i="3"/>
  <c r="L82" i="4" s="1"/>
  <c r="X82" i="3"/>
  <c r="X82" i="4" s="1"/>
  <c r="C83" i="3"/>
  <c r="C83" i="4" s="1"/>
  <c r="O83" i="3"/>
  <c r="O83" i="4" s="1"/>
  <c r="AA83" i="3"/>
  <c r="AA83" i="4" s="1"/>
  <c r="F84" i="3"/>
  <c r="F84" i="4" s="1"/>
  <c r="R84" i="3"/>
  <c r="R84" i="4" s="1"/>
  <c r="I85" i="3"/>
  <c r="I85" i="4" s="1"/>
  <c r="U85" i="3"/>
  <c r="U85" i="4" s="1"/>
  <c r="L86" i="3"/>
  <c r="L86" i="4" s="1"/>
  <c r="X86" i="3"/>
  <c r="X86" i="4" s="1"/>
  <c r="C87" i="3"/>
  <c r="C87" i="4" s="1"/>
  <c r="O87" i="3"/>
  <c r="O87" i="4" s="1"/>
  <c r="AA87" i="3"/>
  <c r="AA87" i="4" s="1"/>
  <c r="F88" i="3"/>
  <c r="F88" i="4" s="1"/>
  <c r="R88" i="3"/>
  <c r="R88" i="4" s="1"/>
  <c r="I89" i="3"/>
  <c r="I89" i="4" s="1"/>
  <c r="U89" i="3"/>
  <c r="U89" i="4" s="1"/>
  <c r="L90" i="3"/>
  <c r="L90" i="4" s="1"/>
  <c r="X90" i="3"/>
  <c r="X90" i="4" s="1"/>
  <c r="C91" i="3"/>
  <c r="C91" i="4" s="1"/>
  <c r="O91" i="3"/>
  <c r="O91" i="4" s="1"/>
  <c r="AA91" i="3"/>
  <c r="AA91" i="4" s="1"/>
  <c r="F92" i="3"/>
  <c r="F92" i="4" s="1"/>
  <c r="R92" i="3"/>
  <c r="R92" i="4" s="1"/>
  <c r="I93" i="3"/>
  <c r="I93" i="4" s="1"/>
  <c r="U93" i="3"/>
  <c r="U93" i="4" s="1"/>
  <c r="L94" i="3"/>
  <c r="L94" i="4" s="1"/>
  <c r="X94" i="3"/>
  <c r="X94" i="4" s="1"/>
  <c r="C95" i="3"/>
  <c r="C95" i="4" s="1"/>
  <c r="O95" i="3"/>
  <c r="O95" i="4" s="1"/>
  <c r="AA95" i="3"/>
  <c r="AA95" i="4" s="1"/>
  <c r="F96" i="3"/>
  <c r="F96" i="4" s="1"/>
  <c r="R96" i="3"/>
  <c r="R96" i="4" s="1"/>
  <c r="I97" i="3"/>
  <c r="I97" i="4" s="1"/>
  <c r="U97" i="3"/>
  <c r="U97" i="4" s="1"/>
  <c r="L98" i="3"/>
  <c r="L98" i="4" s="1"/>
  <c r="X98" i="3"/>
  <c r="X98" i="4" s="1"/>
  <c r="C99" i="3"/>
  <c r="C99" i="4" s="1"/>
  <c r="O99" i="3"/>
  <c r="O99" i="4" s="1"/>
  <c r="AA99" i="3"/>
  <c r="AA99" i="4" s="1"/>
  <c r="F100" i="3"/>
  <c r="F100" i="4" s="1"/>
  <c r="R100" i="3"/>
  <c r="R100" i="4" s="1"/>
  <c r="I101" i="3"/>
  <c r="I101" i="4" s="1"/>
  <c r="U101" i="3"/>
  <c r="U101" i="4" s="1"/>
  <c r="L102" i="3"/>
  <c r="L102" i="4" s="1"/>
  <c r="X102" i="3"/>
  <c r="X102" i="4" s="1"/>
  <c r="C103" i="3"/>
  <c r="C103" i="4" s="1"/>
  <c r="O103" i="3"/>
  <c r="O103" i="4" s="1"/>
  <c r="AA103" i="3"/>
  <c r="AA103" i="4" s="1"/>
  <c r="F104" i="3"/>
  <c r="F104" i="4" s="1"/>
  <c r="R104" i="3"/>
  <c r="R104" i="4" s="1"/>
  <c r="I105" i="3"/>
  <c r="I105" i="4" s="1"/>
  <c r="U105" i="3"/>
  <c r="U105" i="4" s="1"/>
  <c r="L106" i="3"/>
  <c r="L106" i="4" s="1"/>
  <c r="X106" i="3"/>
  <c r="X106" i="4" s="1"/>
  <c r="C107" i="3"/>
  <c r="C107" i="4" s="1"/>
  <c r="O107" i="3"/>
  <c r="O107" i="4" s="1"/>
  <c r="AA107" i="3"/>
  <c r="AA107" i="4" s="1"/>
  <c r="F108" i="3"/>
  <c r="F108" i="4" s="1"/>
  <c r="R108" i="3"/>
  <c r="R108" i="4" s="1"/>
  <c r="I109" i="3"/>
  <c r="I109" i="4" s="1"/>
  <c r="U109" i="3"/>
  <c r="U109" i="4" s="1"/>
  <c r="L110" i="3"/>
  <c r="L110" i="4" s="1"/>
  <c r="X110" i="3"/>
  <c r="X110" i="4" s="1"/>
  <c r="C111" i="3"/>
  <c r="C111" i="4" s="1"/>
  <c r="O111" i="3"/>
  <c r="O111" i="4" s="1"/>
  <c r="AA111" i="3"/>
  <c r="AA111" i="4" s="1"/>
  <c r="F112" i="3"/>
  <c r="F112" i="4" s="1"/>
  <c r="R112" i="3"/>
  <c r="R112" i="4" s="1"/>
  <c r="I113" i="3"/>
  <c r="I113" i="4" s="1"/>
  <c r="U113" i="3"/>
  <c r="U113" i="4" s="1"/>
  <c r="L114" i="3"/>
  <c r="L114" i="4" s="1"/>
  <c r="X114" i="3"/>
  <c r="X114" i="4" s="1"/>
  <c r="C115" i="3"/>
  <c r="C115" i="4" s="1"/>
  <c r="O115" i="3"/>
  <c r="O115" i="4" s="1"/>
  <c r="AA115" i="3"/>
  <c r="AA115" i="4" s="1"/>
  <c r="F116" i="3"/>
  <c r="F116" i="4" s="1"/>
  <c r="R116" i="3"/>
  <c r="R116" i="4" s="1"/>
  <c r="I117" i="3"/>
  <c r="I117" i="4" s="1"/>
  <c r="U117" i="3"/>
  <c r="U117" i="4" s="1"/>
  <c r="L118" i="3"/>
  <c r="L118" i="4" s="1"/>
  <c r="X118" i="3"/>
  <c r="X118" i="4" s="1"/>
  <c r="C119" i="3"/>
  <c r="C119" i="4" s="1"/>
  <c r="O119" i="3"/>
  <c r="O119" i="4" s="1"/>
  <c r="AA119" i="3"/>
  <c r="AA119" i="4" s="1"/>
  <c r="F120" i="3"/>
  <c r="F120" i="4" s="1"/>
  <c r="R120" i="3"/>
  <c r="R120" i="4" s="1"/>
  <c r="I121" i="3"/>
  <c r="I121" i="4" s="1"/>
  <c r="U121" i="3"/>
  <c r="U121" i="4" s="1"/>
  <c r="L122" i="3"/>
  <c r="L122" i="4" s="1"/>
  <c r="X122" i="3"/>
  <c r="X122" i="4" s="1"/>
  <c r="C123" i="3"/>
  <c r="C123" i="4" s="1"/>
  <c r="O123" i="3"/>
  <c r="O123" i="4" s="1"/>
  <c r="AA123" i="3"/>
  <c r="AA123" i="4" s="1"/>
  <c r="F124" i="3"/>
  <c r="F124" i="4" s="1"/>
  <c r="R124" i="3"/>
  <c r="R124" i="4" s="1"/>
  <c r="I125" i="3"/>
  <c r="I125" i="4" s="1"/>
  <c r="U125" i="3"/>
  <c r="U125" i="4" s="1"/>
  <c r="L126" i="3"/>
  <c r="L126" i="4" s="1"/>
  <c r="X126" i="3"/>
  <c r="X126" i="4" s="1"/>
  <c r="C127" i="3"/>
  <c r="C127" i="4" s="1"/>
  <c r="O127" i="3"/>
  <c r="O127" i="4" s="1"/>
  <c r="AA127" i="3"/>
  <c r="AA127" i="4" s="1"/>
  <c r="F128" i="3"/>
  <c r="F128" i="4" s="1"/>
  <c r="R128" i="3"/>
  <c r="R128" i="4" s="1"/>
  <c r="I129" i="3"/>
  <c r="I129" i="4" s="1"/>
  <c r="U129" i="3"/>
  <c r="U129" i="4" s="1"/>
  <c r="L130" i="3"/>
  <c r="L130" i="4" s="1"/>
  <c r="X130" i="3"/>
  <c r="X130" i="4" s="1"/>
  <c r="C131" i="3"/>
  <c r="C131" i="4" s="1"/>
  <c r="O131" i="3"/>
  <c r="O131" i="4" s="1"/>
  <c r="AA131" i="3"/>
  <c r="AA131" i="4" s="1"/>
  <c r="F132" i="3"/>
  <c r="F132" i="4" s="1"/>
  <c r="R132" i="3"/>
  <c r="R132" i="4" s="1"/>
  <c r="I133" i="3"/>
  <c r="I133" i="4" s="1"/>
  <c r="U133" i="3"/>
  <c r="U133" i="4" s="1"/>
  <c r="L134" i="3"/>
  <c r="L134" i="4" s="1"/>
  <c r="X134" i="3"/>
  <c r="X134" i="4" s="1"/>
  <c r="C135" i="3"/>
  <c r="C135" i="4" s="1"/>
  <c r="O135" i="3"/>
  <c r="O135" i="4" s="1"/>
  <c r="AA135" i="3"/>
  <c r="AA135" i="4" s="1"/>
  <c r="F136" i="3"/>
  <c r="F136" i="4" s="1"/>
  <c r="R136" i="3"/>
  <c r="R136" i="4" s="1"/>
  <c r="I137" i="3"/>
  <c r="I137" i="4" s="1"/>
  <c r="U137" i="3"/>
  <c r="U137" i="4" s="1"/>
  <c r="L138" i="3"/>
  <c r="L138" i="4" s="1"/>
  <c r="X138" i="3"/>
  <c r="X138" i="4" s="1"/>
  <c r="C139" i="3"/>
  <c r="C139" i="4" s="1"/>
  <c r="O139" i="3"/>
  <c r="O139" i="4" s="1"/>
  <c r="AA139" i="3"/>
  <c r="AA139" i="4" s="1"/>
  <c r="F140" i="3"/>
  <c r="F140" i="4" s="1"/>
  <c r="R140" i="3"/>
  <c r="R140" i="4" s="1"/>
  <c r="I141" i="3"/>
  <c r="I141" i="4" s="1"/>
  <c r="U141" i="3"/>
  <c r="U141" i="4" s="1"/>
  <c r="L142" i="3"/>
  <c r="L142" i="4" s="1"/>
  <c r="X142" i="3"/>
  <c r="X142" i="4" s="1"/>
  <c r="C143" i="3"/>
  <c r="C143" i="4" s="1"/>
  <c r="O143" i="3"/>
  <c r="O143" i="4" s="1"/>
  <c r="AA143" i="3"/>
  <c r="AA143" i="4" s="1"/>
  <c r="F144" i="3"/>
  <c r="F144" i="4" s="1"/>
  <c r="R144" i="3"/>
  <c r="R144" i="4" s="1"/>
  <c r="I145" i="3"/>
  <c r="I145" i="4" s="1"/>
  <c r="U145" i="3"/>
  <c r="U145" i="4" s="1"/>
  <c r="L146" i="3"/>
  <c r="L146" i="4" s="1"/>
  <c r="X146" i="3"/>
  <c r="X146" i="4" s="1"/>
  <c r="C147" i="3"/>
  <c r="C147" i="4" s="1"/>
  <c r="O147" i="3"/>
  <c r="O147" i="4" s="1"/>
  <c r="AA147" i="3"/>
  <c r="AA147" i="4" s="1"/>
  <c r="F148" i="3"/>
  <c r="F148" i="4" s="1"/>
  <c r="R148" i="3"/>
  <c r="R148" i="4" s="1"/>
  <c r="I149" i="3"/>
  <c r="I149" i="4" s="1"/>
  <c r="U149" i="3"/>
  <c r="U149" i="4" s="1"/>
  <c r="L150" i="3"/>
  <c r="L150" i="4" s="1"/>
  <c r="X150" i="3"/>
  <c r="X150" i="4" s="1"/>
  <c r="C151" i="3"/>
  <c r="C151" i="4" s="1"/>
  <c r="O151" i="3"/>
  <c r="O151" i="4" s="1"/>
  <c r="AA151" i="3"/>
  <c r="AA151" i="4" s="1"/>
  <c r="F152" i="3"/>
  <c r="F152" i="4" s="1"/>
  <c r="R152" i="3"/>
  <c r="R152" i="4" s="1"/>
  <c r="I153" i="3"/>
  <c r="I153" i="4" s="1"/>
  <c r="U153" i="3"/>
  <c r="U153" i="4" s="1"/>
  <c r="L154" i="3"/>
  <c r="L154" i="4" s="1"/>
  <c r="X154" i="3"/>
  <c r="X154" i="4" s="1"/>
  <c r="C155" i="3"/>
  <c r="C155" i="4" s="1"/>
  <c r="O155" i="3"/>
  <c r="O155" i="4" s="1"/>
  <c r="AA155" i="3"/>
  <c r="AA155" i="4" s="1"/>
  <c r="F156" i="3"/>
  <c r="F156" i="4" s="1"/>
  <c r="R156" i="3"/>
  <c r="R156" i="4" s="1"/>
  <c r="I157" i="3"/>
  <c r="I157" i="4" s="1"/>
  <c r="U157" i="3"/>
  <c r="U157" i="4" s="1"/>
  <c r="L158" i="3"/>
  <c r="L158" i="4" s="1"/>
  <c r="X158" i="3"/>
  <c r="X158" i="4" s="1"/>
  <c r="C159" i="3"/>
  <c r="C159" i="4" s="1"/>
  <c r="O159" i="3"/>
  <c r="O159" i="4" s="1"/>
  <c r="AA159" i="3"/>
  <c r="AA159" i="4" s="1"/>
  <c r="F160" i="3"/>
  <c r="F160" i="4" s="1"/>
  <c r="R160" i="3"/>
  <c r="R160" i="4" s="1"/>
  <c r="I161" i="3"/>
  <c r="I161" i="4" s="1"/>
  <c r="U161" i="3"/>
  <c r="U161" i="4" s="1"/>
  <c r="L162" i="3"/>
  <c r="L162" i="4" s="1"/>
  <c r="X162" i="3"/>
  <c r="X162" i="4" s="1"/>
  <c r="C163" i="3"/>
  <c r="C163" i="4" s="1"/>
  <c r="O163" i="3"/>
  <c r="O163" i="4" s="1"/>
  <c r="AA163" i="3"/>
  <c r="AA163" i="4" s="1"/>
  <c r="F164" i="3"/>
  <c r="F164" i="4" s="1"/>
  <c r="R164" i="3"/>
  <c r="R164" i="4" s="1"/>
  <c r="I165" i="3"/>
  <c r="I165" i="4" s="1"/>
  <c r="U165" i="3"/>
  <c r="U165" i="4" s="1"/>
  <c r="L166" i="3"/>
  <c r="L166" i="4" s="1"/>
  <c r="X166" i="3"/>
  <c r="X166" i="4" s="1"/>
  <c r="C167" i="3"/>
  <c r="C167" i="4" s="1"/>
  <c r="O167" i="3"/>
  <c r="O167" i="4" s="1"/>
  <c r="AA167" i="3"/>
  <c r="AA167" i="4" s="1"/>
  <c r="F168" i="3"/>
  <c r="F168" i="4" s="1"/>
  <c r="R168" i="3"/>
  <c r="R168" i="4" s="1"/>
  <c r="I169" i="3"/>
  <c r="I169" i="4" s="1"/>
  <c r="U169" i="3"/>
  <c r="U169" i="4" s="1"/>
  <c r="L170" i="3"/>
  <c r="L170" i="4" s="1"/>
  <c r="X170" i="3"/>
  <c r="X170" i="4" s="1"/>
  <c r="C171" i="3"/>
  <c r="C171" i="4" s="1"/>
  <c r="O171" i="3"/>
  <c r="O171" i="4" s="1"/>
  <c r="AA171" i="3"/>
  <c r="AA171" i="4" s="1"/>
  <c r="F172" i="3"/>
  <c r="F172" i="4" s="1"/>
  <c r="R172" i="3"/>
  <c r="R172" i="4" s="1"/>
  <c r="I173" i="3"/>
  <c r="I173" i="4" s="1"/>
  <c r="U173" i="3"/>
  <c r="U173" i="4" s="1"/>
  <c r="L174" i="3"/>
  <c r="L174" i="4" s="1"/>
  <c r="X174" i="3"/>
  <c r="X174" i="4" s="1"/>
  <c r="C175" i="3"/>
  <c r="C175" i="4" s="1"/>
  <c r="O175" i="3"/>
  <c r="O175" i="4" s="1"/>
  <c r="AA175" i="3"/>
  <c r="AA175" i="4" s="1"/>
  <c r="F176" i="3"/>
  <c r="F176" i="4" s="1"/>
  <c r="R176" i="3"/>
  <c r="R176" i="4" s="1"/>
  <c r="I177" i="3"/>
  <c r="I177" i="4" s="1"/>
  <c r="U177" i="3"/>
  <c r="U177" i="4" s="1"/>
  <c r="L178" i="3"/>
  <c r="L178" i="4" s="1"/>
  <c r="X178" i="3"/>
  <c r="X178" i="4" s="1"/>
  <c r="C179" i="3"/>
  <c r="C179" i="4" s="1"/>
  <c r="O179" i="3"/>
  <c r="O179" i="4" s="1"/>
  <c r="AA179" i="3"/>
  <c r="AA179" i="4" s="1"/>
  <c r="F180" i="3"/>
  <c r="F180" i="4" s="1"/>
  <c r="R180" i="3"/>
  <c r="R180" i="4" s="1"/>
  <c r="I181" i="3"/>
  <c r="I181" i="4" s="1"/>
  <c r="U181" i="3"/>
  <c r="U181" i="4" s="1"/>
  <c r="L182" i="3"/>
  <c r="L182" i="4" s="1"/>
  <c r="X182" i="3"/>
  <c r="X182" i="4" s="1"/>
  <c r="C183" i="3"/>
  <c r="C183" i="4" s="1"/>
  <c r="O183" i="3"/>
  <c r="O183" i="4" s="1"/>
  <c r="AA183" i="3"/>
  <c r="AA183" i="4" s="1"/>
  <c r="F184" i="3"/>
  <c r="F184" i="4" s="1"/>
  <c r="R184" i="3"/>
  <c r="R184" i="4" s="1"/>
  <c r="I185" i="3"/>
  <c r="I185" i="4" s="1"/>
  <c r="U185" i="3"/>
  <c r="U185" i="4" s="1"/>
  <c r="L186" i="3"/>
  <c r="L186" i="4" s="1"/>
  <c r="X186" i="3"/>
  <c r="X186" i="4" s="1"/>
  <c r="C187" i="3"/>
  <c r="C187" i="4" s="1"/>
  <c r="O187" i="3"/>
  <c r="O187" i="4" s="1"/>
  <c r="AA187" i="3"/>
  <c r="AA187" i="4" s="1"/>
  <c r="F188" i="3"/>
  <c r="F188" i="4" s="1"/>
  <c r="R188" i="3"/>
  <c r="R188" i="4" s="1"/>
  <c r="I189" i="3"/>
  <c r="I189" i="4" s="1"/>
  <c r="U189" i="3"/>
  <c r="U189" i="4" s="1"/>
  <c r="L190" i="3"/>
  <c r="L190" i="4" s="1"/>
  <c r="X190" i="3"/>
  <c r="X190" i="4" s="1"/>
  <c r="C191" i="3"/>
  <c r="C191" i="4" s="1"/>
  <c r="O191" i="3"/>
  <c r="O191" i="4" s="1"/>
  <c r="AA191" i="3"/>
  <c r="AA191" i="4" s="1"/>
  <c r="F192" i="3"/>
  <c r="F192" i="4" s="1"/>
  <c r="R192" i="3"/>
  <c r="R192" i="4" s="1"/>
  <c r="I193" i="3"/>
  <c r="I193" i="4" s="1"/>
  <c r="U193" i="3"/>
  <c r="U193" i="4" s="1"/>
  <c r="L194" i="3"/>
  <c r="L194" i="4" s="1"/>
  <c r="X194" i="3"/>
  <c r="X194" i="4" s="1"/>
  <c r="C195" i="3"/>
  <c r="C195" i="4" s="1"/>
  <c r="O195" i="3"/>
  <c r="O195" i="4" s="1"/>
  <c r="AA195" i="3"/>
  <c r="AA195" i="4" s="1"/>
  <c r="F196" i="3"/>
  <c r="F196" i="4" s="1"/>
  <c r="R196" i="3"/>
  <c r="R196" i="4" s="1"/>
  <c r="I197" i="3"/>
  <c r="I197" i="4" s="1"/>
  <c r="U197" i="3"/>
  <c r="U197" i="4" s="1"/>
  <c r="L198" i="3"/>
  <c r="L198" i="4" s="1"/>
  <c r="X198" i="3"/>
  <c r="X198" i="4" s="1"/>
  <c r="C199" i="3"/>
  <c r="C199" i="4" s="1"/>
  <c r="O199" i="3"/>
  <c r="O199" i="4" s="1"/>
  <c r="AA199" i="3"/>
  <c r="AA199" i="4" s="1"/>
  <c r="F200" i="3"/>
  <c r="F200" i="4" s="1"/>
  <c r="R200" i="3"/>
  <c r="R200" i="4" s="1"/>
  <c r="I201" i="3"/>
  <c r="I201" i="4" s="1"/>
  <c r="U201" i="3"/>
  <c r="U201" i="4" s="1"/>
  <c r="L202" i="3"/>
  <c r="L202" i="4" s="1"/>
  <c r="X202" i="3"/>
  <c r="X202" i="4" s="1"/>
  <c r="C203" i="3"/>
  <c r="C203" i="4" s="1"/>
  <c r="O203" i="3"/>
  <c r="O203" i="4" s="1"/>
  <c r="AA203" i="3"/>
  <c r="AA203" i="4" s="1"/>
  <c r="F204" i="3"/>
  <c r="F204" i="4" s="1"/>
  <c r="R204" i="3"/>
  <c r="R204" i="4" s="1"/>
  <c r="I205" i="3"/>
  <c r="I205" i="4" s="1"/>
  <c r="U205" i="3"/>
  <c r="U205" i="4" s="1"/>
  <c r="L206" i="3"/>
  <c r="L206" i="4" s="1"/>
  <c r="X206" i="3"/>
  <c r="X206" i="4" s="1"/>
  <c r="C207" i="3"/>
  <c r="C207" i="4" s="1"/>
  <c r="O207" i="3"/>
  <c r="O207" i="4" s="1"/>
  <c r="AA207" i="3"/>
  <c r="AA207" i="4" s="1"/>
  <c r="F208" i="3"/>
  <c r="F208" i="4" s="1"/>
  <c r="R208" i="3"/>
  <c r="R208" i="4" s="1"/>
  <c r="I209" i="3"/>
  <c r="I209" i="4" s="1"/>
  <c r="U209" i="3"/>
  <c r="U209" i="4" s="1"/>
  <c r="L210" i="3"/>
  <c r="L210" i="4" s="1"/>
  <c r="X210" i="3"/>
  <c r="X210" i="4" s="1"/>
  <c r="C211" i="3"/>
  <c r="C211" i="4" s="1"/>
  <c r="O211" i="3"/>
  <c r="O211" i="4" s="1"/>
  <c r="AA211" i="3"/>
  <c r="AA211" i="4" s="1"/>
  <c r="F212" i="3"/>
  <c r="F212" i="4" s="1"/>
  <c r="R212" i="3"/>
  <c r="R212" i="4" s="1"/>
  <c r="I213" i="3"/>
  <c r="I213" i="4" s="1"/>
  <c r="U213" i="3"/>
  <c r="U213" i="4" s="1"/>
  <c r="L214" i="3"/>
  <c r="L214" i="4" s="1"/>
  <c r="X214" i="3"/>
  <c r="X214" i="4" s="1"/>
  <c r="C215" i="3"/>
  <c r="C215" i="4" s="1"/>
  <c r="O215" i="3"/>
  <c r="O215" i="4" s="1"/>
  <c r="AA215" i="3"/>
  <c r="AA215" i="4" s="1"/>
  <c r="F216" i="3"/>
  <c r="F216" i="4" s="1"/>
  <c r="R216" i="3"/>
  <c r="R216" i="4" s="1"/>
  <c r="I217" i="3"/>
  <c r="I217" i="4" s="1"/>
  <c r="U217" i="3"/>
  <c r="U217" i="4" s="1"/>
  <c r="L218" i="3"/>
  <c r="L218" i="4" s="1"/>
  <c r="X218" i="3"/>
  <c r="X218" i="4" s="1"/>
  <c r="C219" i="3"/>
  <c r="C219" i="4" s="1"/>
  <c r="O219" i="3"/>
  <c r="O219" i="4" s="1"/>
  <c r="AA219" i="3"/>
  <c r="AA219" i="4" s="1"/>
  <c r="F220" i="3"/>
  <c r="F220" i="4" s="1"/>
  <c r="R220" i="3"/>
  <c r="R220" i="4" s="1"/>
  <c r="I221" i="3"/>
  <c r="I221" i="4" s="1"/>
  <c r="U221" i="3"/>
  <c r="U221" i="4" s="1"/>
  <c r="L222" i="3"/>
  <c r="L222" i="4" s="1"/>
  <c r="X222" i="3"/>
  <c r="X222" i="4" s="1"/>
  <c r="C223" i="3"/>
  <c r="C223" i="4" s="1"/>
  <c r="O223" i="3"/>
  <c r="O223" i="4" s="1"/>
  <c r="AA223" i="3"/>
  <c r="AA223" i="4" s="1"/>
  <c r="F224" i="3"/>
  <c r="F224" i="4" s="1"/>
  <c r="R224" i="3"/>
  <c r="R224" i="4" s="1"/>
  <c r="I225" i="3"/>
  <c r="I225" i="4" s="1"/>
  <c r="U225" i="3"/>
  <c r="U225" i="4" s="1"/>
  <c r="L226" i="3"/>
  <c r="L226" i="4" s="1"/>
  <c r="X226" i="3"/>
  <c r="X226" i="4" s="1"/>
  <c r="C227" i="3"/>
  <c r="C227" i="4" s="1"/>
  <c r="O227" i="3"/>
  <c r="O227" i="4" s="1"/>
  <c r="AA227" i="3"/>
  <c r="AA227" i="4" s="1"/>
  <c r="F228" i="3"/>
  <c r="F228" i="4" s="1"/>
  <c r="R228" i="3"/>
  <c r="R228" i="4" s="1"/>
  <c r="I229" i="3"/>
  <c r="I229" i="4" s="1"/>
  <c r="U229" i="3"/>
  <c r="U229" i="4" s="1"/>
  <c r="L230" i="3"/>
  <c r="L230" i="4" s="1"/>
  <c r="X230" i="3"/>
  <c r="X230" i="4" s="1"/>
  <c r="C231" i="3"/>
  <c r="C231" i="4" s="1"/>
  <c r="O231" i="3"/>
  <c r="O231" i="4" s="1"/>
  <c r="AA231" i="3"/>
  <c r="AA231" i="4" s="1"/>
  <c r="F232" i="3"/>
  <c r="F232" i="4" s="1"/>
  <c r="R232" i="3"/>
  <c r="R232" i="4" s="1"/>
  <c r="I233" i="3"/>
  <c r="I233" i="4" s="1"/>
  <c r="U233" i="3"/>
  <c r="U233" i="4" s="1"/>
  <c r="L234" i="3"/>
  <c r="L234" i="4" s="1"/>
  <c r="X234" i="3"/>
  <c r="X234" i="4" s="1"/>
  <c r="C235" i="3"/>
  <c r="C235" i="4" s="1"/>
  <c r="O235" i="3"/>
  <c r="O235" i="4" s="1"/>
  <c r="AA235" i="3"/>
  <c r="AA235" i="4" s="1"/>
  <c r="F236" i="3"/>
  <c r="F236" i="4" s="1"/>
  <c r="R236" i="3"/>
  <c r="R236" i="4" s="1"/>
  <c r="I237" i="3"/>
  <c r="I237" i="4" s="1"/>
  <c r="U237" i="3"/>
  <c r="U237" i="4" s="1"/>
  <c r="L238" i="3"/>
  <c r="L238" i="4" s="1"/>
  <c r="X238" i="3"/>
  <c r="X238" i="4" s="1"/>
  <c r="C239" i="3"/>
  <c r="C239" i="4" s="1"/>
  <c r="O239" i="3"/>
  <c r="O239" i="4" s="1"/>
  <c r="AA239" i="3"/>
  <c r="AA239" i="4" s="1"/>
  <c r="F240" i="3"/>
  <c r="F240" i="4" s="1"/>
  <c r="R240" i="3"/>
  <c r="R240" i="4" s="1"/>
  <c r="I241" i="3"/>
  <c r="I241" i="4" s="1"/>
  <c r="U241" i="3"/>
  <c r="U241" i="4" s="1"/>
  <c r="L242" i="3"/>
  <c r="L242" i="4" s="1"/>
  <c r="X242" i="3"/>
  <c r="X242" i="4" s="1"/>
  <c r="C243" i="3"/>
  <c r="C243" i="4" s="1"/>
  <c r="O243" i="3"/>
  <c r="O243" i="4" s="1"/>
  <c r="AA243" i="3"/>
  <c r="AA243" i="4" s="1"/>
  <c r="F244" i="3"/>
  <c r="F244" i="4" s="1"/>
  <c r="R244" i="3"/>
  <c r="R244" i="4" s="1"/>
  <c r="I245" i="3"/>
  <c r="I245" i="4" s="1"/>
  <c r="U245" i="3"/>
  <c r="U245" i="4" s="1"/>
  <c r="L246" i="3"/>
  <c r="L246" i="4" s="1"/>
  <c r="X246" i="3"/>
  <c r="X246" i="4" s="1"/>
  <c r="C247" i="3"/>
  <c r="C247" i="4" s="1"/>
  <c r="O247" i="3"/>
  <c r="O247" i="4" s="1"/>
  <c r="AA247" i="3"/>
  <c r="AA247" i="4" s="1"/>
  <c r="F248" i="3"/>
  <c r="F248" i="4" s="1"/>
  <c r="R248" i="3"/>
  <c r="R248" i="4" s="1"/>
  <c r="I249" i="3"/>
  <c r="I249" i="4" s="1"/>
  <c r="U249" i="3"/>
  <c r="U249" i="4" s="1"/>
  <c r="L250" i="3"/>
  <c r="L250" i="4" s="1"/>
  <c r="X250" i="3"/>
  <c r="X250" i="4" s="1"/>
  <c r="C251" i="3"/>
  <c r="C251" i="4" s="1"/>
  <c r="O251" i="3"/>
  <c r="O251" i="4" s="1"/>
  <c r="AA251" i="3"/>
  <c r="AA251" i="4" s="1"/>
  <c r="F252" i="3"/>
  <c r="F252" i="4" s="1"/>
  <c r="R252" i="3"/>
  <c r="R252" i="4" s="1"/>
  <c r="I253" i="3"/>
  <c r="I253" i="4" s="1"/>
  <c r="U253" i="3"/>
  <c r="U253" i="4" s="1"/>
  <c r="L254" i="3"/>
  <c r="L254" i="4" s="1"/>
  <c r="X254" i="3"/>
  <c r="X254" i="4" s="1"/>
  <c r="C255" i="3"/>
  <c r="C255" i="4" s="1"/>
  <c r="O255" i="3"/>
  <c r="O255" i="4" s="1"/>
  <c r="AA255" i="3"/>
  <c r="AA255" i="4" s="1"/>
  <c r="F256" i="3"/>
  <c r="F256" i="4" s="1"/>
  <c r="R256" i="3"/>
  <c r="R256" i="4" s="1"/>
  <c r="I257" i="3"/>
  <c r="I257" i="4" s="1"/>
  <c r="U257" i="3"/>
  <c r="U257" i="4" s="1"/>
  <c r="L258" i="3"/>
  <c r="L258" i="4" s="1"/>
  <c r="X258" i="3"/>
  <c r="X258" i="4" s="1"/>
  <c r="C259" i="3"/>
  <c r="C259" i="4" s="1"/>
  <c r="O259" i="3"/>
  <c r="O259" i="4" s="1"/>
  <c r="AA259" i="3"/>
  <c r="AA259" i="4" s="1"/>
  <c r="F260" i="3"/>
  <c r="F260" i="4" s="1"/>
  <c r="R260" i="3"/>
  <c r="R260" i="4" s="1"/>
  <c r="I261" i="3"/>
  <c r="I261" i="4" s="1"/>
  <c r="U261" i="3"/>
  <c r="U261" i="4" s="1"/>
  <c r="L262" i="3"/>
  <c r="L262" i="4" s="1"/>
  <c r="X262" i="3"/>
  <c r="X262" i="4" s="1"/>
  <c r="C263" i="3"/>
  <c r="C263" i="4" s="1"/>
  <c r="O263" i="3"/>
  <c r="O263" i="4" s="1"/>
  <c r="AA263" i="3"/>
  <c r="AA263" i="4" s="1"/>
  <c r="F264" i="3"/>
  <c r="F264" i="4" s="1"/>
  <c r="R264" i="3"/>
  <c r="R264" i="4" s="1"/>
  <c r="I265" i="3"/>
  <c r="I265" i="4" s="1"/>
  <c r="U265" i="3"/>
  <c r="U265" i="4" s="1"/>
  <c r="L266" i="3"/>
  <c r="L266" i="4" s="1"/>
  <c r="X266" i="3"/>
  <c r="X266" i="4" s="1"/>
  <c r="C267" i="3"/>
  <c r="C267" i="4" s="1"/>
  <c r="O267" i="3"/>
  <c r="O267" i="4" s="1"/>
  <c r="AA267" i="3"/>
  <c r="AA267" i="4" s="1"/>
  <c r="F268" i="3"/>
  <c r="F268" i="4" s="1"/>
  <c r="R268" i="3"/>
  <c r="R268" i="4" s="1"/>
  <c r="I269" i="3"/>
  <c r="I269" i="4" s="1"/>
  <c r="U269" i="3"/>
  <c r="U269" i="4" s="1"/>
  <c r="L270" i="3"/>
  <c r="L270" i="4" s="1"/>
  <c r="X270" i="3"/>
  <c r="X270" i="4" s="1"/>
  <c r="C271" i="3"/>
  <c r="C271" i="4" s="1"/>
  <c r="O271" i="3"/>
  <c r="O271" i="4" s="1"/>
  <c r="AA271" i="3"/>
  <c r="AA271" i="4" s="1"/>
  <c r="F272" i="3"/>
  <c r="F272" i="4" s="1"/>
  <c r="R272" i="3"/>
  <c r="R272" i="4" s="1"/>
  <c r="I273" i="3"/>
  <c r="I273" i="4" s="1"/>
  <c r="U273" i="3"/>
  <c r="U273" i="4" s="1"/>
  <c r="L274" i="3"/>
  <c r="L274" i="4" s="1"/>
  <c r="X274" i="3"/>
  <c r="X274" i="4" s="1"/>
  <c r="C275" i="3"/>
  <c r="C275" i="4" s="1"/>
  <c r="O275" i="3"/>
  <c r="O275" i="4" s="1"/>
  <c r="AA275" i="3"/>
  <c r="AA275" i="4" s="1"/>
  <c r="F276" i="3"/>
  <c r="F276" i="4" s="1"/>
  <c r="R276" i="3"/>
  <c r="R276" i="4" s="1"/>
  <c r="I277" i="3"/>
  <c r="I277" i="4" s="1"/>
  <c r="U277" i="3"/>
  <c r="U277" i="4" s="1"/>
  <c r="L278" i="3"/>
  <c r="L278" i="4" s="1"/>
  <c r="X278" i="3"/>
  <c r="X278" i="4" s="1"/>
  <c r="C279" i="3"/>
  <c r="C279" i="4" s="1"/>
  <c r="O279" i="3"/>
  <c r="O279" i="4" s="1"/>
  <c r="AA279" i="3"/>
  <c r="AA279" i="4" s="1"/>
  <c r="F280" i="3"/>
  <c r="F280" i="4" s="1"/>
  <c r="R280" i="3"/>
  <c r="R280" i="4" s="1"/>
  <c r="I281" i="3"/>
  <c r="I281" i="4" s="1"/>
  <c r="U281" i="3"/>
  <c r="U281" i="4" s="1"/>
  <c r="L282" i="3"/>
  <c r="L282" i="4" s="1"/>
  <c r="X282" i="3"/>
  <c r="X282" i="4" s="1"/>
  <c r="C283" i="3"/>
  <c r="C283" i="4" s="1"/>
  <c r="O283" i="3"/>
  <c r="O283" i="4" s="1"/>
  <c r="AA283" i="3"/>
  <c r="AA283" i="4" s="1"/>
  <c r="F284" i="3"/>
  <c r="F284" i="4" s="1"/>
  <c r="R284" i="3"/>
  <c r="R284" i="4" s="1"/>
  <c r="I285" i="3"/>
  <c r="I285" i="4" s="1"/>
  <c r="U285" i="3"/>
  <c r="U285" i="4" s="1"/>
  <c r="L286" i="3"/>
  <c r="L286" i="4" s="1"/>
  <c r="X286" i="3"/>
  <c r="X286" i="4" s="1"/>
  <c r="C287" i="3"/>
  <c r="C287" i="4" s="1"/>
  <c r="O287" i="3"/>
  <c r="O287" i="4" s="1"/>
  <c r="AA287" i="3"/>
  <c r="AA287" i="4" s="1"/>
  <c r="F288" i="3"/>
  <c r="F288" i="4" s="1"/>
  <c r="R288" i="3"/>
  <c r="R288" i="4" s="1"/>
  <c r="I289" i="3"/>
  <c r="I289" i="4" s="1"/>
  <c r="U289" i="3"/>
  <c r="U289" i="4" s="1"/>
  <c r="L290" i="3"/>
  <c r="L290" i="4" s="1"/>
  <c r="X290" i="3"/>
  <c r="X290" i="4" s="1"/>
  <c r="C291" i="3"/>
  <c r="C291" i="4" s="1"/>
  <c r="O291" i="3"/>
  <c r="O291" i="4" s="1"/>
  <c r="AA291" i="3"/>
  <c r="AA291" i="4" s="1"/>
  <c r="F292" i="3"/>
  <c r="F292" i="4" s="1"/>
  <c r="R292" i="3"/>
  <c r="R292" i="4" s="1"/>
  <c r="I293" i="3"/>
  <c r="I293" i="4" s="1"/>
  <c r="U293" i="3"/>
  <c r="U293" i="4" s="1"/>
  <c r="L294" i="3"/>
  <c r="L294" i="4" s="1"/>
  <c r="X294" i="3"/>
  <c r="X294" i="4" s="1"/>
  <c r="C295" i="3"/>
  <c r="C295" i="4" s="1"/>
  <c r="O295" i="3"/>
  <c r="O295" i="4" s="1"/>
  <c r="AA295" i="3"/>
  <c r="AA295" i="4" s="1"/>
  <c r="F296" i="3"/>
  <c r="F296" i="4" s="1"/>
  <c r="R296" i="3"/>
  <c r="R296" i="4" s="1"/>
  <c r="I297" i="3"/>
  <c r="I297" i="4" s="1"/>
  <c r="U297" i="3"/>
  <c r="U297" i="4" s="1"/>
  <c r="L298" i="3"/>
  <c r="L298" i="4" s="1"/>
  <c r="X298" i="3"/>
  <c r="X298" i="4" s="1"/>
  <c r="C299" i="3"/>
  <c r="C299" i="4" s="1"/>
  <c r="O299" i="3"/>
  <c r="O299" i="4" s="1"/>
  <c r="AA299" i="3"/>
  <c r="AA299" i="4" s="1"/>
  <c r="F300" i="3"/>
  <c r="F300" i="4" s="1"/>
  <c r="R300" i="3"/>
  <c r="R300" i="4" s="1"/>
  <c r="I301" i="3"/>
  <c r="I301" i="4" s="1"/>
  <c r="U301" i="3"/>
  <c r="U301" i="4" s="1"/>
  <c r="L302" i="3"/>
  <c r="L302" i="4" s="1"/>
  <c r="X302" i="3"/>
  <c r="X302" i="4" s="1"/>
  <c r="C303" i="3"/>
  <c r="C303" i="4" s="1"/>
  <c r="O303" i="3"/>
  <c r="O303" i="4" s="1"/>
  <c r="AA303" i="3"/>
  <c r="AA303" i="4" s="1"/>
  <c r="F304" i="3"/>
  <c r="F304" i="4" s="1"/>
  <c r="R304" i="3"/>
  <c r="R304" i="4" s="1"/>
  <c r="I305" i="3"/>
  <c r="I305" i="4" s="1"/>
  <c r="U305" i="3"/>
  <c r="U305" i="4" s="1"/>
  <c r="L306" i="3"/>
  <c r="L306" i="4" s="1"/>
  <c r="X306" i="3"/>
  <c r="X306" i="4" s="1"/>
  <c r="C307" i="3"/>
  <c r="C307" i="4" s="1"/>
  <c r="O307" i="3"/>
  <c r="O307" i="4" s="1"/>
  <c r="AA307" i="3"/>
  <c r="AA307" i="4" s="1"/>
  <c r="F308" i="3"/>
  <c r="F308" i="4" s="1"/>
  <c r="R308" i="3"/>
  <c r="R308" i="4" s="1"/>
  <c r="I309" i="3"/>
  <c r="I309" i="4" s="1"/>
  <c r="U309" i="3"/>
  <c r="U309" i="4" s="1"/>
  <c r="L310" i="3"/>
  <c r="L310" i="4" s="1"/>
  <c r="X310" i="3"/>
  <c r="X310" i="4" s="1"/>
  <c r="C311" i="3"/>
  <c r="C311" i="4" s="1"/>
  <c r="O311" i="3"/>
  <c r="O311" i="4" s="1"/>
  <c r="AA311" i="3"/>
  <c r="AA311" i="4" s="1"/>
  <c r="F312" i="3"/>
  <c r="F312" i="4" s="1"/>
  <c r="R312" i="3"/>
  <c r="R312" i="4" s="1"/>
  <c r="AB39" i="3"/>
  <c r="AB39" i="4" s="1"/>
  <c r="G40" i="3"/>
  <c r="G40" i="4" s="1"/>
  <c r="S40" i="3"/>
  <c r="S40" i="4" s="1"/>
  <c r="J41" i="3"/>
  <c r="J41" i="4" s="1"/>
  <c r="V41" i="3"/>
  <c r="V41" i="4" s="1"/>
  <c r="A42" i="3"/>
  <c r="A42" i="4" s="1"/>
  <c r="M42" i="3"/>
  <c r="M42" i="4" s="1"/>
  <c r="Y42" i="3"/>
  <c r="Y42" i="4" s="1"/>
  <c r="D43" i="3"/>
  <c r="D43" i="4" s="1"/>
  <c r="P43" i="3"/>
  <c r="P43" i="4" s="1"/>
  <c r="AB43" i="3"/>
  <c r="AB43" i="4" s="1"/>
  <c r="G44" i="3"/>
  <c r="G44" i="4" s="1"/>
  <c r="S44" i="3"/>
  <c r="S44" i="4" s="1"/>
  <c r="J45" i="3"/>
  <c r="J45" i="4" s="1"/>
  <c r="V45" i="3"/>
  <c r="V45" i="4" s="1"/>
  <c r="A46" i="3"/>
  <c r="A46" i="4" s="1"/>
  <c r="M46" i="3"/>
  <c r="M46" i="4" s="1"/>
  <c r="Y46" i="3"/>
  <c r="Y46" i="4" s="1"/>
  <c r="D47" i="3"/>
  <c r="D47" i="4" s="1"/>
  <c r="P47" i="3"/>
  <c r="P47" i="4" s="1"/>
  <c r="AB47" i="3"/>
  <c r="AB47" i="4" s="1"/>
  <c r="G48" i="3"/>
  <c r="G48" i="4" s="1"/>
  <c r="S48" i="3"/>
  <c r="S48" i="4" s="1"/>
  <c r="J49" i="3"/>
  <c r="J49" i="4" s="1"/>
  <c r="V49" i="3"/>
  <c r="V49" i="4" s="1"/>
  <c r="A50" i="3"/>
  <c r="A50" i="4" s="1"/>
  <c r="M50" i="3"/>
  <c r="M50" i="4" s="1"/>
  <c r="Y50" i="3"/>
  <c r="Y50" i="4" s="1"/>
  <c r="D51" i="3"/>
  <c r="D51" i="4" s="1"/>
  <c r="P51" i="3"/>
  <c r="P51" i="4" s="1"/>
  <c r="AB51" i="3"/>
  <c r="AB51" i="4" s="1"/>
  <c r="G52" i="3"/>
  <c r="G52" i="4" s="1"/>
  <c r="S52" i="3"/>
  <c r="S52" i="4" s="1"/>
  <c r="J53" i="3"/>
  <c r="J53" i="4" s="1"/>
  <c r="V53" i="3"/>
  <c r="V53" i="4" s="1"/>
  <c r="A54" i="3"/>
  <c r="A54" i="4" s="1"/>
  <c r="M54" i="3"/>
  <c r="M54" i="4" s="1"/>
  <c r="Y54" i="3"/>
  <c r="Y54" i="4" s="1"/>
  <c r="D55" i="3"/>
  <c r="D55" i="4" s="1"/>
  <c r="P55" i="3"/>
  <c r="P55" i="4" s="1"/>
  <c r="AB55" i="3"/>
  <c r="AB55" i="4" s="1"/>
  <c r="G56" i="3"/>
  <c r="G56" i="4" s="1"/>
  <c r="J57" i="3"/>
  <c r="J57" i="4" s="1"/>
  <c r="V57" i="3"/>
  <c r="V57" i="4" s="1"/>
  <c r="A58" i="3"/>
  <c r="A58" i="4" s="1"/>
  <c r="M58" i="3"/>
  <c r="M58" i="4" s="1"/>
  <c r="Y58" i="3"/>
  <c r="Y58" i="4" s="1"/>
  <c r="D59" i="3"/>
  <c r="D59" i="4" s="1"/>
  <c r="P59" i="3"/>
  <c r="P59" i="4" s="1"/>
  <c r="AB59" i="3"/>
  <c r="AB59" i="4" s="1"/>
  <c r="G60" i="3"/>
  <c r="G60" i="4" s="1"/>
  <c r="S60" i="3"/>
  <c r="S60" i="4" s="1"/>
  <c r="J61" i="3"/>
  <c r="J61" i="4" s="1"/>
  <c r="V61" i="3"/>
  <c r="V61" i="4" s="1"/>
  <c r="A62" i="3"/>
  <c r="A62" i="4" s="1"/>
  <c r="M62" i="3"/>
  <c r="M62" i="4" s="1"/>
  <c r="Y62" i="3"/>
  <c r="Y62" i="4" s="1"/>
  <c r="D63" i="3"/>
  <c r="D63" i="4" s="1"/>
  <c r="P63" i="3"/>
  <c r="P63" i="4" s="1"/>
  <c r="AB63" i="3"/>
  <c r="AB63" i="4" s="1"/>
  <c r="G64" i="3"/>
  <c r="G64" i="4" s="1"/>
  <c r="S64" i="3"/>
  <c r="S64" i="4" s="1"/>
  <c r="J65" i="3"/>
  <c r="J65" i="4" s="1"/>
  <c r="V65" i="3"/>
  <c r="V65" i="4" s="1"/>
  <c r="A66" i="3"/>
  <c r="A66" i="4" s="1"/>
  <c r="M66" i="3"/>
  <c r="M66" i="4" s="1"/>
  <c r="Y66" i="3"/>
  <c r="Y66" i="4" s="1"/>
  <c r="D67" i="3"/>
  <c r="D67" i="4" s="1"/>
  <c r="P67" i="3"/>
  <c r="P67" i="4" s="1"/>
  <c r="AB67" i="3"/>
  <c r="AB67" i="4" s="1"/>
  <c r="G68" i="3"/>
  <c r="G68" i="4" s="1"/>
  <c r="S68" i="3"/>
  <c r="S68" i="4" s="1"/>
  <c r="J69" i="3"/>
  <c r="J69" i="4" s="1"/>
  <c r="V69" i="3"/>
  <c r="V69" i="4" s="1"/>
  <c r="A70" i="3"/>
  <c r="A70" i="4" s="1"/>
  <c r="M70" i="3"/>
  <c r="M70" i="4" s="1"/>
  <c r="Y70" i="3"/>
  <c r="Y70" i="4" s="1"/>
  <c r="D71" i="3"/>
  <c r="D71" i="4" s="1"/>
  <c r="P71" i="3"/>
  <c r="P71" i="4" s="1"/>
  <c r="AB71" i="3"/>
  <c r="AB71" i="4" s="1"/>
  <c r="G72" i="3"/>
  <c r="G72" i="4" s="1"/>
  <c r="S72" i="3"/>
  <c r="S72" i="4" s="1"/>
  <c r="J73" i="3"/>
  <c r="J73" i="4" s="1"/>
  <c r="V73" i="3"/>
  <c r="V73" i="4" s="1"/>
  <c r="A74" i="3"/>
  <c r="A74" i="4" s="1"/>
  <c r="M74" i="3"/>
  <c r="M74" i="4" s="1"/>
  <c r="Y74" i="3"/>
  <c r="Y74" i="4" s="1"/>
  <c r="D75" i="3"/>
  <c r="D75" i="4" s="1"/>
  <c r="P75" i="3"/>
  <c r="P75" i="4" s="1"/>
  <c r="AB75" i="3"/>
  <c r="AB75" i="4" s="1"/>
  <c r="G76" i="3"/>
  <c r="G76" i="4" s="1"/>
  <c r="S76" i="3"/>
  <c r="S76" i="4" s="1"/>
  <c r="J77" i="3"/>
  <c r="J77" i="4" s="1"/>
  <c r="V77" i="3"/>
  <c r="V77" i="4" s="1"/>
  <c r="A78" i="3"/>
  <c r="A78" i="4" s="1"/>
  <c r="M78" i="3"/>
  <c r="M78" i="4" s="1"/>
  <c r="Y78" i="3"/>
  <c r="Y78" i="4" s="1"/>
  <c r="D79" i="3"/>
  <c r="D79" i="4" s="1"/>
  <c r="P79" i="3"/>
  <c r="P79" i="4" s="1"/>
  <c r="AB79" i="3"/>
  <c r="AB79" i="4" s="1"/>
  <c r="G80" i="3"/>
  <c r="G80" i="4" s="1"/>
  <c r="S80" i="3"/>
  <c r="S80" i="4" s="1"/>
  <c r="J81" i="3"/>
  <c r="J81" i="4" s="1"/>
  <c r="V81" i="3"/>
  <c r="V81" i="4" s="1"/>
  <c r="A82" i="3"/>
  <c r="A82" i="4" s="1"/>
  <c r="M82" i="3"/>
  <c r="M82" i="4" s="1"/>
  <c r="Y82" i="3"/>
  <c r="Y82" i="4" s="1"/>
  <c r="D83" i="3"/>
  <c r="D83" i="4" s="1"/>
  <c r="P83" i="3"/>
  <c r="P83" i="4" s="1"/>
  <c r="AB83" i="3"/>
  <c r="AB83" i="4" s="1"/>
  <c r="G84" i="3"/>
  <c r="G84" i="4" s="1"/>
  <c r="S84" i="3"/>
  <c r="S84" i="4" s="1"/>
  <c r="J85" i="3"/>
  <c r="J85" i="4" s="1"/>
  <c r="V85" i="3"/>
  <c r="V85" i="4" s="1"/>
  <c r="A86" i="3"/>
  <c r="A86" i="4" s="1"/>
  <c r="M86" i="3"/>
  <c r="M86" i="4" s="1"/>
  <c r="Y86" i="3"/>
  <c r="Y86" i="4" s="1"/>
  <c r="D87" i="3"/>
  <c r="D87" i="4" s="1"/>
  <c r="P87" i="3"/>
  <c r="P87" i="4" s="1"/>
  <c r="AB87" i="3"/>
  <c r="AB87" i="4" s="1"/>
  <c r="G88" i="3"/>
  <c r="G88" i="4" s="1"/>
  <c r="S88" i="3"/>
  <c r="S88" i="4" s="1"/>
  <c r="J89" i="3"/>
  <c r="J89" i="4" s="1"/>
  <c r="V89" i="3"/>
  <c r="V89" i="4" s="1"/>
  <c r="A90" i="3"/>
  <c r="A90" i="4" s="1"/>
  <c r="M90" i="3"/>
  <c r="M90" i="4" s="1"/>
  <c r="Y90" i="3"/>
  <c r="Y90" i="4" s="1"/>
  <c r="D91" i="3"/>
  <c r="D91" i="4" s="1"/>
  <c r="P91" i="3"/>
  <c r="P91" i="4" s="1"/>
  <c r="AB91" i="3"/>
  <c r="AB91" i="4" s="1"/>
  <c r="G92" i="3"/>
  <c r="G92" i="4" s="1"/>
  <c r="S92" i="3"/>
  <c r="S92" i="4" s="1"/>
  <c r="J93" i="3"/>
  <c r="J93" i="4" s="1"/>
  <c r="V93" i="3"/>
  <c r="V93" i="4" s="1"/>
  <c r="M94" i="3"/>
  <c r="M94" i="4" s="1"/>
  <c r="Y94" i="3"/>
  <c r="Y94" i="4" s="1"/>
  <c r="D95" i="3"/>
  <c r="D95" i="4" s="1"/>
  <c r="P95" i="3"/>
  <c r="P95" i="4" s="1"/>
  <c r="AB95" i="3"/>
  <c r="AB95" i="4" s="1"/>
  <c r="G96" i="3"/>
  <c r="G96" i="4" s="1"/>
  <c r="S96" i="3"/>
  <c r="S96" i="4" s="1"/>
  <c r="J97" i="3"/>
  <c r="J97" i="4" s="1"/>
  <c r="V97" i="3"/>
  <c r="V97" i="4" s="1"/>
  <c r="A98" i="3"/>
  <c r="A98" i="4" s="1"/>
  <c r="M98" i="3"/>
  <c r="M98" i="4" s="1"/>
  <c r="Y98" i="3"/>
  <c r="Y98" i="4" s="1"/>
  <c r="D99" i="3"/>
  <c r="D99" i="4" s="1"/>
  <c r="P99" i="3"/>
  <c r="P99" i="4" s="1"/>
  <c r="AB99" i="3"/>
  <c r="AB99" i="4" s="1"/>
  <c r="G100" i="3"/>
  <c r="G100" i="4" s="1"/>
  <c r="S100" i="3"/>
  <c r="S100" i="4" s="1"/>
  <c r="J101" i="3"/>
  <c r="J101" i="4" s="1"/>
  <c r="V101" i="3"/>
  <c r="V101" i="4" s="1"/>
  <c r="A102" i="3"/>
  <c r="A102" i="4" s="1"/>
  <c r="M102" i="3"/>
  <c r="M102" i="4" s="1"/>
  <c r="Y102" i="3"/>
  <c r="Y102" i="4" s="1"/>
  <c r="D103" i="3"/>
  <c r="D103" i="4" s="1"/>
  <c r="P103" i="3"/>
  <c r="P103" i="4" s="1"/>
  <c r="AB103" i="3"/>
  <c r="AB103" i="4" s="1"/>
  <c r="G104" i="3"/>
  <c r="G104" i="4" s="1"/>
  <c r="S104" i="3"/>
  <c r="S104" i="4" s="1"/>
  <c r="J105" i="3"/>
  <c r="J105" i="4" s="1"/>
  <c r="V105" i="3"/>
  <c r="V105" i="4" s="1"/>
  <c r="A106" i="3"/>
  <c r="A106" i="4" s="1"/>
  <c r="M106" i="3"/>
  <c r="M106" i="4" s="1"/>
  <c r="Y106" i="3"/>
  <c r="Y106" i="4" s="1"/>
  <c r="D107" i="3"/>
  <c r="D107" i="4" s="1"/>
  <c r="P107" i="3"/>
  <c r="P107" i="4" s="1"/>
  <c r="AB107" i="3"/>
  <c r="AB107" i="4" s="1"/>
  <c r="G108" i="3"/>
  <c r="G108" i="4" s="1"/>
  <c r="S108" i="3"/>
  <c r="S108" i="4" s="1"/>
  <c r="J109" i="3"/>
  <c r="J109" i="4" s="1"/>
  <c r="V109" i="3"/>
  <c r="V109" i="4" s="1"/>
  <c r="A110" i="3"/>
  <c r="A110" i="4" s="1"/>
  <c r="M110" i="3"/>
  <c r="M110" i="4" s="1"/>
  <c r="Y110" i="3"/>
  <c r="Y110" i="4" s="1"/>
  <c r="D111" i="3"/>
  <c r="D111" i="4" s="1"/>
  <c r="P111" i="3"/>
  <c r="P111" i="4" s="1"/>
  <c r="AB111" i="3"/>
  <c r="AB111" i="4" s="1"/>
  <c r="G112" i="3"/>
  <c r="G112" i="4" s="1"/>
  <c r="S112" i="3"/>
  <c r="S112" i="4" s="1"/>
  <c r="J113" i="3"/>
  <c r="J113" i="4" s="1"/>
  <c r="V113" i="3"/>
  <c r="V113" i="4" s="1"/>
  <c r="A114" i="3"/>
  <c r="A114" i="4" s="1"/>
  <c r="M114" i="3"/>
  <c r="M114" i="4" s="1"/>
  <c r="Y114" i="3"/>
  <c r="Y114" i="4" s="1"/>
  <c r="D115" i="3"/>
  <c r="D115" i="4" s="1"/>
  <c r="P115" i="3"/>
  <c r="P115" i="4" s="1"/>
  <c r="AB115" i="3"/>
  <c r="AB115" i="4" s="1"/>
  <c r="G116" i="3"/>
  <c r="G116" i="4" s="1"/>
  <c r="S116" i="3"/>
  <c r="S116" i="4" s="1"/>
  <c r="J117" i="3"/>
  <c r="J117" i="4" s="1"/>
  <c r="V117" i="3"/>
  <c r="V117" i="4" s="1"/>
  <c r="A118" i="3"/>
  <c r="A118" i="4" s="1"/>
  <c r="M118" i="3"/>
  <c r="M118" i="4" s="1"/>
  <c r="Y118" i="3"/>
  <c r="Y118" i="4" s="1"/>
  <c r="D119" i="3"/>
  <c r="D119" i="4" s="1"/>
  <c r="P119" i="3"/>
  <c r="P119" i="4" s="1"/>
  <c r="AB119" i="3"/>
  <c r="AB119" i="4" s="1"/>
  <c r="G120" i="3"/>
  <c r="G120" i="4" s="1"/>
  <c r="S120" i="3"/>
  <c r="S120" i="4" s="1"/>
  <c r="J121" i="3"/>
  <c r="J121" i="4" s="1"/>
  <c r="V121" i="3"/>
  <c r="V121" i="4" s="1"/>
  <c r="A122" i="3"/>
  <c r="A122" i="4" s="1"/>
  <c r="M122" i="3"/>
  <c r="M122" i="4" s="1"/>
  <c r="Y122" i="3"/>
  <c r="Y122" i="4" s="1"/>
  <c r="D123" i="3"/>
  <c r="D123" i="4" s="1"/>
  <c r="P123" i="3"/>
  <c r="P123" i="4" s="1"/>
  <c r="AB123" i="3"/>
  <c r="AB123" i="4" s="1"/>
  <c r="G124" i="3"/>
  <c r="G124" i="4" s="1"/>
  <c r="S124" i="3"/>
  <c r="S124" i="4" s="1"/>
  <c r="J125" i="3"/>
  <c r="J125" i="4" s="1"/>
  <c r="V125" i="3"/>
  <c r="V125" i="4" s="1"/>
  <c r="A126" i="3"/>
  <c r="A126" i="4" s="1"/>
  <c r="M126" i="3"/>
  <c r="M126" i="4" s="1"/>
  <c r="Y126" i="3"/>
  <c r="Y126" i="4" s="1"/>
  <c r="D127" i="3"/>
  <c r="D127" i="4" s="1"/>
  <c r="P127" i="3"/>
  <c r="P127" i="4" s="1"/>
  <c r="AB127" i="3"/>
  <c r="AB127" i="4" s="1"/>
  <c r="G128" i="3"/>
  <c r="G128" i="4" s="1"/>
  <c r="S128" i="3"/>
  <c r="S128" i="4" s="1"/>
  <c r="J129" i="3"/>
  <c r="J129" i="4" s="1"/>
  <c r="V129" i="3"/>
  <c r="V129" i="4" s="1"/>
  <c r="A130" i="3"/>
  <c r="A130" i="4" s="1"/>
  <c r="M130" i="3"/>
  <c r="M130" i="4" s="1"/>
  <c r="Y130" i="3"/>
  <c r="Y130" i="4" s="1"/>
  <c r="D131" i="3"/>
  <c r="D131" i="4" s="1"/>
  <c r="P131" i="3"/>
  <c r="P131" i="4" s="1"/>
  <c r="AB131" i="3"/>
  <c r="AB131" i="4" s="1"/>
  <c r="G132" i="3"/>
  <c r="G132" i="4" s="1"/>
  <c r="S132" i="3"/>
  <c r="S132" i="4" s="1"/>
  <c r="J133" i="3"/>
  <c r="J133" i="4" s="1"/>
  <c r="V133" i="3"/>
  <c r="V133" i="4" s="1"/>
  <c r="A134" i="3"/>
  <c r="A134" i="4" s="1"/>
  <c r="M134" i="3"/>
  <c r="M134" i="4" s="1"/>
  <c r="Y134" i="3"/>
  <c r="Y134" i="4" s="1"/>
  <c r="D135" i="3"/>
  <c r="D135" i="4" s="1"/>
  <c r="P135" i="3"/>
  <c r="P135" i="4" s="1"/>
  <c r="AB135" i="3"/>
  <c r="AB135" i="4" s="1"/>
  <c r="G136" i="3"/>
  <c r="G136" i="4" s="1"/>
  <c r="S136" i="3"/>
  <c r="S136" i="4" s="1"/>
  <c r="J137" i="3"/>
  <c r="J137" i="4" s="1"/>
  <c r="V137" i="3"/>
  <c r="V137" i="4" s="1"/>
  <c r="A138" i="3"/>
  <c r="A138" i="4" s="1"/>
  <c r="M138" i="3"/>
  <c r="M138" i="4" s="1"/>
  <c r="Y138" i="3"/>
  <c r="Y138" i="4" s="1"/>
  <c r="D139" i="3"/>
  <c r="D139" i="4" s="1"/>
  <c r="P139" i="3"/>
  <c r="P139" i="4" s="1"/>
  <c r="AB139" i="3"/>
  <c r="AB139" i="4" s="1"/>
  <c r="G140" i="3"/>
  <c r="G140" i="4" s="1"/>
  <c r="S140" i="3"/>
  <c r="S140" i="4" s="1"/>
  <c r="J141" i="3"/>
  <c r="J141" i="4" s="1"/>
  <c r="V141" i="3"/>
  <c r="V141" i="4" s="1"/>
  <c r="A142" i="3"/>
  <c r="A142" i="4" s="1"/>
  <c r="M142" i="3"/>
  <c r="M142" i="4" s="1"/>
  <c r="Y142" i="3"/>
  <c r="Y142" i="4" s="1"/>
  <c r="D143" i="3"/>
  <c r="D143" i="4" s="1"/>
  <c r="AB143" i="3"/>
  <c r="AB143" i="4" s="1"/>
  <c r="G144" i="3"/>
  <c r="G144" i="4" s="1"/>
  <c r="S144" i="3"/>
  <c r="S144" i="4" s="1"/>
  <c r="J145" i="3"/>
  <c r="J145" i="4" s="1"/>
  <c r="V145" i="3"/>
  <c r="V145" i="4" s="1"/>
  <c r="A146" i="3"/>
  <c r="A146" i="4" s="1"/>
  <c r="M146" i="3"/>
  <c r="M146" i="4" s="1"/>
  <c r="Y146" i="3"/>
  <c r="Y146" i="4" s="1"/>
  <c r="D147" i="3"/>
  <c r="D147" i="4" s="1"/>
  <c r="P147" i="3"/>
  <c r="P147" i="4" s="1"/>
  <c r="AB147" i="3"/>
  <c r="AB147" i="4" s="1"/>
  <c r="G148" i="3"/>
  <c r="G148" i="4" s="1"/>
  <c r="S148" i="3"/>
  <c r="S148" i="4" s="1"/>
  <c r="J149" i="3"/>
  <c r="J149" i="4" s="1"/>
  <c r="V149" i="3"/>
  <c r="V149" i="4" s="1"/>
  <c r="A150" i="3"/>
  <c r="A150" i="4" s="1"/>
  <c r="M150" i="3"/>
  <c r="M150" i="4" s="1"/>
  <c r="Y150" i="3"/>
  <c r="Y150" i="4" s="1"/>
  <c r="D151" i="3"/>
  <c r="D151" i="4" s="1"/>
  <c r="P151" i="3"/>
  <c r="P151" i="4" s="1"/>
  <c r="AB151" i="3"/>
  <c r="AB151" i="4" s="1"/>
  <c r="G152" i="3"/>
  <c r="G152" i="4" s="1"/>
  <c r="S152" i="3"/>
  <c r="S152" i="4" s="1"/>
  <c r="J153" i="3"/>
  <c r="J153" i="4" s="1"/>
  <c r="V153" i="3"/>
  <c r="V153" i="4" s="1"/>
  <c r="A154" i="3"/>
  <c r="A154" i="4" s="1"/>
  <c r="M154" i="3"/>
  <c r="M154" i="4" s="1"/>
  <c r="Y154" i="3"/>
  <c r="Y154" i="4" s="1"/>
  <c r="D155" i="3"/>
  <c r="D155" i="4" s="1"/>
  <c r="P155" i="3"/>
  <c r="P155" i="4" s="1"/>
  <c r="AB155" i="3"/>
  <c r="AB155" i="4" s="1"/>
  <c r="G156" i="3"/>
  <c r="G156" i="4" s="1"/>
  <c r="S156" i="3"/>
  <c r="S156" i="4" s="1"/>
  <c r="J157" i="3"/>
  <c r="J157" i="4" s="1"/>
  <c r="V157" i="3"/>
  <c r="V157" i="4" s="1"/>
  <c r="A158" i="3"/>
  <c r="A158" i="4" s="1"/>
  <c r="M158" i="3"/>
  <c r="M158" i="4" s="1"/>
  <c r="Y158" i="3"/>
  <c r="Y158" i="4" s="1"/>
  <c r="D159" i="3"/>
  <c r="D159" i="4" s="1"/>
  <c r="P159" i="3"/>
  <c r="P159" i="4" s="1"/>
  <c r="AB159" i="3"/>
  <c r="AB159" i="4" s="1"/>
  <c r="G160" i="3"/>
  <c r="G160" i="4" s="1"/>
  <c r="S160" i="3"/>
  <c r="S160" i="4" s="1"/>
  <c r="Q346" i="3"/>
  <c r="Q346" i="4" s="1"/>
  <c r="H347" i="3"/>
  <c r="H347" i="4" s="1"/>
  <c r="T347" i="3"/>
  <c r="T347" i="4" s="1"/>
  <c r="K348" i="3"/>
  <c r="K348" i="4" s="1"/>
  <c r="W348" i="3"/>
  <c r="W348" i="4" s="1"/>
  <c r="B349" i="3"/>
  <c r="B349" i="4" s="1"/>
  <c r="N349" i="3"/>
  <c r="N349" i="4" s="1"/>
  <c r="Z349" i="3"/>
  <c r="Z349" i="4" s="1"/>
  <c r="E350" i="3"/>
  <c r="E350" i="4" s="1"/>
  <c r="Q350" i="3"/>
  <c r="Q350" i="4" s="1"/>
  <c r="H351" i="3"/>
  <c r="H351" i="4" s="1"/>
  <c r="T351" i="3"/>
  <c r="T351" i="4" s="1"/>
  <c r="K352" i="3"/>
  <c r="K352" i="4" s="1"/>
  <c r="W352" i="3"/>
  <c r="W352" i="4" s="1"/>
  <c r="B353" i="3"/>
  <c r="B353" i="4" s="1"/>
  <c r="N353" i="3"/>
  <c r="N353" i="4" s="1"/>
  <c r="Z353" i="3"/>
  <c r="Z353" i="4" s="1"/>
  <c r="E354" i="3"/>
  <c r="E354" i="4" s="1"/>
  <c r="Q354" i="3"/>
  <c r="Q354" i="4" s="1"/>
  <c r="H355" i="3"/>
  <c r="H355" i="4" s="1"/>
  <c r="T355" i="3"/>
  <c r="T355" i="4" s="1"/>
  <c r="K356" i="3"/>
  <c r="K356" i="4" s="1"/>
  <c r="W356" i="3"/>
  <c r="W356" i="4" s="1"/>
  <c r="B357" i="3"/>
  <c r="B357" i="4" s="1"/>
  <c r="N357" i="3"/>
  <c r="N357" i="4" s="1"/>
  <c r="Z357" i="3"/>
  <c r="Z357" i="4" s="1"/>
  <c r="E358" i="3"/>
  <c r="E358" i="4" s="1"/>
  <c r="Q358" i="3"/>
  <c r="Q358" i="4" s="1"/>
  <c r="H359" i="3"/>
  <c r="H359" i="4" s="1"/>
  <c r="T359" i="3"/>
  <c r="T359" i="4" s="1"/>
  <c r="K360" i="3"/>
  <c r="K360" i="4" s="1"/>
  <c r="W360" i="3"/>
  <c r="W360" i="4" s="1"/>
  <c r="B361" i="3"/>
  <c r="B361" i="4" s="1"/>
  <c r="N361" i="3"/>
  <c r="N361" i="4" s="1"/>
  <c r="Z361" i="3"/>
  <c r="Z361" i="4" s="1"/>
  <c r="E362" i="3"/>
  <c r="E362" i="4" s="1"/>
  <c r="Q362" i="3"/>
  <c r="Q362" i="4" s="1"/>
  <c r="H363" i="3"/>
  <c r="H363" i="4" s="1"/>
  <c r="T363" i="3"/>
  <c r="T363" i="4" s="1"/>
  <c r="K364" i="3"/>
  <c r="K364" i="4" s="1"/>
  <c r="W364" i="3"/>
  <c r="W364" i="4" s="1"/>
  <c r="B365" i="3"/>
  <c r="B365" i="4" s="1"/>
  <c r="N365" i="3"/>
  <c r="N365" i="4" s="1"/>
  <c r="Z365" i="3"/>
  <c r="Z365" i="4" s="1"/>
  <c r="E366" i="3"/>
  <c r="E366" i="4" s="1"/>
  <c r="Q366" i="3"/>
  <c r="Q366" i="4" s="1"/>
  <c r="H367" i="3"/>
  <c r="H367" i="4" s="1"/>
  <c r="T367" i="3"/>
  <c r="T367" i="4" s="1"/>
  <c r="K368" i="3"/>
  <c r="K368" i="4" s="1"/>
  <c r="W368" i="3"/>
  <c r="W368" i="4" s="1"/>
  <c r="B369" i="3"/>
  <c r="B369" i="4" s="1"/>
  <c r="N369" i="3"/>
  <c r="N369" i="4" s="1"/>
  <c r="Z369" i="3"/>
  <c r="Z369" i="4" s="1"/>
  <c r="E370" i="3"/>
  <c r="E370" i="4" s="1"/>
  <c r="Q370" i="3"/>
  <c r="Q370" i="4" s="1"/>
  <c r="H371" i="3"/>
  <c r="H371" i="4" s="1"/>
  <c r="T371" i="3"/>
  <c r="T371" i="4" s="1"/>
  <c r="K372" i="3"/>
  <c r="K372" i="4" s="1"/>
  <c r="W372" i="3"/>
  <c r="W372" i="4" s="1"/>
  <c r="B373" i="3"/>
  <c r="B373" i="4" s="1"/>
  <c r="N373" i="3"/>
  <c r="N373" i="4" s="1"/>
  <c r="Z373" i="3"/>
  <c r="Z373" i="4" s="1"/>
  <c r="E374" i="3"/>
  <c r="E374" i="4" s="1"/>
  <c r="Q374" i="3"/>
  <c r="Q374" i="4" s="1"/>
  <c r="H375" i="3"/>
  <c r="H375" i="4" s="1"/>
  <c r="T375" i="3"/>
  <c r="T375" i="4" s="1"/>
  <c r="K376" i="3"/>
  <c r="K376" i="4" s="1"/>
  <c r="W376" i="3"/>
  <c r="W376" i="4" s="1"/>
  <c r="B377" i="3"/>
  <c r="B377" i="4" s="1"/>
  <c r="N377" i="3"/>
  <c r="N377" i="4" s="1"/>
  <c r="Z377" i="3"/>
  <c r="Z377" i="4" s="1"/>
  <c r="E378" i="3"/>
  <c r="E378" i="4" s="1"/>
  <c r="Q378" i="3"/>
  <c r="Q378" i="4" s="1"/>
  <c r="H379" i="3"/>
  <c r="H379" i="4" s="1"/>
  <c r="T379" i="3"/>
  <c r="T379" i="4" s="1"/>
  <c r="K380" i="3"/>
  <c r="K380" i="4" s="1"/>
  <c r="W380" i="3"/>
  <c r="W380" i="4" s="1"/>
  <c r="B381" i="3"/>
  <c r="B381" i="4" s="1"/>
  <c r="N381" i="3"/>
  <c r="N381" i="4" s="1"/>
  <c r="Z381" i="3"/>
  <c r="Z381" i="4" s="1"/>
  <c r="E382" i="3"/>
  <c r="E382" i="4" s="1"/>
  <c r="Q382" i="3"/>
  <c r="Q382" i="4" s="1"/>
  <c r="H383" i="3"/>
  <c r="H383" i="4" s="1"/>
  <c r="T383" i="3"/>
  <c r="T383" i="4" s="1"/>
  <c r="K384" i="3"/>
  <c r="K384" i="4" s="1"/>
  <c r="W384" i="3"/>
  <c r="W384" i="4" s="1"/>
  <c r="B385" i="3"/>
  <c r="B385" i="4" s="1"/>
  <c r="N385" i="3"/>
  <c r="N385" i="4" s="1"/>
  <c r="Z385" i="3"/>
  <c r="Z385" i="4" s="1"/>
  <c r="E386" i="3"/>
  <c r="E386" i="4" s="1"/>
  <c r="Q386" i="3"/>
  <c r="Q386" i="4" s="1"/>
  <c r="H387" i="3"/>
  <c r="H387" i="4" s="1"/>
  <c r="T387" i="3"/>
  <c r="T387" i="4" s="1"/>
  <c r="K388" i="3"/>
  <c r="K388" i="4" s="1"/>
  <c r="W388" i="3"/>
  <c r="W388" i="4" s="1"/>
  <c r="B389" i="3"/>
  <c r="B389" i="4" s="1"/>
  <c r="N389" i="3"/>
  <c r="N389" i="4" s="1"/>
  <c r="Z389" i="3"/>
  <c r="Z389" i="4" s="1"/>
  <c r="E390" i="3"/>
  <c r="E390" i="4" s="1"/>
  <c r="Q390" i="3"/>
  <c r="Q390" i="4" s="1"/>
  <c r="H391" i="3"/>
  <c r="H391" i="4" s="1"/>
  <c r="T391" i="3"/>
  <c r="T391" i="4" s="1"/>
  <c r="K392" i="3"/>
  <c r="K392" i="4" s="1"/>
  <c r="W392" i="3"/>
  <c r="W392" i="4" s="1"/>
  <c r="B393" i="3"/>
  <c r="B393" i="4" s="1"/>
  <c r="N393" i="3"/>
  <c r="N393" i="4" s="1"/>
  <c r="Z393" i="3"/>
  <c r="Z393" i="4" s="1"/>
  <c r="E394" i="3"/>
  <c r="E394" i="4" s="1"/>
  <c r="Q394" i="3"/>
  <c r="Q394" i="4" s="1"/>
  <c r="H395" i="3"/>
  <c r="H395" i="4" s="1"/>
  <c r="T395" i="3"/>
  <c r="T395" i="4" s="1"/>
  <c r="K396" i="3"/>
  <c r="K396" i="4" s="1"/>
  <c r="W396" i="3"/>
  <c r="W396" i="4" s="1"/>
  <c r="B397" i="3"/>
  <c r="B397" i="4" s="1"/>
  <c r="N397" i="3"/>
  <c r="N397" i="4" s="1"/>
  <c r="Z397" i="3"/>
  <c r="Z397" i="4" s="1"/>
  <c r="E398" i="3"/>
  <c r="E398" i="4" s="1"/>
  <c r="Q398" i="3"/>
  <c r="Q398" i="4" s="1"/>
  <c r="H399" i="3"/>
  <c r="H399" i="4" s="1"/>
  <c r="T399" i="3"/>
  <c r="T399" i="4" s="1"/>
  <c r="K400" i="3"/>
  <c r="K400" i="4" s="1"/>
  <c r="W400" i="3"/>
  <c r="W400" i="4" s="1"/>
  <c r="B401" i="3"/>
  <c r="B401" i="4" s="1"/>
  <c r="N401" i="3"/>
  <c r="N401" i="4" s="1"/>
  <c r="Z401" i="3"/>
  <c r="Z401" i="4" s="1"/>
  <c r="E402" i="3"/>
  <c r="E402" i="4" s="1"/>
  <c r="Q402" i="3"/>
  <c r="Q402" i="4" s="1"/>
  <c r="H403" i="3"/>
  <c r="H403" i="4" s="1"/>
  <c r="T403" i="3"/>
  <c r="T403" i="4" s="1"/>
  <c r="K404" i="3"/>
  <c r="K404" i="4" s="1"/>
  <c r="W404" i="3"/>
  <c r="W404" i="4" s="1"/>
  <c r="B405" i="3"/>
  <c r="B405" i="4" s="1"/>
  <c r="N405" i="3"/>
  <c r="N405" i="4" s="1"/>
  <c r="Z405" i="3"/>
  <c r="Z405" i="4" s="1"/>
  <c r="E406" i="3"/>
  <c r="E406" i="4" s="1"/>
  <c r="Q406" i="3"/>
  <c r="Q406" i="4" s="1"/>
  <c r="H407" i="3"/>
  <c r="H407" i="4" s="1"/>
  <c r="T407" i="3"/>
  <c r="T407" i="4" s="1"/>
  <c r="K408" i="3"/>
  <c r="K408" i="4" s="1"/>
  <c r="W408" i="3"/>
  <c r="W408" i="4" s="1"/>
  <c r="B409" i="3"/>
  <c r="B409" i="4" s="1"/>
  <c r="N409" i="3"/>
  <c r="N409" i="4" s="1"/>
  <c r="Z409" i="3"/>
  <c r="Z409" i="4" s="1"/>
  <c r="E410" i="3"/>
  <c r="E410" i="4" s="1"/>
  <c r="Q410" i="3"/>
  <c r="Q410" i="4" s="1"/>
  <c r="H411" i="3"/>
  <c r="H411" i="4" s="1"/>
  <c r="T411" i="3"/>
  <c r="T411" i="4" s="1"/>
  <c r="K412" i="3"/>
  <c r="K412" i="4" s="1"/>
  <c r="W412" i="3"/>
  <c r="W412" i="4" s="1"/>
  <c r="B413" i="3"/>
  <c r="B413" i="4" s="1"/>
  <c r="N413" i="3"/>
  <c r="N413" i="4" s="1"/>
  <c r="Z413" i="3"/>
  <c r="Z413" i="4" s="1"/>
  <c r="E414" i="3"/>
  <c r="E414" i="4" s="1"/>
  <c r="Q414" i="3"/>
  <c r="Q414" i="4" s="1"/>
  <c r="H415" i="3"/>
  <c r="H415" i="4" s="1"/>
  <c r="T415" i="3"/>
  <c r="T415" i="4" s="1"/>
  <c r="K416" i="3"/>
  <c r="K416" i="4" s="1"/>
  <c r="W416" i="3"/>
  <c r="W416" i="4" s="1"/>
  <c r="B417" i="3"/>
  <c r="B417" i="4" s="1"/>
  <c r="N417" i="3"/>
  <c r="N417" i="4" s="1"/>
  <c r="Z417" i="3"/>
  <c r="Z417" i="4" s="1"/>
  <c r="E418" i="3"/>
  <c r="E418" i="4" s="1"/>
  <c r="Q418" i="3"/>
  <c r="Q418" i="4" s="1"/>
  <c r="H419" i="3"/>
  <c r="H419" i="4" s="1"/>
  <c r="T419" i="3"/>
  <c r="T419" i="4" s="1"/>
  <c r="K420" i="3"/>
  <c r="K420" i="4" s="1"/>
  <c r="W420" i="3"/>
  <c r="W420" i="4" s="1"/>
  <c r="B421" i="3"/>
  <c r="B421" i="4" s="1"/>
  <c r="N421" i="3"/>
  <c r="N421" i="4" s="1"/>
  <c r="Z421" i="3"/>
  <c r="Z421" i="4" s="1"/>
  <c r="E422" i="3"/>
  <c r="E422" i="4" s="1"/>
  <c r="Q422" i="3"/>
  <c r="Q422" i="4" s="1"/>
  <c r="H423" i="3"/>
  <c r="H423" i="4" s="1"/>
  <c r="T423" i="3"/>
  <c r="T423" i="4" s="1"/>
  <c r="K424" i="3"/>
  <c r="K424" i="4" s="1"/>
  <c r="W424" i="3"/>
  <c r="W424" i="4" s="1"/>
  <c r="B425" i="3"/>
  <c r="B425" i="4" s="1"/>
  <c r="N425" i="3"/>
  <c r="N425" i="4" s="1"/>
  <c r="Z425" i="3"/>
  <c r="Z425" i="4" s="1"/>
  <c r="E426" i="3"/>
  <c r="E426" i="4" s="1"/>
  <c r="Q426" i="3"/>
  <c r="Q426" i="4" s="1"/>
  <c r="H427" i="3"/>
  <c r="H427" i="4" s="1"/>
  <c r="T427" i="3"/>
  <c r="T427" i="4" s="1"/>
  <c r="K428" i="3"/>
  <c r="K428" i="4" s="1"/>
  <c r="W428" i="3"/>
  <c r="W428" i="4" s="1"/>
  <c r="B429" i="3"/>
  <c r="B429" i="4" s="1"/>
  <c r="N429" i="3"/>
  <c r="N429" i="4" s="1"/>
  <c r="Z429" i="3"/>
  <c r="Z429" i="4" s="1"/>
  <c r="E430" i="3"/>
  <c r="E430" i="4" s="1"/>
  <c r="Q430" i="3"/>
  <c r="Q430" i="4" s="1"/>
  <c r="H431" i="3"/>
  <c r="H431" i="4" s="1"/>
  <c r="T431" i="3"/>
  <c r="T431" i="4" s="1"/>
  <c r="K432" i="3"/>
  <c r="K432" i="4" s="1"/>
  <c r="W432" i="3"/>
  <c r="W432" i="4" s="1"/>
  <c r="B433" i="3"/>
  <c r="B433" i="4" s="1"/>
  <c r="N433" i="3"/>
  <c r="N433" i="4" s="1"/>
  <c r="Z433" i="3"/>
  <c r="Z433" i="4" s="1"/>
  <c r="E434" i="3"/>
  <c r="E434" i="4" s="1"/>
  <c r="Q434" i="3"/>
  <c r="Q434" i="4" s="1"/>
  <c r="H435" i="3"/>
  <c r="H435" i="4" s="1"/>
  <c r="T435" i="3"/>
  <c r="T435" i="4" s="1"/>
  <c r="K436" i="3"/>
  <c r="K436" i="4" s="1"/>
  <c r="W436" i="3"/>
  <c r="W436" i="4" s="1"/>
  <c r="B437" i="3"/>
  <c r="B437" i="4" s="1"/>
  <c r="N437" i="3"/>
  <c r="N437" i="4" s="1"/>
  <c r="Z437" i="3"/>
  <c r="Z437" i="4" s="1"/>
  <c r="E438" i="3"/>
  <c r="E438" i="4" s="1"/>
  <c r="Q438" i="3"/>
  <c r="Q438" i="4" s="1"/>
  <c r="H439" i="3"/>
  <c r="H439" i="4" s="1"/>
  <c r="T439" i="3"/>
  <c r="T439" i="4" s="1"/>
  <c r="K440" i="3"/>
  <c r="K440" i="4" s="1"/>
  <c r="W440" i="3"/>
  <c r="W440" i="4" s="1"/>
  <c r="B441" i="3"/>
  <c r="B441" i="4" s="1"/>
  <c r="N441" i="3"/>
  <c r="N441" i="4" s="1"/>
  <c r="Z441" i="3"/>
  <c r="Z441" i="4" s="1"/>
  <c r="E442" i="3"/>
  <c r="E442" i="4" s="1"/>
  <c r="Q442" i="3"/>
  <c r="Q442" i="4" s="1"/>
  <c r="H443" i="3"/>
  <c r="H443" i="4" s="1"/>
  <c r="T443" i="3"/>
  <c r="T443" i="4" s="1"/>
  <c r="K444" i="3"/>
  <c r="K444" i="4" s="1"/>
  <c r="W444" i="3"/>
  <c r="W444" i="4" s="1"/>
  <c r="B445" i="3"/>
  <c r="B445" i="4" s="1"/>
  <c r="N445" i="3"/>
  <c r="N445" i="4" s="1"/>
  <c r="Z445" i="3"/>
  <c r="Z445" i="4" s="1"/>
  <c r="E446" i="3"/>
  <c r="E446" i="4" s="1"/>
  <c r="Q446" i="3"/>
  <c r="Q446" i="4" s="1"/>
  <c r="H447" i="3"/>
  <c r="H447" i="4" s="1"/>
  <c r="T447" i="3"/>
  <c r="T447" i="4" s="1"/>
  <c r="K448" i="3"/>
  <c r="K448" i="4" s="1"/>
  <c r="W448" i="3"/>
  <c r="W448" i="4" s="1"/>
  <c r="B449" i="3"/>
  <c r="B449" i="4" s="1"/>
  <c r="N449" i="3"/>
  <c r="N449" i="4" s="1"/>
  <c r="Z449" i="3"/>
  <c r="Z449" i="4" s="1"/>
  <c r="E450" i="3"/>
  <c r="E450" i="4" s="1"/>
  <c r="Q450" i="3"/>
  <c r="Q450" i="4" s="1"/>
  <c r="H451" i="3"/>
  <c r="H451" i="4" s="1"/>
  <c r="T451" i="3"/>
  <c r="T451" i="4" s="1"/>
  <c r="K452" i="3"/>
  <c r="K452" i="4" s="1"/>
  <c r="W452" i="3"/>
  <c r="W452" i="4" s="1"/>
  <c r="B453" i="3"/>
  <c r="B453" i="4" s="1"/>
  <c r="N453" i="3"/>
  <c r="N453" i="4" s="1"/>
  <c r="Z453" i="3"/>
  <c r="Z453" i="4" s="1"/>
  <c r="E454" i="3"/>
  <c r="E454" i="4" s="1"/>
  <c r="Q454" i="3"/>
  <c r="Q454" i="4" s="1"/>
  <c r="H455" i="3"/>
  <c r="H455" i="4" s="1"/>
  <c r="T455" i="3"/>
  <c r="T455" i="4" s="1"/>
  <c r="K456" i="3"/>
  <c r="K456" i="4" s="1"/>
  <c r="W456" i="3"/>
  <c r="W456" i="4" s="1"/>
  <c r="B457" i="3"/>
  <c r="B457" i="4" s="1"/>
  <c r="N457" i="3"/>
  <c r="N457" i="4" s="1"/>
  <c r="Z457" i="3"/>
  <c r="Z457" i="4" s="1"/>
  <c r="E458" i="3"/>
  <c r="E458" i="4" s="1"/>
  <c r="Q458" i="3"/>
  <c r="Q458" i="4" s="1"/>
  <c r="H459" i="3"/>
  <c r="H459" i="4" s="1"/>
  <c r="T459" i="3"/>
  <c r="T459" i="4" s="1"/>
  <c r="K460" i="3"/>
  <c r="K460" i="4" s="1"/>
  <c r="W460" i="3"/>
  <c r="W460" i="4" s="1"/>
  <c r="B461" i="3"/>
  <c r="B461" i="4" s="1"/>
  <c r="N461" i="3"/>
  <c r="N461" i="4" s="1"/>
  <c r="Z461" i="3"/>
  <c r="Z461" i="4" s="1"/>
  <c r="E462" i="3"/>
  <c r="E462" i="4" s="1"/>
  <c r="Q462" i="3"/>
  <c r="Q462" i="4" s="1"/>
  <c r="H463" i="3"/>
  <c r="H463" i="4" s="1"/>
  <c r="T463" i="3"/>
  <c r="T463" i="4" s="1"/>
  <c r="K464" i="3"/>
  <c r="K464" i="4" s="1"/>
  <c r="W464" i="3"/>
  <c r="W464" i="4" s="1"/>
  <c r="B465" i="3"/>
  <c r="B465" i="4" s="1"/>
  <c r="N465" i="3"/>
  <c r="N465" i="4" s="1"/>
  <c r="Z465" i="3"/>
  <c r="Z465" i="4" s="1"/>
  <c r="E466" i="3"/>
  <c r="E466" i="4" s="1"/>
  <c r="Q466" i="3"/>
  <c r="Q466" i="4" s="1"/>
  <c r="H467" i="3"/>
  <c r="H467" i="4" s="1"/>
  <c r="T467" i="3"/>
  <c r="T467" i="4" s="1"/>
  <c r="K468" i="3"/>
  <c r="K468" i="4" s="1"/>
  <c r="W468" i="3"/>
  <c r="W468" i="4" s="1"/>
  <c r="B469" i="3"/>
  <c r="B469" i="4" s="1"/>
  <c r="N469" i="3"/>
  <c r="N469" i="4" s="1"/>
  <c r="Z469" i="3"/>
  <c r="Z469" i="4" s="1"/>
  <c r="E470" i="3"/>
  <c r="E470" i="4" s="1"/>
  <c r="Q470" i="3"/>
  <c r="Q470" i="4" s="1"/>
  <c r="H471" i="3"/>
  <c r="H471" i="4" s="1"/>
  <c r="T471" i="3"/>
  <c r="T471" i="4" s="1"/>
  <c r="K472" i="3"/>
  <c r="K472" i="4" s="1"/>
  <c r="W472" i="3"/>
  <c r="W472" i="4" s="1"/>
  <c r="B473" i="3"/>
  <c r="B473" i="4" s="1"/>
  <c r="N473" i="3"/>
  <c r="N473" i="4" s="1"/>
  <c r="Z473" i="3"/>
  <c r="Z473" i="4" s="1"/>
  <c r="E474" i="3"/>
  <c r="E474" i="4" s="1"/>
  <c r="Q474" i="3"/>
  <c r="Q474" i="4" s="1"/>
  <c r="H475" i="3"/>
  <c r="H475" i="4" s="1"/>
  <c r="T475" i="3"/>
  <c r="T475" i="4" s="1"/>
  <c r="K476" i="3"/>
  <c r="K476" i="4" s="1"/>
  <c r="W476" i="3"/>
  <c r="W476" i="4" s="1"/>
  <c r="B477" i="3"/>
  <c r="B477" i="4" s="1"/>
  <c r="N477" i="3"/>
  <c r="N477" i="4" s="1"/>
  <c r="Z477" i="3"/>
  <c r="Z477" i="4" s="1"/>
  <c r="E478" i="3"/>
  <c r="E478" i="4" s="1"/>
  <c r="Q478" i="3"/>
  <c r="Q478" i="4" s="1"/>
  <c r="H479" i="3"/>
  <c r="H479" i="4" s="1"/>
  <c r="T479" i="3"/>
  <c r="T479" i="4" s="1"/>
  <c r="K480" i="3"/>
  <c r="K480" i="4" s="1"/>
  <c r="W480" i="3"/>
  <c r="W480" i="4" s="1"/>
  <c r="B481" i="3"/>
  <c r="B481" i="4" s="1"/>
  <c r="N481" i="3"/>
  <c r="N481" i="4" s="1"/>
  <c r="Z481" i="3"/>
  <c r="Z481" i="4" s="1"/>
  <c r="E482" i="3"/>
  <c r="E482" i="4" s="1"/>
  <c r="Q482" i="3"/>
  <c r="Q482" i="4" s="1"/>
  <c r="I507" i="3"/>
  <c r="I507" i="4" s="1"/>
  <c r="U507" i="3"/>
  <c r="U507" i="4" s="1"/>
  <c r="L508" i="3"/>
  <c r="L508" i="4" s="1"/>
  <c r="X508" i="3"/>
  <c r="X508" i="4" s="1"/>
  <c r="C509" i="3"/>
  <c r="C509" i="4" s="1"/>
  <c r="O509" i="3"/>
  <c r="O509" i="4" s="1"/>
  <c r="AA509" i="3"/>
  <c r="AA509" i="4" s="1"/>
  <c r="F510" i="3"/>
  <c r="F510" i="4" s="1"/>
  <c r="R510" i="3"/>
  <c r="R510" i="4" s="1"/>
  <c r="I511" i="3"/>
  <c r="I511" i="4" s="1"/>
  <c r="U511" i="3"/>
  <c r="U511" i="4" s="1"/>
  <c r="L512" i="3"/>
  <c r="L512" i="4" s="1"/>
  <c r="X512" i="3"/>
  <c r="X512" i="4" s="1"/>
  <c r="C513" i="3"/>
  <c r="C513" i="4" s="1"/>
  <c r="O513" i="3"/>
  <c r="O513" i="4" s="1"/>
  <c r="AA513" i="3"/>
  <c r="AA513" i="4" s="1"/>
  <c r="F514" i="3"/>
  <c r="F514" i="4" s="1"/>
  <c r="R514" i="3"/>
  <c r="R514" i="4" s="1"/>
  <c r="I515" i="3"/>
  <c r="I515" i="4" s="1"/>
  <c r="U515" i="3"/>
  <c r="U515" i="4" s="1"/>
  <c r="L516" i="3"/>
  <c r="L516" i="4" s="1"/>
  <c r="X516" i="3"/>
  <c r="X516" i="4" s="1"/>
  <c r="C517" i="3"/>
  <c r="C517" i="4" s="1"/>
  <c r="O517" i="3"/>
  <c r="O517" i="4" s="1"/>
  <c r="AA517" i="3"/>
  <c r="AA517" i="4" s="1"/>
  <c r="F518" i="3"/>
  <c r="F518" i="4" s="1"/>
  <c r="R518" i="3"/>
  <c r="R518" i="4" s="1"/>
  <c r="I519" i="3"/>
  <c r="I519" i="4" s="1"/>
  <c r="U519" i="3"/>
  <c r="U519" i="4" s="1"/>
  <c r="L520" i="3"/>
  <c r="L520" i="4" s="1"/>
  <c r="X520" i="3"/>
  <c r="X520" i="4" s="1"/>
  <c r="C521" i="3"/>
  <c r="C521" i="4" s="1"/>
  <c r="O521" i="3"/>
  <c r="O521" i="4" s="1"/>
  <c r="AA521" i="3"/>
  <c r="AA521" i="4" s="1"/>
  <c r="F522" i="3"/>
  <c r="F522" i="4" s="1"/>
  <c r="R522" i="3"/>
  <c r="R522" i="4" s="1"/>
  <c r="I523" i="3"/>
  <c r="I523" i="4" s="1"/>
  <c r="U523" i="3"/>
  <c r="U523" i="4" s="1"/>
  <c r="L524" i="3"/>
  <c r="L524" i="4" s="1"/>
  <c r="X524" i="3"/>
  <c r="X524" i="4" s="1"/>
  <c r="C525" i="3"/>
  <c r="C525" i="4" s="1"/>
  <c r="O525" i="3"/>
  <c r="O525" i="4" s="1"/>
  <c r="AA525" i="3"/>
  <c r="AA525" i="4" s="1"/>
  <c r="F526" i="3"/>
  <c r="F526" i="4" s="1"/>
  <c r="R526" i="3"/>
  <c r="R526" i="4" s="1"/>
  <c r="I527" i="3"/>
  <c r="I527" i="4" s="1"/>
  <c r="U527" i="3"/>
  <c r="U527" i="4" s="1"/>
  <c r="L528" i="3"/>
  <c r="L528" i="4" s="1"/>
  <c r="X528" i="3"/>
  <c r="X528" i="4" s="1"/>
  <c r="C529" i="3"/>
  <c r="C529" i="4" s="1"/>
  <c r="O529" i="3"/>
  <c r="O529" i="4" s="1"/>
  <c r="AA529" i="3"/>
  <c r="AA529" i="4" s="1"/>
  <c r="F530" i="3"/>
  <c r="F530" i="4" s="1"/>
  <c r="R530" i="3"/>
  <c r="R530" i="4" s="1"/>
  <c r="I531" i="3"/>
  <c r="I531" i="4" s="1"/>
  <c r="U531" i="3"/>
  <c r="U531" i="4" s="1"/>
  <c r="L532" i="3"/>
  <c r="L532" i="4" s="1"/>
  <c r="X532" i="3"/>
  <c r="X532" i="4" s="1"/>
  <c r="C533" i="3"/>
  <c r="C533" i="4" s="1"/>
  <c r="O533" i="3"/>
  <c r="O533" i="4" s="1"/>
  <c r="AA533" i="3"/>
  <c r="AA533" i="4" s="1"/>
  <c r="F534" i="3"/>
  <c r="F534" i="4" s="1"/>
  <c r="R534" i="3"/>
  <c r="R534" i="4" s="1"/>
  <c r="I535" i="3"/>
  <c r="I535" i="4" s="1"/>
  <c r="U535" i="3"/>
  <c r="U535" i="4" s="1"/>
  <c r="L536" i="3"/>
  <c r="L536" i="4" s="1"/>
  <c r="X536" i="3"/>
  <c r="X536" i="4" s="1"/>
  <c r="C537" i="3"/>
  <c r="C537" i="4" s="1"/>
  <c r="O537" i="3"/>
  <c r="O537" i="4" s="1"/>
  <c r="AA537" i="3"/>
  <c r="AA537" i="4" s="1"/>
  <c r="F538" i="3"/>
  <c r="F538" i="4" s="1"/>
  <c r="R538" i="3"/>
  <c r="R538" i="4" s="1"/>
  <c r="I539" i="3"/>
  <c r="I539" i="4" s="1"/>
  <c r="U539" i="3"/>
  <c r="U539" i="4" s="1"/>
  <c r="L540" i="3"/>
  <c r="L540" i="4" s="1"/>
  <c r="X540" i="3"/>
  <c r="X540" i="4" s="1"/>
  <c r="C541" i="3"/>
  <c r="C541" i="4" s="1"/>
  <c r="O541" i="3"/>
  <c r="O541" i="4" s="1"/>
  <c r="AA541" i="3"/>
  <c r="AA541" i="4" s="1"/>
  <c r="F542" i="3"/>
  <c r="F542" i="4" s="1"/>
  <c r="R542" i="3"/>
  <c r="R542" i="4" s="1"/>
  <c r="I543" i="3"/>
  <c r="I543" i="4" s="1"/>
  <c r="U543" i="3"/>
  <c r="U543" i="4" s="1"/>
  <c r="L544" i="3"/>
  <c r="L544" i="4" s="1"/>
  <c r="X544" i="3"/>
  <c r="X544" i="4" s="1"/>
  <c r="C545" i="3"/>
  <c r="C545" i="4" s="1"/>
  <c r="O545" i="3"/>
  <c r="O545" i="4" s="1"/>
  <c r="AA545" i="3"/>
  <c r="AA545" i="4" s="1"/>
  <c r="F546" i="3"/>
  <c r="F546" i="4" s="1"/>
  <c r="R546" i="3"/>
  <c r="R546" i="4" s="1"/>
  <c r="I547" i="3"/>
  <c r="I547" i="4" s="1"/>
  <c r="U547" i="3"/>
  <c r="U547" i="4" s="1"/>
  <c r="L548" i="3"/>
  <c r="L548" i="4" s="1"/>
  <c r="X548" i="3"/>
  <c r="X548" i="4" s="1"/>
  <c r="C549" i="3"/>
  <c r="C549" i="4" s="1"/>
  <c r="O549" i="3"/>
  <c r="O549" i="4" s="1"/>
  <c r="AA549" i="3"/>
  <c r="AA549" i="4" s="1"/>
  <c r="F550" i="3"/>
  <c r="F550" i="4" s="1"/>
  <c r="R550" i="3"/>
  <c r="R550" i="4" s="1"/>
  <c r="I551" i="3"/>
  <c r="I551" i="4" s="1"/>
  <c r="U551" i="3"/>
  <c r="U551" i="4" s="1"/>
  <c r="L552" i="3"/>
  <c r="L552" i="4" s="1"/>
  <c r="X552" i="3"/>
  <c r="X552" i="4" s="1"/>
  <c r="C553" i="3"/>
  <c r="C553" i="4" s="1"/>
  <c r="O553" i="3"/>
  <c r="O553" i="4" s="1"/>
  <c r="AA553" i="3"/>
  <c r="AA553" i="4" s="1"/>
  <c r="F554" i="3"/>
  <c r="F554" i="4" s="1"/>
  <c r="R554" i="3"/>
  <c r="R554" i="4" s="1"/>
  <c r="I555" i="3"/>
  <c r="I555" i="4" s="1"/>
  <c r="U555" i="3"/>
  <c r="U555" i="4" s="1"/>
  <c r="L556" i="3"/>
  <c r="L556" i="4" s="1"/>
  <c r="X556" i="3"/>
  <c r="X556" i="4" s="1"/>
  <c r="C557" i="3"/>
  <c r="C557" i="4" s="1"/>
  <c r="O557" i="3"/>
  <c r="O557" i="4" s="1"/>
  <c r="AA557" i="3"/>
  <c r="AA557" i="4" s="1"/>
  <c r="F558" i="3"/>
  <c r="F558" i="4" s="1"/>
  <c r="R558" i="3"/>
  <c r="R558" i="4" s="1"/>
  <c r="I559" i="3"/>
  <c r="I559" i="4" s="1"/>
  <c r="U559" i="3"/>
  <c r="U559" i="4" s="1"/>
  <c r="L560" i="3"/>
  <c r="L560" i="4" s="1"/>
  <c r="X560" i="3"/>
  <c r="X560" i="4" s="1"/>
  <c r="C561" i="3"/>
  <c r="C561" i="4" s="1"/>
  <c r="O561" i="3"/>
  <c r="O561" i="4" s="1"/>
  <c r="AA561" i="3"/>
  <c r="AA561" i="4" s="1"/>
  <c r="F562" i="3"/>
  <c r="F562" i="4" s="1"/>
  <c r="R562" i="3"/>
  <c r="R562" i="4" s="1"/>
  <c r="I563" i="3"/>
  <c r="I563" i="4" s="1"/>
  <c r="U563" i="3"/>
  <c r="U563" i="4" s="1"/>
  <c r="L564" i="3"/>
  <c r="L564" i="4" s="1"/>
  <c r="X564" i="3"/>
  <c r="X564" i="4" s="1"/>
  <c r="C565" i="3"/>
  <c r="C565" i="4" s="1"/>
  <c r="O565" i="3"/>
  <c r="O565" i="4" s="1"/>
  <c r="AA565" i="3"/>
  <c r="AA565" i="4" s="1"/>
  <c r="F566" i="3"/>
  <c r="F566" i="4" s="1"/>
  <c r="R566" i="3"/>
  <c r="R566" i="4" s="1"/>
  <c r="I567" i="3"/>
  <c r="I567" i="4" s="1"/>
  <c r="U567" i="3"/>
  <c r="U567" i="4" s="1"/>
  <c r="L568" i="3"/>
  <c r="L568" i="4" s="1"/>
  <c r="X568" i="3"/>
  <c r="X568" i="4" s="1"/>
  <c r="C569" i="3"/>
  <c r="C569" i="4" s="1"/>
  <c r="O569" i="3"/>
  <c r="O569" i="4" s="1"/>
  <c r="AA569" i="3"/>
  <c r="AA569" i="4" s="1"/>
  <c r="F570" i="3"/>
  <c r="F570" i="4" s="1"/>
  <c r="R570" i="3"/>
  <c r="R570" i="4" s="1"/>
  <c r="I571" i="3"/>
  <c r="I571" i="4" s="1"/>
  <c r="U571" i="3"/>
  <c r="U571" i="4" s="1"/>
  <c r="L572" i="3"/>
  <c r="L572" i="4" s="1"/>
  <c r="X572" i="3"/>
  <c r="X572" i="4" s="1"/>
  <c r="C573" i="3"/>
  <c r="C573" i="4" s="1"/>
  <c r="O573" i="3"/>
  <c r="O573" i="4" s="1"/>
  <c r="AA573" i="3"/>
  <c r="AA573" i="4" s="1"/>
  <c r="F574" i="3"/>
  <c r="F574" i="4" s="1"/>
  <c r="R574" i="3"/>
  <c r="R574" i="4" s="1"/>
  <c r="I575" i="3"/>
  <c r="I575" i="4" s="1"/>
  <c r="U575" i="3"/>
  <c r="U575" i="4" s="1"/>
  <c r="L576" i="3"/>
  <c r="L576" i="4" s="1"/>
  <c r="X576" i="3"/>
  <c r="X576" i="4" s="1"/>
  <c r="C577" i="3"/>
  <c r="C577" i="4" s="1"/>
  <c r="O577" i="3"/>
  <c r="O577" i="4" s="1"/>
  <c r="AA577" i="3"/>
  <c r="AA577" i="4" s="1"/>
  <c r="F578" i="3"/>
  <c r="F578" i="4" s="1"/>
  <c r="R578" i="3"/>
  <c r="R578" i="4" s="1"/>
  <c r="I579" i="3"/>
  <c r="I579" i="4" s="1"/>
  <c r="U579" i="3"/>
  <c r="U579" i="4" s="1"/>
  <c r="L580" i="3"/>
  <c r="L580" i="4" s="1"/>
  <c r="X580" i="3"/>
  <c r="X580" i="4" s="1"/>
  <c r="C581" i="3"/>
  <c r="C581" i="4" s="1"/>
  <c r="O581" i="3"/>
  <c r="O581" i="4" s="1"/>
  <c r="AA581" i="3"/>
  <c r="AA581" i="4" s="1"/>
  <c r="F582" i="3"/>
  <c r="F582" i="4" s="1"/>
  <c r="R582" i="3"/>
  <c r="R582" i="4" s="1"/>
  <c r="I583" i="3"/>
  <c r="I583" i="4" s="1"/>
  <c r="U583" i="3"/>
  <c r="U583" i="4" s="1"/>
  <c r="L584" i="3"/>
  <c r="L584" i="4" s="1"/>
  <c r="X584" i="3"/>
  <c r="X584" i="4" s="1"/>
  <c r="C585" i="3"/>
  <c r="C585" i="4" s="1"/>
  <c r="O585" i="3"/>
  <c r="O585" i="4" s="1"/>
  <c r="AA585" i="3"/>
  <c r="AA585" i="4" s="1"/>
  <c r="F586" i="3"/>
  <c r="F586" i="4" s="1"/>
  <c r="R586" i="3"/>
  <c r="R586" i="4" s="1"/>
  <c r="I587" i="3"/>
  <c r="I587" i="4" s="1"/>
  <c r="U587" i="3"/>
  <c r="U587" i="4" s="1"/>
  <c r="L588" i="3"/>
  <c r="L588" i="4" s="1"/>
  <c r="X588" i="3"/>
  <c r="X588" i="4" s="1"/>
  <c r="C589" i="3"/>
  <c r="C589" i="4" s="1"/>
  <c r="O589" i="3"/>
  <c r="O589" i="4" s="1"/>
  <c r="AA589" i="3"/>
  <c r="AA589" i="4" s="1"/>
  <c r="F590" i="3"/>
  <c r="F590" i="4" s="1"/>
  <c r="R590" i="3"/>
  <c r="R590" i="4" s="1"/>
  <c r="I591" i="3"/>
  <c r="I591" i="4" s="1"/>
  <c r="U591" i="3"/>
  <c r="U591" i="4" s="1"/>
  <c r="L592" i="3"/>
  <c r="L592" i="4" s="1"/>
  <c r="X592" i="3"/>
  <c r="X592" i="4" s="1"/>
  <c r="C593" i="3"/>
  <c r="C593" i="4" s="1"/>
  <c r="O593" i="3"/>
  <c r="O593" i="4" s="1"/>
  <c r="AA593" i="3"/>
  <c r="AA593" i="4" s="1"/>
  <c r="F594" i="3"/>
  <c r="F594" i="4" s="1"/>
  <c r="R594" i="3"/>
  <c r="R594" i="4" s="1"/>
  <c r="I595" i="3"/>
  <c r="I595" i="4" s="1"/>
  <c r="U595" i="3"/>
  <c r="U595" i="4" s="1"/>
  <c r="L596" i="3"/>
  <c r="L596" i="4" s="1"/>
  <c r="X596" i="3"/>
  <c r="X596" i="4" s="1"/>
  <c r="C597" i="3"/>
  <c r="C597" i="4" s="1"/>
  <c r="O597" i="3"/>
  <c r="O597" i="4" s="1"/>
  <c r="AA597" i="3"/>
  <c r="AA597" i="4" s="1"/>
  <c r="F598" i="3"/>
  <c r="F598" i="4" s="1"/>
  <c r="R598" i="3"/>
  <c r="R598" i="4" s="1"/>
  <c r="I599" i="3"/>
  <c r="I599" i="4" s="1"/>
  <c r="U599" i="3"/>
  <c r="U599" i="4" s="1"/>
  <c r="L600" i="3"/>
  <c r="L600" i="4" s="1"/>
  <c r="X600" i="3"/>
  <c r="X600" i="4" s="1"/>
  <c r="C601" i="3"/>
  <c r="C601" i="4" s="1"/>
  <c r="O601" i="3"/>
  <c r="O601" i="4" s="1"/>
  <c r="AA601" i="3"/>
  <c r="AA601" i="4" s="1"/>
  <c r="F602" i="3"/>
  <c r="F602" i="4" s="1"/>
  <c r="R602" i="3"/>
  <c r="R602" i="4" s="1"/>
  <c r="I603" i="3"/>
  <c r="I603" i="4" s="1"/>
  <c r="U603" i="3"/>
  <c r="U603" i="4" s="1"/>
  <c r="L604" i="3"/>
  <c r="L604" i="4" s="1"/>
  <c r="X604" i="3"/>
  <c r="X604" i="4" s="1"/>
  <c r="C605" i="3"/>
  <c r="C605" i="4" s="1"/>
  <c r="O605" i="3"/>
  <c r="O605" i="4" s="1"/>
  <c r="AA605" i="3"/>
  <c r="AA605" i="4" s="1"/>
  <c r="F606" i="3"/>
  <c r="F606" i="4" s="1"/>
  <c r="R606" i="3"/>
  <c r="R606" i="4" s="1"/>
  <c r="I607" i="3"/>
  <c r="I607" i="4" s="1"/>
  <c r="U607" i="3"/>
  <c r="U607" i="4" s="1"/>
  <c r="L608" i="3"/>
  <c r="L608" i="4" s="1"/>
  <c r="X608" i="3"/>
  <c r="X608" i="4" s="1"/>
  <c r="C609" i="3"/>
  <c r="C609" i="4" s="1"/>
  <c r="O609" i="3"/>
  <c r="O609" i="4" s="1"/>
  <c r="AA609" i="3"/>
  <c r="AA609" i="4" s="1"/>
  <c r="F610" i="3"/>
  <c r="F610" i="4" s="1"/>
  <c r="R610" i="3"/>
  <c r="R610" i="4" s="1"/>
  <c r="I611" i="3"/>
  <c r="I611" i="4" s="1"/>
  <c r="U611" i="3"/>
  <c r="U611" i="4" s="1"/>
  <c r="L612" i="3"/>
  <c r="L612" i="4" s="1"/>
  <c r="X612" i="3"/>
  <c r="X612" i="4" s="1"/>
  <c r="C613" i="3"/>
  <c r="C613" i="4" s="1"/>
  <c r="O613" i="3"/>
  <c r="O613" i="4" s="1"/>
  <c r="AA613" i="3"/>
  <c r="AA613" i="4" s="1"/>
  <c r="F614" i="3"/>
  <c r="F614" i="4" s="1"/>
  <c r="R614" i="3"/>
  <c r="R614" i="4" s="1"/>
  <c r="I615" i="3"/>
  <c r="I615" i="4" s="1"/>
  <c r="U615" i="3"/>
  <c r="U615" i="4" s="1"/>
  <c r="L616" i="3"/>
  <c r="L616" i="4" s="1"/>
  <c r="X616" i="3"/>
  <c r="X616" i="4" s="1"/>
  <c r="C617" i="3"/>
  <c r="C617" i="4" s="1"/>
  <c r="O617" i="3"/>
  <c r="O617" i="4" s="1"/>
  <c r="AA617" i="3"/>
  <c r="AA617" i="4" s="1"/>
  <c r="F618" i="3"/>
  <c r="F618" i="4" s="1"/>
  <c r="R618" i="3"/>
  <c r="R618" i="4" s="1"/>
  <c r="I619" i="3"/>
  <c r="I619" i="4" s="1"/>
  <c r="U619" i="3"/>
  <c r="U619" i="4" s="1"/>
  <c r="L620" i="3"/>
  <c r="L620" i="4" s="1"/>
  <c r="X620" i="3"/>
  <c r="X620" i="4" s="1"/>
  <c r="C621" i="3"/>
  <c r="C621" i="4" s="1"/>
  <c r="O621" i="3"/>
  <c r="O621" i="4" s="1"/>
  <c r="AA621" i="3"/>
  <c r="AA621" i="4" s="1"/>
  <c r="F622" i="3"/>
  <c r="F622" i="4" s="1"/>
  <c r="R622" i="3"/>
  <c r="R622" i="4" s="1"/>
  <c r="I623" i="3"/>
  <c r="I623" i="4" s="1"/>
  <c r="U623" i="3"/>
  <c r="U623" i="4" s="1"/>
  <c r="L624" i="3"/>
  <c r="L624" i="4" s="1"/>
  <c r="X624" i="3"/>
  <c r="X624" i="4" s="1"/>
  <c r="C625" i="3"/>
  <c r="C625" i="4" s="1"/>
  <c r="O625" i="3"/>
  <c r="O625" i="4" s="1"/>
  <c r="AA625" i="3"/>
  <c r="AA625" i="4" s="1"/>
  <c r="F626" i="3"/>
  <c r="F626" i="4" s="1"/>
  <c r="R626" i="3"/>
  <c r="R626" i="4" s="1"/>
  <c r="I627" i="3"/>
  <c r="I627" i="4" s="1"/>
  <c r="U627" i="3"/>
  <c r="U627" i="4" s="1"/>
  <c r="L628" i="3"/>
  <c r="L628" i="4" s="1"/>
  <c r="X628" i="3"/>
  <c r="X628" i="4" s="1"/>
  <c r="C629" i="3"/>
  <c r="C629" i="4" s="1"/>
  <c r="O629" i="3"/>
  <c r="O629" i="4" s="1"/>
  <c r="AA629" i="3"/>
  <c r="AA629" i="4" s="1"/>
  <c r="F630" i="3"/>
  <c r="F630" i="4" s="1"/>
  <c r="R630" i="3"/>
  <c r="R630" i="4" s="1"/>
  <c r="I631" i="3"/>
  <c r="I631" i="4" s="1"/>
  <c r="U631" i="3"/>
  <c r="U631" i="4" s="1"/>
  <c r="L632" i="3"/>
  <c r="L632" i="4" s="1"/>
  <c r="X632" i="3"/>
  <c r="X632" i="4" s="1"/>
  <c r="C633" i="3"/>
  <c r="C633" i="4" s="1"/>
  <c r="O633" i="3"/>
  <c r="O633" i="4" s="1"/>
  <c r="AA633" i="3"/>
  <c r="AA633" i="4" s="1"/>
  <c r="F634" i="3"/>
  <c r="F634" i="4" s="1"/>
  <c r="R634" i="3"/>
  <c r="R634" i="4" s="1"/>
  <c r="I635" i="3"/>
  <c r="I635" i="4" s="1"/>
  <c r="U635" i="3"/>
  <c r="U635" i="4" s="1"/>
  <c r="L636" i="3"/>
  <c r="L636" i="4" s="1"/>
  <c r="X636" i="3"/>
  <c r="X636" i="4" s="1"/>
  <c r="C637" i="3"/>
  <c r="C637" i="4" s="1"/>
  <c r="O637" i="3"/>
  <c r="O637" i="4" s="1"/>
  <c r="AA637" i="3"/>
  <c r="AA637" i="4" s="1"/>
  <c r="F638" i="3"/>
  <c r="F638" i="4" s="1"/>
  <c r="R638" i="3"/>
  <c r="R638" i="4" s="1"/>
  <c r="I639" i="3"/>
  <c r="I639" i="4" s="1"/>
  <c r="U639" i="3"/>
  <c r="U639" i="4" s="1"/>
  <c r="L640" i="3"/>
  <c r="L640" i="4" s="1"/>
  <c r="X640" i="3"/>
  <c r="X640" i="4" s="1"/>
  <c r="C641" i="3"/>
  <c r="C641" i="4" s="1"/>
  <c r="O641" i="3"/>
  <c r="O641" i="4" s="1"/>
  <c r="AA641" i="3"/>
  <c r="AA641" i="4" s="1"/>
  <c r="F642" i="3"/>
  <c r="F642" i="4" s="1"/>
  <c r="R642" i="3"/>
  <c r="R642" i="4" s="1"/>
  <c r="I643" i="3"/>
  <c r="I643" i="4" s="1"/>
  <c r="U643" i="3"/>
  <c r="U643" i="4" s="1"/>
  <c r="L644" i="3"/>
  <c r="L644" i="4" s="1"/>
  <c r="X644" i="3"/>
  <c r="X644" i="4" s="1"/>
  <c r="C645" i="3"/>
  <c r="C645" i="4" s="1"/>
  <c r="O645" i="3"/>
  <c r="O645" i="4" s="1"/>
  <c r="AA645" i="3"/>
  <c r="AA645" i="4" s="1"/>
  <c r="F646" i="3"/>
  <c r="F646" i="4" s="1"/>
  <c r="R646" i="3"/>
  <c r="R646" i="4" s="1"/>
  <c r="I647" i="3"/>
  <c r="I647" i="4" s="1"/>
  <c r="U647" i="3"/>
  <c r="U647" i="4" s="1"/>
  <c r="L648" i="3"/>
  <c r="L648" i="4" s="1"/>
  <c r="X648" i="3"/>
  <c r="X648" i="4" s="1"/>
  <c r="C649" i="3"/>
  <c r="C649" i="4" s="1"/>
  <c r="O649" i="3"/>
  <c r="O649" i="4" s="1"/>
  <c r="AA649" i="3"/>
  <c r="AA649" i="4" s="1"/>
  <c r="F650" i="3"/>
  <c r="F650" i="4" s="1"/>
  <c r="R650" i="3"/>
  <c r="R650" i="4" s="1"/>
  <c r="I651" i="3"/>
  <c r="I651" i="4" s="1"/>
  <c r="U651" i="3"/>
  <c r="U651" i="4" s="1"/>
  <c r="L652" i="3"/>
  <c r="L652" i="4" s="1"/>
  <c r="X652" i="3"/>
  <c r="X652" i="4" s="1"/>
  <c r="C653" i="3"/>
  <c r="C653" i="4" s="1"/>
  <c r="O653" i="3"/>
  <c r="O653" i="4" s="1"/>
  <c r="AA653" i="3"/>
  <c r="AA653" i="4" s="1"/>
  <c r="F654" i="3"/>
  <c r="F654" i="4" s="1"/>
  <c r="R654" i="3"/>
  <c r="R654" i="4" s="1"/>
  <c r="I655" i="3"/>
  <c r="I655" i="4" s="1"/>
  <c r="U655" i="3"/>
  <c r="U655" i="4" s="1"/>
  <c r="I313" i="3"/>
  <c r="I313" i="4" s="1"/>
  <c r="J161" i="3"/>
  <c r="J161" i="4" s="1"/>
  <c r="V161" i="3"/>
  <c r="V161" i="4" s="1"/>
  <c r="A162" i="3"/>
  <c r="A162" i="4" s="1"/>
  <c r="M162" i="3"/>
  <c r="M162" i="4" s="1"/>
  <c r="Y162" i="3"/>
  <c r="Y162" i="4" s="1"/>
  <c r="D163" i="3"/>
  <c r="D163" i="4" s="1"/>
  <c r="P163" i="3"/>
  <c r="P163" i="4" s="1"/>
  <c r="AB163" i="3"/>
  <c r="AB163" i="4" s="1"/>
  <c r="G164" i="3"/>
  <c r="G164" i="4" s="1"/>
  <c r="S164" i="3"/>
  <c r="S164" i="4" s="1"/>
  <c r="J165" i="3"/>
  <c r="J165" i="4" s="1"/>
  <c r="V165" i="3"/>
  <c r="V165" i="4" s="1"/>
  <c r="A166" i="3"/>
  <c r="A166" i="4" s="1"/>
  <c r="M166" i="3"/>
  <c r="M166" i="4" s="1"/>
  <c r="Y166" i="3"/>
  <c r="Y166" i="4" s="1"/>
  <c r="D167" i="3"/>
  <c r="D167" i="4" s="1"/>
  <c r="P167" i="3"/>
  <c r="P167" i="4" s="1"/>
  <c r="AB167" i="3"/>
  <c r="AB167" i="4" s="1"/>
  <c r="G168" i="3"/>
  <c r="G168" i="4" s="1"/>
  <c r="S168" i="3"/>
  <c r="S168" i="4" s="1"/>
  <c r="J169" i="3"/>
  <c r="J169" i="4" s="1"/>
  <c r="V169" i="3"/>
  <c r="V169" i="4" s="1"/>
  <c r="A170" i="3"/>
  <c r="A170" i="4" s="1"/>
  <c r="M170" i="3"/>
  <c r="M170" i="4" s="1"/>
  <c r="Y170" i="3"/>
  <c r="Y170" i="4" s="1"/>
  <c r="D171" i="3"/>
  <c r="D171" i="4" s="1"/>
  <c r="P171" i="3"/>
  <c r="P171" i="4" s="1"/>
  <c r="AB171" i="3"/>
  <c r="AB171" i="4" s="1"/>
  <c r="G172" i="3"/>
  <c r="G172" i="4" s="1"/>
  <c r="S172" i="3"/>
  <c r="S172" i="4" s="1"/>
  <c r="J173" i="3"/>
  <c r="J173" i="4" s="1"/>
  <c r="V173" i="3"/>
  <c r="V173" i="4" s="1"/>
  <c r="A174" i="3"/>
  <c r="A174" i="4" s="1"/>
  <c r="M174" i="3"/>
  <c r="M174" i="4" s="1"/>
  <c r="Y174" i="3"/>
  <c r="Y174" i="4" s="1"/>
  <c r="D175" i="3"/>
  <c r="D175" i="4" s="1"/>
  <c r="P175" i="3"/>
  <c r="P175" i="4" s="1"/>
  <c r="AB175" i="3"/>
  <c r="AB175" i="4" s="1"/>
  <c r="G176" i="3"/>
  <c r="G176" i="4" s="1"/>
  <c r="S176" i="3"/>
  <c r="S176" i="4" s="1"/>
  <c r="J177" i="3"/>
  <c r="J177" i="4" s="1"/>
  <c r="V177" i="3"/>
  <c r="V177" i="4" s="1"/>
  <c r="A178" i="3"/>
  <c r="A178" i="4" s="1"/>
  <c r="M178" i="3"/>
  <c r="M178" i="4" s="1"/>
  <c r="Y178" i="3"/>
  <c r="Y178" i="4" s="1"/>
  <c r="D179" i="3"/>
  <c r="D179" i="4" s="1"/>
  <c r="P179" i="3"/>
  <c r="P179" i="4" s="1"/>
  <c r="AB179" i="3"/>
  <c r="AB179" i="4" s="1"/>
  <c r="G180" i="3"/>
  <c r="G180" i="4" s="1"/>
  <c r="S180" i="3"/>
  <c r="S180" i="4" s="1"/>
  <c r="J181" i="3"/>
  <c r="J181" i="4" s="1"/>
  <c r="V181" i="3"/>
  <c r="V181" i="4" s="1"/>
  <c r="A182" i="3"/>
  <c r="A182" i="4" s="1"/>
  <c r="M182" i="3"/>
  <c r="M182" i="4" s="1"/>
  <c r="Y182" i="3"/>
  <c r="Y182" i="4" s="1"/>
  <c r="D183" i="3"/>
  <c r="D183" i="4" s="1"/>
  <c r="P183" i="3"/>
  <c r="P183" i="4" s="1"/>
  <c r="AB183" i="3"/>
  <c r="AB183" i="4" s="1"/>
  <c r="G184" i="3"/>
  <c r="G184" i="4" s="1"/>
  <c r="S184" i="3"/>
  <c r="S184" i="4" s="1"/>
  <c r="J185" i="3"/>
  <c r="J185" i="4" s="1"/>
  <c r="V185" i="3"/>
  <c r="V185" i="4" s="1"/>
  <c r="A186" i="3"/>
  <c r="A186" i="4" s="1"/>
  <c r="M186" i="3"/>
  <c r="M186" i="4" s="1"/>
  <c r="Y186" i="3"/>
  <c r="Y186" i="4" s="1"/>
  <c r="D187" i="3"/>
  <c r="D187" i="4" s="1"/>
  <c r="P187" i="3"/>
  <c r="P187" i="4" s="1"/>
  <c r="AB187" i="3"/>
  <c r="AB187" i="4" s="1"/>
  <c r="G188" i="3"/>
  <c r="G188" i="4" s="1"/>
  <c r="S188" i="3"/>
  <c r="S188" i="4" s="1"/>
  <c r="J189" i="3"/>
  <c r="J189" i="4" s="1"/>
  <c r="V189" i="3"/>
  <c r="V189" i="4" s="1"/>
  <c r="A190" i="3"/>
  <c r="A190" i="4" s="1"/>
  <c r="M190" i="3"/>
  <c r="M190" i="4" s="1"/>
  <c r="Y190" i="3"/>
  <c r="Y190" i="4" s="1"/>
  <c r="D191" i="3"/>
  <c r="D191" i="4" s="1"/>
  <c r="P191" i="3"/>
  <c r="P191" i="4" s="1"/>
  <c r="AB191" i="3"/>
  <c r="AB191" i="4" s="1"/>
  <c r="G192" i="3"/>
  <c r="G192" i="4" s="1"/>
  <c r="S192" i="3"/>
  <c r="S192" i="4" s="1"/>
  <c r="J193" i="3"/>
  <c r="J193" i="4" s="1"/>
  <c r="V193" i="3"/>
  <c r="V193" i="4" s="1"/>
  <c r="A194" i="3"/>
  <c r="A194" i="4" s="1"/>
  <c r="M194" i="3"/>
  <c r="M194" i="4" s="1"/>
  <c r="Y194" i="3"/>
  <c r="Y194" i="4" s="1"/>
  <c r="D195" i="3"/>
  <c r="D195" i="4" s="1"/>
  <c r="P195" i="3"/>
  <c r="P195" i="4" s="1"/>
  <c r="AB195" i="3"/>
  <c r="AB195" i="4" s="1"/>
  <c r="G196" i="3"/>
  <c r="G196" i="4" s="1"/>
  <c r="S196" i="3"/>
  <c r="S196" i="4" s="1"/>
  <c r="J197" i="3"/>
  <c r="J197" i="4" s="1"/>
  <c r="V197" i="3"/>
  <c r="V197" i="4" s="1"/>
  <c r="A198" i="3"/>
  <c r="A198" i="4" s="1"/>
  <c r="M198" i="3"/>
  <c r="M198" i="4" s="1"/>
  <c r="Y198" i="3"/>
  <c r="Y198" i="4" s="1"/>
  <c r="D199" i="3"/>
  <c r="D199" i="4" s="1"/>
  <c r="P199" i="3"/>
  <c r="P199" i="4" s="1"/>
  <c r="AB199" i="3"/>
  <c r="AB199" i="4" s="1"/>
  <c r="G200" i="3"/>
  <c r="G200" i="4" s="1"/>
  <c r="S200" i="3"/>
  <c r="S200" i="4" s="1"/>
  <c r="J201" i="3"/>
  <c r="J201" i="4" s="1"/>
  <c r="V201" i="3"/>
  <c r="V201" i="4" s="1"/>
  <c r="A202" i="3"/>
  <c r="A202" i="4" s="1"/>
  <c r="M202" i="3"/>
  <c r="M202" i="4" s="1"/>
  <c r="Y202" i="3"/>
  <c r="Y202" i="4" s="1"/>
  <c r="D203" i="3"/>
  <c r="D203" i="4" s="1"/>
  <c r="P203" i="3"/>
  <c r="P203" i="4" s="1"/>
  <c r="AB203" i="3"/>
  <c r="AB203" i="4" s="1"/>
  <c r="G204" i="3"/>
  <c r="G204" i="4" s="1"/>
  <c r="S204" i="3"/>
  <c r="S204" i="4" s="1"/>
  <c r="J205" i="3"/>
  <c r="J205" i="4" s="1"/>
  <c r="V205" i="3"/>
  <c r="V205" i="4" s="1"/>
  <c r="A206" i="3"/>
  <c r="A206" i="4" s="1"/>
  <c r="M206" i="3"/>
  <c r="M206" i="4" s="1"/>
  <c r="Y206" i="3"/>
  <c r="Y206" i="4" s="1"/>
  <c r="D207" i="3"/>
  <c r="D207" i="4" s="1"/>
  <c r="P207" i="3"/>
  <c r="P207" i="4" s="1"/>
  <c r="AB207" i="3"/>
  <c r="AB207" i="4" s="1"/>
  <c r="G208" i="3"/>
  <c r="G208" i="4" s="1"/>
  <c r="S208" i="3"/>
  <c r="S208" i="4" s="1"/>
  <c r="J209" i="3"/>
  <c r="J209" i="4" s="1"/>
  <c r="V209" i="3"/>
  <c r="V209" i="4" s="1"/>
  <c r="A210" i="3"/>
  <c r="A210" i="4" s="1"/>
  <c r="M210" i="3"/>
  <c r="M210" i="4" s="1"/>
  <c r="Y210" i="3"/>
  <c r="Y210" i="4" s="1"/>
  <c r="D211" i="3"/>
  <c r="D211" i="4" s="1"/>
  <c r="P211" i="3"/>
  <c r="P211" i="4" s="1"/>
  <c r="AB211" i="3"/>
  <c r="AB211" i="4" s="1"/>
  <c r="G212" i="3"/>
  <c r="G212" i="4" s="1"/>
  <c r="S212" i="3"/>
  <c r="S212" i="4" s="1"/>
  <c r="J213" i="3"/>
  <c r="J213" i="4" s="1"/>
  <c r="V213" i="3"/>
  <c r="V213" i="4" s="1"/>
  <c r="A214" i="3"/>
  <c r="A214" i="4" s="1"/>
  <c r="M214" i="3"/>
  <c r="M214" i="4" s="1"/>
  <c r="Y214" i="3"/>
  <c r="Y214" i="4" s="1"/>
  <c r="D215" i="3"/>
  <c r="D215" i="4" s="1"/>
  <c r="P215" i="3"/>
  <c r="P215" i="4" s="1"/>
  <c r="AB215" i="3"/>
  <c r="AB215" i="4" s="1"/>
  <c r="G216" i="3"/>
  <c r="G216" i="4" s="1"/>
  <c r="S216" i="3"/>
  <c r="S216" i="4" s="1"/>
  <c r="J217" i="3"/>
  <c r="J217" i="4" s="1"/>
  <c r="V217" i="3"/>
  <c r="V217" i="4" s="1"/>
  <c r="A218" i="3"/>
  <c r="A218" i="4" s="1"/>
  <c r="M218" i="3"/>
  <c r="M218" i="4" s="1"/>
  <c r="Y218" i="3"/>
  <c r="Y218" i="4" s="1"/>
  <c r="D219" i="3"/>
  <c r="D219" i="4" s="1"/>
  <c r="P219" i="3"/>
  <c r="P219" i="4" s="1"/>
  <c r="AB219" i="3"/>
  <c r="AB219" i="4" s="1"/>
  <c r="G220" i="3"/>
  <c r="G220" i="4" s="1"/>
  <c r="S220" i="3"/>
  <c r="S220" i="4" s="1"/>
  <c r="J221" i="3"/>
  <c r="J221" i="4" s="1"/>
  <c r="V221" i="3"/>
  <c r="V221" i="4" s="1"/>
  <c r="A222" i="3"/>
  <c r="A222" i="4" s="1"/>
  <c r="M222" i="3"/>
  <c r="M222" i="4" s="1"/>
  <c r="Y222" i="3"/>
  <c r="Y222" i="4" s="1"/>
  <c r="D223" i="3"/>
  <c r="D223" i="4" s="1"/>
  <c r="P223" i="3"/>
  <c r="P223" i="4" s="1"/>
  <c r="AB223" i="3"/>
  <c r="AB223" i="4" s="1"/>
  <c r="G224" i="3"/>
  <c r="G224" i="4" s="1"/>
  <c r="S224" i="3"/>
  <c r="S224" i="4" s="1"/>
  <c r="J225" i="3"/>
  <c r="J225" i="4" s="1"/>
  <c r="V225" i="3"/>
  <c r="V225" i="4" s="1"/>
  <c r="A226" i="3"/>
  <c r="A226" i="4" s="1"/>
  <c r="M226" i="3"/>
  <c r="M226" i="4" s="1"/>
  <c r="Y226" i="3"/>
  <c r="Y226" i="4" s="1"/>
  <c r="D227" i="3"/>
  <c r="D227" i="4" s="1"/>
  <c r="P227" i="3"/>
  <c r="P227" i="4" s="1"/>
  <c r="AB227" i="3"/>
  <c r="AB227" i="4" s="1"/>
  <c r="G228" i="3"/>
  <c r="G228" i="4" s="1"/>
  <c r="S228" i="3"/>
  <c r="S228" i="4" s="1"/>
  <c r="J229" i="3"/>
  <c r="J229" i="4" s="1"/>
  <c r="V229" i="3"/>
  <c r="V229" i="4" s="1"/>
  <c r="A230" i="3"/>
  <c r="A230" i="4" s="1"/>
  <c r="M230" i="3"/>
  <c r="M230" i="4" s="1"/>
  <c r="Y230" i="3"/>
  <c r="Y230" i="4" s="1"/>
  <c r="D231" i="3"/>
  <c r="D231" i="4" s="1"/>
  <c r="P231" i="3"/>
  <c r="P231" i="4" s="1"/>
  <c r="AB231" i="3"/>
  <c r="AB231" i="4" s="1"/>
  <c r="G232" i="3"/>
  <c r="G232" i="4" s="1"/>
  <c r="S232" i="3"/>
  <c r="S232" i="4" s="1"/>
  <c r="J233" i="3"/>
  <c r="J233" i="4" s="1"/>
  <c r="V233" i="3"/>
  <c r="V233" i="4" s="1"/>
  <c r="A234" i="3"/>
  <c r="A234" i="4" s="1"/>
  <c r="M234" i="3"/>
  <c r="M234" i="4" s="1"/>
  <c r="Y234" i="3"/>
  <c r="Y234" i="4" s="1"/>
  <c r="D235" i="3"/>
  <c r="D235" i="4" s="1"/>
  <c r="P235" i="3"/>
  <c r="P235" i="4" s="1"/>
  <c r="AB235" i="3"/>
  <c r="AB235" i="4" s="1"/>
  <c r="G236" i="3"/>
  <c r="G236" i="4" s="1"/>
  <c r="S236" i="3"/>
  <c r="S236" i="4" s="1"/>
  <c r="J237" i="3"/>
  <c r="J237" i="4" s="1"/>
  <c r="V237" i="3"/>
  <c r="V237" i="4" s="1"/>
  <c r="A238" i="3"/>
  <c r="A238" i="4" s="1"/>
  <c r="M238" i="3"/>
  <c r="M238" i="4" s="1"/>
  <c r="Y238" i="3"/>
  <c r="Y238" i="4" s="1"/>
  <c r="D239" i="3"/>
  <c r="D239" i="4" s="1"/>
  <c r="P239" i="3"/>
  <c r="P239" i="4" s="1"/>
  <c r="AB239" i="3"/>
  <c r="AB239" i="4" s="1"/>
  <c r="G240" i="3"/>
  <c r="G240" i="4" s="1"/>
  <c r="S240" i="3"/>
  <c r="S240" i="4" s="1"/>
  <c r="J241" i="3"/>
  <c r="J241" i="4" s="1"/>
  <c r="V241" i="3"/>
  <c r="V241" i="4" s="1"/>
  <c r="A242" i="3"/>
  <c r="A242" i="4" s="1"/>
  <c r="M242" i="3"/>
  <c r="M242" i="4" s="1"/>
  <c r="Y242" i="3"/>
  <c r="Y242" i="4" s="1"/>
  <c r="D243" i="3"/>
  <c r="D243" i="4" s="1"/>
  <c r="P243" i="3"/>
  <c r="P243" i="4" s="1"/>
  <c r="AB243" i="3"/>
  <c r="AB243" i="4" s="1"/>
  <c r="G244" i="3"/>
  <c r="G244" i="4" s="1"/>
  <c r="S244" i="3"/>
  <c r="S244" i="4" s="1"/>
  <c r="J245" i="3"/>
  <c r="J245" i="4" s="1"/>
  <c r="V245" i="3"/>
  <c r="V245" i="4" s="1"/>
  <c r="A246" i="3"/>
  <c r="A246" i="4" s="1"/>
  <c r="M246" i="3"/>
  <c r="M246" i="4" s="1"/>
  <c r="Y246" i="3"/>
  <c r="Y246" i="4" s="1"/>
  <c r="D247" i="3"/>
  <c r="D247" i="4" s="1"/>
  <c r="P247" i="3"/>
  <c r="P247" i="4" s="1"/>
  <c r="AB247" i="3"/>
  <c r="AB247" i="4" s="1"/>
  <c r="G248" i="3"/>
  <c r="G248" i="4" s="1"/>
  <c r="S248" i="3"/>
  <c r="S248" i="4" s="1"/>
  <c r="J249" i="3"/>
  <c r="J249" i="4" s="1"/>
  <c r="V249" i="3"/>
  <c r="V249" i="4" s="1"/>
  <c r="A250" i="3"/>
  <c r="A250" i="4" s="1"/>
  <c r="M250" i="3"/>
  <c r="M250" i="4" s="1"/>
  <c r="Y250" i="3"/>
  <c r="Y250" i="4" s="1"/>
  <c r="D251" i="3"/>
  <c r="D251" i="4" s="1"/>
  <c r="P251" i="3"/>
  <c r="P251" i="4" s="1"/>
  <c r="AB251" i="3"/>
  <c r="AB251" i="4" s="1"/>
  <c r="G252" i="3"/>
  <c r="G252" i="4" s="1"/>
  <c r="S252" i="3"/>
  <c r="S252" i="4" s="1"/>
  <c r="J253" i="3"/>
  <c r="J253" i="4" s="1"/>
  <c r="V253" i="3"/>
  <c r="V253" i="4" s="1"/>
  <c r="A254" i="3"/>
  <c r="A254" i="4" s="1"/>
  <c r="M254" i="3"/>
  <c r="M254" i="4" s="1"/>
  <c r="Y254" i="3"/>
  <c r="Y254" i="4" s="1"/>
  <c r="D255" i="3"/>
  <c r="D255" i="4" s="1"/>
  <c r="P255" i="3"/>
  <c r="P255" i="4" s="1"/>
  <c r="AB255" i="3"/>
  <c r="AB255" i="4" s="1"/>
  <c r="G256" i="3"/>
  <c r="G256" i="4" s="1"/>
  <c r="S256" i="3"/>
  <c r="S256" i="4" s="1"/>
  <c r="J257" i="3"/>
  <c r="J257" i="4" s="1"/>
  <c r="V257" i="3"/>
  <c r="V257" i="4" s="1"/>
  <c r="A258" i="3"/>
  <c r="A258" i="4" s="1"/>
  <c r="M258" i="3"/>
  <c r="M258" i="4" s="1"/>
  <c r="Y258" i="3"/>
  <c r="Y258" i="4" s="1"/>
  <c r="D259" i="3"/>
  <c r="D259" i="4" s="1"/>
  <c r="P259" i="3"/>
  <c r="P259" i="4" s="1"/>
  <c r="AB259" i="3"/>
  <c r="AB259" i="4" s="1"/>
  <c r="G260" i="3"/>
  <c r="G260" i="4" s="1"/>
  <c r="S260" i="3"/>
  <c r="S260" i="4" s="1"/>
  <c r="J261" i="3"/>
  <c r="J261" i="4" s="1"/>
  <c r="V261" i="3"/>
  <c r="V261" i="4" s="1"/>
  <c r="A262" i="3"/>
  <c r="A262" i="4" s="1"/>
  <c r="M262" i="3"/>
  <c r="M262" i="4" s="1"/>
  <c r="Y262" i="3"/>
  <c r="Y262" i="4" s="1"/>
  <c r="D263" i="3"/>
  <c r="D263" i="4" s="1"/>
  <c r="P263" i="3"/>
  <c r="P263" i="4" s="1"/>
  <c r="AB263" i="3"/>
  <c r="AB263" i="4" s="1"/>
  <c r="G264" i="3"/>
  <c r="G264" i="4" s="1"/>
  <c r="S264" i="3"/>
  <c r="S264" i="4" s="1"/>
  <c r="J265" i="3"/>
  <c r="J265" i="4" s="1"/>
  <c r="V265" i="3"/>
  <c r="V265" i="4" s="1"/>
  <c r="A266" i="3"/>
  <c r="A266" i="4" s="1"/>
  <c r="M266" i="3"/>
  <c r="M266" i="4" s="1"/>
  <c r="Y266" i="3"/>
  <c r="Y266" i="4" s="1"/>
  <c r="D267" i="3"/>
  <c r="D267" i="4" s="1"/>
  <c r="P267" i="3"/>
  <c r="P267" i="4" s="1"/>
  <c r="AB267" i="3"/>
  <c r="AB267" i="4" s="1"/>
  <c r="G268" i="3"/>
  <c r="G268" i="4" s="1"/>
  <c r="S268" i="3"/>
  <c r="S268" i="4" s="1"/>
  <c r="J269" i="3"/>
  <c r="J269" i="4" s="1"/>
  <c r="V269" i="3"/>
  <c r="V269" i="4" s="1"/>
  <c r="A270" i="3"/>
  <c r="A270" i="4" s="1"/>
  <c r="M270" i="3"/>
  <c r="M270" i="4" s="1"/>
  <c r="Y270" i="3"/>
  <c r="Y270" i="4" s="1"/>
  <c r="D271" i="3"/>
  <c r="D271" i="4" s="1"/>
  <c r="P271" i="3"/>
  <c r="P271" i="4" s="1"/>
  <c r="AB271" i="3"/>
  <c r="AB271" i="4" s="1"/>
  <c r="G272" i="3"/>
  <c r="G272" i="4" s="1"/>
  <c r="S272" i="3"/>
  <c r="S272" i="4" s="1"/>
  <c r="J273" i="3"/>
  <c r="J273" i="4" s="1"/>
  <c r="V273" i="3"/>
  <c r="V273" i="4" s="1"/>
  <c r="A274" i="3"/>
  <c r="A274" i="4" s="1"/>
  <c r="M274" i="3"/>
  <c r="M274" i="4" s="1"/>
  <c r="Y274" i="3"/>
  <c r="Y274" i="4" s="1"/>
  <c r="D275" i="3"/>
  <c r="D275" i="4" s="1"/>
  <c r="P275" i="3"/>
  <c r="P275" i="4" s="1"/>
  <c r="AB275" i="3"/>
  <c r="AB275" i="4" s="1"/>
  <c r="G276" i="3"/>
  <c r="G276" i="4" s="1"/>
  <c r="S276" i="3"/>
  <c r="S276" i="4" s="1"/>
  <c r="J277" i="3"/>
  <c r="J277" i="4" s="1"/>
  <c r="V277" i="3"/>
  <c r="V277" i="4" s="1"/>
  <c r="A278" i="3"/>
  <c r="A278" i="4" s="1"/>
  <c r="M278" i="3"/>
  <c r="M278" i="4" s="1"/>
  <c r="Y278" i="3"/>
  <c r="Y278" i="4" s="1"/>
  <c r="D279" i="3"/>
  <c r="D279" i="4" s="1"/>
  <c r="P279" i="3"/>
  <c r="P279" i="4" s="1"/>
  <c r="AB279" i="3"/>
  <c r="AB279" i="4" s="1"/>
  <c r="G280" i="3"/>
  <c r="G280" i="4" s="1"/>
  <c r="S280" i="3"/>
  <c r="S280" i="4" s="1"/>
  <c r="J281" i="3"/>
  <c r="J281" i="4" s="1"/>
  <c r="V281" i="3"/>
  <c r="V281" i="4" s="1"/>
  <c r="A282" i="3"/>
  <c r="A282" i="4" s="1"/>
  <c r="M282" i="3"/>
  <c r="M282" i="4" s="1"/>
  <c r="Y282" i="3"/>
  <c r="Y282" i="4" s="1"/>
  <c r="D283" i="3"/>
  <c r="D283" i="4" s="1"/>
  <c r="P283" i="3"/>
  <c r="P283" i="4" s="1"/>
  <c r="AB283" i="3"/>
  <c r="AB283" i="4" s="1"/>
  <c r="G284" i="3"/>
  <c r="G284" i="4" s="1"/>
  <c r="S284" i="3"/>
  <c r="S284" i="4" s="1"/>
  <c r="J285" i="3"/>
  <c r="J285" i="4" s="1"/>
  <c r="V285" i="3"/>
  <c r="V285" i="4" s="1"/>
  <c r="A286" i="3"/>
  <c r="A286" i="4" s="1"/>
  <c r="M286" i="3"/>
  <c r="M286" i="4" s="1"/>
  <c r="Y286" i="3"/>
  <c r="Y286" i="4" s="1"/>
  <c r="D287" i="3"/>
  <c r="D287" i="4" s="1"/>
  <c r="P287" i="3"/>
  <c r="P287" i="4" s="1"/>
  <c r="AB287" i="3"/>
  <c r="AB287" i="4" s="1"/>
  <c r="G288" i="3"/>
  <c r="G288" i="4" s="1"/>
  <c r="S288" i="3"/>
  <c r="S288" i="4" s="1"/>
  <c r="J289" i="3"/>
  <c r="J289" i="4" s="1"/>
  <c r="V289" i="3"/>
  <c r="V289" i="4" s="1"/>
  <c r="A290" i="3"/>
  <c r="A290" i="4" s="1"/>
  <c r="M290" i="3"/>
  <c r="M290" i="4" s="1"/>
  <c r="Y290" i="3"/>
  <c r="Y290" i="4" s="1"/>
  <c r="D291" i="3"/>
  <c r="D291" i="4" s="1"/>
  <c r="P291" i="3"/>
  <c r="P291" i="4" s="1"/>
  <c r="AB291" i="3"/>
  <c r="AB291" i="4" s="1"/>
  <c r="G292" i="3"/>
  <c r="G292" i="4" s="1"/>
  <c r="S292" i="3"/>
  <c r="S292" i="4" s="1"/>
  <c r="J293" i="3"/>
  <c r="J293" i="4" s="1"/>
  <c r="V293" i="3"/>
  <c r="V293" i="4" s="1"/>
  <c r="A294" i="3"/>
  <c r="A294" i="4" s="1"/>
  <c r="M294" i="3"/>
  <c r="M294" i="4" s="1"/>
  <c r="Y294" i="3"/>
  <c r="Y294" i="4" s="1"/>
  <c r="D295" i="3"/>
  <c r="D295" i="4" s="1"/>
  <c r="P295" i="3"/>
  <c r="P295" i="4" s="1"/>
  <c r="AB295" i="3"/>
  <c r="AB295" i="4" s="1"/>
  <c r="G296" i="3"/>
  <c r="G296" i="4" s="1"/>
  <c r="S296" i="3"/>
  <c r="S296" i="4" s="1"/>
  <c r="J297" i="3"/>
  <c r="J297" i="4" s="1"/>
  <c r="V297" i="3"/>
  <c r="V297" i="4" s="1"/>
  <c r="A298" i="3"/>
  <c r="A298" i="4" s="1"/>
  <c r="M298" i="3"/>
  <c r="M298" i="4" s="1"/>
  <c r="Y298" i="3"/>
  <c r="Y298" i="4" s="1"/>
  <c r="D299" i="3"/>
  <c r="D299" i="4" s="1"/>
  <c r="P299" i="3"/>
  <c r="P299" i="4" s="1"/>
  <c r="AB299" i="3"/>
  <c r="AB299" i="4" s="1"/>
  <c r="G300" i="3"/>
  <c r="G300" i="4" s="1"/>
  <c r="S300" i="3"/>
  <c r="S300" i="4" s="1"/>
  <c r="J301" i="3"/>
  <c r="J301" i="4" s="1"/>
  <c r="V301" i="3"/>
  <c r="V301" i="4" s="1"/>
  <c r="A302" i="3"/>
  <c r="A302" i="4" s="1"/>
  <c r="M302" i="3"/>
  <c r="M302" i="4" s="1"/>
  <c r="Y302" i="3"/>
  <c r="Y302" i="4" s="1"/>
  <c r="D303" i="3"/>
  <c r="D303" i="4" s="1"/>
  <c r="P303" i="3"/>
  <c r="P303" i="4" s="1"/>
  <c r="AB303" i="3"/>
  <c r="AB303" i="4" s="1"/>
  <c r="G304" i="3"/>
  <c r="G304" i="4" s="1"/>
  <c r="S304" i="3"/>
  <c r="S304" i="4" s="1"/>
  <c r="J305" i="3"/>
  <c r="J305" i="4" s="1"/>
  <c r="V305" i="3"/>
  <c r="V305" i="4" s="1"/>
  <c r="A306" i="3"/>
  <c r="A306" i="4" s="1"/>
  <c r="M306" i="3"/>
  <c r="M306" i="4" s="1"/>
  <c r="Y306" i="3"/>
  <c r="Y306" i="4" s="1"/>
  <c r="D307" i="3"/>
  <c r="D307" i="4" s="1"/>
  <c r="P307" i="3"/>
  <c r="P307" i="4" s="1"/>
  <c r="AB307" i="3"/>
  <c r="AB307" i="4" s="1"/>
  <c r="G308" i="3"/>
  <c r="G308" i="4" s="1"/>
  <c r="S308" i="3"/>
  <c r="S308" i="4" s="1"/>
  <c r="J309" i="3"/>
  <c r="J309" i="4" s="1"/>
  <c r="V309" i="3"/>
  <c r="V309" i="4" s="1"/>
  <c r="A310" i="3"/>
  <c r="A310" i="4" s="1"/>
  <c r="M310" i="3"/>
  <c r="M310" i="4" s="1"/>
  <c r="Y310" i="3"/>
  <c r="Y310" i="4" s="1"/>
  <c r="D311" i="3"/>
  <c r="D311" i="4" s="1"/>
  <c r="P311" i="3"/>
  <c r="P311" i="4" s="1"/>
  <c r="AB311" i="3"/>
  <c r="AB311" i="4" s="1"/>
  <c r="G312" i="3"/>
  <c r="G312" i="4" s="1"/>
  <c r="S312" i="3"/>
  <c r="S312" i="4" s="1"/>
  <c r="J313" i="3"/>
  <c r="J313" i="4" s="1"/>
  <c r="V313" i="3"/>
  <c r="V313" i="4" s="1"/>
  <c r="A314" i="3"/>
  <c r="A314" i="4" s="1"/>
  <c r="M314" i="3"/>
  <c r="M314" i="4" s="1"/>
  <c r="Y314" i="3"/>
  <c r="Y314" i="4" s="1"/>
  <c r="D315" i="3"/>
  <c r="D315" i="4" s="1"/>
  <c r="P315" i="3"/>
  <c r="P315" i="4" s="1"/>
  <c r="AB315" i="3"/>
  <c r="AB315" i="4" s="1"/>
  <c r="G316" i="3"/>
  <c r="G316" i="4" s="1"/>
  <c r="S316" i="3"/>
  <c r="S316" i="4" s="1"/>
  <c r="J317" i="3"/>
  <c r="J317" i="4" s="1"/>
  <c r="V317" i="3"/>
  <c r="V317" i="4" s="1"/>
  <c r="A318" i="3"/>
  <c r="A318" i="4" s="1"/>
  <c r="M318" i="3"/>
  <c r="M318" i="4" s="1"/>
  <c r="Y318" i="3"/>
  <c r="Y318" i="4" s="1"/>
  <c r="D319" i="3"/>
  <c r="D319" i="4" s="1"/>
  <c r="P319" i="3"/>
  <c r="P319" i="4" s="1"/>
  <c r="AB319" i="3"/>
  <c r="AB319" i="4" s="1"/>
  <c r="G320" i="3"/>
  <c r="G320" i="4" s="1"/>
  <c r="S320" i="3"/>
  <c r="S320" i="4" s="1"/>
  <c r="J321" i="3"/>
  <c r="J321" i="4" s="1"/>
  <c r="V321" i="3"/>
  <c r="V321" i="4" s="1"/>
  <c r="A322" i="3"/>
  <c r="A322" i="4" s="1"/>
  <c r="M322" i="3"/>
  <c r="M322" i="4" s="1"/>
  <c r="Y322" i="3"/>
  <c r="Y322" i="4" s="1"/>
  <c r="D323" i="3"/>
  <c r="D323" i="4" s="1"/>
  <c r="P323" i="3"/>
  <c r="P323" i="4" s="1"/>
  <c r="AB323" i="3"/>
  <c r="AB323" i="4" s="1"/>
  <c r="G324" i="3"/>
  <c r="G324" i="4" s="1"/>
  <c r="S324" i="3"/>
  <c r="S324" i="4" s="1"/>
  <c r="J325" i="3"/>
  <c r="J325" i="4" s="1"/>
  <c r="V325" i="3"/>
  <c r="V325" i="4" s="1"/>
  <c r="A326" i="3"/>
  <c r="A326" i="4" s="1"/>
  <c r="M326" i="3"/>
  <c r="M326" i="4" s="1"/>
  <c r="Y326" i="3"/>
  <c r="Y326" i="4" s="1"/>
  <c r="D327" i="3"/>
  <c r="D327" i="4" s="1"/>
  <c r="P327" i="3"/>
  <c r="P327" i="4" s="1"/>
  <c r="AB327" i="3"/>
  <c r="AB327" i="4" s="1"/>
  <c r="G328" i="3"/>
  <c r="G328" i="4" s="1"/>
  <c r="S328" i="3"/>
  <c r="S328" i="4" s="1"/>
  <c r="J329" i="3"/>
  <c r="J329" i="4" s="1"/>
  <c r="V329" i="3"/>
  <c r="V329" i="4" s="1"/>
  <c r="A330" i="3"/>
  <c r="A330" i="4" s="1"/>
  <c r="M330" i="3"/>
  <c r="M330" i="4" s="1"/>
  <c r="Y330" i="3"/>
  <c r="Y330" i="4" s="1"/>
  <c r="D331" i="3"/>
  <c r="D331" i="4" s="1"/>
  <c r="P331" i="3"/>
  <c r="P331" i="4" s="1"/>
  <c r="AB331" i="3"/>
  <c r="AB331" i="4" s="1"/>
  <c r="G332" i="3"/>
  <c r="G332" i="4" s="1"/>
  <c r="S332" i="3"/>
  <c r="S332" i="4" s="1"/>
  <c r="J333" i="3"/>
  <c r="J333" i="4" s="1"/>
  <c r="V333" i="3"/>
  <c r="V333" i="4" s="1"/>
  <c r="A334" i="3"/>
  <c r="A334" i="4" s="1"/>
  <c r="M334" i="3"/>
  <c r="M334" i="4" s="1"/>
  <c r="Y334" i="3"/>
  <c r="Y334" i="4" s="1"/>
  <c r="D335" i="3"/>
  <c r="D335" i="4" s="1"/>
  <c r="P335" i="3"/>
  <c r="P335" i="4" s="1"/>
  <c r="AB335" i="3"/>
  <c r="AB335" i="4" s="1"/>
  <c r="G336" i="3"/>
  <c r="G336" i="4" s="1"/>
  <c r="S336" i="3"/>
  <c r="S336" i="4" s="1"/>
  <c r="J337" i="3"/>
  <c r="J337" i="4" s="1"/>
  <c r="V337" i="3"/>
  <c r="V337" i="4" s="1"/>
  <c r="A338" i="3"/>
  <c r="A338" i="4" s="1"/>
  <c r="M338" i="3"/>
  <c r="M338" i="4" s="1"/>
  <c r="Y338" i="3"/>
  <c r="Y338" i="4" s="1"/>
  <c r="D339" i="3"/>
  <c r="D339" i="4" s="1"/>
  <c r="P339" i="3"/>
  <c r="P339" i="4" s="1"/>
  <c r="AB339" i="3"/>
  <c r="AB339" i="4" s="1"/>
  <c r="G340" i="3"/>
  <c r="G340" i="4" s="1"/>
  <c r="S340" i="3"/>
  <c r="S340" i="4" s="1"/>
  <c r="J341" i="3"/>
  <c r="J341" i="4" s="1"/>
  <c r="V341" i="3"/>
  <c r="V341" i="4" s="1"/>
  <c r="A342" i="3"/>
  <c r="A342" i="4" s="1"/>
  <c r="M342" i="3"/>
  <c r="M342" i="4" s="1"/>
  <c r="Y342" i="3"/>
  <c r="Y342" i="4" s="1"/>
  <c r="D343" i="3"/>
  <c r="D343" i="4" s="1"/>
  <c r="P343" i="3"/>
  <c r="P343" i="4" s="1"/>
  <c r="AB343" i="3"/>
  <c r="AB343" i="4" s="1"/>
  <c r="G344" i="3"/>
  <c r="G344" i="4" s="1"/>
  <c r="S344" i="3"/>
  <c r="S344" i="4" s="1"/>
  <c r="J345" i="3"/>
  <c r="J345" i="4" s="1"/>
  <c r="V345" i="3"/>
  <c r="V345" i="4" s="1"/>
  <c r="A346" i="3"/>
  <c r="A346" i="4" s="1"/>
  <c r="M346" i="3"/>
  <c r="M346" i="4" s="1"/>
  <c r="Y346" i="3"/>
  <c r="Y346" i="4" s="1"/>
  <c r="D347" i="3"/>
  <c r="D347" i="4" s="1"/>
  <c r="P347" i="3"/>
  <c r="P347" i="4" s="1"/>
  <c r="AB347" i="3"/>
  <c r="AB347" i="4" s="1"/>
  <c r="G348" i="3"/>
  <c r="G348" i="4" s="1"/>
  <c r="H216" i="3"/>
  <c r="H216" i="4" s="1"/>
  <c r="T216" i="3"/>
  <c r="T216" i="4" s="1"/>
  <c r="K217" i="3"/>
  <c r="K217" i="4" s="1"/>
  <c r="W217" i="3"/>
  <c r="W217" i="4" s="1"/>
  <c r="B218" i="3"/>
  <c r="B218" i="4" s="1"/>
  <c r="N218" i="3"/>
  <c r="N218" i="4" s="1"/>
  <c r="Z218" i="3"/>
  <c r="Z218" i="4" s="1"/>
  <c r="E219" i="3"/>
  <c r="E219" i="4" s="1"/>
  <c r="Q219" i="3"/>
  <c r="Q219" i="4" s="1"/>
  <c r="H220" i="3"/>
  <c r="H220" i="4" s="1"/>
  <c r="T220" i="3"/>
  <c r="T220" i="4" s="1"/>
  <c r="K221" i="3"/>
  <c r="K221" i="4" s="1"/>
  <c r="W221" i="3"/>
  <c r="W221" i="4" s="1"/>
  <c r="B222" i="3"/>
  <c r="B222" i="4" s="1"/>
  <c r="N222" i="3"/>
  <c r="N222" i="4" s="1"/>
  <c r="Z222" i="3"/>
  <c r="Z222" i="4" s="1"/>
  <c r="E223" i="3"/>
  <c r="E223" i="4" s="1"/>
  <c r="Q223" i="3"/>
  <c r="Q223" i="4" s="1"/>
  <c r="H224" i="3"/>
  <c r="H224" i="4" s="1"/>
  <c r="T224" i="3"/>
  <c r="T224" i="4" s="1"/>
  <c r="K225" i="3"/>
  <c r="K225" i="4" s="1"/>
  <c r="W225" i="3"/>
  <c r="W225" i="4" s="1"/>
  <c r="B226" i="3"/>
  <c r="B226" i="4" s="1"/>
  <c r="N226" i="3"/>
  <c r="N226" i="4" s="1"/>
  <c r="Z226" i="3"/>
  <c r="Z226" i="4" s="1"/>
  <c r="E227" i="3"/>
  <c r="E227" i="4" s="1"/>
  <c r="Q227" i="3"/>
  <c r="Q227" i="4" s="1"/>
  <c r="H228" i="3"/>
  <c r="H228" i="4" s="1"/>
  <c r="T228" i="3"/>
  <c r="T228" i="4" s="1"/>
  <c r="K229" i="3"/>
  <c r="K229" i="4" s="1"/>
  <c r="W229" i="3"/>
  <c r="W229" i="4" s="1"/>
  <c r="B230" i="3"/>
  <c r="B230" i="4" s="1"/>
  <c r="N230" i="3"/>
  <c r="N230" i="4" s="1"/>
  <c r="Z230" i="3"/>
  <c r="Z230" i="4" s="1"/>
  <c r="E231" i="3"/>
  <c r="E231" i="4" s="1"/>
  <c r="Q231" i="3"/>
  <c r="Q231" i="4" s="1"/>
  <c r="H232" i="3"/>
  <c r="H232" i="4" s="1"/>
  <c r="T232" i="3"/>
  <c r="T232" i="4" s="1"/>
  <c r="K233" i="3"/>
  <c r="K233" i="4" s="1"/>
  <c r="W233" i="3"/>
  <c r="W233" i="4" s="1"/>
  <c r="B234" i="3"/>
  <c r="B234" i="4" s="1"/>
  <c r="N234" i="3"/>
  <c r="N234" i="4" s="1"/>
  <c r="Z234" i="3"/>
  <c r="Z234" i="4" s="1"/>
  <c r="E235" i="3"/>
  <c r="E235" i="4" s="1"/>
  <c r="Q235" i="3"/>
  <c r="Q235" i="4" s="1"/>
  <c r="H236" i="3"/>
  <c r="H236" i="4" s="1"/>
  <c r="T236" i="3"/>
  <c r="T236" i="4" s="1"/>
  <c r="K237" i="3"/>
  <c r="K237" i="4" s="1"/>
  <c r="W237" i="3"/>
  <c r="W237" i="4" s="1"/>
  <c r="B238" i="3"/>
  <c r="B238" i="4" s="1"/>
  <c r="N238" i="3"/>
  <c r="N238" i="4" s="1"/>
  <c r="Z238" i="3"/>
  <c r="Z238" i="4" s="1"/>
  <c r="E239" i="3"/>
  <c r="E239" i="4" s="1"/>
  <c r="Q239" i="3"/>
  <c r="Q239" i="4" s="1"/>
  <c r="H240" i="3"/>
  <c r="H240" i="4" s="1"/>
  <c r="T240" i="3"/>
  <c r="T240" i="4" s="1"/>
  <c r="K241" i="3"/>
  <c r="K241" i="4" s="1"/>
  <c r="W241" i="3"/>
  <c r="W241" i="4" s="1"/>
  <c r="B242" i="3"/>
  <c r="B242" i="4" s="1"/>
  <c r="N242" i="3"/>
  <c r="N242" i="4" s="1"/>
  <c r="Z242" i="3"/>
  <c r="Z242" i="4" s="1"/>
  <c r="E243" i="3"/>
  <c r="E243" i="4" s="1"/>
  <c r="Q243" i="3"/>
  <c r="Q243" i="4" s="1"/>
  <c r="H244" i="3"/>
  <c r="H244" i="4" s="1"/>
  <c r="T244" i="3"/>
  <c r="T244" i="4" s="1"/>
  <c r="K245" i="3"/>
  <c r="K245" i="4" s="1"/>
  <c r="W245" i="3"/>
  <c r="W245" i="4" s="1"/>
  <c r="B246" i="3"/>
  <c r="B246" i="4" s="1"/>
  <c r="N246" i="3"/>
  <c r="N246" i="4" s="1"/>
  <c r="Z246" i="3"/>
  <c r="Z246" i="4" s="1"/>
  <c r="E247" i="3"/>
  <c r="E247" i="4" s="1"/>
  <c r="Q247" i="3"/>
  <c r="Q247" i="4" s="1"/>
  <c r="H248" i="3"/>
  <c r="H248" i="4" s="1"/>
  <c r="T248" i="3"/>
  <c r="T248" i="4" s="1"/>
  <c r="K249" i="3"/>
  <c r="K249" i="4" s="1"/>
  <c r="W249" i="3"/>
  <c r="W249" i="4" s="1"/>
  <c r="B250" i="3"/>
  <c r="B250" i="4" s="1"/>
  <c r="N250" i="3"/>
  <c r="N250" i="4" s="1"/>
  <c r="Z250" i="3"/>
  <c r="Z250" i="4" s="1"/>
  <c r="E251" i="3"/>
  <c r="E251" i="4" s="1"/>
  <c r="Q251" i="3"/>
  <c r="Q251" i="4" s="1"/>
  <c r="H252" i="3"/>
  <c r="H252" i="4" s="1"/>
  <c r="T252" i="3"/>
  <c r="T252" i="4" s="1"/>
  <c r="K253" i="3"/>
  <c r="K253" i="4" s="1"/>
  <c r="W253" i="3"/>
  <c r="W253" i="4" s="1"/>
  <c r="B254" i="3"/>
  <c r="B254" i="4" s="1"/>
  <c r="N254" i="3"/>
  <c r="N254" i="4" s="1"/>
  <c r="Z254" i="3"/>
  <c r="Z254" i="4" s="1"/>
  <c r="E255" i="3"/>
  <c r="E255" i="4" s="1"/>
  <c r="Q255" i="3"/>
  <c r="Q255" i="4" s="1"/>
  <c r="H256" i="3"/>
  <c r="H256" i="4" s="1"/>
  <c r="T256" i="3"/>
  <c r="T256" i="4" s="1"/>
  <c r="K257" i="3"/>
  <c r="K257" i="4" s="1"/>
  <c r="W257" i="3"/>
  <c r="W257" i="4" s="1"/>
  <c r="B258" i="3"/>
  <c r="B258" i="4" s="1"/>
  <c r="N258" i="3"/>
  <c r="N258" i="4" s="1"/>
  <c r="Z258" i="3"/>
  <c r="Z258" i="4" s="1"/>
  <c r="E259" i="3"/>
  <c r="E259" i="4" s="1"/>
  <c r="Q259" i="3"/>
  <c r="Q259" i="4" s="1"/>
  <c r="H260" i="3"/>
  <c r="H260" i="4" s="1"/>
  <c r="T260" i="3"/>
  <c r="T260" i="4" s="1"/>
  <c r="K261" i="3"/>
  <c r="K261" i="4" s="1"/>
  <c r="W261" i="3"/>
  <c r="W261" i="4" s="1"/>
  <c r="B262" i="3"/>
  <c r="B262" i="4" s="1"/>
  <c r="N262" i="3"/>
  <c r="N262" i="4" s="1"/>
  <c r="Z262" i="3"/>
  <c r="Z262" i="4" s="1"/>
  <c r="E263" i="3"/>
  <c r="E263" i="4" s="1"/>
  <c r="Q263" i="3"/>
  <c r="Q263" i="4" s="1"/>
  <c r="H264" i="3"/>
  <c r="H264" i="4" s="1"/>
  <c r="T264" i="3"/>
  <c r="T264" i="4" s="1"/>
  <c r="K265" i="3"/>
  <c r="K265" i="4" s="1"/>
  <c r="W265" i="3"/>
  <c r="W265" i="4" s="1"/>
  <c r="B266" i="3"/>
  <c r="B266" i="4" s="1"/>
  <c r="N266" i="3"/>
  <c r="N266" i="4" s="1"/>
  <c r="Z266" i="3"/>
  <c r="Z266" i="4" s="1"/>
  <c r="E267" i="3"/>
  <c r="E267" i="4" s="1"/>
  <c r="Q267" i="3"/>
  <c r="Q267" i="4" s="1"/>
  <c r="H268" i="3"/>
  <c r="H268" i="4" s="1"/>
  <c r="T268" i="3"/>
  <c r="T268" i="4" s="1"/>
  <c r="K269" i="3"/>
  <c r="K269" i="4" s="1"/>
  <c r="W269" i="3"/>
  <c r="W269" i="4" s="1"/>
  <c r="B270" i="3"/>
  <c r="B270" i="4" s="1"/>
  <c r="N270" i="3"/>
  <c r="N270" i="4" s="1"/>
  <c r="Z270" i="3"/>
  <c r="Z270" i="4" s="1"/>
  <c r="E271" i="3"/>
  <c r="E271" i="4" s="1"/>
  <c r="Q271" i="3"/>
  <c r="Q271" i="4" s="1"/>
  <c r="H272" i="3"/>
  <c r="H272" i="4" s="1"/>
  <c r="T272" i="3"/>
  <c r="T272" i="4" s="1"/>
  <c r="K273" i="3"/>
  <c r="K273" i="4" s="1"/>
  <c r="W273" i="3"/>
  <c r="W273" i="4" s="1"/>
  <c r="B274" i="3"/>
  <c r="B274" i="4" s="1"/>
  <c r="N274" i="3"/>
  <c r="N274" i="4" s="1"/>
  <c r="Z274" i="3"/>
  <c r="Z274" i="4" s="1"/>
  <c r="E275" i="3"/>
  <c r="E275" i="4" s="1"/>
  <c r="Q275" i="3"/>
  <c r="Q275" i="4" s="1"/>
  <c r="H276" i="3"/>
  <c r="H276" i="4" s="1"/>
  <c r="T276" i="3"/>
  <c r="T276" i="4" s="1"/>
  <c r="K277" i="3"/>
  <c r="K277" i="4" s="1"/>
  <c r="W277" i="3"/>
  <c r="W277" i="4" s="1"/>
  <c r="B278" i="3"/>
  <c r="B278" i="4" s="1"/>
  <c r="N278" i="3"/>
  <c r="N278" i="4" s="1"/>
  <c r="Z278" i="3"/>
  <c r="Z278" i="4" s="1"/>
  <c r="E279" i="3"/>
  <c r="E279" i="4" s="1"/>
  <c r="Q279" i="3"/>
  <c r="Q279" i="4" s="1"/>
  <c r="H280" i="3"/>
  <c r="H280" i="4" s="1"/>
  <c r="T280" i="3"/>
  <c r="T280" i="4" s="1"/>
  <c r="K281" i="3"/>
  <c r="K281" i="4" s="1"/>
  <c r="W281" i="3"/>
  <c r="W281" i="4" s="1"/>
  <c r="B282" i="3"/>
  <c r="B282" i="4" s="1"/>
  <c r="N282" i="3"/>
  <c r="N282" i="4" s="1"/>
  <c r="Z282" i="3"/>
  <c r="Z282" i="4" s="1"/>
  <c r="E283" i="3"/>
  <c r="E283" i="4" s="1"/>
  <c r="Q283" i="3"/>
  <c r="Q283" i="4" s="1"/>
  <c r="H284" i="3"/>
  <c r="H284" i="4" s="1"/>
  <c r="T284" i="3"/>
  <c r="T284" i="4" s="1"/>
  <c r="K285" i="3"/>
  <c r="K285" i="4" s="1"/>
  <c r="W285" i="3"/>
  <c r="W285" i="4" s="1"/>
  <c r="B286" i="3"/>
  <c r="B286" i="4" s="1"/>
  <c r="N286" i="3"/>
  <c r="N286" i="4" s="1"/>
  <c r="Z286" i="3"/>
  <c r="Z286" i="4" s="1"/>
  <c r="E287" i="3"/>
  <c r="E287" i="4" s="1"/>
  <c r="Q287" i="3"/>
  <c r="Q287" i="4" s="1"/>
  <c r="H288" i="3"/>
  <c r="H288" i="4" s="1"/>
  <c r="T288" i="3"/>
  <c r="T288" i="4" s="1"/>
  <c r="K289" i="3"/>
  <c r="K289" i="4" s="1"/>
  <c r="W289" i="3"/>
  <c r="W289" i="4" s="1"/>
  <c r="B290" i="3"/>
  <c r="B290" i="4" s="1"/>
  <c r="N290" i="3"/>
  <c r="N290" i="4" s="1"/>
  <c r="Z290" i="3"/>
  <c r="Z290" i="4" s="1"/>
  <c r="E291" i="3"/>
  <c r="E291" i="4" s="1"/>
  <c r="Q291" i="3"/>
  <c r="Q291" i="4" s="1"/>
  <c r="H292" i="3"/>
  <c r="H292" i="4" s="1"/>
  <c r="T292" i="3"/>
  <c r="T292" i="4" s="1"/>
  <c r="K293" i="3"/>
  <c r="K293" i="4" s="1"/>
  <c r="W293" i="3"/>
  <c r="W293" i="4" s="1"/>
  <c r="B294" i="3"/>
  <c r="B294" i="4" s="1"/>
  <c r="N294" i="3"/>
  <c r="N294" i="4" s="1"/>
  <c r="Z294" i="3"/>
  <c r="Z294" i="4" s="1"/>
  <c r="E295" i="3"/>
  <c r="E295" i="4" s="1"/>
  <c r="Q295" i="3"/>
  <c r="Q295" i="4" s="1"/>
  <c r="H296" i="3"/>
  <c r="H296" i="4" s="1"/>
  <c r="T296" i="3"/>
  <c r="T296" i="4" s="1"/>
  <c r="K297" i="3"/>
  <c r="K297" i="4" s="1"/>
  <c r="W297" i="3"/>
  <c r="W297" i="4" s="1"/>
  <c r="B298" i="3"/>
  <c r="B298" i="4" s="1"/>
  <c r="N298" i="3"/>
  <c r="N298" i="4" s="1"/>
  <c r="Z298" i="3"/>
  <c r="Z298" i="4" s="1"/>
  <c r="E299" i="3"/>
  <c r="E299" i="4" s="1"/>
  <c r="Q299" i="3"/>
  <c r="Q299" i="4" s="1"/>
  <c r="H300" i="3"/>
  <c r="H300" i="4" s="1"/>
  <c r="T300" i="3"/>
  <c r="T300" i="4" s="1"/>
  <c r="K301" i="3"/>
  <c r="K301" i="4" s="1"/>
  <c r="W301" i="3"/>
  <c r="W301" i="4" s="1"/>
  <c r="B302" i="3"/>
  <c r="B302" i="4" s="1"/>
  <c r="N302" i="3"/>
  <c r="N302" i="4" s="1"/>
  <c r="Z302" i="3"/>
  <c r="Z302" i="4" s="1"/>
  <c r="E303" i="3"/>
  <c r="E303" i="4" s="1"/>
  <c r="Q303" i="3"/>
  <c r="Q303" i="4" s="1"/>
  <c r="H304" i="3"/>
  <c r="H304" i="4" s="1"/>
  <c r="T304" i="3"/>
  <c r="T304" i="4" s="1"/>
  <c r="K305" i="3"/>
  <c r="K305" i="4" s="1"/>
  <c r="W305" i="3"/>
  <c r="W305" i="4" s="1"/>
  <c r="B306" i="3"/>
  <c r="B306" i="4" s="1"/>
  <c r="N306" i="3"/>
  <c r="N306" i="4" s="1"/>
  <c r="Z306" i="3"/>
  <c r="Z306" i="4" s="1"/>
  <c r="E307" i="3"/>
  <c r="E307" i="4" s="1"/>
  <c r="Q307" i="3"/>
  <c r="Q307" i="4" s="1"/>
  <c r="H308" i="3"/>
  <c r="H308" i="4" s="1"/>
  <c r="T308" i="3"/>
  <c r="T308" i="4" s="1"/>
  <c r="K309" i="3"/>
  <c r="K309" i="4" s="1"/>
  <c r="W309" i="3"/>
  <c r="W309" i="4" s="1"/>
  <c r="B310" i="3"/>
  <c r="B310" i="4" s="1"/>
  <c r="N310" i="3"/>
  <c r="N310" i="4" s="1"/>
  <c r="Z310" i="3"/>
  <c r="Z310" i="4" s="1"/>
  <c r="E311" i="3"/>
  <c r="E311" i="4" s="1"/>
  <c r="Q311" i="3"/>
  <c r="Q311" i="4" s="1"/>
  <c r="H312" i="3"/>
  <c r="H312" i="4" s="1"/>
  <c r="T312" i="3"/>
  <c r="T312" i="4" s="1"/>
  <c r="K313" i="3"/>
  <c r="K313" i="4" s="1"/>
  <c r="W313" i="3"/>
  <c r="W313" i="4" s="1"/>
  <c r="B314" i="3"/>
  <c r="B314" i="4" s="1"/>
  <c r="N314" i="3"/>
  <c r="N314" i="4" s="1"/>
  <c r="Z314" i="3"/>
  <c r="Z314" i="4" s="1"/>
  <c r="E315" i="3"/>
  <c r="E315" i="4" s="1"/>
  <c r="Q315" i="3"/>
  <c r="Q315" i="4" s="1"/>
  <c r="H316" i="3"/>
  <c r="H316" i="4" s="1"/>
  <c r="T316" i="3"/>
  <c r="T316" i="4" s="1"/>
  <c r="K317" i="3"/>
  <c r="K317" i="4" s="1"/>
  <c r="W317" i="3"/>
  <c r="W317" i="4" s="1"/>
  <c r="B318" i="3"/>
  <c r="B318" i="4" s="1"/>
  <c r="N318" i="3"/>
  <c r="N318" i="4" s="1"/>
  <c r="Z318" i="3"/>
  <c r="Z318" i="4" s="1"/>
  <c r="E319" i="3"/>
  <c r="E319" i="4" s="1"/>
  <c r="Q319" i="3"/>
  <c r="Q319" i="4" s="1"/>
  <c r="H320" i="3"/>
  <c r="H320" i="4" s="1"/>
  <c r="T320" i="3"/>
  <c r="T320" i="4" s="1"/>
  <c r="K321" i="3"/>
  <c r="K321" i="4" s="1"/>
  <c r="W321" i="3"/>
  <c r="W321" i="4" s="1"/>
  <c r="B322" i="3"/>
  <c r="B322" i="4" s="1"/>
  <c r="S348" i="3"/>
  <c r="S348" i="4" s="1"/>
  <c r="J349" i="3"/>
  <c r="J349" i="4" s="1"/>
  <c r="V349" i="3"/>
  <c r="V349" i="4" s="1"/>
  <c r="A350" i="3"/>
  <c r="A350" i="4" s="1"/>
  <c r="M350" i="3"/>
  <c r="M350" i="4" s="1"/>
  <c r="Y350" i="3"/>
  <c r="Y350" i="4" s="1"/>
  <c r="D351" i="3"/>
  <c r="D351" i="4" s="1"/>
  <c r="P351" i="3"/>
  <c r="P351" i="4" s="1"/>
  <c r="AB351" i="3"/>
  <c r="AB351" i="4" s="1"/>
  <c r="G352" i="3"/>
  <c r="G352" i="4" s="1"/>
  <c r="S352" i="3"/>
  <c r="S352" i="4" s="1"/>
  <c r="J353" i="3"/>
  <c r="J353" i="4" s="1"/>
  <c r="V353" i="3"/>
  <c r="V353" i="4" s="1"/>
  <c r="A354" i="3"/>
  <c r="A354" i="4" s="1"/>
  <c r="M354" i="3"/>
  <c r="M354" i="4" s="1"/>
  <c r="Y354" i="3"/>
  <c r="Y354" i="4" s="1"/>
  <c r="D355" i="3"/>
  <c r="D355" i="4" s="1"/>
  <c r="P355" i="3"/>
  <c r="P355" i="4" s="1"/>
  <c r="AB355" i="3"/>
  <c r="AB355" i="4" s="1"/>
  <c r="G356" i="3"/>
  <c r="G356" i="4" s="1"/>
  <c r="S356" i="3"/>
  <c r="S356" i="4" s="1"/>
  <c r="J357" i="3"/>
  <c r="J357" i="4" s="1"/>
  <c r="V357" i="3"/>
  <c r="V357" i="4" s="1"/>
  <c r="A358" i="3"/>
  <c r="A358" i="4" s="1"/>
  <c r="M358" i="3"/>
  <c r="M358" i="4" s="1"/>
  <c r="Y358" i="3"/>
  <c r="Y358" i="4" s="1"/>
  <c r="D359" i="3"/>
  <c r="D359" i="4" s="1"/>
  <c r="P359" i="3"/>
  <c r="P359" i="4" s="1"/>
  <c r="AB359" i="3"/>
  <c r="AB359" i="4" s="1"/>
  <c r="G360" i="3"/>
  <c r="G360" i="4" s="1"/>
  <c r="S360" i="3"/>
  <c r="S360" i="4" s="1"/>
  <c r="J361" i="3"/>
  <c r="J361" i="4" s="1"/>
  <c r="V361" i="3"/>
  <c r="V361" i="4" s="1"/>
  <c r="A362" i="3"/>
  <c r="A362" i="4" s="1"/>
  <c r="M362" i="3"/>
  <c r="M362" i="4" s="1"/>
  <c r="Y362" i="3"/>
  <c r="Y362" i="4" s="1"/>
  <c r="D363" i="3"/>
  <c r="D363" i="4" s="1"/>
  <c r="P363" i="3"/>
  <c r="P363" i="4" s="1"/>
  <c r="AB363" i="3"/>
  <c r="AB363" i="4" s="1"/>
  <c r="G364" i="3"/>
  <c r="G364" i="4" s="1"/>
  <c r="S364" i="3"/>
  <c r="S364" i="4" s="1"/>
  <c r="J365" i="3"/>
  <c r="J365" i="4" s="1"/>
  <c r="V365" i="3"/>
  <c r="V365" i="4" s="1"/>
  <c r="A366" i="3"/>
  <c r="A366" i="4" s="1"/>
  <c r="M366" i="3"/>
  <c r="M366" i="4" s="1"/>
  <c r="Y366" i="3"/>
  <c r="Y366" i="4" s="1"/>
  <c r="D367" i="3"/>
  <c r="D367" i="4" s="1"/>
  <c r="P367" i="3"/>
  <c r="P367" i="4" s="1"/>
  <c r="AB367" i="3"/>
  <c r="AB367" i="4" s="1"/>
  <c r="G368" i="3"/>
  <c r="G368" i="4" s="1"/>
  <c r="S368" i="3"/>
  <c r="S368" i="4" s="1"/>
  <c r="J369" i="3"/>
  <c r="J369" i="4" s="1"/>
  <c r="V369" i="3"/>
  <c r="V369" i="4" s="1"/>
  <c r="A370" i="3"/>
  <c r="A370" i="4" s="1"/>
  <c r="M370" i="3"/>
  <c r="M370" i="4" s="1"/>
  <c r="Y370" i="3"/>
  <c r="Y370" i="4" s="1"/>
  <c r="D371" i="3"/>
  <c r="D371" i="4" s="1"/>
  <c r="P371" i="3"/>
  <c r="P371" i="4" s="1"/>
  <c r="AB371" i="3"/>
  <c r="AB371" i="4" s="1"/>
  <c r="G372" i="3"/>
  <c r="G372" i="4" s="1"/>
  <c r="S372" i="3"/>
  <c r="S372" i="4" s="1"/>
  <c r="J373" i="3"/>
  <c r="J373" i="4" s="1"/>
  <c r="V373" i="3"/>
  <c r="V373" i="4" s="1"/>
  <c r="A374" i="3"/>
  <c r="A374" i="4" s="1"/>
  <c r="M374" i="3"/>
  <c r="M374" i="4" s="1"/>
  <c r="Y374" i="3"/>
  <c r="Y374" i="4" s="1"/>
  <c r="D375" i="3"/>
  <c r="D375" i="4" s="1"/>
  <c r="P375" i="3"/>
  <c r="P375" i="4" s="1"/>
  <c r="AB375" i="3"/>
  <c r="AB375" i="4" s="1"/>
  <c r="G376" i="3"/>
  <c r="G376" i="4" s="1"/>
  <c r="S376" i="3"/>
  <c r="S376" i="4" s="1"/>
  <c r="J377" i="3"/>
  <c r="J377" i="4" s="1"/>
  <c r="V377" i="3"/>
  <c r="V377" i="4" s="1"/>
  <c r="A378" i="3"/>
  <c r="A378" i="4" s="1"/>
  <c r="M378" i="3"/>
  <c r="M378" i="4" s="1"/>
  <c r="Y378" i="3"/>
  <c r="Y378" i="4" s="1"/>
  <c r="D379" i="3"/>
  <c r="D379" i="4" s="1"/>
  <c r="P379" i="3"/>
  <c r="P379" i="4" s="1"/>
  <c r="AB379" i="3"/>
  <c r="AB379" i="4" s="1"/>
  <c r="G380" i="3"/>
  <c r="G380" i="4" s="1"/>
  <c r="S380" i="3"/>
  <c r="S380" i="4" s="1"/>
  <c r="J381" i="3"/>
  <c r="J381" i="4" s="1"/>
  <c r="V381" i="3"/>
  <c r="V381" i="4" s="1"/>
  <c r="A382" i="3"/>
  <c r="A382" i="4" s="1"/>
  <c r="M382" i="3"/>
  <c r="M382" i="4" s="1"/>
  <c r="Y382" i="3"/>
  <c r="Y382" i="4" s="1"/>
  <c r="D383" i="3"/>
  <c r="D383" i="4" s="1"/>
  <c r="P383" i="3"/>
  <c r="P383" i="4" s="1"/>
  <c r="AB383" i="3"/>
  <c r="AB383" i="4" s="1"/>
  <c r="G384" i="3"/>
  <c r="G384" i="4" s="1"/>
  <c r="S384" i="3"/>
  <c r="S384" i="4" s="1"/>
  <c r="J385" i="3"/>
  <c r="J385" i="4" s="1"/>
  <c r="V385" i="3"/>
  <c r="V385" i="4" s="1"/>
  <c r="A386" i="3"/>
  <c r="A386" i="4" s="1"/>
  <c r="M386" i="3"/>
  <c r="M386" i="4" s="1"/>
  <c r="Y386" i="3"/>
  <c r="Y386" i="4" s="1"/>
  <c r="D387" i="3"/>
  <c r="D387" i="4" s="1"/>
  <c r="P387" i="3"/>
  <c r="P387" i="4" s="1"/>
  <c r="AB387" i="3"/>
  <c r="AB387" i="4" s="1"/>
  <c r="G388" i="3"/>
  <c r="G388" i="4" s="1"/>
  <c r="S388" i="3"/>
  <c r="S388" i="4" s="1"/>
  <c r="J389" i="3"/>
  <c r="J389" i="4" s="1"/>
  <c r="V389" i="3"/>
  <c r="V389" i="4" s="1"/>
  <c r="A390" i="3"/>
  <c r="A390" i="4" s="1"/>
  <c r="M390" i="3"/>
  <c r="M390" i="4" s="1"/>
  <c r="Y390" i="3"/>
  <c r="Y390" i="4" s="1"/>
  <c r="D391" i="3"/>
  <c r="D391" i="4" s="1"/>
  <c r="P391" i="3"/>
  <c r="P391" i="4" s="1"/>
  <c r="AB391" i="3"/>
  <c r="AB391" i="4" s="1"/>
  <c r="G392" i="3"/>
  <c r="G392" i="4" s="1"/>
  <c r="S392" i="3"/>
  <c r="S392" i="4" s="1"/>
  <c r="J393" i="3"/>
  <c r="J393" i="4" s="1"/>
  <c r="V393" i="3"/>
  <c r="V393" i="4" s="1"/>
  <c r="A394" i="3"/>
  <c r="A394" i="4" s="1"/>
  <c r="M394" i="3"/>
  <c r="M394" i="4" s="1"/>
  <c r="Y394" i="3"/>
  <c r="Y394" i="4" s="1"/>
  <c r="D395" i="3"/>
  <c r="D395" i="4" s="1"/>
  <c r="P395" i="3"/>
  <c r="P395" i="4" s="1"/>
  <c r="AB395" i="3"/>
  <c r="AB395" i="4" s="1"/>
  <c r="G396" i="3"/>
  <c r="G396" i="4" s="1"/>
  <c r="S396" i="3"/>
  <c r="S396" i="4" s="1"/>
  <c r="J397" i="3"/>
  <c r="J397" i="4" s="1"/>
  <c r="V397" i="3"/>
  <c r="V397" i="4" s="1"/>
  <c r="A398" i="3"/>
  <c r="A398" i="4" s="1"/>
  <c r="M398" i="3"/>
  <c r="M398" i="4" s="1"/>
  <c r="Y398" i="3"/>
  <c r="Y398" i="4" s="1"/>
  <c r="D399" i="3"/>
  <c r="D399" i="4" s="1"/>
  <c r="P399" i="3"/>
  <c r="P399" i="4" s="1"/>
  <c r="AB399" i="3"/>
  <c r="AB399" i="4" s="1"/>
  <c r="G400" i="3"/>
  <c r="G400" i="4" s="1"/>
  <c r="S400" i="3"/>
  <c r="S400" i="4" s="1"/>
  <c r="J401" i="3"/>
  <c r="J401" i="4" s="1"/>
  <c r="V401" i="3"/>
  <c r="V401" i="4" s="1"/>
  <c r="A402" i="3"/>
  <c r="A402" i="4" s="1"/>
  <c r="M402" i="3"/>
  <c r="M402" i="4" s="1"/>
  <c r="Y402" i="3"/>
  <c r="Y402" i="4" s="1"/>
  <c r="D403" i="3"/>
  <c r="D403" i="4" s="1"/>
  <c r="P403" i="3"/>
  <c r="P403" i="4" s="1"/>
  <c r="AB403" i="3"/>
  <c r="AB403" i="4" s="1"/>
  <c r="G404" i="3"/>
  <c r="G404" i="4" s="1"/>
  <c r="S404" i="3"/>
  <c r="S404" i="4" s="1"/>
  <c r="J405" i="3"/>
  <c r="J405" i="4" s="1"/>
  <c r="V405" i="3"/>
  <c r="V405" i="4" s="1"/>
  <c r="A406" i="3"/>
  <c r="A406" i="4" s="1"/>
  <c r="M406" i="3"/>
  <c r="M406" i="4" s="1"/>
  <c r="Y406" i="3"/>
  <c r="Y406" i="4" s="1"/>
  <c r="D407" i="3"/>
  <c r="D407" i="4" s="1"/>
  <c r="P407" i="3"/>
  <c r="P407" i="4" s="1"/>
  <c r="AB407" i="3"/>
  <c r="AB407" i="4" s="1"/>
  <c r="G408" i="3"/>
  <c r="G408" i="4" s="1"/>
  <c r="S408" i="3"/>
  <c r="S408" i="4" s="1"/>
  <c r="N322" i="3"/>
  <c r="N322" i="4" s="1"/>
  <c r="Z322" i="3"/>
  <c r="Z322" i="4" s="1"/>
  <c r="E323" i="3"/>
  <c r="E323" i="4" s="1"/>
  <c r="Q323" i="3"/>
  <c r="Q323" i="4" s="1"/>
  <c r="H324" i="3"/>
  <c r="H324" i="4" s="1"/>
  <c r="T324" i="3"/>
  <c r="T324" i="4" s="1"/>
  <c r="K325" i="3"/>
  <c r="K325" i="4" s="1"/>
  <c r="W325" i="3"/>
  <c r="W325" i="4" s="1"/>
  <c r="B326" i="3"/>
  <c r="B326" i="4" s="1"/>
  <c r="N326" i="3"/>
  <c r="N326" i="4" s="1"/>
  <c r="Z326" i="3"/>
  <c r="Z326" i="4" s="1"/>
  <c r="E327" i="3"/>
  <c r="E327" i="4" s="1"/>
  <c r="Q327" i="3"/>
  <c r="Q327" i="4" s="1"/>
  <c r="H328" i="3"/>
  <c r="H328" i="4" s="1"/>
  <c r="T328" i="3"/>
  <c r="T328" i="4" s="1"/>
  <c r="K329" i="3"/>
  <c r="K329" i="4" s="1"/>
  <c r="W329" i="3"/>
  <c r="W329" i="4" s="1"/>
  <c r="B330" i="3"/>
  <c r="B330" i="4" s="1"/>
  <c r="N330" i="3"/>
  <c r="N330" i="4" s="1"/>
  <c r="Z330" i="3"/>
  <c r="Z330" i="4" s="1"/>
  <c r="E331" i="3"/>
  <c r="E331" i="4" s="1"/>
  <c r="Q331" i="3"/>
  <c r="Q331" i="4" s="1"/>
  <c r="H332" i="3"/>
  <c r="H332" i="4" s="1"/>
  <c r="T332" i="3"/>
  <c r="T332" i="4" s="1"/>
  <c r="K333" i="3"/>
  <c r="K333" i="4" s="1"/>
  <c r="W333" i="3"/>
  <c r="W333" i="4" s="1"/>
  <c r="B334" i="3"/>
  <c r="B334" i="4" s="1"/>
  <c r="N334" i="3"/>
  <c r="N334" i="4" s="1"/>
  <c r="Z334" i="3"/>
  <c r="Z334" i="4" s="1"/>
  <c r="E335" i="3"/>
  <c r="E335" i="4" s="1"/>
  <c r="Q335" i="3"/>
  <c r="Q335" i="4" s="1"/>
  <c r="H336" i="3"/>
  <c r="H336" i="4" s="1"/>
  <c r="T336" i="3"/>
  <c r="T336" i="4" s="1"/>
  <c r="K337" i="3"/>
  <c r="K337" i="4" s="1"/>
  <c r="W337" i="3"/>
  <c r="W337" i="4" s="1"/>
  <c r="B338" i="3"/>
  <c r="B338" i="4" s="1"/>
  <c r="N338" i="3"/>
  <c r="N338" i="4" s="1"/>
  <c r="Z338" i="3"/>
  <c r="Z338" i="4" s="1"/>
  <c r="E339" i="3"/>
  <c r="E339" i="4" s="1"/>
  <c r="Q339" i="3"/>
  <c r="Q339" i="4" s="1"/>
  <c r="H340" i="3"/>
  <c r="H340" i="4" s="1"/>
  <c r="T340" i="3"/>
  <c r="T340" i="4" s="1"/>
  <c r="K341" i="3"/>
  <c r="K341" i="4" s="1"/>
  <c r="W341" i="3"/>
  <c r="W341" i="4" s="1"/>
  <c r="B342" i="3"/>
  <c r="B342" i="4" s="1"/>
  <c r="N342" i="3"/>
  <c r="N342" i="4" s="1"/>
  <c r="Z342" i="3"/>
  <c r="Z342" i="4" s="1"/>
  <c r="E343" i="3"/>
  <c r="E343" i="4" s="1"/>
  <c r="Q343" i="3"/>
  <c r="Q343" i="4" s="1"/>
  <c r="H344" i="3"/>
  <c r="H344" i="4" s="1"/>
  <c r="T344" i="3"/>
  <c r="T344" i="4" s="1"/>
  <c r="K345" i="3"/>
  <c r="K345" i="4" s="1"/>
  <c r="W345" i="3"/>
  <c r="W345" i="4" s="1"/>
  <c r="B346" i="3"/>
  <c r="B346" i="4" s="1"/>
  <c r="N346" i="3"/>
  <c r="N346" i="4" s="1"/>
  <c r="Z346" i="3"/>
  <c r="Z346" i="4" s="1"/>
  <c r="E347" i="3"/>
  <c r="E347" i="4" s="1"/>
  <c r="Q347" i="3"/>
  <c r="Q347" i="4" s="1"/>
  <c r="H348" i="3"/>
  <c r="H348" i="4" s="1"/>
  <c r="T348" i="3"/>
  <c r="T348" i="4" s="1"/>
  <c r="K349" i="3"/>
  <c r="K349" i="4" s="1"/>
  <c r="W349" i="3"/>
  <c r="W349" i="4" s="1"/>
  <c r="B350" i="3"/>
  <c r="B350" i="4" s="1"/>
  <c r="N350" i="3"/>
  <c r="N350" i="4" s="1"/>
  <c r="Z350" i="3"/>
  <c r="Z350" i="4" s="1"/>
  <c r="E351" i="3"/>
  <c r="E351" i="4" s="1"/>
  <c r="Q351" i="3"/>
  <c r="Q351" i="4" s="1"/>
  <c r="H352" i="3"/>
  <c r="H352" i="4" s="1"/>
  <c r="T352" i="3"/>
  <c r="T352" i="4" s="1"/>
  <c r="K353" i="3"/>
  <c r="K353" i="4" s="1"/>
  <c r="W353" i="3"/>
  <c r="W353" i="4" s="1"/>
  <c r="B354" i="3"/>
  <c r="B354" i="4" s="1"/>
  <c r="N354" i="3"/>
  <c r="N354" i="4" s="1"/>
  <c r="Z354" i="3"/>
  <c r="Z354" i="4" s="1"/>
  <c r="E355" i="3"/>
  <c r="E355" i="4" s="1"/>
  <c r="Q355" i="3"/>
  <c r="Q355" i="4" s="1"/>
  <c r="H356" i="3"/>
  <c r="H356" i="4" s="1"/>
  <c r="T356" i="3"/>
  <c r="T356" i="4" s="1"/>
  <c r="K357" i="3"/>
  <c r="K357" i="4" s="1"/>
  <c r="W357" i="3"/>
  <c r="W357" i="4" s="1"/>
  <c r="B358" i="3"/>
  <c r="B358" i="4" s="1"/>
  <c r="N358" i="3"/>
  <c r="N358" i="4" s="1"/>
  <c r="Z358" i="3"/>
  <c r="Z358" i="4" s="1"/>
  <c r="E359" i="3"/>
  <c r="E359" i="4" s="1"/>
  <c r="Q359" i="3"/>
  <c r="Q359" i="4" s="1"/>
  <c r="H360" i="3"/>
  <c r="H360" i="4" s="1"/>
  <c r="T360" i="3"/>
  <c r="T360" i="4" s="1"/>
  <c r="K361" i="3"/>
  <c r="K361" i="4" s="1"/>
  <c r="W361" i="3"/>
  <c r="W361" i="4" s="1"/>
  <c r="B362" i="3"/>
  <c r="B362" i="4" s="1"/>
  <c r="N362" i="3"/>
  <c r="N362" i="4" s="1"/>
  <c r="Z362" i="3"/>
  <c r="Z362" i="4" s="1"/>
  <c r="E363" i="3"/>
  <c r="E363" i="4" s="1"/>
  <c r="Q363" i="3"/>
  <c r="Q363" i="4" s="1"/>
  <c r="H364" i="3"/>
  <c r="H364" i="4" s="1"/>
  <c r="T364" i="3"/>
  <c r="T364" i="4" s="1"/>
  <c r="K365" i="3"/>
  <c r="K365" i="4" s="1"/>
  <c r="W365" i="3"/>
  <c r="W365" i="4" s="1"/>
  <c r="B366" i="3"/>
  <c r="B366" i="4" s="1"/>
  <c r="N366" i="3"/>
  <c r="N366" i="4" s="1"/>
  <c r="Z366" i="3"/>
  <c r="Z366" i="4" s="1"/>
  <c r="E367" i="3"/>
  <c r="E367" i="4" s="1"/>
  <c r="Q367" i="3"/>
  <c r="Q367" i="4" s="1"/>
  <c r="H368" i="3"/>
  <c r="H368" i="4" s="1"/>
  <c r="T368" i="3"/>
  <c r="T368" i="4" s="1"/>
  <c r="K369" i="3"/>
  <c r="K369" i="4" s="1"/>
  <c r="W369" i="3"/>
  <c r="W369" i="4" s="1"/>
  <c r="B370" i="3"/>
  <c r="B370" i="4" s="1"/>
  <c r="N370" i="3"/>
  <c r="N370" i="4" s="1"/>
  <c r="Z370" i="3"/>
  <c r="Z370" i="4" s="1"/>
  <c r="E371" i="3"/>
  <c r="E371" i="4" s="1"/>
  <c r="Q371" i="3"/>
  <c r="Q371" i="4" s="1"/>
  <c r="H372" i="3"/>
  <c r="H372" i="4" s="1"/>
  <c r="T372" i="3"/>
  <c r="T372" i="4" s="1"/>
  <c r="K373" i="3"/>
  <c r="K373" i="4" s="1"/>
  <c r="W373" i="3"/>
  <c r="W373" i="4" s="1"/>
  <c r="B374" i="3"/>
  <c r="B374" i="4" s="1"/>
  <c r="N374" i="3"/>
  <c r="N374" i="4" s="1"/>
  <c r="Z374" i="3"/>
  <c r="Z374" i="4" s="1"/>
  <c r="E375" i="3"/>
  <c r="E375" i="4" s="1"/>
  <c r="Q375" i="3"/>
  <c r="Q375" i="4" s="1"/>
  <c r="H376" i="3"/>
  <c r="H376" i="4" s="1"/>
  <c r="T376" i="3"/>
  <c r="T376" i="4" s="1"/>
  <c r="K377" i="3"/>
  <c r="K377" i="4" s="1"/>
  <c r="W377" i="3"/>
  <c r="W377" i="4" s="1"/>
  <c r="B378" i="3"/>
  <c r="B378" i="4" s="1"/>
  <c r="N378" i="3"/>
  <c r="N378" i="4" s="1"/>
  <c r="Z378" i="3"/>
  <c r="Z378" i="4" s="1"/>
  <c r="E379" i="3"/>
  <c r="E379" i="4" s="1"/>
  <c r="Q379" i="3"/>
  <c r="Q379" i="4" s="1"/>
  <c r="H380" i="3"/>
  <c r="H380" i="4" s="1"/>
  <c r="T380" i="3"/>
  <c r="T380" i="4" s="1"/>
  <c r="K381" i="3"/>
  <c r="K381" i="4" s="1"/>
  <c r="W381" i="3"/>
  <c r="W381" i="4" s="1"/>
  <c r="B382" i="3"/>
  <c r="B382" i="4" s="1"/>
  <c r="N382" i="3"/>
  <c r="N382" i="4" s="1"/>
  <c r="Z382" i="3"/>
  <c r="Z382" i="4" s="1"/>
  <c r="E383" i="3"/>
  <c r="E383" i="4" s="1"/>
  <c r="Q383" i="3"/>
  <c r="Q383" i="4" s="1"/>
  <c r="H384" i="3"/>
  <c r="H384" i="4" s="1"/>
  <c r="T384" i="3"/>
  <c r="T384" i="4" s="1"/>
  <c r="K385" i="3"/>
  <c r="K385" i="4" s="1"/>
  <c r="W385" i="3"/>
  <c r="W385" i="4" s="1"/>
  <c r="B386" i="3"/>
  <c r="B386" i="4" s="1"/>
  <c r="N386" i="3"/>
  <c r="N386" i="4" s="1"/>
  <c r="Z386" i="3"/>
  <c r="Z386" i="4" s="1"/>
  <c r="E387" i="3"/>
  <c r="E387" i="4" s="1"/>
  <c r="Q387" i="3"/>
  <c r="Q387" i="4" s="1"/>
  <c r="H388" i="3"/>
  <c r="H388" i="4" s="1"/>
  <c r="T388" i="3"/>
  <c r="T388" i="4" s="1"/>
  <c r="K389" i="3"/>
  <c r="K389" i="4" s="1"/>
  <c r="W389" i="3"/>
  <c r="W389" i="4" s="1"/>
  <c r="B390" i="3"/>
  <c r="B390" i="4" s="1"/>
  <c r="N390" i="3"/>
  <c r="N390" i="4" s="1"/>
  <c r="Z390" i="3"/>
  <c r="Z390" i="4" s="1"/>
  <c r="E391" i="3"/>
  <c r="E391" i="4" s="1"/>
  <c r="Q391" i="3"/>
  <c r="Q391" i="4" s="1"/>
  <c r="H392" i="3"/>
  <c r="H392" i="4" s="1"/>
  <c r="T392" i="3"/>
  <c r="T392" i="4" s="1"/>
  <c r="K393" i="3"/>
  <c r="K393" i="4" s="1"/>
  <c r="W393" i="3"/>
  <c r="W393" i="4" s="1"/>
  <c r="B394" i="3"/>
  <c r="B394" i="4" s="1"/>
  <c r="N394" i="3"/>
  <c r="N394" i="4" s="1"/>
  <c r="Z394" i="3"/>
  <c r="Z394" i="4" s="1"/>
  <c r="E395" i="3"/>
  <c r="E395" i="4" s="1"/>
  <c r="Q395" i="3"/>
  <c r="Q395" i="4" s="1"/>
  <c r="H396" i="3"/>
  <c r="H396" i="4" s="1"/>
  <c r="T396" i="3"/>
  <c r="T396" i="4" s="1"/>
  <c r="K397" i="3"/>
  <c r="K397" i="4" s="1"/>
  <c r="W397" i="3"/>
  <c r="W397" i="4" s="1"/>
  <c r="B398" i="3"/>
  <c r="B398" i="4" s="1"/>
  <c r="N398" i="3"/>
  <c r="N398" i="4" s="1"/>
  <c r="Z398" i="3"/>
  <c r="Z398" i="4" s="1"/>
  <c r="E399" i="3"/>
  <c r="E399" i="4" s="1"/>
  <c r="Q399" i="3"/>
  <c r="Q399" i="4" s="1"/>
  <c r="H400" i="3"/>
  <c r="H400" i="4" s="1"/>
  <c r="T400" i="3"/>
  <c r="T400" i="4" s="1"/>
  <c r="K401" i="3"/>
  <c r="K401" i="4" s="1"/>
  <c r="W401" i="3"/>
  <c r="W401" i="4" s="1"/>
  <c r="B402" i="3"/>
  <c r="B402" i="4" s="1"/>
  <c r="N402" i="3"/>
  <c r="N402" i="4" s="1"/>
  <c r="Z402" i="3"/>
  <c r="Z402" i="4" s="1"/>
  <c r="E403" i="3"/>
  <c r="E403" i="4" s="1"/>
  <c r="Q403" i="3"/>
  <c r="Q403" i="4" s="1"/>
  <c r="H404" i="3"/>
  <c r="H404" i="4" s="1"/>
  <c r="T404" i="3"/>
  <c r="T404" i="4" s="1"/>
  <c r="K405" i="3"/>
  <c r="K405" i="4" s="1"/>
  <c r="W405" i="3"/>
  <c r="W405" i="4" s="1"/>
  <c r="B406" i="3"/>
  <c r="B406" i="4" s="1"/>
  <c r="N406" i="3"/>
  <c r="N406" i="4" s="1"/>
  <c r="Z406" i="3"/>
  <c r="Z406" i="4" s="1"/>
  <c r="E407" i="3"/>
  <c r="E407" i="4" s="1"/>
  <c r="Q407" i="3"/>
  <c r="Q407" i="4" s="1"/>
  <c r="H408" i="3"/>
  <c r="H408" i="4" s="1"/>
  <c r="T408" i="3"/>
  <c r="T408" i="4" s="1"/>
  <c r="K409" i="3"/>
  <c r="K409" i="4" s="1"/>
  <c r="W409" i="3"/>
  <c r="W409" i="4" s="1"/>
  <c r="B410" i="3"/>
  <c r="B410" i="4" s="1"/>
  <c r="N410" i="3"/>
  <c r="N410" i="4" s="1"/>
  <c r="Z410" i="3"/>
  <c r="Z410" i="4" s="1"/>
  <c r="E411" i="3"/>
  <c r="E411" i="4" s="1"/>
  <c r="Q411" i="3"/>
  <c r="Q411" i="4" s="1"/>
  <c r="H412" i="3"/>
  <c r="H412" i="4" s="1"/>
  <c r="T412" i="3"/>
  <c r="T412" i="4" s="1"/>
  <c r="K413" i="3"/>
  <c r="K413" i="4" s="1"/>
  <c r="W413" i="3"/>
  <c r="W413" i="4" s="1"/>
  <c r="B414" i="3"/>
  <c r="B414" i="4" s="1"/>
  <c r="N414" i="3"/>
  <c r="N414" i="4" s="1"/>
  <c r="Z414" i="3"/>
  <c r="Z414" i="4" s="1"/>
  <c r="E415" i="3"/>
  <c r="E415" i="4" s="1"/>
  <c r="Q415" i="3"/>
  <c r="Q415" i="4" s="1"/>
  <c r="H416" i="3"/>
  <c r="H416" i="4" s="1"/>
  <c r="T416" i="3"/>
  <c r="T416" i="4" s="1"/>
  <c r="K417" i="3"/>
  <c r="K417" i="4" s="1"/>
  <c r="W417" i="3"/>
  <c r="W417" i="4" s="1"/>
  <c r="B418" i="3"/>
  <c r="B418" i="4" s="1"/>
  <c r="N418" i="3"/>
  <c r="N418" i="4" s="1"/>
  <c r="Z418" i="3"/>
  <c r="Z418" i="4" s="1"/>
  <c r="E419" i="3"/>
  <c r="E419" i="4" s="1"/>
  <c r="Q419" i="3"/>
  <c r="Q419" i="4" s="1"/>
  <c r="H420" i="3"/>
  <c r="H420" i="4" s="1"/>
  <c r="T420" i="3"/>
  <c r="T420" i="4" s="1"/>
  <c r="K421" i="3"/>
  <c r="K421" i="4" s="1"/>
  <c r="W421" i="3"/>
  <c r="W421" i="4" s="1"/>
  <c r="B422" i="3"/>
  <c r="B422" i="4" s="1"/>
  <c r="N422" i="3"/>
  <c r="N422" i="4" s="1"/>
  <c r="Z422" i="3"/>
  <c r="Z422" i="4" s="1"/>
  <c r="E423" i="3"/>
  <c r="E423" i="4" s="1"/>
  <c r="Q423" i="3"/>
  <c r="Q423" i="4" s="1"/>
  <c r="H424" i="3"/>
  <c r="H424" i="4" s="1"/>
  <c r="T424" i="3"/>
  <c r="T424" i="4" s="1"/>
  <c r="K425" i="3"/>
  <c r="K425" i="4" s="1"/>
  <c r="W425" i="3"/>
  <c r="W425" i="4" s="1"/>
  <c r="B426" i="3"/>
  <c r="B426" i="4" s="1"/>
  <c r="N426" i="3"/>
  <c r="N426" i="4" s="1"/>
  <c r="Z426" i="3"/>
  <c r="Z426" i="4" s="1"/>
  <c r="E427" i="3"/>
  <c r="E427" i="4" s="1"/>
  <c r="Q427" i="3"/>
  <c r="Q427" i="4" s="1"/>
  <c r="H428" i="3"/>
  <c r="H428" i="4" s="1"/>
  <c r="T428" i="3"/>
  <c r="T428" i="4" s="1"/>
  <c r="K429" i="3"/>
  <c r="K429" i="4" s="1"/>
  <c r="W429" i="3"/>
  <c r="W429" i="4" s="1"/>
  <c r="B430" i="3"/>
  <c r="B430" i="4" s="1"/>
  <c r="N430" i="3"/>
  <c r="N430" i="4" s="1"/>
  <c r="Z430" i="3"/>
  <c r="Z430" i="4" s="1"/>
  <c r="E431" i="3"/>
  <c r="E431" i="4" s="1"/>
  <c r="Q431" i="3"/>
  <c r="Q431" i="4" s="1"/>
  <c r="H432" i="3"/>
  <c r="H432" i="4" s="1"/>
  <c r="T432" i="3"/>
  <c r="T432" i="4" s="1"/>
  <c r="K433" i="3"/>
  <c r="K433" i="4" s="1"/>
  <c r="W433" i="3"/>
  <c r="W433" i="4" s="1"/>
  <c r="B434" i="3"/>
  <c r="B434" i="4" s="1"/>
  <c r="N434" i="3"/>
  <c r="N434" i="4" s="1"/>
  <c r="Z434" i="3"/>
  <c r="Z434" i="4" s="1"/>
  <c r="E435" i="3"/>
  <c r="E435" i="4" s="1"/>
  <c r="Q435" i="3"/>
  <c r="Q435" i="4" s="1"/>
  <c r="H436" i="3"/>
  <c r="H436" i="4" s="1"/>
  <c r="T436" i="3"/>
  <c r="T436" i="4" s="1"/>
  <c r="K437" i="3"/>
  <c r="K437" i="4" s="1"/>
  <c r="W437" i="3"/>
  <c r="W437" i="4" s="1"/>
  <c r="B438" i="3"/>
  <c r="B438" i="4" s="1"/>
  <c r="N438" i="3"/>
  <c r="N438" i="4" s="1"/>
  <c r="Z438" i="3"/>
  <c r="Z438" i="4" s="1"/>
  <c r="E439" i="3"/>
  <c r="E439" i="4" s="1"/>
  <c r="Q439" i="3"/>
  <c r="Q439" i="4" s="1"/>
  <c r="H440" i="3"/>
  <c r="H440" i="4" s="1"/>
  <c r="T440" i="3"/>
  <c r="T440" i="4" s="1"/>
  <c r="K441" i="3"/>
  <c r="K441" i="4" s="1"/>
  <c r="W441" i="3"/>
  <c r="W441" i="4" s="1"/>
  <c r="B442" i="3"/>
  <c r="B442" i="4" s="1"/>
  <c r="N442" i="3"/>
  <c r="N442" i="4" s="1"/>
  <c r="Z442" i="3"/>
  <c r="Z442" i="4" s="1"/>
  <c r="E443" i="3"/>
  <c r="E443" i="4" s="1"/>
  <c r="Q443" i="3"/>
  <c r="Q443" i="4" s="1"/>
  <c r="H444" i="3"/>
  <c r="H444" i="4" s="1"/>
  <c r="T444" i="3"/>
  <c r="T444" i="4" s="1"/>
  <c r="K445" i="3"/>
  <c r="K445" i="4" s="1"/>
  <c r="W445" i="3"/>
  <c r="W445" i="4" s="1"/>
  <c r="B446" i="3"/>
  <c r="B446" i="4" s="1"/>
  <c r="N446" i="3"/>
  <c r="N446" i="4" s="1"/>
  <c r="Z446" i="3"/>
  <c r="Z446" i="4" s="1"/>
  <c r="E447" i="3"/>
  <c r="E447" i="4" s="1"/>
  <c r="Q447" i="3"/>
  <c r="Q447" i="4" s="1"/>
  <c r="H448" i="3"/>
  <c r="H448" i="4" s="1"/>
  <c r="T448" i="3"/>
  <c r="T448" i="4" s="1"/>
  <c r="K449" i="3"/>
  <c r="K449" i="4" s="1"/>
  <c r="W449" i="3"/>
  <c r="W449" i="4" s="1"/>
  <c r="B450" i="3"/>
  <c r="B450" i="4" s="1"/>
  <c r="N450" i="3"/>
  <c r="N450" i="4" s="1"/>
  <c r="Z450" i="3"/>
  <c r="Z450" i="4" s="1"/>
  <c r="E451" i="3"/>
  <c r="E451" i="4" s="1"/>
  <c r="Q451" i="3"/>
  <c r="Q451" i="4" s="1"/>
  <c r="H452" i="3"/>
  <c r="H452" i="4" s="1"/>
  <c r="T452" i="3"/>
  <c r="T452" i="4" s="1"/>
  <c r="K453" i="3"/>
  <c r="K453" i="4" s="1"/>
  <c r="W453" i="3"/>
  <c r="W453" i="4" s="1"/>
  <c r="B454" i="3"/>
  <c r="B454" i="4" s="1"/>
  <c r="N454" i="3"/>
  <c r="N454" i="4" s="1"/>
  <c r="Z454" i="3"/>
  <c r="Z454" i="4" s="1"/>
  <c r="E455" i="3"/>
  <c r="E455" i="4" s="1"/>
  <c r="Q455" i="3"/>
  <c r="Q455" i="4" s="1"/>
  <c r="H456" i="3"/>
  <c r="H456" i="4" s="1"/>
  <c r="T456" i="3"/>
  <c r="T456" i="4" s="1"/>
  <c r="K457" i="3"/>
  <c r="K457" i="4" s="1"/>
  <c r="W457" i="3"/>
  <c r="W457" i="4" s="1"/>
  <c r="B458" i="3"/>
  <c r="B458" i="4" s="1"/>
  <c r="N458" i="3"/>
  <c r="N458" i="4" s="1"/>
  <c r="Z458" i="3"/>
  <c r="Z458" i="4" s="1"/>
  <c r="E459" i="3"/>
  <c r="E459" i="4" s="1"/>
  <c r="Q459" i="3"/>
  <c r="Q459" i="4" s="1"/>
  <c r="H460" i="3"/>
  <c r="H460" i="4" s="1"/>
  <c r="T460" i="3"/>
  <c r="T460" i="4" s="1"/>
  <c r="K461" i="3"/>
  <c r="K461" i="4" s="1"/>
  <c r="W461" i="3"/>
  <c r="W461" i="4" s="1"/>
  <c r="B462" i="3"/>
  <c r="B462" i="4" s="1"/>
  <c r="N462" i="3"/>
  <c r="N462" i="4" s="1"/>
  <c r="Z462" i="3"/>
  <c r="Z462" i="4" s="1"/>
  <c r="E463" i="3"/>
  <c r="E463" i="4" s="1"/>
  <c r="Q463" i="3"/>
  <c r="Q463" i="4" s="1"/>
  <c r="H464" i="3"/>
  <c r="H464" i="4" s="1"/>
  <c r="T464" i="3"/>
  <c r="T464" i="4" s="1"/>
  <c r="K465" i="3"/>
  <c r="K465" i="4" s="1"/>
  <c r="W465" i="3"/>
  <c r="W465" i="4" s="1"/>
  <c r="B466" i="3"/>
  <c r="B466" i="4" s="1"/>
  <c r="N466" i="3"/>
  <c r="N466" i="4" s="1"/>
  <c r="Z466" i="3"/>
  <c r="Z466" i="4" s="1"/>
  <c r="E467" i="3"/>
  <c r="E467" i="4" s="1"/>
  <c r="Q467" i="3"/>
  <c r="Q467" i="4" s="1"/>
  <c r="H468" i="3"/>
  <c r="H468" i="4" s="1"/>
  <c r="T468" i="3"/>
  <c r="T468" i="4" s="1"/>
  <c r="K469" i="3"/>
  <c r="K469" i="4" s="1"/>
  <c r="W469" i="3"/>
  <c r="W469" i="4" s="1"/>
  <c r="B470" i="3"/>
  <c r="B470" i="4" s="1"/>
  <c r="N470" i="3"/>
  <c r="N470" i="4" s="1"/>
  <c r="Z470" i="3"/>
  <c r="Z470" i="4" s="1"/>
  <c r="E471" i="3"/>
  <c r="E471" i="4" s="1"/>
  <c r="Q471" i="3"/>
  <c r="Q471" i="4" s="1"/>
  <c r="H472" i="3"/>
  <c r="H472" i="4" s="1"/>
  <c r="T472" i="3"/>
  <c r="T472" i="4" s="1"/>
  <c r="K473" i="3"/>
  <c r="K473" i="4" s="1"/>
  <c r="W473" i="3"/>
  <c r="W473" i="4" s="1"/>
  <c r="B474" i="3"/>
  <c r="B474" i="4" s="1"/>
  <c r="N474" i="3"/>
  <c r="N474" i="4" s="1"/>
  <c r="Z474" i="3"/>
  <c r="Z474" i="4" s="1"/>
  <c r="E475" i="3"/>
  <c r="E475" i="4" s="1"/>
  <c r="Q475" i="3"/>
  <c r="Q475" i="4" s="1"/>
  <c r="H476" i="3"/>
  <c r="H476" i="4" s="1"/>
  <c r="T476" i="3"/>
  <c r="T476" i="4" s="1"/>
  <c r="K477" i="3"/>
  <c r="K477" i="4" s="1"/>
  <c r="W477" i="3"/>
  <c r="W477" i="4" s="1"/>
  <c r="B478" i="3"/>
  <c r="B478" i="4" s="1"/>
  <c r="N478" i="3"/>
  <c r="N478" i="4" s="1"/>
  <c r="Z478" i="3"/>
  <c r="Z478" i="4" s="1"/>
  <c r="E479" i="3"/>
  <c r="E479" i="4" s="1"/>
  <c r="Q479" i="3"/>
  <c r="Q479" i="4" s="1"/>
  <c r="H480" i="3"/>
  <c r="H480" i="4" s="1"/>
  <c r="T480" i="3"/>
  <c r="T480" i="4" s="1"/>
  <c r="K481" i="3"/>
  <c r="K481" i="4" s="1"/>
  <c r="W481" i="3"/>
  <c r="W481" i="4" s="1"/>
  <c r="B482" i="3"/>
  <c r="B482" i="4" s="1"/>
  <c r="N482" i="3"/>
  <c r="N482" i="4" s="1"/>
  <c r="Z482" i="3"/>
  <c r="Z482" i="4" s="1"/>
  <c r="E483" i="3"/>
  <c r="E483" i="4" s="1"/>
  <c r="Q483" i="3"/>
  <c r="Q483" i="4" s="1"/>
  <c r="H484" i="3"/>
  <c r="H484" i="4" s="1"/>
  <c r="T484" i="3"/>
  <c r="T484" i="4" s="1"/>
  <c r="K485" i="3"/>
  <c r="K485" i="4" s="1"/>
  <c r="W485" i="3"/>
  <c r="W485" i="4" s="1"/>
  <c r="B486" i="3"/>
  <c r="B486" i="4" s="1"/>
  <c r="N486" i="3"/>
  <c r="N486" i="4" s="1"/>
  <c r="Z486" i="3"/>
  <c r="Z486" i="4" s="1"/>
  <c r="E487" i="3"/>
  <c r="E487" i="4" s="1"/>
  <c r="Q487" i="3"/>
  <c r="Q487" i="4" s="1"/>
  <c r="H488" i="3"/>
  <c r="H488" i="4" s="1"/>
  <c r="T488" i="3"/>
  <c r="T488" i="4" s="1"/>
  <c r="K489" i="3"/>
  <c r="K489" i="4" s="1"/>
  <c r="W489" i="3"/>
  <c r="W489" i="4" s="1"/>
  <c r="B490" i="3"/>
  <c r="B490" i="4" s="1"/>
  <c r="N490" i="3"/>
  <c r="N490" i="4" s="1"/>
  <c r="Z490" i="3"/>
  <c r="Z490" i="4" s="1"/>
  <c r="E491" i="3"/>
  <c r="E491" i="4" s="1"/>
  <c r="Q491" i="3"/>
  <c r="Q491" i="4" s="1"/>
  <c r="H492" i="3"/>
  <c r="H492" i="4" s="1"/>
  <c r="T492" i="3"/>
  <c r="T492" i="4" s="1"/>
  <c r="K493" i="3"/>
  <c r="K493" i="4" s="1"/>
  <c r="W493" i="3"/>
  <c r="W493" i="4" s="1"/>
  <c r="B494" i="3"/>
  <c r="B494" i="4" s="1"/>
  <c r="N494" i="3"/>
  <c r="N494" i="4" s="1"/>
  <c r="Z494" i="3"/>
  <c r="Z494" i="4" s="1"/>
  <c r="E495" i="3"/>
  <c r="E495" i="4" s="1"/>
  <c r="Q495" i="3"/>
  <c r="Q495" i="4" s="1"/>
  <c r="H496" i="3"/>
  <c r="H496" i="4" s="1"/>
  <c r="T496" i="3"/>
  <c r="T496" i="4" s="1"/>
  <c r="K497" i="3"/>
  <c r="K497" i="4" s="1"/>
  <c r="W497" i="3"/>
  <c r="W497" i="4" s="1"/>
  <c r="B498" i="3"/>
  <c r="B498" i="4" s="1"/>
  <c r="N498" i="3"/>
  <c r="N498" i="4" s="1"/>
  <c r="Z498" i="3"/>
  <c r="Z498" i="4" s="1"/>
  <c r="E499" i="3"/>
  <c r="E499" i="4" s="1"/>
  <c r="Q499" i="3"/>
  <c r="Q499" i="4" s="1"/>
  <c r="H500" i="3"/>
  <c r="H500" i="4" s="1"/>
  <c r="T500" i="3"/>
  <c r="T500" i="4" s="1"/>
  <c r="K501" i="3"/>
  <c r="K501" i="4" s="1"/>
  <c r="W501" i="3"/>
  <c r="W501" i="4" s="1"/>
  <c r="B502" i="3"/>
  <c r="B502" i="4" s="1"/>
  <c r="N502" i="3"/>
  <c r="N502" i="4" s="1"/>
  <c r="Z502" i="3"/>
  <c r="Z502" i="4" s="1"/>
  <c r="E503" i="3"/>
  <c r="E503" i="4" s="1"/>
  <c r="Q503" i="3"/>
  <c r="Q503" i="4" s="1"/>
  <c r="H504" i="3"/>
  <c r="H504" i="4" s="1"/>
  <c r="T504" i="3"/>
  <c r="T504" i="4" s="1"/>
  <c r="K505" i="3"/>
  <c r="K505" i="4" s="1"/>
  <c r="W505" i="3"/>
  <c r="W505" i="4" s="1"/>
  <c r="B506" i="3"/>
  <c r="B506" i="4" s="1"/>
  <c r="N506" i="3"/>
  <c r="N506" i="4" s="1"/>
  <c r="Z506" i="3"/>
  <c r="Z506" i="4" s="1"/>
  <c r="E507" i="3"/>
  <c r="E507" i="4" s="1"/>
  <c r="Q507" i="3"/>
  <c r="Q507" i="4" s="1"/>
  <c r="H508" i="3"/>
  <c r="H508" i="4" s="1"/>
  <c r="T508" i="3"/>
  <c r="T508" i="4" s="1"/>
  <c r="K509" i="3"/>
  <c r="K509" i="4" s="1"/>
  <c r="W509" i="3"/>
  <c r="W509" i="4" s="1"/>
  <c r="B510" i="3"/>
  <c r="B510" i="4" s="1"/>
  <c r="N510" i="3"/>
  <c r="N510" i="4" s="1"/>
  <c r="Z510" i="3"/>
  <c r="Z510" i="4" s="1"/>
  <c r="E511" i="3"/>
  <c r="E511" i="4" s="1"/>
  <c r="Q511" i="3"/>
  <c r="Q511" i="4" s="1"/>
  <c r="H512" i="3"/>
  <c r="H512" i="4" s="1"/>
  <c r="T512" i="3"/>
  <c r="T512" i="4" s="1"/>
  <c r="K513" i="3"/>
  <c r="K513" i="4" s="1"/>
  <c r="W513" i="3"/>
  <c r="W513" i="4" s="1"/>
  <c r="B514" i="3"/>
  <c r="B514" i="4" s="1"/>
  <c r="N514" i="3"/>
  <c r="N514" i="4" s="1"/>
  <c r="Z514" i="3"/>
  <c r="Z514" i="4" s="1"/>
  <c r="E515" i="3"/>
  <c r="E515" i="4" s="1"/>
  <c r="Q515" i="3"/>
  <c r="Q515" i="4" s="1"/>
  <c r="H516" i="3"/>
  <c r="H516" i="4" s="1"/>
  <c r="T516" i="3"/>
  <c r="T516" i="4" s="1"/>
  <c r="K517" i="3"/>
  <c r="K517" i="4" s="1"/>
  <c r="W517" i="3"/>
  <c r="W517" i="4" s="1"/>
  <c r="B518" i="3"/>
  <c r="B518" i="4" s="1"/>
  <c r="N518" i="3"/>
  <c r="N518" i="4" s="1"/>
  <c r="Z518" i="3"/>
  <c r="Z518" i="4" s="1"/>
  <c r="E519" i="3"/>
  <c r="E519" i="4" s="1"/>
  <c r="Q519" i="3"/>
  <c r="Q519" i="4" s="1"/>
  <c r="H520" i="3"/>
  <c r="H520" i="4" s="1"/>
  <c r="T520" i="3"/>
  <c r="T520" i="4" s="1"/>
  <c r="K521" i="3"/>
  <c r="K521" i="4" s="1"/>
  <c r="W521" i="3"/>
  <c r="W521" i="4" s="1"/>
  <c r="B522" i="3"/>
  <c r="B522" i="4" s="1"/>
  <c r="N522" i="3"/>
  <c r="N522" i="4" s="1"/>
  <c r="Z522" i="3"/>
  <c r="Z522" i="4" s="1"/>
  <c r="E523" i="3"/>
  <c r="E523" i="4" s="1"/>
  <c r="Q523" i="3"/>
  <c r="Q523" i="4" s="1"/>
  <c r="H524" i="3"/>
  <c r="H524" i="4" s="1"/>
  <c r="T524" i="3"/>
  <c r="T524" i="4" s="1"/>
  <c r="K525" i="3"/>
  <c r="K525" i="4" s="1"/>
  <c r="W525" i="3"/>
  <c r="W525" i="4" s="1"/>
  <c r="B526" i="3"/>
  <c r="B526" i="4" s="1"/>
  <c r="N526" i="3"/>
  <c r="N526" i="4" s="1"/>
  <c r="Z526" i="3"/>
  <c r="Z526" i="4" s="1"/>
  <c r="E527" i="3"/>
  <c r="E527" i="4" s="1"/>
  <c r="Q527" i="3"/>
  <c r="Q527" i="4" s="1"/>
  <c r="H528" i="3"/>
  <c r="H528" i="4" s="1"/>
  <c r="T528" i="3"/>
  <c r="T528" i="4" s="1"/>
  <c r="K529" i="3"/>
  <c r="K529" i="4" s="1"/>
  <c r="W529" i="3"/>
  <c r="W529" i="4" s="1"/>
  <c r="B530" i="3"/>
  <c r="B530" i="4" s="1"/>
  <c r="N530" i="3"/>
  <c r="N530" i="4" s="1"/>
  <c r="Z530" i="3"/>
  <c r="Z530" i="4" s="1"/>
  <c r="E531" i="3"/>
  <c r="E531" i="4" s="1"/>
  <c r="Q531" i="3"/>
  <c r="Q531" i="4" s="1"/>
  <c r="H532" i="3"/>
  <c r="H532" i="4" s="1"/>
  <c r="T532" i="3"/>
  <c r="T532" i="4" s="1"/>
  <c r="K533" i="3"/>
  <c r="K533" i="4" s="1"/>
  <c r="W533" i="3"/>
  <c r="W533" i="4" s="1"/>
  <c r="B534" i="3"/>
  <c r="B534" i="4" s="1"/>
  <c r="N534" i="3"/>
  <c r="N534" i="4" s="1"/>
  <c r="Z534" i="3"/>
  <c r="Z534" i="4" s="1"/>
  <c r="E535" i="3"/>
  <c r="E535" i="4" s="1"/>
  <c r="Q535" i="3"/>
  <c r="Q535" i="4" s="1"/>
  <c r="H536" i="3"/>
  <c r="H536" i="4" s="1"/>
  <c r="T536" i="3"/>
  <c r="T536" i="4" s="1"/>
  <c r="K537" i="3"/>
  <c r="K537" i="4" s="1"/>
  <c r="W537" i="3"/>
  <c r="W537" i="4" s="1"/>
  <c r="B538" i="3"/>
  <c r="B538" i="4" s="1"/>
  <c r="N538" i="3"/>
  <c r="N538" i="4" s="1"/>
  <c r="Z538" i="3"/>
  <c r="Z538" i="4" s="1"/>
  <c r="E539" i="3"/>
  <c r="E539" i="4" s="1"/>
  <c r="Q539" i="3"/>
  <c r="Q539" i="4" s="1"/>
  <c r="H540" i="3"/>
  <c r="H540" i="4" s="1"/>
  <c r="T540" i="3"/>
  <c r="T540" i="4" s="1"/>
  <c r="K541" i="3"/>
  <c r="K541" i="4" s="1"/>
  <c r="W541" i="3"/>
  <c r="W541" i="4" s="1"/>
  <c r="B542" i="3"/>
  <c r="B542" i="4" s="1"/>
  <c r="N542" i="3"/>
  <c r="N542" i="4" s="1"/>
  <c r="Z542" i="3"/>
  <c r="Z542" i="4" s="1"/>
  <c r="E543" i="3"/>
  <c r="E543" i="4" s="1"/>
  <c r="Q543" i="3"/>
  <c r="Q543" i="4" s="1"/>
  <c r="H544" i="3"/>
  <c r="H544" i="4" s="1"/>
  <c r="T544" i="3"/>
  <c r="T544" i="4" s="1"/>
  <c r="K545" i="3"/>
  <c r="K545" i="4" s="1"/>
  <c r="W545" i="3"/>
  <c r="W545" i="4" s="1"/>
  <c r="B546" i="3"/>
  <c r="B546" i="4" s="1"/>
  <c r="N546" i="3"/>
  <c r="N546" i="4" s="1"/>
  <c r="Z546" i="3"/>
  <c r="Z546" i="4" s="1"/>
  <c r="E547" i="3"/>
  <c r="E547" i="4" s="1"/>
  <c r="Q547" i="3"/>
  <c r="Q547" i="4" s="1"/>
  <c r="H548" i="3"/>
  <c r="H548" i="4" s="1"/>
  <c r="T548" i="3"/>
  <c r="T548" i="4" s="1"/>
  <c r="K549" i="3"/>
  <c r="K549" i="4" s="1"/>
  <c r="W549" i="3"/>
  <c r="W549" i="4" s="1"/>
  <c r="B550" i="3"/>
  <c r="B550" i="4" s="1"/>
  <c r="N550" i="3"/>
  <c r="N550" i="4" s="1"/>
  <c r="Z550" i="3"/>
  <c r="Z550" i="4" s="1"/>
  <c r="E551" i="3"/>
  <c r="E551" i="4" s="1"/>
  <c r="Q551" i="3"/>
  <c r="Q551" i="4" s="1"/>
  <c r="U312" i="3"/>
  <c r="U312" i="4" s="1"/>
  <c r="L313" i="3"/>
  <c r="L313" i="4" s="1"/>
  <c r="X313" i="3"/>
  <c r="X313" i="4" s="1"/>
  <c r="C314" i="3"/>
  <c r="C314" i="4" s="1"/>
  <c r="O314" i="3"/>
  <c r="O314" i="4" s="1"/>
  <c r="AA314" i="3"/>
  <c r="AA314" i="4" s="1"/>
  <c r="F315" i="3"/>
  <c r="F315" i="4" s="1"/>
  <c r="R315" i="3"/>
  <c r="R315" i="4" s="1"/>
  <c r="I316" i="3"/>
  <c r="I316" i="4" s="1"/>
  <c r="U316" i="3"/>
  <c r="U316" i="4" s="1"/>
  <c r="L317" i="3"/>
  <c r="L317" i="4" s="1"/>
  <c r="X317" i="3"/>
  <c r="X317" i="4" s="1"/>
  <c r="C318" i="3"/>
  <c r="C318" i="4" s="1"/>
  <c r="O318" i="3"/>
  <c r="O318" i="4" s="1"/>
  <c r="AA318" i="3"/>
  <c r="AA318" i="4" s="1"/>
  <c r="F319" i="3"/>
  <c r="F319" i="4" s="1"/>
  <c r="R319" i="3"/>
  <c r="R319" i="4" s="1"/>
  <c r="I320" i="3"/>
  <c r="I320" i="4" s="1"/>
  <c r="U320" i="3"/>
  <c r="U320" i="4" s="1"/>
  <c r="L321" i="3"/>
  <c r="L321" i="4" s="1"/>
  <c r="X321" i="3"/>
  <c r="X321" i="4" s="1"/>
  <c r="C322" i="3"/>
  <c r="C322" i="4" s="1"/>
  <c r="O322" i="3"/>
  <c r="O322" i="4" s="1"/>
  <c r="AA322" i="3"/>
  <c r="AA322" i="4" s="1"/>
  <c r="F323" i="3"/>
  <c r="F323" i="4" s="1"/>
  <c r="R323" i="3"/>
  <c r="R323" i="4" s="1"/>
  <c r="I324" i="3"/>
  <c r="I324" i="4" s="1"/>
  <c r="U324" i="3"/>
  <c r="U324" i="4" s="1"/>
  <c r="L325" i="3"/>
  <c r="L325" i="4" s="1"/>
  <c r="X325" i="3"/>
  <c r="X325" i="4" s="1"/>
  <c r="C326" i="3"/>
  <c r="C326" i="4" s="1"/>
  <c r="O326" i="3"/>
  <c r="O326" i="4" s="1"/>
  <c r="AA326" i="3"/>
  <c r="AA326" i="4" s="1"/>
  <c r="F327" i="3"/>
  <c r="F327" i="4" s="1"/>
  <c r="R327" i="3"/>
  <c r="R327" i="4" s="1"/>
  <c r="I328" i="3"/>
  <c r="I328" i="4" s="1"/>
  <c r="U328" i="3"/>
  <c r="U328" i="4" s="1"/>
  <c r="L329" i="3"/>
  <c r="L329" i="4" s="1"/>
  <c r="X329" i="3"/>
  <c r="X329" i="4" s="1"/>
  <c r="C330" i="3"/>
  <c r="C330" i="4" s="1"/>
  <c r="O330" i="3"/>
  <c r="O330" i="4" s="1"/>
  <c r="AA330" i="3"/>
  <c r="AA330" i="4" s="1"/>
  <c r="F331" i="3"/>
  <c r="F331" i="4" s="1"/>
  <c r="R331" i="3"/>
  <c r="R331" i="4" s="1"/>
  <c r="I332" i="3"/>
  <c r="I332" i="4" s="1"/>
  <c r="U332" i="3"/>
  <c r="U332" i="4" s="1"/>
  <c r="L333" i="3"/>
  <c r="L333" i="4" s="1"/>
  <c r="X333" i="3"/>
  <c r="X333" i="4" s="1"/>
  <c r="C334" i="3"/>
  <c r="C334" i="4" s="1"/>
  <c r="O334" i="3"/>
  <c r="O334" i="4" s="1"/>
  <c r="AA334" i="3"/>
  <c r="AA334" i="4" s="1"/>
  <c r="F335" i="3"/>
  <c r="F335" i="4" s="1"/>
  <c r="R335" i="3"/>
  <c r="R335" i="4" s="1"/>
  <c r="I336" i="3"/>
  <c r="I336" i="4" s="1"/>
  <c r="U336" i="3"/>
  <c r="U336" i="4" s="1"/>
  <c r="L337" i="3"/>
  <c r="L337" i="4" s="1"/>
  <c r="X337" i="3"/>
  <c r="X337" i="4" s="1"/>
  <c r="C338" i="3"/>
  <c r="C338" i="4" s="1"/>
  <c r="O338" i="3"/>
  <c r="O338" i="4" s="1"/>
  <c r="AA338" i="3"/>
  <c r="AA338" i="4" s="1"/>
  <c r="F339" i="3"/>
  <c r="F339" i="4" s="1"/>
  <c r="R339" i="3"/>
  <c r="R339" i="4" s="1"/>
  <c r="I340" i="3"/>
  <c r="I340" i="4" s="1"/>
  <c r="U340" i="3"/>
  <c r="U340" i="4" s="1"/>
  <c r="L341" i="3"/>
  <c r="L341" i="4" s="1"/>
  <c r="X341" i="3"/>
  <c r="X341" i="4" s="1"/>
  <c r="C342" i="3"/>
  <c r="C342" i="4" s="1"/>
  <c r="O342" i="3"/>
  <c r="O342" i="4" s="1"/>
  <c r="AA342" i="3"/>
  <c r="AA342" i="4" s="1"/>
  <c r="F343" i="3"/>
  <c r="F343" i="4" s="1"/>
  <c r="R343" i="3"/>
  <c r="R343" i="4" s="1"/>
  <c r="I344" i="3"/>
  <c r="I344" i="4" s="1"/>
  <c r="U344" i="3"/>
  <c r="U344" i="4" s="1"/>
  <c r="L345" i="3"/>
  <c r="L345" i="4" s="1"/>
  <c r="X345" i="3"/>
  <c r="X345" i="4" s="1"/>
  <c r="C346" i="3"/>
  <c r="C346" i="4" s="1"/>
  <c r="O346" i="3"/>
  <c r="O346" i="4" s="1"/>
  <c r="AA346" i="3"/>
  <c r="AA346" i="4" s="1"/>
  <c r="F347" i="3"/>
  <c r="F347" i="4" s="1"/>
  <c r="R347" i="3"/>
  <c r="R347" i="4" s="1"/>
  <c r="I348" i="3"/>
  <c r="I348" i="4" s="1"/>
  <c r="U348" i="3"/>
  <c r="U348" i="4" s="1"/>
  <c r="L349" i="3"/>
  <c r="L349" i="4" s="1"/>
  <c r="X349" i="3"/>
  <c r="X349" i="4" s="1"/>
  <c r="C350" i="3"/>
  <c r="C350" i="4" s="1"/>
  <c r="O350" i="3"/>
  <c r="O350" i="4" s="1"/>
  <c r="AA350" i="3"/>
  <c r="AA350" i="4" s="1"/>
  <c r="F351" i="3"/>
  <c r="F351" i="4" s="1"/>
  <c r="R351" i="3"/>
  <c r="R351" i="4" s="1"/>
  <c r="I352" i="3"/>
  <c r="I352" i="4" s="1"/>
  <c r="U352" i="3"/>
  <c r="U352" i="4" s="1"/>
  <c r="L353" i="3"/>
  <c r="L353" i="4" s="1"/>
  <c r="X353" i="3"/>
  <c r="X353" i="4" s="1"/>
  <c r="C354" i="3"/>
  <c r="C354" i="4" s="1"/>
  <c r="O354" i="3"/>
  <c r="O354" i="4" s="1"/>
  <c r="AA354" i="3"/>
  <c r="AA354" i="4" s="1"/>
  <c r="F355" i="3"/>
  <c r="F355" i="4" s="1"/>
  <c r="R355" i="3"/>
  <c r="R355" i="4" s="1"/>
  <c r="I356" i="3"/>
  <c r="I356" i="4" s="1"/>
  <c r="U356" i="3"/>
  <c r="U356" i="4" s="1"/>
  <c r="L357" i="3"/>
  <c r="L357" i="4" s="1"/>
  <c r="X357" i="3"/>
  <c r="X357" i="4" s="1"/>
  <c r="C358" i="3"/>
  <c r="C358" i="4" s="1"/>
  <c r="O358" i="3"/>
  <c r="O358" i="4" s="1"/>
  <c r="AA358" i="3"/>
  <c r="AA358" i="4" s="1"/>
  <c r="F359" i="3"/>
  <c r="F359" i="4" s="1"/>
  <c r="R359" i="3"/>
  <c r="R359" i="4" s="1"/>
  <c r="I360" i="3"/>
  <c r="I360" i="4" s="1"/>
  <c r="U360" i="3"/>
  <c r="U360" i="4" s="1"/>
  <c r="L361" i="3"/>
  <c r="L361" i="4" s="1"/>
  <c r="X361" i="3"/>
  <c r="X361" i="4" s="1"/>
  <c r="C362" i="3"/>
  <c r="C362" i="4" s="1"/>
  <c r="O362" i="3"/>
  <c r="O362" i="4" s="1"/>
  <c r="AA362" i="3"/>
  <c r="AA362" i="4" s="1"/>
  <c r="F363" i="3"/>
  <c r="F363" i="4" s="1"/>
  <c r="R363" i="3"/>
  <c r="R363" i="4" s="1"/>
  <c r="I364" i="3"/>
  <c r="I364" i="4" s="1"/>
  <c r="U364" i="3"/>
  <c r="U364" i="4" s="1"/>
  <c r="L365" i="3"/>
  <c r="L365" i="4" s="1"/>
  <c r="X365" i="3"/>
  <c r="X365" i="4" s="1"/>
  <c r="C366" i="3"/>
  <c r="C366" i="4" s="1"/>
  <c r="O366" i="3"/>
  <c r="O366" i="4" s="1"/>
  <c r="AA366" i="3"/>
  <c r="AA366" i="4" s="1"/>
  <c r="F367" i="3"/>
  <c r="F367" i="4" s="1"/>
  <c r="R367" i="3"/>
  <c r="R367" i="4" s="1"/>
  <c r="I368" i="3"/>
  <c r="I368" i="4" s="1"/>
  <c r="U368" i="3"/>
  <c r="U368" i="4" s="1"/>
  <c r="L369" i="3"/>
  <c r="L369" i="4" s="1"/>
  <c r="X369" i="3"/>
  <c r="X369" i="4" s="1"/>
  <c r="C370" i="3"/>
  <c r="C370" i="4" s="1"/>
  <c r="O370" i="3"/>
  <c r="O370" i="4" s="1"/>
  <c r="AA370" i="3"/>
  <c r="AA370" i="4" s="1"/>
  <c r="F371" i="3"/>
  <c r="F371" i="4" s="1"/>
  <c r="R371" i="3"/>
  <c r="R371" i="4" s="1"/>
  <c r="I372" i="3"/>
  <c r="I372" i="4" s="1"/>
  <c r="U372" i="3"/>
  <c r="U372" i="4" s="1"/>
  <c r="L373" i="3"/>
  <c r="L373" i="4" s="1"/>
  <c r="X373" i="3"/>
  <c r="X373" i="4" s="1"/>
  <c r="C374" i="3"/>
  <c r="C374" i="4" s="1"/>
  <c r="O374" i="3"/>
  <c r="O374" i="4" s="1"/>
  <c r="AA374" i="3"/>
  <c r="AA374" i="4" s="1"/>
  <c r="F375" i="3"/>
  <c r="F375" i="4" s="1"/>
  <c r="R375" i="3"/>
  <c r="R375" i="4" s="1"/>
  <c r="I376" i="3"/>
  <c r="I376" i="4" s="1"/>
  <c r="U376" i="3"/>
  <c r="U376" i="4" s="1"/>
  <c r="L377" i="3"/>
  <c r="L377" i="4" s="1"/>
  <c r="X377" i="3"/>
  <c r="X377" i="4" s="1"/>
  <c r="C378" i="3"/>
  <c r="C378" i="4" s="1"/>
  <c r="O378" i="3"/>
  <c r="O378" i="4" s="1"/>
  <c r="AA378" i="3"/>
  <c r="AA378" i="4" s="1"/>
  <c r="F379" i="3"/>
  <c r="F379" i="4" s="1"/>
  <c r="R379" i="3"/>
  <c r="R379" i="4" s="1"/>
  <c r="I380" i="3"/>
  <c r="I380" i="4" s="1"/>
  <c r="U380" i="3"/>
  <c r="U380" i="4" s="1"/>
  <c r="L381" i="3"/>
  <c r="L381" i="4" s="1"/>
  <c r="X381" i="3"/>
  <c r="X381" i="4" s="1"/>
  <c r="C382" i="3"/>
  <c r="C382" i="4" s="1"/>
  <c r="O382" i="3"/>
  <c r="O382" i="4" s="1"/>
  <c r="AA382" i="3"/>
  <c r="AA382" i="4" s="1"/>
  <c r="F383" i="3"/>
  <c r="F383" i="4" s="1"/>
  <c r="R383" i="3"/>
  <c r="R383" i="4" s="1"/>
  <c r="I384" i="3"/>
  <c r="I384" i="4" s="1"/>
  <c r="U384" i="3"/>
  <c r="U384" i="4" s="1"/>
  <c r="L385" i="3"/>
  <c r="L385" i="4" s="1"/>
  <c r="X385" i="3"/>
  <c r="X385" i="4" s="1"/>
  <c r="C386" i="3"/>
  <c r="C386" i="4" s="1"/>
  <c r="O386" i="3"/>
  <c r="O386" i="4" s="1"/>
  <c r="AA386" i="3"/>
  <c r="AA386" i="4" s="1"/>
  <c r="F387" i="3"/>
  <c r="F387" i="4" s="1"/>
  <c r="R387" i="3"/>
  <c r="R387" i="4" s="1"/>
  <c r="I388" i="3"/>
  <c r="I388" i="4" s="1"/>
  <c r="U388" i="3"/>
  <c r="U388" i="4" s="1"/>
  <c r="L389" i="3"/>
  <c r="L389" i="4" s="1"/>
  <c r="X389" i="3"/>
  <c r="X389" i="4" s="1"/>
  <c r="C390" i="3"/>
  <c r="C390" i="4" s="1"/>
  <c r="O390" i="3"/>
  <c r="O390" i="4" s="1"/>
  <c r="AA390" i="3"/>
  <c r="AA390" i="4" s="1"/>
  <c r="F391" i="3"/>
  <c r="F391" i="4" s="1"/>
  <c r="R391" i="3"/>
  <c r="R391" i="4" s="1"/>
  <c r="I392" i="3"/>
  <c r="I392" i="4" s="1"/>
  <c r="U392" i="3"/>
  <c r="U392" i="4" s="1"/>
  <c r="L393" i="3"/>
  <c r="L393" i="4" s="1"/>
  <c r="X393" i="3"/>
  <c r="X393" i="4" s="1"/>
  <c r="C394" i="3"/>
  <c r="C394" i="4" s="1"/>
  <c r="O394" i="3"/>
  <c r="O394" i="4" s="1"/>
  <c r="AA394" i="3"/>
  <c r="AA394" i="4" s="1"/>
  <c r="F395" i="3"/>
  <c r="F395" i="4" s="1"/>
  <c r="R395" i="3"/>
  <c r="R395" i="4" s="1"/>
  <c r="I396" i="3"/>
  <c r="I396" i="4" s="1"/>
  <c r="U396" i="3"/>
  <c r="U396" i="4" s="1"/>
  <c r="L397" i="3"/>
  <c r="L397" i="4" s="1"/>
  <c r="X397" i="3"/>
  <c r="X397" i="4" s="1"/>
  <c r="C398" i="3"/>
  <c r="C398" i="4" s="1"/>
  <c r="O398" i="3"/>
  <c r="O398" i="4" s="1"/>
  <c r="AA398" i="3"/>
  <c r="AA398" i="4" s="1"/>
  <c r="F399" i="3"/>
  <c r="F399" i="4" s="1"/>
  <c r="R399" i="3"/>
  <c r="R399" i="4" s="1"/>
  <c r="I400" i="3"/>
  <c r="I400" i="4" s="1"/>
  <c r="U400" i="3"/>
  <c r="U400" i="4" s="1"/>
  <c r="L401" i="3"/>
  <c r="L401" i="4" s="1"/>
  <c r="X401" i="3"/>
  <c r="X401" i="4" s="1"/>
  <c r="C402" i="3"/>
  <c r="C402" i="4" s="1"/>
  <c r="O402" i="3"/>
  <c r="O402" i="4" s="1"/>
  <c r="AA402" i="3"/>
  <c r="AA402" i="4" s="1"/>
  <c r="F403" i="3"/>
  <c r="F403" i="4" s="1"/>
  <c r="R403" i="3"/>
  <c r="R403" i="4" s="1"/>
  <c r="I404" i="3"/>
  <c r="I404" i="4" s="1"/>
  <c r="U404" i="3"/>
  <c r="U404" i="4" s="1"/>
  <c r="L405" i="3"/>
  <c r="L405" i="4" s="1"/>
  <c r="X405" i="3"/>
  <c r="X405" i="4" s="1"/>
  <c r="C406" i="3"/>
  <c r="C406" i="4" s="1"/>
  <c r="O406" i="3"/>
  <c r="O406" i="4" s="1"/>
  <c r="AA406" i="3"/>
  <c r="AA406" i="4" s="1"/>
  <c r="F407" i="3"/>
  <c r="F407" i="4" s="1"/>
  <c r="R407" i="3"/>
  <c r="R407" i="4" s="1"/>
  <c r="I408" i="3"/>
  <c r="I408" i="4" s="1"/>
  <c r="U408" i="3"/>
  <c r="U408" i="4" s="1"/>
  <c r="L409" i="3"/>
  <c r="L409" i="4" s="1"/>
  <c r="X409" i="3"/>
  <c r="X409" i="4" s="1"/>
  <c r="C410" i="3"/>
  <c r="C410" i="4" s="1"/>
  <c r="O410" i="3"/>
  <c r="O410" i="4" s="1"/>
  <c r="AA410" i="3"/>
  <c r="AA410" i="4" s="1"/>
  <c r="F411" i="3"/>
  <c r="F411" i="4" s="1"/>
  <c r="R411" i="3"/>
  <c r="R411" i="4" s="1"/>
  <c r="I412" i="3"/>
  <c r="I412" i="4" s="1"/>
  <c r="U412" i="3"/>
  <c r="U412" i="4" s="1"/>
  <c r="L413" i="3"/>
  <c r="L413" i="4" s="1"/>
  <c r="X413" i="3"/>
  <c r="X413" i="4" s="1"/>
  <c r="C414" i="3"/>
  <c r="C414" i="4" s="1"/>
  <c r="O414" i="3"/>
  <c r="O414" i="4" s="1"/>
  <c r="AA414" i="3"/>
  <c r="AA414" i="4" s="1"/>
  <c r="F415" i="3"/>
  <c r="F415" i="4" s="1"/>
  <c r="R415" i="3"/>
  <c r="R415" i="4" s="1"/>
  <c r="I416" i="3"/>
  <c r="I416" i="4" s="1"/>
  <c r="U416" i="3"/>
  <c r="U416" i="4" s="1"/>
  <c r="L417" i="3"/>
  <c r="L417" i="4" s="1"/>
  <c r="X417" i="3"/>
  <c r="X417" i="4" s="1"/>
  <c r="C418" i="3"/>
  <c r="C418" i="4" s="1"/>
  <c r="O418" i="3"/>
  <c r="O418" i="4" s="1"/>
  <c r="AA418" i="3"/>
  <c r="AA418" i="4" s="1"/>
  <c r="F419" i="3"/>
  <c r="F419" i="4" s="1"/>
  <c r="R419" i="3"/>
  <c r="R419" i="4" s="1"/>
  <c r="I420" i="3"/>
  <c r="I420" i="4" s="1"/>
  <c r="U420" i="3"/>
  <c r="U420" i="4" s="1"/>
  <c r="L421" i="3"/>
  <c r="L421" i="4" s="1"/>
  <c r="X421" i="3"/>
  <c r="X421" i="4" s="1"/>
  <c r="C422" i="3"/>
  <c r="C422" i="4" s="1"/>
  <c r="O422" i="3"/>
  <c r="O422" i="4" s="1"/>
  <c r="AA422" i="3"/>
  <c r="AA422" i="4" s="1"/>
  <c r="F423" i="3"/>
  <c r="F423" i="4" s="1"/>
  <c r="R423" i="3"/>
  <c r="R423" i="4" s="1"/>
  <c r="I424" i="3"/>
  <c r="I424" i="4" s="1"/>
  <c r="U424" i="3"/>
  <c r="U424" i="4" s="1"/>
  <c r="L425" i="3"/>
  <c r="L425" i="4" s="1"/>
  <c r="X425" i="3"/>
  <c r="X425" i="4" s="1"/>
  <c r="C426" i="3"/>
  <c r="C426" i="4" s="1"/>
  <c r="O426" i="3"/>
  <c r="O426" i="4" s="1"/>
  <c r="AA426" i="3"/>
  <c r="AA426" i="4" s="1"/>
  <c r="F427" i="3"/>
  <c r="F427" i="4" s="1"/>
  <c r="R427" i="3"/>
  <c r="R427" i="4" s="1"/>
  <c r="I428" i="3"/>
  <c r="I428" i="4" s="1"/>
  <c r="U428" i="3"/>
  <c r="U428" i="4" s="1"/>
  <c r="L429" i="3"/>
  <c r="L429" i="4" s="1"/>
  <c r="X429" i="3"/>
  <c r="X429" i="4" s="1"/>
  <c r="C430" i="3"/>
  <c r="C430" i="4" s="1"/>
  <c r="O430" i="3"/>
  <c r="O430" i="4" s="1"/>
  <c r="AA430" i="3"/>
  <c r="AA430" i="4" s="1"/>
  <c r="F431" i="3"/>
  <c r="F431" i="4" s="1"/>
  <c r="R431" i="3"/>
  <c r="R431" i="4" s="1"/>
  <c r="I432" i="3"/>
  <c r="I432" i="4" s="1"/>
  <c r="U432" i="3"/>
  <c r="U432" i="4" s="1"/>
  <c r="L433" i="3"/>
  <c r="L433" i="4" s="1"/>
  <c r="X433" i="3"/>
  <c r="X433" i="4" s="1"/>
  <c r="C434" i="3"/>
  <c r="C434" i="4" s="1"/>
  <c r="O434" i="3"/>
  <c r="O434" i="4" s="1"/>
  <c r="AA434" i="3"/>
  <c r="AA434" i="4" s="1"/>
  <c r="F435" i="3"/>
  <c r="F435" i="4" s="1"/>
  <c r="R435" i="3"/>
  <c r="R435" i="4" s="1"/>
  <c r="I436" i="3"/>
  <c r="I436" i="4" s="1"/>
  <c r="U436" i="3"/>
  <c r="U436" i="4" s="1"/>
  <c r="L437" i="3"/>
  <c r="L437" i="4" s="1"/>
  <c r="X437" i="3"/>
  <c r="X437" i="4" s="1"/>
  <c r="C438" i="3"/>
  <c r="C438" i="4" s="1"/>
  <c r="O438" i="3"/>
  <c r="O438" i="4" s="1"/>
  <c r="AA438" i="3"/>
  <c r="AA438" i="4" s="1"/>
  <c r="F439" i="3"/>
  <c r="F439" i="4" s="1"/>
  <c r="R439" i="3"/>
  <c r="R439" i="4" s="1"/>
  <c r="I440" i="3"/>
  <c r="I440" i="4" s="1"/>
  <c r="U440" i="3"/>
  <c r="U440" i="4" s="1"/>
  <c r="L441" i="3"/>
  <c r="L441" i="4" s="1"/>
  <c r="X441" i="3"/>
  <c r="X441" i="4" s="1"/>
  <c r="C442" i="3"/>
  <c r="C442" i="4" s="1"/>
  <c r="O442" i="3"/>
  <c r="O442" i="4" s="1"/>
  <c r="AA442" i="3"/>
  <c r="AA442" i="4" s="1"/>
  <c r="F443" i="3"/>
  <c r="F443" i="4" s="1"/>
  <c r="R443" i="3"/>
  <c r="R443" i="4" s="1"/>
  <c r="I444" i="3"/>
  <c r="I444" i="4" s="1"/>
  <c r="U444" i="3"/>
  <c r="U444" i="4" s="1"/>
  <c r="L445" i="3"/>
  <c r="L445" i="4" s="1"/>
  <c r="X445" i="3"/>
  <c r="X445" i="4" s="1"/>
  <c r="C446" i="3"/>
  <c r="C446" i="4" s="1"/>
  <c r="O446" i="3"/>
  <c r="O446" i="4" s="1"/>
  <c r="AA446" i="3"/>
  <c r="AA446" i="4" s="1"/>
  <c r="F447" i="3"/>
  <c r="F447" i="4" s="1"/>
  <c r="R447" i="3"/>
  <c r="R447" i="4" s="1"/>
  <c r="I448" i="3"/>
  <c r="I448" i="4" s="1"/>
  <c r="U448" i="3"/>
  <c r="U448" i="4" s="1"/>
  <c r="L449" i="3"/>
  <c r="L449" i="4" s="1"/>
  <c r="X449" i="3"/>
  <c r="X449" i="4" s="1"/>
  <c r="C450" i="3"/>
  <c r="C450" i="4" s="1"/>
  <c r="O450" i="3"/>
  <c r="O450" i="4" s="1"/>
  <c r="AA450" i="3"/>
  <c r="AA450" i="4" s="1"/>
  <c r="F451" i="3"/>
  <c r="F451" i="4" s="1"/>
  <c r="R451" i="3"/>
  <c r="R451" i="4" s="1"/>
  <c r="I452" i="3"/>
  <c r="I452" i="4" s="1"/>
  <c r="U452" i="3"/>
  <c r="U452" i="4" s="1"/>
  <c r="L453" i="3"/>
  <c r="L453" i="4" s="1"/>
  <c r="X453" i="3"/>
  <c r="X453" i="4" s="1"/>
  <c r="C454" i="3"/>
  <c r="C454" i="4" s="1"/>
  <c r="O454" i="3"/>
  <c r="O454" i="4" s="1"/>
  <c r="AA454" i="3"/>
  <c r="AA454" i="4" s="1"/>
  <c r="F455" i="3"/>
  <c r="F455" i="4" s="1"/>
  <c r="R455" i="3"/>
  <c r="R455" i="4" s="1"/>
  <c r="I456" i="3"/>
  <c r="I456" i="4" s="1"/>
  <c r="U456" i="3"/>
  <c r="U456" i="4" s="1"/>
  <c r="L457" i="3"/>
  <c r="L457" i="4" s="1"/>
  <c r="X457" i="3"/>
  <c r="X457" i="4" s="1"/>
  <c r="C458" i="3"/>
  <c r="C458" i="4" s="1"/>
  <c r="O458" i="3"/>
  <c r="O458" i="4" s="1"/>
  <c r="AA458" i="3"/>
  <c r="AA458" i="4" s="1"/>
  <c r="F459" i="3"/>
  <c r="F459" i="4" s="1"/>
  <c r="R459" i="3"/>
  <c r="R459" i="4" s="1"/>
  <c r="I460" i="3"/>
  <c r="I460" i="4" s="1"/>
  <c r="U460" i="3"/>
  <c r="U460" i="4" s="1"/>
  <c r="L461" i="3"/>
  <c r="L461" i="4" s="1"/>
  <c r="X461" i="3"/>
  <c r="X461" i="4" s="1"/>
  <c r="C462" i="3"/>
  <c r="C462" i="4" s="1"/>
  <c r="O462" i="3"/>
  <c r="O462" i="4" s="1"/>
  <c r="AA462" i="3"/>
  <c r="AA462" i="4" s="1"/>
  <c r="F463" i="3"/>
  <c r="F463" i="4" s="1"/>
  <c r="R463" i="3"/>
  <c r="R463" i="4" s="1"/>
  <c r="I464" i="3"/>
  <c r="I464" i="4" s="1"/>
  <c r="U464" i="3"/>
  <c r="U464" i="4" s="1"/>
  <c r="L465" i="3"/>
  <c r="L465" i="4" s="1"/>
  <c r="X465" i="3"/>
  <c r="X465" i="4" s="1"/>
  <c r="C466" i="3"/>
  <c r="C466" i="4" s="1"/>
  <c r="O466" i="3"/>
  <c r="O466" i="4" s="1"/>
  <c r="AA466" i="3"/>
  <c r="AA466" i="4" s="1"/>
  <c r="F467" i="3"/>
  <c r="F467" i="4" s="1"/>
  <c r="R467" i="3"/>
  <c r="R467" i="4" s="1"/>
  <c r="I468" i="3"/>
  <c r="I468" i="4" s="1"/>
  <c r="U468" i="3"/>
  <c r="U468" i="4" s="1"/>
  <c r="L469" i="3"/>
  <c r="L469" i="4" s="1"/>
  <c r="X469" i="3"/>
  <c r="X469" i="4" s="1"/>
  <c r="C470" i="3"/>
  <c r="C470" i="4" s="1"/>
  <c r="O470" i="3"/>
  <c r="O470" i="4" s="1"/>
  <c r="AA470" i="3"/>
  <c r="AA470" i="4" s="1"/>
  <c r="F471" i="3"/>
  <c r="F471" i="4" s="1"/>
  <c r="R471" i="3"/>
  <c r="R471" i="4" s="1"/>
  <c r="I472" i="3"/>
  <c r="I472" i="4" s="1"/>
  <c r="U472" i="3"/>
  <c r="U472" i="4" s="1"/>
  <c r="L473" i="3"/>
  <c r="L473" i="4" s="1"/>
  <c r="X473" i="3"/>
  <c r="X473" i="4" s="1"/>
  <c r="C474" i="3"/>
  <c r="C474" i="4" s="1"/>
  <c r="O474" i="3"/>
  <c r="O474" i="4" s="1"/>
  <c r="AA474" i="3"/>
  <c r="AA474" i="4" s="1"/>
  <c r="F475" i="3"/>
  <c r="F475" i="4" s="1"/>
  <c r="R475" i="3"/>
  <c r="R475" i="4" s="1"/>
  <c r="I476" i="3"/>
  <c r="I476" i="4" s="1"/>
  <c r="U476" i="3"/>
  <c r="U476" i="4" s="1"/>
  <c r="L477" i="3"/>
  <c r="L477" i="4" s="1"/>
  <c r="X477" i="3"/>
  <c r="X477" i="4" s="1"/>
  <c r="C478" i="3"/>
  <c r="C478" i="4" s="1"/>
  <c r="O478" i="3"/>
  <c r="O478" i="4" s="1"/>
  <c r="AA478" i="3"/>
  <c r="AA478" i="4" s="1"/>
  <c r="F479" i="3"/>
  <c r="F479" i="4" s="1"/>
  <c r="R479" i="3"/>
  <c r="R479" i="4" s="1"/>
  <c r="I480" i="3"/>
  <c r="I480" i="4" s="1"/>
  <c r="U480" i="3"/>
  <c r="U480" i="4" s="1"/>
  <c r="L481" i="3"/>
  <c r="L481" i="4" s="1"/>
  <c r="X481" i="3"/>
  <c r="X481" i="4" s="1"/>
  <c r="C482" i="3"/>
  <c r="C482" i="4" s="1"/>
  <c r="O482" i="3"/>
  <c r="O482" i="4" s="1"/>
  <c r="AA482" i="3"/>
  <c r="AA482" i="4" s="1"/>
  <c r="F483" i="3"/>
  <c r="F483" i="4" s="1"/>
  <c r="R483" i="3"/>
  <c r="R483" i="4" s="1"/>
  <c r="I484" i="3"/>
  <c r="I484" i="4" s="1"/>
  <c r="U484" i="3"/>
  <c r="U484" i="4" s="1"/>
  <c r="L485" i="3"/>
  <c r="L485" i="4" s="1"/>
  <c r="X485" i="3"/>
  <c r="X485" i="4" s="1"/>
  <c r="C486" i="3"/>
  <c r="C486" i="4" s="1"/>
  <c r="O486" i="3"/>
  <c r="O486" i="4" s="1"/>
  <c r="AA486" i="3"/>
  <c r="AA486" i="4" s="1"/>
  <c r="F487" i="3"/>
  <c r="F487" i="4" s="1"/>
  <c r="R487" i="3"/>
  <c r="R487" i="4" s="1"/>
  <c r="I488" i="3"/>
  <c r="I488" i="4" s="1"/>
  <c r="U488" i="3"/>
  <c r="U488" i="4" s="1"/>
  <c r="L489" i="3"/>
  <c r="L489" i="4" s="1"/>
  <c r="X489" i="3"/>
  <c r="X489" i="4" s="1"/>
  <c r="C490" i="3"/>
  <c r="C490" i="4" s="1"/>
  <c r="O490" i="3"/>
  <c r="O490" i="4" s="1"/>
  <c r="AA490" i="3"/>
  <c r="AA490" i="4" s="1"/>
  <c r="F491" i="3"/>
  <c r="F491" i="4" s="1"/>
  <c r="R491" i="3"/>
  <c r="R491" i="4" s="1"/>
  <c r="I492" i="3"/>
  <c r="I492" i="4" s="1"/>
  <c r="U492" i="3"/>
  <c r="U492" i="4" s="1"/>
  <c r="L493" i="3"/>
  <c r="L493" i="4" s="1"/>
  <c r="X493" i="3"/>
  <c r="X493" i="4" s="1"/>
  <c r="C494" i="3"/>
  <c r="C494" i="4" s="1"/>
  <c r="O494" i="3"/>
  <c r="O494" i="4" s="1"/>
  <c r="AA494" i="3"/>
  <c r="AA494" i="4" s="1"/>
  <c r="F495" i="3"/>
  <c r="F495" i="4" s="1"/>
  <c r="R495" i="3"/>
  <c r="R495" i="4" s="1"/>
  <c r="I496" i="3"/>
  <c r="I496" i="4" s="1"/>
  <c r="U496" i="3"/>
  <c r="U496" i="4" s="1"/>
  <c r="L497" i="3"/>
  <c r="L497" i="4" s="1"/>
  <c r="X497" i="3"/>
  <c r="X497" i="4" s="1"/>
  <c r="C498" i="3"/>
  <c r="C498" i="4" s="1"/>
  <c r="O498" i="3"/>
  <c r="O498" i="4" s="1"/>
  <c r="AA498" i="3"/>
  <c r="AA498" i="4" s="1"/>
  <c r="F499" i="3"/>
  <c r="F499" i="4" s="1"/>
  <c r="R499" i="3"/>
  <c r="R499" i="4" s="1"/>
  <c r="I500" i="3"/>
  <c r="I500" i="4" s="1"/>
  <c r="U500" i="3"/>
  <c r="U500" i="4" s="1"/>
  <c r="L501" i="3"/>
  <c r="L501" i="4" s="1"/>
  <c r="X501" i="3"/>
  <c r="X501" i="4" s="1"/>
  <c r="C502" i="3"/>
  <c r="C502" i="4" s="1"/>
  <c r="O502" i="3"/>
  <c r="O502" i="4" s="1"/>
  <c r="AA502" i="3"/>
  <c r="AA502" i="4" s="1"/>
  <c r="F503" i="3"/>
  <c r="F503" i="4" s="1"/>
  <c r="R503" i="3"/>
  <c r="R503" i="4" s="1"/>
  <c r="I504" i="3"/>
  <c r="I504" i="4" s="1"/>
  <c r="U504" i="3"/>
  <c r="U504" i="4" s="1"/>
  <c r="L505" i="3"/>
  <c r="L505" i="4" s="1"/>
  <c r="X505" i="3"/>
  <c r="X505" i="4" s="1"/>
  <c r="C506" i="3"/>
  <c r="C506" i="4" s="1"/>
  <c r="O506" i="3"/>
  <c r="O506" i="4" s="1"/>
  <c r="AA506" i="3"/>
  <c r="AA506" i="4" s="1"/>
  <c r="F507" i="3"/>
  <c r="F507" i="4" s="1"/>
  <c r="R507" i="3"/>
  <c r="R507" i="4" s="1"/>
  <c r="I508" i="3"/>
  <c r="I508" i="4" s="1"/>
  <c r="U508" i="3"/>
  <c r="U508" i="4" s="1"/>
  <c r="L509" i="3"/>
  <c r="L509" i="4" s="1"/>
  <c r="X509" i="3"/>
  <c r="X509" i="4" s="1"/>
  <c r="C510" i="3"/>
  <c r="C510" i="4" s="1"/>
  <c r="O510" i="3"/>
  <c r="O510" i="4" s="1"/>
  <c r="AA510" i="3"/>
  <c r="AA510" i="4" s="1"/>
  <c r="F511" i="3"/>
  <c r="F511" i="4" s="1"/>
  <c r="R511" i="3"/>
  <c r="R511" i="4" s="1"/>
  <c r="I512" i="3"/>
  <c r="I512" i="4" s="1"/>
  <c r="U512" i="3"/>
  <c r="U512" i="4" s="1"/>
  <c r="L513" i="3"/>
  <c r="L513" i="4" s="1"/>
  <c r="X513" i="3"/>
  <c r="X513" i="4" s="1"/>
  <c r="C514" i="3"/>
  <c r="C514" i="4" s="1"/>
  <c r="O514" i="3"/>
  <c r="O514" i="4" s="1"/>
  <c r="AA514" i="3"/>
  <c r="AA514" i="4" s="1"/>
  <c r="F515" i="3"/>
  <c r="F515" i="4" s="1"/>
  <c r="R515" i="3"/>
  <c r="R515" i="4" s="1"/>
  <c r="I516" i="3"/>
  <c r="I516" i="4" s="1"/>
  <c r="U516" i="3"/>
  <c r="U516" i="4" s="1"/>
  <c r="L517" i="3"/>
  <c r="L517" i="4" s="1"/>
  <c r="X517" i="3"/>
  <c r="X517" i="4" s="1"/>
  <c r="C518" i="3"/>
  <c r="C518" i="4" s="1"/>
  <c r="O518" i="3"/>
  <c r="O518" i="4" s="1"/>
  <c r="AA518" i="3"/>
  <c r="AA518" i="4" s="1"/>
  <c r="F519" i="3"/>
  <c r="F519" i="4" s="1"/>
  <c r="R519" i="3"/>
  <c r="R519" i="4" s="1"/>
  <c r="I520" i="3"/>
  <c r="I520" i="4" s="1"/>
  <c r="U520" i="3"/>
  <c r="U520" i="4" s="1"/>
  <c r="L521" i="3"/>
  <c r="L521" i="4" s="1"/>
  <c r="X521" i="3"/>
  <c r="X521" i="4" s="1"/>
  <c r="C522" i="3"/>
  <c r="C522" i="4" s="1"/>
  <c r="O522" i="3"/>
  <c r="O522" i="4" s="1"/>
  <c r="AA522" i="3"/>
  <c r="AA522" i="4" s="1"/>
  <c r="F523" i="3"/>
  <c r="F523" i="4" s="1"/>
  <c r="R523" i="3"/>
  <c r="R523" i="4" s="1"/>
  <c r="I524" i="3"/>
  <c r="I524" i="4" s="1"/>
  <c r="U524" i="3"/>
  <c r="U524" i="4" s="1"/>
  <c r="L525" i="3"/>
  <c r="L525" i="4" s="1"/>
  <c r="X525" i="3"/>
  <c r="X525" i="4" s="1"/>
  <c r="C526" i="3"/>
  <c r="C526" i="4" s="1"/>
  <c r="O526" i="3"/>
  <c r="O526" i="4" s="1"/>
  <c r="AA526" i="3"/>
  <c r="AA526" i="4" s="1"/>
  <c r="F527" i="3"/>
  <c r="F527" i="4" s="1"/>
  <c r="R527" i="3"/>
  <c r="R527" i="4" s="1"/>
  <c r="I528" i="3"/>
  <c r="I528" i="4" s="1"/>
  <c r="U528" i="3"/>
  <c r="U528" i="4" s="1"/>
  <c r="L529" i="3"/>
  <c r="L529" i="4" s="1"/>
  <c r="X529" i="3"/>
  <c r="X529" i="4" s="1"/>
  <c r="C530" i="3"/>
  <c r="C530" i="4" s="1"/>
  <c r="O530" i="3"/>
  <c r="O530" i="4" s="1"/>
  <c r="AA530" i="3"/>
  <c r="AA530" i="4" s="1"/>
  <c r="F531" i="3"/>
  <c r="F531" i="4" s="1"/>
  <c r="R531" i="3"/>
  <c r="R531" i="4" s="1"/>
  <c r="I532" i="3"/>
  <c r="I532" i="4" s="1"/>
  <c r="U532" i="3"/>
  <c r="U532" i="4" s="1"/>
  <c r="L533" i="3"/>
  <c r="L533" i="4" s="1"/>
  <c r="X533" i="3"/>
  <c r="X533" i="4" s="1"/>
  <c r="C534" i="3"/>
  <c r="C534" i="4" s="1"/>
  <c r="O534" i="3"/>
  <c r="O534" i="4" s="1"/>
  <c r="AA534" i="3"/>
  <c r="AA534" i="4" s="1"/>
  <c r="F535" i="3"/>
  <c r="F535" i="4" s="1"/>
  <c r="R535" i="3"/>
  <c r="R535" i="4" s="1"/>
  <c r="I536" i="3"/>
  <c r="I536" i="4" s="1"/>
  <c r="U536" i="3"/>
  <c r="U536" i="4" s="1"/>
  <c r="L537" i="3"/>
  <c r="L537" i="4" s="1"/>
  <c r="X537" i="3"/>
  <c r="X537" i="4" s="1"/>
  <c r="C538" i="3"/>
  <c r="C538" i="4" s="1"/>
  <c r="O538" i="3"/>
  <c r="O538" i="4" s="1"/>
  <c r="AA538" i="3"/>
  <c r="AA538" i="4" s="1"/>
  <c r="F539" i="3"/>
  <c r="F539" i="4" s="1"/>
  <c r="R539" i="3"/>
  <c r="R539" i="4" s="1"/>
  <c r="I540" i="3"/>
  <c r="I540" i="4" s="1"/>
  <c r="U540" i="3"/>
  <c r="U540" i="4" s="1"/>
  <c r="L541" i="3"/>
  <c r="L541" i="4" s="1"/>
  <c r="X541" i="3"/>
  <c r="X541" i="4" s="1"/>
  <c r="C542" i="3"/>
  <c r="C542" i="4" s="1"/>
  <c r="O542" i="3"/>
  <c r="O542" i="4" s="1"/>
  <c r="AA542" i="3"/>
  <c r="AA542" i="4" s="1"/>
  <c r="F543" i="3"/>
  <c r="F543" i="4" s="1"/>
  <c r="R543" i="3"/>
  <c r="R543" i="4" s="1"/>
  <c r="I544" i="3"/>
  <c r="I544" i="4" s="1"/>
  <c r="U544" i="3"/>
  <c r="U544" i="4" s="1"/>
  <c r="L545" i="3"/>
  <c r="L545" i="4" s="1"/>
  <c r="X545" i="3"/>
  <c r="X545" i="4" s="1"/>
  <c r="C546" i="3"/>
  <c r="C546" i="4" s="1"/>
  <c r="O546" i="3"/>
  <c r="O546" i="4" s="1"/>
  <c r="AA546" i="3"/>
  <c r="AA546" i="4" s="1"/>
  <c r="F547" i="3"/>
  <c r="F547" i="4" s="1"/>
  <c r="R547" i="3"/>
  <c r="R547" i="4" s="1"/>
  <c r="I548" i="3"/>
  <c r="I548" i="4" s="1"/>
  <c r="U548" i="3"/>
  <c r="U548" i="4" s="1"/>
  <c r="L549" i="3"/>
  <c r="L549" i="4" s="1"/>
  <c r="X549" i="3"/>
  <c r="X549" i="4" s="1"/>
  <c r="C550" i="3"/>
  <c r="C550" i="4" s="1"/>
  <c r="O550" i="3"/>
  <c r="O550" i="4" s="1"/>
  <c r="AA550" i="3"/>
  <c r="AA550" i="4" s="1"/>
  <c r="F551" i="3"/>
  <c r="F551" i="4" s="1"/>
  <c r="R551" i="3"/>
  <c r="R551" i="4" s="1"/>
  <c r="I552" i="3"/>
  <c r="I552" i="4" s="1"/>
  <c r="U552" i="3"/>
  <c r="U552" i="4" s="1"/>
  <c r="L553" i="3"/>
  <c r="L553" i="4" s="1"/>
  <c r="X553" i="3"/>
  <c r="X553" i="4" s="1"/>
  <c r="C554" i="3"/>
  <c r="C554" i="4" s="1"/>
  <c r="O554" i="3"/>
  <c r="O554" i="4" s="1"/>
  <c r="AA554" i="3"/>
  <c r="AA554" i="4" s="1"/>
  <c r="F555" i="3"/>
  <c r="F555" i="4" s="1"/>
  <c r="R555" i="3"/>
  <c r="R555" i="4" s="1"/>
  <c r="I556" i="3"/>
  <c r="I556" i="4" s="1"/>
  <c r="U556" i="3"/>
  <c r="U556" i="4" s="1"/>
  <c r="L557" i="3"/>
  <c r="L557" i="4" s="1"/>
  <c r="X557" i="3"/>
  <c r="X557" i="4" s="1"/>
  <c r="C558" i="3"/>
  <c r="C558" i="4" s="1"/>
  <c r="O558" i="3"/>
  <c r="O558" i="4" s="1"/>
  <c r="AA558" i="3"/>
  <c r="AA558" i="4" s="1"/>
  <c r="F559" i="3"/>
  <c r="F559" i="4" s="1"/>
  <c r="R559" i="3"/>
  <c r="R559" i="4" s="1"/>
  <c r="I560" i="3"/>
  <c r="I560" i="4" s="1"/>
  <c r="U560" i="3"/>
  <c r="U560" i="4" s="1"/>
  <c r="L561" i="3"/>
  <c r="L561" i="4" s="1"/>
  <c r="X561" i="3"/>
  <c r="X561" i="4" s="1"/>
  <c r="C562" i="3"/>
  <c r="C562" i="4" s="1"/>
  <c r="O562" i="3"/>
  <c r="O562" i="4" s="1"/>
  <c r="AA562" i="3"/>
  <c r="AA562" i="4" s="1"/>
  <c r="F563" i="3"/>
  <c r="F563" i="4" s="1"/>
  <c r="R563" i="3"/>
  <c r="R563" i="4" s="1"/>
  <c r="I564" i="3"/>
  <c r="I564" i="4" s="1"/>
  <c r="U564" i="3"/>
  <c r="U564" i="4" s="1"/>
  <c r="L565" i="3"/>
  <c r="L565" i="4" s="1"/>
  <c r="X565" i="3"/>
  <c r="X565" i="4" s="1"/>
  <c r="C566" i="3"/>
  <c r="C566" i="4" s="1"/>
  <c r="O566" i="3"/>
  <c r="O566" i="4" s="1"/>
  <c r="AA566" i="3"/>
  <c r="AA566" i="4" s="1"/>
  <c r="F567" i="3"/>
  <c r="F567" i="4" s="1"/>
  <c r="R567" i="3"/>
  <c r="R567" i="4" s="1"/>
  <c r="I568" i="3"/>
  <c r="I568" i="4" s="1"/>
  <c r="U568" i="3"/>
  <c r="U568" i="4" s="1"/>
  <c r="L569" i="3"/>
  <c r="L569" i="4" s="1"/>
  <c r="X569" i="3"/>
  <c r="X569" i="4" s="1"/>
  <c r="C570" i="3"/>
  <c r="C570" i="4" s="1"/>
  <c r="O570" i="3"/>
  <c r="O570" i="4" s="1"/>
  <c r="AA570" i="3"/>
  <c r="AA570" i="4" s="1"/>
  <c r="F571" i="3"/>
  <c r="F571" i="4" s="1"/>
  <c r="R571" i="3"/>
  <c r="R571" i="4" s="1"/>
  <c r="I572" i="3"/>
  <c r="I572" i="4" s="1"/>
  <c r="U572" i="3"/>
  <c r="U572" i="4" s="1"/>
  <c r="L573" i="3"/>
  <c r="L573" i="4" s="1"/>
  <c r="X573" i="3"/>
  <c r="X573" i="4" s="1"/>
  <c r="C574" i="3"/>
  <c r="C574" i="4" s="1"/>
  <c r="O574" i="3"/>
  <c r="O574" i="4" s="1"/>
  <c r="AA574" i="3"/>
  <c r="AA574" i="4" s="1"/>
  <c r="F575" i="3"/>
  <c r="F575" i="4" s="1"/>
  <c r="R575" i="3"/>
  <c r="R575" i="4" s="1"/>
  <c r="I576" i="3"/>
  <c r="I576" i="4" s="1"/>
  <c r="U576" i="3"/>
  <c r="U576" i="4" s="1"/>
  <c r="L577" i="3"/>
  <c r="L577" i="4" s="1"/>
  <c r="X577" i="3"/>
  <c r="X577" i="4" s="1"/>
  <c r="C578" i="3"/>
  <c r="C578" i="4" s="1"/>
  <c r="O578" i="3"/>
  <c r="O578" i="4" s="1"/>
  <c r="AA578" i="3"/>
  <c r="AA578" i="4" s="1"/>
  <c r="F579" i="3"/>
  <c r="F579" i="4" s="1"/>
  <c r="R579" i="3"/>
  <c r="R579" i="4" s="1"/>
  <c r="I580" i="3"/>
  <c r="I580" i="4" s="1"/>
  <c r="U580" i="3"/>
  <c r="U580" i="4" s="1"/>
  <c r="L581" i="3"/>
  <c r="L581" i="4" s="1"/>
  <c r="X581" i="3"/>
  <c r="X581" i="4" s="1"/>
  <c r="C582" i="3"/>
  <c r="C582" i="4" s="1"/>
  <c r="O582" i="3"/>
  <c r="O582" i="4" s="1"/>
  <c r="AA582" i="3"/>
  <c r="AA582" i="4" s="1"/>
  <c r="F583" i="3"/>
  <c r="F583" i="4" s="1"/>
  <c r="R583" i="3"/>
  <c r="R583" i="4" s="1"/>
  <c r="I584" i="3"/>
  <c r="I584" i="4" s="1"/>
  <c r="U584" i="3"/>
  <c r="U584" i="4" s="1"/>
  <c r="L585" i="3"/>
  <c r="L585" i="4" s="1"/>
  <c r="X585" i="3"/>
  <c r="X585" i="4" s="1"/>
  <c r="C586" i="3"/>
  <c r="C586" i="4" s="1"/>
  <c r="O586" i="3"/>
  <c r="O586" i="4" s="1"/>
  <c r="AA586" i="3"/>
  <c r="AA586" i="4" s="1"/>
  <c r="F587" i="3"/>
  <c r="F587" i="4" s="1"/>
  <c r="R587" i="3"/>
  <c r="R587" i="4" s="1"/>
  <c r="I588" i="3"/>
  <c r="I588" i="4" s="1"/>
  <c r="U588" i="3"/>
  <c r="U588" i="4" s="1"/>
  <c r="L589" i="3"/>
  <c r="L589" i="4" s="1"/>
  <c r="X589" i="3"/>
  <c r="X589" i="4" s="1"/>
  <c r="C590" i="3"/>
  <c r="C590" i="4" s="1"/>
  <c r="O590" i="3"/>
  <c r="O590" i="4" s="1"/>
  <c r="AA590" i="3"/>
  <c r="AA590" i="4" s="1"/>
  <c r="F591" i="3"/>
  <c r="F591" i="4" s="1"/>
  <c r="R591" i="3"/>
  <c r="R591" i="4" s="1"/>
  <c r="I592" i="3"/>
  <c r="I592" i="4" s="1"/>
  <c r="U592" i="3"/>
  <c r="U592" i="4" s="1"/>
  <c r="L593" i="3"/>
  <c r="L593" i="4" s="1"/>
  <c r="X593" i="3"/>
  <c r="X593" i="4" s="1"/>
  <c r="C594" i="3"/>
  <c r="C594" i="4" s="1"/>
  <c r="O594" i="3"/>
  <c r="O594" i="4" s="1"/>
  <c r="AA594" i="3"/>
  <c r="AA594" i="4" s="1"/>
  <c r="F595" i="3"/>
  <c r="F595" i="4" s="1"/>
  <c r="R595" i="3"/>
  <c r="R595" i="4" s="1"/>
  <c r="I596" i="3"/>
  <c r="I596" i="4" s="1"/>
  <c r="U596" i="3"/>
  <c r="U596" i="4" s="1"/>
  <c r="L597" i="3"/>
  <c r="L597" i="4" s="1"/>
  <c r="X597" i="3"/>
  <c r="X597" i="4" s="1"/>
  <c r="C598" i="3"/>
  <c r="C598" i="4" s="1"/>
  <c r="O598" i="3"/>
  <c r="O598" i="4" s="1"/>
  <c r="AA598" i="3"/>
  <c r="AA598" i="4" s="1"/>
  <c r="F599" i="3"/>
  <c r="F599" i="4" s="1"/>
  <c r="R599" i="3"/>
  <c r="R599" i="4" s="1"/>
  <c r="I600" i="3"/>
  <c r="I600" i="4" s="1"/>
  <c r="U600" i="3"/>
  <c r="U600" i="4" s="1"/>
  <c r="L601" i="3"/>
  <c r="L601" i="4" s="1"/>
  <c r="X601" i="3"/>
  <c r="X601" i="4" s="1"/>
  <c r="C602" i="3"/>
  <c r="C602" i="4" s="1"/>
  <c r="O602" i="3"/>
  <c r="O602" i="4" s="1"/>
  <c r="AA602" i="3"/>
  <c r="AA602" i="4" s="1"/>
  <c r="F603" i="3"/>
  <c r="F603" i="4" s="1"/>
  <c r="R603" i="3"/>
  <c r="R603" i="4" s="1"/>
  <c r="I604" i="3"/>
  <c r="I604" i="4" s="1"/>
  <c r="U604" i="3"/>
  <c r="U604" i="4" s="1"/>
  <c r="L605" i="3"/>
  <c r="L605" i="4" s="1"/>
  <c r="X605" i="3"/>
  <c r="X605" i="4" s="1"/>
  <c r="C606" i="3"/>
  <c r="C606" i="4" s="1"/>
  <c r="O606" i="3"/>
  <c r="O606" i="4" s="1"/>
  <c r="AA606" i="3"/>
  <c r="AA606" i="4" s="1"/>
  <c r="F607" i="3"/>
  <c r="F607" i="4" s="1"/>
  <c r="R607" i="3"/>
  <c r="R607" i="4" s="1"/>
  <c r="I608" i="3"/>
  <c r="I608" i="4" s="1"/>
  <c r="U608" i="3"/>
  <c r="U608" i="4" s="1"/>
  <c r="L609" i="3"/>
  <c r="L609" i="4" s="1"/>
  <c r="X609" i="3"/>
  <c r="X609" i="4" s="1"/>
  <c r="C610" i="3"/>
  <c r="C610" i="4" s="1"/>
  <c r="O610" i="3"/>
  <c r="O610" i="4" s="1"/>
  <c r="AA610" i="3"/>
  <c r="AA610" i="4" s="1"/>
  <c r="D354" i="3"/>
  <c r="D354" i="4" s="1"/>
  <c r="P354" i="3"/>
  <c r="P354" i="4" s="1"/>
  <c r="AB354" i="3"/>
  <c r="AB354" i="4" s="1"/>
  <c r="G355" i="3"/>
  <c r="G355" i="4" s="1"/>
  <c r="S355" i="3"/>
  <c r="S355" i="4" s="1"/>
  <c r="J356" i="3"/>
  <c r="J356" i="4" s="1"/>
  <c r="V356" i="3"/>
  <c r="V356" i="4" s="1"/>
  <c r="A357" i="3"/>
  <c r="A357" i="4" s="1"/>
  <c r="M357" i="3"/>
  <c r="M357" i="4" s="1"/>
  <c r="Y357" i="3"/>
  <c r="Y357" i="4" s="1"/>
  <c r="D358" i="3"/>
  <c r="D358" i="4" s="1"/>
  <c r="P358" i="3"/>
  <c r="P358" i="4" s="1"/>
  <c r="AB358" i="3"/>
  <c r="AB358" i="4" s="1"/>
  <c r="G359" i="3"/>
  <c r="G359" i="4" s="1"/>
  <c r="S359" i="3"/>
  <c r="S359" i="4" s="1"/>
  <c r="J360" i="3"/>
  <c r="J360" i="4" s="1"/>
  <c r="V360" i="3"/>
  <c r="V360" i="4" s="1"/>
  <c r="A361" i="3"/>
  <c r="A361" i="4" s="1"/>
  <c r="M361" i="3"/>
  <c r="M361" i="4" s="1"/>
  <c r="Y361" i="3"/>
  <c r="Y361" i="4" s="1"/>
  <c r="D362" i="3"/>
  <c r="D362" i="4" s="1"/>
  <c r="P362" i="3"/>
  <c r="P362" i="4" s="1"/>
  <c r="AB362" i="3"/>
  <c r="AB362" i="4" s="1"/>
  <c r="G363" i="3"/>
  <c r="G363" i="4" s="1"/>
  <c r="S363" i="3"/>
  <c r="S363" i="4" s="1"/>
  <c r="J364" i="3"/>
  <c r="J364" i="4" s="1"/>
  <c r="V364" i="3"/>
  <c r="V364" i="4" s="1"/>
  <c r="A365" i="3"/>
  <c r="A365" i="4" s="1"/>
  <c r="M365" i="3"/>
  <c r="M365" i="4" s="1"/>
  <c r="Y365" i="3"/>
  <c r="Y365" i="4" s="1"/>
  <c r="D366" i="3"/>
  <c r="D366" i="4" s="1"/>
  <c r="P366" i="3"/>
  <c r="P366" i="4" s="1"/>
  <c r="AB366" i="3"/>
  <c r="AB366" i="4" s="1"/>
  <c r="G367" i="3"/>
  <c r="G367" i="4" s="1"/>
  <c r="S367" i="3"/>
  <c r="S367" i="4" s="1"/>
  <c r="J368" i="3"/>
  <c r="J368" i="4" s="1"/>
  <c r="V368" i="3"/>
  <c r="V368" i="4" s="1"/>
  <c r="A369" i="3"/>
  <c r="A369" i="4" s="1"/>
  <c r="M369" i="3"/>
  <c r="M369" i="4" s="1"/>
  <c r="Y369" i="3"/>
  <c r="Y369" i="4" s="1"/>
  <c r="D370" i="3"/>
  <c r="D370" i="4" s="1"/>
  <c r="P370" i="3"/>
  <c r="P370" i="4" s="1"/>
  <c r="AB370" i="3"/>
  <c r="AB370" i="4" s="1"/>
  <c r="G371" i="3"/>
  <c r="G371" i="4" s="1"/>
  <c r="S371" i="3"/>
  <c r="S371" i="4" s="1"/>
  <c r="J372" i="3"/>
  <c r="J372" i="4" s="1"/>
  <c r="V372" i="3"/>
  <c r="V372" i="4" s="1"/>
  <c r="A373" i="3"/>
  <c r="A373" i="4" s="1"/>
  <c r="M373" i="3"/>
  <c r="M373" i="4" s="1"/>
  <c r="Y373" i="3"/>
  <c r="Y373" i="4" s="1"/>
  <c r="D374" i="3"/>
  <c r="D374" i="4" s="1"/>
  <c r="P374" i="3"/>
  <c r="P374" i="4" s="1"/>
  <c r="AB374" i="3"/>
  <c r="AB374" i="4" s="1"/>
  <c r="G375" i="3"/>
  <c r="G375" i="4" s="1"/>
  <c r="S375" i="3"/>
  <c r="S375" i="4" s="1"/>
  <c r="J376" i="3"/>
  <c r="J376" i="4" s="1"/>
  <c r="V376" i="3"/>
  <c r="V376" i="4" s="1"/>
  <c r="A377" i="3"/>
  <c r="A377" i="4" s="1"/>
  <c r="M377" i="3"/>
  <c r="M377" i="4" s="1"/>
  <c r="Y377" i="3"/>
  <c r="Y377" i="4" s="1"/>
  <c r="D378" i="3"/>
  <c r="D378" i="4" s="1"/>
  <c r="P378" i="3"/>
  <c r="P378" i="4" s="1"/>
  <c r="AB378" i="3"/>
  <c r="AB378" i="4" s="1"/>
  <c r="G379" i="3"/>
  <c r="G379" i="4" s="1"/>
  <c r="S379" i="3"/>
  <c r="S379" i="4" s="1"/>
  <c r="J380" i="3"/>
  <c r="J380" i="4" s="1"/>
  <c r="V380" i="3"/>
  <c r="V380" i="4" s="1"/>
  <c r="A381" i="3"/>
  <c r="A381" i="4" s="1"/>
  <c r="M381" i="3"/>
  <c r="M381" i="4" s="1"/>
  <c r="Y381" i="3"/>
  <c r="Y381" i="4" s="1"/>
  <c r="D382" i="3"/>
  <c r="D382" i="4" s="1"/>
  <c r="P382" i="3"/>
  <c r="P382" i="4" s="1"/>
  <c r="AB382" i="3"/>
  <c r="AB382" i="4" s="1"/>
  <c r="G383" i="3"/>
  <c r="G383" i="4" s="1"/>
  <c r="S383" i="3"/>
  <c r="S383" i="4" s="1"/>
  <c r="J384" i="3"/>
  <c r="J384" i="4" s="1"/>
  <c r="V384" i="3"/>
  <c r="V384" i="4" s="1"/>
  <c r="A385" i="3"/>
  <c r="A385" i="4" s="1"/>
  <c r="M385" i="3"/>
  <c r="M385" i="4" s="1"/>
  <c r="Y385" i="3"/>
  <c r="Y385" i="4" s="1"/>
  <c r="D386" i="3"/>
  <c r="D386" i="4" s="1"/>
  <c r="P386" i="3"/>
  <c r="P386" i="4" s="1"/>
  <c r="AB386" i="3"/>
  <c r="AB386" i="4" s="1"/>
  <c r="G387" i="3"/>
  <c r="G387" i="4" s="1"/>
  <c r="S387" i="3"/>
  <c r="S387" i="4" s="1"/>
  <c r="J388" i="3"/>
  <c r="J388" i="4" s="1"/>
  <c r="V388" i="3"/>
  <c r="V388" i="4" s="1"/>
  <c r="A389" i="3"/>
  <c r="A389" i="4" s="1"/>
  <c r="M389" i="3"/>
  <c r="M389" i="4" s="1"/>
  <c r="Y389" i="3"/>
  <c r="Y389" i="4" s="1"/>
  <c r="D390" i="3"/>
  <c r="D390" i="4" s="1"/>
  <c r="P390" i="3"/>
  <c r="P390" i="4" s="1"/>
  <c r="AB390" i="3"/>
  <c r="AB390" i="4" s="1"/>
  <c r="G391" i="3"/>
  <c r="G391" i="4" s="1"/>
  <c r="S391" i="3"/>
  <c r="S391" i="4" s="1"/>
  <c r="J392" i="3"/>
  <c r="J392" i="4" s="1"/>
  <c r="V392" i="3"/>
  <c r="V392" i="4" s="1"/>
  <c r="A393" i="3"/>
  <c r="A393" i="4" s="1"/>
  <c r="M393" i="3"/>
  <c r="M393" i="4" s="1"/>
  <c r="Y393" i="3"/>
  <c r="Y393" i="4" s="1"/>
  <c r="D394" i="3"/>
  <c r="D394" i="4" s="1"/>
  <c r="P394" i="3"/>
  <c r="P394" i="4" s="1"/>
  <c r="AB394" i="3"/>
  <c r="AB394" i="4" s="1"/>
  <c r="G395" i="3"/>
  <c r="G395" i="4" s="1"/>
  <c r="S395" i="3"/>
  <c r="S395" i="4" s="1"/>
  <c r="J396" i="3"/>
  <c r="J396" i="4" s="1"/>
  <c r="V396" i="3"/>
  <c r="V396" i="4" s="1"/>
  <c r="A397" i="3"/>
  <c r="A397" i="4" s="1"/>
  <c r="M397" i="3"/>
  <c r="M397" i="4" s="1"/>
  <c r="Y397" i="3"/>
  <c r="Y397" i="4" s="1"/>
  <c r="D398" i="3"/>
  <c r="D398" i="4" s="1"/>
  <c r="P398" i="3"/>
  <c r="P398" i="4" s="1"/>
  <c r="AB398" i="3"/>
  <c r="AB398" i="4" s="1"/>
  <c r="G399" i="3"/>
  <c r="G399" i="4" s="1"/>
  <c r="S399" i="3"/>
  <c r="S399" i="4" s="1"/>
  <c r="J400" i="3"/>
  <c r="J400" i="4" s="1"/>
  <c r="V400" i="3"/>
  <c r="V400" i="4" s="1"/>
  <c r="A401" i="3"/>
  <c r="A401" i="4" s="1"/>
  <c r="M401" i="3"/>
  <c r="M401" i="4" s="1"/>
  <c r="Y401" i="3"/>
  <c r="Y401" i="4" s="1"/>
  <c r="D402" i="3"/>
  <c r="D402" i="4" s="1"/>
  <c r="P402" i="3"/>
  <c r="P402" i="4" s="1"/>
  <c r="AB402" i="3"/>
  <c r="AB402" i="4" s="1"/>
  <c r="G403" i="3"/>
  <c r="G403" i="4" s="1"/>
  <c r="S403" i="3"/>
  <c r="S403" i="4" s="1"/>
  <c r="J404" i="3"/>
  <c r="J404" i="4" s="1"/>
  <c r="V404" i="3"/>
  <c r="V404" i="4" s="1"/>
  <c r="A405" i="3"/>
  <c r="A405" i="4" s="1"/>
  <c r="M405" i="3"/>
  <c r="M405" i="4" s="1"/>
  <c r="Y405" i="3"/>
  <c r="Y405" i="4" s="1"/>
  <c r="D406" i="3"/>
  <c r="D406" i="4" s="1"/>
  <c r="P406" i="3"/>
  <c r="P406" i="4" s="1"/>
  <c r="AB406" i="3"/>
  <c r="AB406" i="4" s="1"/>
  <c r="G407" i="3"/>
  <c r="G407" i="4" s="1"/>
  <c r="S407" i="3"/>
  <c r="S407" i="4" s="1"/>
  <c r="J408" i="3"/>
  <c r="J408" i="4" s="1"/>
  <c r="V408" i="3"/>
  <c r="V408" i="4" s="1"/>
  <c r="A409" i="3"/>
  <c r="A409" i="4" s="1"/>
  <c r="M409" i="3"/>
  <c r="M409" i="4" s="1"/>
  <c r="Y409" i="3"/>
  <c r="Y409" i="4" s="1"/>
  <c r="D410" i="3"/>
  <c r="D410" i="4" s="1"/>
  <c r="P410" i="3"/>
  <c r="P410" i="4" s="1"/>
  <c r="AB410" i="3"/>
  <c r="AB410" i="4" s="1"/>
  <c r="G411" i="3"/>
  <c r="G411" i="4" s="1"/>
  <c r="S411" i="3"/>
  <c r="S411" i="4" s="1"/>
  <c r="J412" i="3"/>
  <c r="J412" i="4" s="1"/>
  <c r="V412" i="3"/>
  <c r="V412" i="4" s="1"/>
  <c r="A413" i="3"/>
  <c r="A413" i="4" s="1"/>
  <c r="M413" i="3"/>
  <c r="M413" i="4" s="1"/>
  <c r="Y413" i="3"/>
  <c r="Y413" i="4" s="1"/>
  <c r="D414" i="3"/>
  <c r="D414" i="4" s="1"/>
  <c r="P414" i="3"/>
  <c r="P414" i="4" s="1"/>
  <c r="AB414" i="3"/>
  <c r="AB414" i="4" s="1"/>
  <c r="G415" i="3"/>
  <c r="G415" i="4" s="1"/>
  <c r="S415" i="3"/>
  <c r="S415" i="4" s="1"/>
  <c r="J416" i="3"/>
  <c r="J416" i="4" s="1"/>
  <c r="V416" i="3"/>
  <c r="V416" i="4" s="1"/>
  <c r="A417" i="3"/>
  <c r="A417" i="4" s="1"/>
  <c r="M417" i="3"/>
  <c r="M417" i="4" s="1"/>
  <c r="Y417" i="3"/>
  <c r="Y417" i="4" s="1"/>
  <c r="D418" i="3"/>
  <c r="D418" i="4" s="1"/>
  <c r="P418" i="3"/>
  <c r="P418" i="4" s="1"/>
  <c r="AB418" i="3"/>
  <c r="AB418" i="4" s="1"/>
  <c r="G419" i="3"/>
  <c r="G419" i="4" s="1"/>
  <c r="S419" i="3"/>
  <c r="S419" i="4" s="1"/>
  <c r="J420" i="3"/>
  <c r="J420" i="4" s="1"/>
  <c r="V420" i="3"/>
  <c r="V420" i="4" s="1"/>
  <c r="A421" i="3"/>
  <c r="A421" i="4" s="1"/>
  <c r="M421" i="3"/>
  <c r="M421" i="4" s="1"/>
  <c r="Y421" i="3"/>
  <c r="Y421" i="4" s="1"/>
  <c r="D422" i="3"/>
  <c r="D422" i="4" s="1"/>
  <c r="P422" i="3"/>
  <c r="P422" i="4" s="1"/>
  <c r="AB422" i="3"/>
  <c r="AB422" i="4" s="1"/>
  <c r="G423" i="3"/>
  <c r="G423" i="4" s="1"/>
  <c r="S423" i="3"/>
  <c r="S423" i="4" s="1"/>
  <c r="J424" i="3"/>
  <c r="J424" i="4" s="1"/>
  <c r="V424" i="3"/>
  <c r="V424" i="4" s="1"/>
  <c r="A425" i="3"/>
  <c r="A425" i="4" s="1"/>
  <c r="M425" i="3"/>
  <c r="M425" i="4" s="1"/>
  <c r="Y425" i="3"/>
  <c r="Y425" i="4" s="1"/>
  <c r="D426" i="3"/>
  <c r="D426" i="4" s="1"/>
  <c r="P426" i="3"/>
  <c r="P426" i="4" s="1"/>
  <c r="AB426" i="3"/>
  <c r="AB426" i="4" s="1"/>
  <c r="G427" i="3"/>
  <c r="G427" i="4" s="1"/>
  <c r="S427" i="3"/>
  <c r="S427" i="4" s="1"/>
  <c r="J428" i="3"/>
  <c r="J428" i="4" s="1"/>
  <c r="V428" i="3"/>
  <c r="V428" i="4" s="1"/>
  <c r="A429" i="3"/>
  <c r="A429" i="4" s="1"/>
  <c r="M429" i="3"/>
  <c r="M429" i="4" s="1"/>
  <c r="Y429" i="3"/>
  <c r="Y429" i="4" s="1"/>
  <c r="D430" i="3"/>
  <c r="D430" i="4" s="1"/>
  <c r="P430" i="3"/>
  <c r="P430" i="4" s="1"/>
  <c r="AB430" i="3"/>
  <c r="AB430" i="4" s="1"/>
  <c r="G431" i="3"/>
  <c r="G431" i="4" s="1"/>
  <c r="S431" i="3"/>
  <c r="S431" i="4" s="1"/>
  <c r="J432" i="3"/>
  <c r="J432" i="4" s="1"/>
  <c r="V432" i="3"/>
  <c r="V432" i="4" s="1"/>
  <c r="A433" i="3"/>
  <c r="A433" i="4" s="1"/>
  <c r="M433" i="3"/>
  <c r="M433" i="4" s="1"/>
  <c r="Y433" i="3"/>
  <c r="Y433" i="4" s="1"/>
  <c r="D434" i="3"/>
  <c r="D434" i="4" s="1"/>
  <c r="P434" i="3"/>
  <c r="P434" i="4" s="1"/>
  <c r="AB434" i="3"/>
  <c r="AB434" i="4" s="1"/>
  <c r="G435" i="3"/>
  <c r="G435" i="4" s="1"/>
  <c r="S435" i="3"/>
  <c r="S435" i="4" s="1"/>
  <c r="J436" i="3"/>
  <c r="J436" i="4" s="1"/>
  <c r="V436" i="3"/>
  <c r="V436" i="4" s="1"/>
  <c r="A437" i="3"/>
  <c r="A437" i="4" s="1"/>
  <c r="M437" i="3"/>
  <c r="M437" i="4" s="1"/>
  <c r="Y437" i="3"/>
  <c r="Y437" i="4" s="1"/>
  <c r="D438" i="3"/>
  <c r="D438" i="4" s="1"/>
  <c r="P438" i="3"/>
  <c r="P438" i="4" s="1"/>
  <c r="AB438" i="3"/>
  <c r="AB438" i="4" s="1"/>
  <c r="G439" i="3"/>
  <c r="G439" i="4" s="1"/>
  <c r="S439" i="3"/>
  <c r="S439" i="4" s="1"/>
  <c r="J440" i="3"/>
  <c r="J440" i="4" s="1"/>
  <c r="V440" i="3"/>
  <c r="V440" i="4" s="1"/>
  <c r="A441" i="3"/>
  <c r="A441" i="4" s="1"/>
  <c r="M441" i="3"/>
  <c r="M441" i="4" s="1"/>
  <c r="Y441" i="3"/>
  <c r="Y441" i="4" s="1"/>
  <c r="D442" i="3"/>
  <c r="D442" i="4" s="1"/>
  <c r="P442" i="3"/>
  <c r="P442" i="4" s="1"/>
  <c r="AB442" i="3"/>
  <c r="AB442" i="4" s="1"/>
  <c r="G443" i="3"/>
  <c r="G443" i="4" s="1"/>
  <c r="S443" i="3"/>
  <c r="S443" i="4" s="1"/>
  <c r="J444" i="3"/>
  <c r="J444" i="4" s="1"/>
  <c r="V444" i="3"/>
  <c r="V444" i="4" s="1"/>
  <c r="A445" i="3"/>
  <c r="A445" i="4" s="1"/>
  <c r="M445" i="3"/>
  <c r="M445" i="4" s="1"/>
  <c r="Y445" i="3"/>
  <c r="Y445" i="4" s="1"/>
  <c r="D446" i="3"/>
  <c r="D446" i="4" s="1"/>
  <c r="P446" i="3"/>
  <c r="P446" i="4" s="1"/>
  <c r="AB446" i="3"/>
  <c r="AB446" i="4" s="1"/>
  <c r="G447" i="3"/>
  <c r="G447" i="4" s="1"/>
  <c r="S447" i="3"/>
  <c r="S447" i="4" s="1"/>
  <c r="J448" i="3"/>
  <c r="J448" i="4" s="1"/>
  <c r="V448" i="3"/>
  <c r="V448" i="4" s="1"/>
  <c r="A449" i="3"/>
  <c r="A449" i="4" s="1"/>
  <c r="M449" i="3"/>
  <c r="M449" i="4" s="1"/>
  <c r="Y449" i="3"/>
  <c r="Y449" i="4" s="1"/>
  <c r="D450" i="3"/>
  <c r="D450" i="4" s="1"/>
  <c r="P450" i="3"/>
  <c r="P450" i="4" s="1"/>
  <c r="AB450" i="3"/>
  <c r="AB450" i="4" s="1"/>
  <c r="G451" i="3"/>
  <c r="G451" i="4" s="1"/>
  <c r="S451" i="3"/>
  <c r="S451" i="4" s="1"/>
  <c r="J452" i="3"/>
  <c r="J452" i="4" s="1"/>
  <c r="V452" i="3"/>
  <c r="V452" i="4" s="1"/>
  <c r="A453" i="3"/>
  <c r="A453" i="4" s="1"/>
  <c r="M453" i="3"/>
  <c r="M453" i="4" s="1"/>
  <c r="Y453" i="3"/>
  <c r="Y453" i="4" s="1"/>
  <c r="D454" i="3"/>
  <c r="D454" i="4" s="1"/>
  <c r="P454" i="3"/>
  <c r="P454" i="4" s="1"/>
  <c r="AB454" i="3"/>
  <c r="AB454" i="4" s="1"/>
  <c r="G455" i="3"/>
  <c r="G455" i="4" s="1"/>
  <c r="S455" i="3"/>
  <c r="S455" i="4" s="1"/>
  <c r="J456" i="3"/>
  <c r="J456" i="4" s="1"/>
  <c r="V456" i="3"/>
  <c r="V456" i="4" s="1"/>
  <c r="A457" i="3"/>
  <c r="A457" i="4" s="1"/>
  <c r="M457" i="3"/>
  <c r="M457" i="4" s="1"/>
  <c r="Y457" i="3"/>
  <c r="Y457" i="4" s="1"/>
  <c r="D458" i="3"/>
  <c r="D458" i="4" s="1"/>
  <c r="P458" i="3"/>
  <c r="P458" i="4" s="1"/>
  <c r="AB458" i="3"/>
  <c r="AB458" i="4" s="1"/>
  <c r="G459" i="3"/>
  <c r="G459" i="4" s="1"/>
  <c r="S459" i="3"/>
  <c r="S459" i="4" s="1"/>
  <c r="J460" i="3"/>
  <c r="J460" i="4" s="1"/>
  <c r="V460" i="3"/>
  <c r="V460" i="4" s="1"/>
  <c r="A461" i="3"/>
  <c r="A461" i="4" s="1"/>
  <c r="M461" i="3"/>
  <c r="M461" i="4" s="1"/>
  <c r="Y461" i="3"/>
  <c r="Y461" i="4" s="1"/>
  <c r="D462" i="3"/>
  <c r="D462" i="4" s="1"/>
  <c r="P462" i="3"/>
  <c r="P462" i="4" s="1"/>
  <c r="AB462" i="3"/>
  <c r="AB462" i="4" s="1"/>
  <c r="G463" i="3"/>
  <c r="G463" i="4" s="1"/>
  <c r="S463" i="3"/>
  <c r="S463" i="4" s="1"/>
  <c r="J464" i="3"/>
  <c r="J464" i="4" s="1"/>
  <c r="V464" i="3"/>
  <c r="V464" i="4" s="1"/>
  <c r="A465" i="3"/>
  <c r="A465" i="4" s="1"/>
  <c r="M465" i="3"/>
  <c r="M465" i="4" s="1"/>
  <c r="Y465" i="3"/>
  <c r="Y465" i="4" s="1"/>
  <c r="D466" i="3"/>
  <c r="D466" i="4" s="1"/>
  <c r="P466" i="3"/>
  <c r="P466" i="4" s="1"/>
  <c r="AB466" i="3"/>
  <c r="AB466" i="4" s="1"/>
  <c r="G467" i="3"/>
  <c r="G467" i="4" s="1"/>
  <c r="S467" i="3"/>
  <c r="S467" i="4" s="1"/>
  <c r="J468" i="3"/>
  <c r="J468" i="4" s="1"/>
  <c r="V468" i="3"/>
  <c r="V468" i="4" s="1"/>
  <c r="A469" i="3"/>
  <c r="A469" i="4" s="1"/>
  <c r="M469" i="3"/>
  <c r="M469" i="4" s="1"/>
  <c r="Y469" i="3"/>
  <c r="Y469" i="4" s="1"/>
  <c r="D470" i="3"/>
  <c r="D470" i="4" s="1"/>
  <c r="P470" i="3"/>
  <c r="P470" i="4" s="1"/>
  <c r="AB470" i="3"/>
  <c r="AB470" i="4" s="1"/>
  <c r="G471" i="3"/>
  <c r="G471" i="4" s="1"/>
  <c r="S471" i="3"/>
  <c r="S471" i="4" s="1"/>
  <c r="J472" i="3"/>
  <c r="J472" i="4" s="1"/>
  <c r="V472" i="3"/>
  <c r="V472" i="4" s="1"/>
  <c r="A473" i="3"/>
  <c r="A473" i="4" s="1"/>
  <c r="M473" i="3"/>
  <c r="M473" i="4" s="1"/>
  <c r="Y473" i="3"/>
  <c r="Y473" i="4" s="1"/>
  <c r="D474" i="3"/>
  <c r="D474" i="4" s="1"/>
  <c r="P474" i="3"/>
  <c r="P474" i="4" s="1"/>
  <c r="AB474" i="3"/>
  <c r="AB474" i="4" s="1"/>
  <c r="G475" i="3"/>
  <c r="G475" i="4" s="1"/>
  <c r="S475" i="3"/>
  <c r="S475" i="4" s="1"/>
  <c r="J476" i="3"/>
  <c r="J476" i="4" s="1"/>
  <c r="V476" i="3"/>
  <c r="V476" i="4" s="1"/>
  <c r="A477" i="3"/>
  <c r="A477" i="4" s="1"/>
  <c r="M477" i="3"/>
  <c r="M477" i="4" s="1"/>
  <c r="Y477" i="3"/>
  <c r="Y477" i="4" s="1"/>
  <c r="D478" i="3"/>
  <c r="D478" i="4" s="1"/>
  <c r="P478" i="3"/>
  <c r="P478" i="4" s="1"/>
  <c r="AB478" i="3"/>
  <c r="AB478" i="4" s="1"/>
  <c r="G479" i="3"/>
  <c r="G479" i="4" s="1"/>
  <c r="S479" i="3"/>
  <c r="S479" i="4" s="1"/>
  <c r="J480" i="3"/>
  <c r="J480" i="4" s="1"/>
  <c r="V480" i="3"/>
  <c r="V480" i="4" s="1"/>
  <c r="A481" i="3"/>
  <c r="A481" i="4" s="1"/>
  <c r="M481" i="3"/>
  <c r="M481" i="4" s="1"/>
  <c r="Y481" i="3"/>
  <c r="Y481" i="4" s="1"/>
  <c r="D482" i="3"/>
  <c r="D482" i="4" s="1"/>
  <c r="P482" i="3"/>
  <c r="P482" i="4" s="1"/>
  <c r="AB482" i="3"/>
  <c r="AB482" i="4" s="1"/>
  <c r="G483" i="3"/>
  <c r="G483" i="4" s="1"/>
  <c r="S483" i="3"/>
  <c r="S483" i="4" s="1"/>
  <c r="J484" i="3"/>
  <c r="J484" i="4" s="1"/>
  <c r="V484" i="3"/>
  <c r="V484" i="4" s="1"/>
  <c r="A485" i="3"/>
  <c r="A485" i="4" s="1"/>
  <c r="M485" i="3"/>
  <c r="M485" i="4" s="1"/>
  <c r="Y485" i="3"/>
  <c r="Y485" i="4" s="1"/>
  <c r="D486" i="3"/>
  <c r="D486" i="4" s="1"/>
  <c r="P486" i="3"/>
  <c r="P486" i="4" s="1"/>
  <c r="AB486" i="3"/>
  <c r="AB486" i="4" s="1"/>
  <c r="G487" i="3"/>
  <c r="G487" i="4" s="1"/>
  <c r="S487" i="3"/>
  <c r="S487" i="4" s="1"/>
  <c r="J488" i="3"/>
  <c r="J488" i="4" s="1"/>
  <c r="V488" i="3"/>
  <c r="V488" i="4" s="1"/>
  <c r="A489" i="3"/>
  <c r="A489" i="4" s="1"/>
  <c r="M489" i="3"/>
  <c r="M489" i="4" s="1"/>
  <c r="Y489" i="3"/>
  <c r="Y489" i="4" s="1"/>
  <c r="D490" i="3"/>
  <c r="D490" i="4" s="1"/>
  <c r="P490" i="3"/>
  <c r="P490" i="4" s="1"/>
  <c r="AB490" i="3"/>
  <c r="AB490" i="4" s="1"/>
  <c r="G491" i="3"/>
  <c r="G491" i="4" s="1"/>
  <c r="S491" i="3"/>
  <c r="S491" i="4" s="1"/>
  <c r="J492" i="3"/>
  <c r="J492" i="4" s="1"/>
  <c r="V492" i="3"/>
  <c r="V492" i="4" s="1"/>
  <c r="A493" i="3"/>
  <c r="A493" i="4" s="1"/>
  <c r="M493" i="3"/>
  <c r="M493" i="4" s="1"/>
  <c r="Y493" i="3"/>
  <c r="Y493" i="4" s="1"/>
  <c r="D494" i="3"/>
  <c r="D494" i="4" s="1"/>
  <c r="P494" i="3"/>
  <c r="P494" i="4" s="1"/>
  <c r="AB494" i="3"/>
  <c r="AB494" i="4" s="1"/>
  <c r="G495" i="3"/>
  <c r="G495" i="4" s="1"/>
  <c r="S495" i="3"/>
  <c r="S495" i="4" s="1"/>
  <c r="J496" i="3"/>
  <c r="J496" i="4" s="1"/>
  <c r="V496" i="3"/>
  <c r="V496" i="4" s="1"/>
  <c r="A497" i="3"/>
  <c r="A497" i="4" s="1"/>
  <c r="M497" i="3"/>
  <c r="M497" i="4" s="1"/>
  <c r="Y497" i="3"/>
  <c r="Y497" i="4" s="1"/>
  <c r="D498" i="3"/>
  <c r="D498" i="4" s="1"/>
  <c r="P498" i="3"/>
  <c r="P498" i="4" s="1"/>
  <c r="AB498" i="3"/>
  <c r="AB498" i="4" s="1"/>
  <c r="G499" i="3"/>
  <c r="G499" i="4" s="1"/>
  <c r="S499" i="3"/>
  <c r="S499" i="4" s="1"/>
  <c r="J500" i="3"/>
  <c r="J500" i="4" s="1"/>
  <c r="V500" i="3"/>
  <c r="V500" i="4" s="1"/>
  <c r="A501" i="3"/>
  <c r="A501" i="4" s="1"/>
  <c r="M501" i="3"/>
  <c r="M501" i="4" s="1"/>
  <c r="Y501" i="3"/>
  <c r="Y501" i="4" s="1"/>
  <c r="D502" i="3"/>
  <c r="D502" i="4" s="1"/>
  <c r="P502" i="3"/>
  <c r="P502" i="4" s="1"/>
  <c r="AB502" i="3"/>
  <c r="AB502" i="4" s="1"/>
  <c r="G503" i="3"/>
  <c r="G503" i="4" s="1"/>
  <c r="S503" i="3"/>
  <c r="S503" i="4" s="1"/>
  <c r="J504" i="3"/>
  <c r="J504" i="4" s="1"/>
  <c r="V504" i="3"/>
  <c r="V504" i="4" s="1"/>
  <c r="A505" i="3"/>
  <c r="A505" i="4" s="1"/>
  <c r="M505" i="3"/>
  <c r="M505" i="4" s="1"/>
  <c r="Y505" i="3"/>
  <c r="Y505" i="4" s="1"/>
  <c r="D506" i="3"/>
  <c r="D506" i="4" s="1"/>
  <c r="P506" i="3"/>
  <c r="P506" i="4" s="1"/>
  <c r="AB506" i="3"/>
  <c r="AB506" i="4" s="1"/>
  <c r="G507" i="3"/>
  <c r="G507" i="4" s="1"/>
  <c r="S507" i="3"/>
  <c r="S507" i="4" s="1"/>
  <c r="J508" i="3"/>
  <c r="J508" i="4" s="1"/>
  <c r="V508" i="3"/>
  <c r="V508" i="4" s="1"/>
  <c r="A509" i="3"/>
  <c r="A509" i="4" s="1"/>
  <c r="M509" i="3"/>
  <c r="M509" i="4" s="1"/>
  <c r="Y509" i="3"/>
  <c r="Y509" i="4" s="1"/>
  <c r="D510" i="3"/>
  <c r="D510" i="4" s="1"/>
  <c r="P510" i="3"/>
  <c r="P510" i="4" s="1"/>
  <c r="AB510" i="3"/>
  <c r="AB510" i="4" s="1"/>
  <c r="G511" i="3"/>
  <c r="G511" i="4" s="1"/>
  <c r="S511" i="3"/>
  <c r="S511" i="4" s="1"/>
  <c r="J512" i="3"/>
  <c r="J512" i="4" s="1"/>
  <c r="V512" i="3"/>
  <c r="V512" i="4" s="1"/>
  <c r="A513" i="3"/>
  <c r="A513" i="4" s="1"/>
  <c r="M513" i="3"/>
  <c r="M513" i="4" s="1"/>
  <c r="Y513" i="3"/>
  <c r="Y513" i="4" s="1"/>
  <c r="D514" i="3"/>
  <c r="D514" i="4" s="1"/>
  <c r="P514" i="3"/>
  <c r="P514" i="4" s="1"/>
  <c r="AB514" i="3"/>
  <c r="AB514" i="4" s="1"/>
  <c r="G515" i="3"/>
  <c r="G515" i="4" s="1"/>
  <c r="S515" i="3"/>
  <c r="S515" i="4" s="1"/>
  <c r="J516" i="3"/>
  <c r="J516" i="4" s="1"/>
  <c r="V516" i="3"/>
  <c r="V516" i="4" s="1"/>
  <c r="A517" i="3"/>
  <c r="A517" i="4" s="1"/>
  <c r="M517" i="3"/>
  <c r="M517" i="4" s="1"/>
  <c r="Y517" i="3"/>
  <c r="Y517" i="4" s="1"/>
  <c r="D518" i="3"/>
  <c r="D518" i="4" s="1"/>
  <c r="P518" i="3"/>
  <c r="P518" i="4" s="1"/>
  <c r="AB518" i="3"/>
  <c r="AB518" i="4" s="1"/>
  <c r="G519" i="3"/>
  <c r="G519" i="4" s="1"/>
  <c r="S519" i="3"/>
  <c r="S519" i="4" s="1"/>
  <c r="J520" i="3"/>
  <c r="J520" i="4" s="1"/>
  <c r="V520" i="3"/>
  <c r="V520" i="4" s="1"/>
  <c r="A521" i="3"/>
  <c r="A521" i="4" s="1"/>
  <c r="M521" i="3"/>
  <c r="M521" i="4" s="1"/>
  <c r="Y521" i="3"/>
  <c r="Y521" i="4" s="1"/>
  <c r="D522" i="3"/>
  <c r="D522" i="4" s="1"/>
  <c r="P522" i="3"/>
  <c r="P522" i="4" s="1"/>
  <c r="AB522" i="3"/>
  <c r="AB522" i="4" s="1"/>
  <c r="G523" i="3"/>
  <c r="G523" i="4" s="1"/>
  <c r="S523" i="3"/>
  <c r="S523" i="4" s="1"/>
  <c r="J524" i="3"/>
  <c r="J524" i="4" s="1"/>
  <c r="V524" i="3"/>
  <c r="V524" i="4" s="1"/>
  <c r="A525" i="3"/>
  <c r="A525" i="4" s="1"/>
  <c r="M525" i="3"/>
  <c r="M525" i="4" s="1"/>
  <c r="Y525" i="3"/>
  <c r="Y525" i="4" s="1"/>
  <c r="D526" i="3"/>
  <c r="D526" i="4" s="1"/>
  <c r="P526" i="3"/>
  <c r="P526" i="4" s="1"/>
  <c r="AB526" i="3"/>
  <c r="AB526" i="4" s="1"/>
  <c r="G527" i="3"/>
  <c r="G527" i="4" s="1"/>
  <c r="S527" i="3"/>
  <c r="S527" i="4" s="1"/>
  <c r="J528" i="3"/>
  <c r="J528" i="4" s="1"/>
  <c r="V528" i="3"/>
  <c r="V528" i="4" s="1"/>
  <c r="A529" i="3"/>
  <c r="A529" i="4" s="1"/>
  <c r="M529" i="3"/>
  <c r="M529" i="4" s="1"/>
  <c r="Y529" i="3"/>
  <c r="Y529" i="4" s="1"/>
  <c r="D530" i="3"/>
  <c r="D530" i="4" s="1"/>
  <c r="P530" i="3"/>
  <c r="P530" i="4" s="1"/>
  <c r="AB530" i="3"/>
  <c r="AB530" i="4" s="1"/>
  <c r="G531" i="3"/>
  <c r="G531" i="4" s="1"/>
  <c r="S531" i="3"/>
  <c r="S531" i="4" s="1"/>
  <c r="J532" i="3"/>
  <c r="J532" i="4" s="1"/>
  <c r="V532" i="3"/>
  <c r="V532" i="4" s="1"/>
  <c r="A533" i="3"/>
  <c r="A533" i="4" s="1"/>
  <c r="M533" i="3"/>
  <c r="M533" i="4" s="1"/>
  <c r="Y533" i="3"/>
  <c r="Y533" i="4" s="1"/>
  <c r="D534" i="3"/>
  <c r="D534" i="4" s="1"/>
  <c r="P534" i="3"/>
  <c r="P534" i="4" s="1"/>
  <c r="AB534" i="3"/>
  <c r="AB534" i="4" s="1"/>
  <c r="G535" i="3"/>
  <c r="G535" i="4" s="1"/>
  <c r="S535" i="3"/>
  <c r="S535" i="4" s="1"/>
  <c r="J536" i="3"/>
  <c r="J536" i="4" s="1"/>
  <c r="V536" i="3"/>
  <c r="V536" i="4" s="1"/>
  <c r="A537" i="3"/>
  <c r="A537" i="4" s="1"/>
  <c r="M537" i="3"/>
  <c r="M537" i="4" s="1"/>
  <c r="Y537" i="3"/>
  <c r="Y537" i="4" s="1"/>
  <c r="D538" i="3"/>
  <c r="D538" i="4" s="1"/>
  <c r="P538" i="3"/>
  <c r="P538" i="4" s="1"/>
  <c r="AB538" i="3"/>
  <c r="AB538" i="4" s="1"/>
  <c r="G539" i="3"/>
  <c r="G539" i="4" s="1"/>
  <c r="S539" i="3"/>
  <c r="S539" i="4" s="1"/>
  <c r="J540" i="3"/>
  <c r="J540" i="4" s="1"/>
  <c r="V540" i="3"/>
  <c r="V540" i="4" s="1"/>
  <c r="A541" i="3"/>
  <c r="A541" i="4" s="1"/>
  <c r="M541" i="3"/>
  <c r="M541" i="4" s="1"/>
  <c r="Y541" i="3"/>
  <c r="Y541" i="4" s="1"/>
  <c r="D542" i="3"/>
  <c r="D542" i="4" s="1"/>
  <c r="P542" i="3"/>
  <c r="P542" i="4" s="1"/>
  <c r="AB542" i="3"/>
  <c r="AB542" i="4" s="1"/>
  <c r="G543" i="3"/>
  <c r="G543" i="4" s="1"/>
  <c r="S543" i="3"/>
  <c r="S543" i="4" s="1"/>
  <c r="J544" i="3"/>
  <c r="J544" i="4" s="1"/>
  <c r="V544" i="3"/>
  <c r="V544" i="4" s="1"/>
  <c r="A545" i="3"/>
  <c r="A545" i="4" s="1"/>
  <c r="M545" i="3"/>
  <c r="M545" i="4" s="1"/>
  <c r="Y545" i="3"/>
  <c r="Y545" i="4" s="1"/>
  <c r="D546" i="3"/>
  <c r="D546" i="4" s="1"/>
  <c r="P546" i="3"/>
  <c r="P546" i="4" s="1"/>
  <c r="AB546" i="3"/>
  <c r="AB546" i="4" s="1"/>
  <c r="G547" i="3"/>
  <c r="G547" i="4" s="1"/>
  <c r="S547" i="3"/>
  <c r="S547" i="4" s="1"/>
  <c r="J548" i="3"/>
  <c r="J548" i="4" s="1"/>
  <c r="V548" i="3"/>
  <c r="V548" i="4" s="1"/>
  <c r="A549" i="3"/>
  <c r="A549" i="4" s="1"/>
  <c r="M549" i="3"/>
  <c r="M549" i="4" s="1"/>
  <c r="Y549" i="3"/>
  <c r="Y549" i="4" s="1"/>
  <c r="D550" i="3"/>
  <c r="D550" i="4" s="1"/>
  <c r="P550" i="3"/>
  <c r="P550" i="4" s="1"/>
  <c r="AB550" i="3"/>
  <c r="AB550" i="4" s="1"/>
  <c r="G551" i="3"/>
  <c r="G551" i="4" s="1"/>
  <c r="S551" i="3"/>
  <c r="S551" i="4" s="1"/>
  <c r="J552" i="3"/>
  <c r="J552" i="4" s="1"/>
  <c r="V552" i="3"/>
  <c r="V552" i="4" s="1"/>
  <c r="A553" i="3"/>
  <c r="A553" i="4" s="1"/>
  <c r="M553" i="3"/>
  <c r="M553" i="4" s="1"/>
  <c r="Y553" i="3"/>
  <c r="Y553" i="4" s="1"/>
  <c r="D554" i="3"/>
  <c r="D554" i="4" s="1"/>
  <c r="P554" i="3"/>
  <c r="P554" i="4" s="1"/>
  <c r="AB554" i="3"/>
  <c r="AB554" i="4" s="1"/>
  <c r="G555" i="3"/>
  <c r="G555" i="4" s="1"/>
  <c r="S555" i="3"/>
  <c r="S555" i="4" s="1"/>
  <c r="J556" i="3"/>
  <c r="J556" i="4" s="1"/>
  <c r="V556" i="3"/>
  <c r="V556" i="4" s="1"/>
  <c r="A557" i="3"/>
  <c r="A557" i="4" s="1"/>
  <c r="M557" i="3"/>
  <c r="M557" i="4" s="1"/>
  <c r="Y557" i="3"/>
  <c r="Y557" i="4" s="1"/>
  <c r="D558" i="3"/>
  <c r="D558" i="4" s="1"/>
  <c r="P558" i="3"/>
  <c r="P558" i="4" s="1"/>
  <c r="AB558" i="3"/>
  <c r="AB558" i="4" s="1"/>
  <c r="G559" i="3"/>
  <c r="G559" i="4" s="1"/>
  <c r="S559" i="3"/>
  <c r="S559" i="4" s="1"/>
  <c r="J560" i="3"/>
  <c r="J560" i="4" s="1"/>
  <c r="V560" i="3"/>
  <c r="V560" i="4" s="1"/>
  <c r="A561" i="3"/>
  <c r="A561" i="4" s="1"/>
  <c r="M561" i="3"/>
  <c r="M561" i="4" s="1"/>
  <c r="Y561" i="3"/>
  <c r="Y561" i="4" s="1"/>
  <c r="D562" i="3"/>
  <c r="D562" i="4" s="1"/>
  <c r="P562" i="3"/>
  <c r="P562" i="4" s="1"/>
  <c r="AB562" i="3"/>
  <c r="AB562" i="4" s="1"/>
  <c r="G563" i="3"/>
  <c r="G563" i="4" s="1"/>
  <c r="S563" i="3"/>
  <c r="S563" i="4" s="1"/>
  <c r="J564" i="3"/>
  <c r="J564" i="4" s="1"/>
  <c r="V564" i="3"/>
  <c r="V564" i="4" s="1"/>
  <c r="A565" i="3"/>
  <c r="A565" i="4" s="1"/>
  <c r="M565" i="3"/>
  <c r="M565" i="4" s="1"/>
  <c r="Y565" i="3"/>
  <c r="Y565" i="4" s="1"/>
  <c r="D566" i="3"/>
  <c r="D566" i="4" s="1"/>
  <c r="P566" i="3"/>
  <c r="P566" i="4" s="1"/>
  <c r="AB566" i="3"/>
  <c r="AB566" i="4" s="1"/>
  <c r="G567" i="3"/>
  <c r="G567" i="4" s="1"/>
  <c r="S567" i="3"/>
  <c r="S567" i="4" s="1"/>
  <c r="J568" i="3"/>
  <c r="J568" i="4" s="1"/>
  <c r="V568" i="3"/>
  <c r="V568" i="4" s="1"/>
  <c r="A569" i="3"/>
  <c r="A569" i="4" s="1"/>
  <c r="M569" i="3"/>
  <c r="M569" i="4" s="1"/>
  <c r="Y569" i="3"/>
  <c r="Y569" i="4" s="1"/>
  <c r="D570" i="3"/>
  <c r="D570" i="4" s="1"/>
  <c r="P570" i="3"/>
  <c r="P570" i="4" s="1"/>
  <c r="AB570" i="3"/>
  <c r="AB570" i="4" s="1"/>
  <c r="G571" i="3"/>
  <c r="G571" i="4" s="1"/>
  <c r="S571" i="3"/>
  <c r="S571" i="4" s="1"/>
  <c r="J572" i="3"/>
  <c r="J572" i="4" s="1"/>
  <c r="V572" i="3"/>
  <c r="V572" i="4" s="1"/>
  <c r="A573" i="3"/>
  <c r="A573" i="4" s="1"/>
  <c r="M573" i="3"/>
  <c r="M573" i="4" s="1"/>
  <c r="Y573" i="3"/>
  <c r="Y573" i="4" s="1"/>
  <c r="D574" i="3"/>
  <c r="D574" i="4" s="1"/>
  <c r="P574" i="3"/>
  <c r="P574" i="4" s="1"/>
  <c r="AB574" i="3"/>
  <c r="AB574" i="4" s="1"/>
  <c r="G575" i="3"/>
  <c r="G575" i="4" s="1"/>
  <c r="S575" i="3"/>
  <c r="S575" i="4" s="1"/>
  <c r="J576" i="3"/>
  <c r="J576" i="4" s="1"/>
  <c r="V576" i="3"/>
  <c r="V576" i="4" s="1"/>
  <c r="A577" i="3"/>
  <c r="A577" i="4" s="1"/>
  <c r="M577" i="3"/>
  <c r="M577" i="4" s="1"/>
  <c r="Y577" i="3"/>
  <c r="Y577" i="4" s="1"/>
  <c r="D578" i="3"/>
  <c r="D578" i="4" s="1"/>
  <c r="P578" i="3"/>
  <c r="P578" i="4" s="1"/>
  <c r="AB578" i="3"/>
  <c r="AB578" i="4" s="1"/>
  <c r="G579" i="3"/>
  <c r="G579" i="4" s="1"/>
  <c r="S579" i="3"/>
  <c r="S579" i="4" s="1"/>
  <c r="J580" i="3"/>
  <c r="J580" i="4" s="1"/>
  <c r="V580" i="3"/>
  <c r="V580" i="4" s="1"/>
  <c r="A581" i="3"/>
  <c r="A581" i="4" s="1"/>
  <c r="M581" i="3"/>
  <c r="M581" i="4" s="1"/>
  <c r="Y581" i="3"/>
  <c r="Y581" i="4" s="1"/>
  <c r="D582" i="3"/>
  <c r="D582" i="4" s="1"/>
  <c r="P582" i="3"/>
  <c r="P582" i="4" s="1"/>
  <c r="AB582" i="3"/>
  <c r="AB582" i="4" s="1"/>
  <c r="G583" i="3"/>
  <c r="G583" i="4" s="1"/>
  <c r="S583" i="3"/>
  <c r="S583" i="4" s="1"/>
  <c r="J584" i="3"/>
  <c r="J584" i="4" s="1"/>
  <c r="V584" i="3"/>
  <c r="V584" i="4" s="1"/>
  <c r="A585" i="3"/>
  <c r="A585" i="4" s="1"/>
  <c r="M585" i="3"/>
  <c r="M585" i="4" s="1"/>
  <c r="Y585" i="3"/>
  <c r="Y585" i="4" s="1"/>
  <c r="D586" i="3"/>
  <c r="D586" i="4" s="1"/>
  <c r="P586" i="3"/>
  <c r="P586" i="4" s="1"/>
  <c r="AB586" i="3"/>
  <c r="AB586" i="4" s="1"/>
  <c r="G587" i="3"/>
  <c r="G587" i="4" s="1"/>
  <c r="S587" i="3"/>
  <c r="S587" i="4" s="1"/>
  <c r="J588" i="3"/>
  <c r="J588" i="4" s="1"/>
  <c r="V588" i="3"/>
  <c r="V588" i="4" s="1"/>
  <c r="A589" i="3"/>
  <c r="A589" i="4" s="1"/>
  <c r="M589" i="3"/>
  <c r="M589" i="4" s="1"/>
  <c r="Y589" i="3"/>
  <c r="Y589" i="4" s="1"/>
  <c r="D590" i="3"/>
  <c r="D590" i="4" s="1"/>
  <c r="P590" i="3"/>
  <c r="P590" i="4" s="1"/>
  <c r="AB590" i="3"/>
  <c r="AB590" i="4" s="1"/>
  <c r="G591" i="3"/>
  <c r="G591" i="4" s="1"/>
  <c r="S591" i="3"/>
  <c r="S591" i="4" s="1"/>
  <c r="J592" i="3"/>
  <c r="J592" i="4" s="1"/>
  <c r="H483" i="3"/>
  <c r="H483" i="4" s="1"/>
  <c r="T483" i="3"/>
  <c r="T483" i="4" s="1"/>
  <c r="K484" i="3"/>
  <c r="K484" i="4" s="1"/>
  <c r="W484" i="3"/>
  <c r="W484" i="4" s="1"/>
  <c r="B485" i="3"/>
  <c r="B485" i="4" s="1"/>
  <c r="N485" i="3"/>
  <c r="N485" i="4" s="1"/>
  <c r="Z485" i="3"/>
  <c r="Z485" i="4" s="1"/>
  <c r="E486" i="3"/>
  <c r="E486" i="4" s="1"/>
  <c r="Q486" i="3"/>
  <c r="Q486" i="4" s="1"/>
  <c r="H487" i="3"/>
  <c r="H487" i="4" s="1"/>
  <c r="T487" i="3"/>
  <c r="T487" i="4" s="1"/>
  <c r="K488" i="3"/>
  <c r="K488" i="4" s="1"/>
  <c r="W488" i="3"/>
  <c r="W488" i="4" s="1"/>
  <c r="B489" i="3"/>
  <c r="B489" i="4" s="1"/>
  <c r="N489" i="3"/>
  <c r="N489" i="4" s="1"/>
  <c r="Z489" i="3"/>
  <c r="Z489" i="4" s="1"/>
  <c r="E490" i="3"/>
  <c r="E490" i="4" s="1"/>
  <c r="Q490" i="3"/>
  <c r="Q490" i="4" s="1"/>
  <c r="H491" i="3"/>
  <c r="H491" i="4" s="1"/>
  <c r="T491" i="3"/>
  <c r="T491" i="4" s="1"/>
  <c r="K492" i="3"/>
  <c r="K492" i="4" s="1"/>
  <c r="W492" i="3"/>
  <c r="W492" i="4" s="1"/>
  <c r="B493" i="3"/>
  <c r="B493" i="4" s="1"/>
  <c r="N493" i="3"/>
  <c r="N493" i="4" s="1"/>
  <c r="Z493" i="3"/>
  <c r="Z493" i="4" s="1"/>
  <c r="E494" i="3"/>
  <c r="E494" i="4" s="1"/>
  <c r="Q494" i="3"/>
  <c r="Q494" i="4" s="1"/>
  <c r="H495" i="3"/>
  <c r="H495" i="4" s="1"/>
  <c r="T495" i="3"/>
  <c r="T495" i="4" s="1"/>
  <c r="K496" i="3"/>
  <c r="K496" i="4" s="1"/>
  <c r="W496" i="3"/>
  <c r="W496" i="4" s="1"/>
  <c r="B497" i="3"/>
  <c r="B497" i="4" s="1"/>
  <c r="N497" i="3"/>
  <c r="N497" i="4" s="1"/>
  <c r="Z497" i="3"/>
  <c r="Z497" i="4" s="1"/>
  <c r="E498" i="3"/>
  <c r="E498" i="4" s="1"/>
  <c r="Q498" i="3"/>
  <c r="Q498" i="4" s="1"/>
  <c r="H499" i="3"/>
  <c r="H499" i="4" s="1"/>
  <c r="T499" i="3"/>
  <c r="T499" i="4" s="1"/>
  <c r="K500" i="3"/>
  <c r="K500" i="4" s="1"/>
  <c r="W500" i="3"/>
  <c r="W500" i="4" s="1"/>
  <c r="B501" i="3"/>
  <c r="B501" i="4" s="1"/>
  <c r="N501" i="3"/>
  <c r="N501" i="4" s="1"/>
  <c r="Z501" i="3"/>
  <c r="Z501" i="4" s="1"/>
  <c r="E502" i="3"/>
  <c r="E502" i="4" s="1"/>
  <c r="Q502" i="3"/>
  <c r="Q502" i="4" s="1"/>
  <c r="H503" i="3"/>
  <c r="H503" i="4" s="1"/>
  <c r="T503" i="3"/>
  <c r="T503" i="4" s="1"/>
  <c r="K504" i="3"/>
  <c r="K504" i="4" s="1"/>
  <c r="W504" i="3"/>
  <c r="W504" i="4" s="1"/>
  <c r="B505" i="3"/>
  <c r="B505" i="4" s="1"/>
  <c r="N505" i="3"/>
  <c r="N505" i="4" s="1"/>
  <c r="Z505" i="3"/>
  <c r="Z505" i="4" s="1"/>
  <c r="E506" i="3"/>
  <c r="E506" i="4" s="1"/>
  <c r="Q506" i="3"/>
  <c r="Q506" i="4" s="1"/>
  <c r="H507" i="3"/>
  <c r="H507" i="4" s="1"/>
  <c r="T507" i="3"/>
  <c r="T507" i="4" s="1"/>
  <c r="K508" i="3"/>
  <c r="K508" i="4" s="1"/>
  <c r="W508" i="3"/>
  <c r="W508" i="4" s="1"/>
  <c r="B509" i="3"/>
  <c r="B509" i="4" s="1"/>
  <c r="N509" i="3"/>
  <c r="N509" i="4" s="1"/>
  <c r="Z509" i="3"/>
  <c r="Z509" i="4" s="1"/>
  <c r="E510" i="3"/>
  <c r="E510" i="4" s="1"/>
  <c r="Q510" i="3"/>
  <c r="Q510" i="4" s="1"/>
  <c r="H511" i="3"/>
  <c r="H511" i="4" s="1"/>
  <c r="T511" i="3"/>
  <c r="T511" i="4" s="1"/>
  <c r="K512" i="3"/>
  <c r="K512" i="4" s="1"/>
  <c r="W512" i="3"/>
  <c r="W512" i="4" s="1"/>
  <c r="B513" i="3"/>
  <c r="B513" i="4" s="1"/>
  <c r="N513" i="3"/>
  <c r="N513" i="4" s="1"/>
  <c r="Z513" i="3"/>
  <c r="Z513" i="4" s="1"/>
  <c r="E514" i="3"/>
  <c r="E514" i="4" s="1"/>
  <c r="Q514" i="3"/>
  <c r="Q514" i="4" s="1"/>
  <c r="H515" i="3"/>
  <c r="H515" i="4" s="1"/>
  <c r="T515" i="3"/>
  <c r="T515" i="4" s="1"/>
  <c r="K516" i="3"/>
  <c r="K516" i="4" s="1"/>
  <c r="W516" i="3"/>
  <c r="W516" i="4" s="1"/>
  <c r="B517" i="3"/>
  <c r="B517" i="4" s="1"/>
  <c r="N517" i="3"/>
  <c r="N517" i="4" s="1"/>
  <c r="Z517" i="3"/>
  <c r="Z517" i="4" s="1"/>
  <c r="E518" i="3"/>
  <c r="E518" i="4" s="1"/>
  <c r="Q518" i="3"/>
  <c r="Q518" i="4" s="1"/>
  <c r="H519" i="3"/>
  <c r="H519" i="4" s="1"/>
  <c r="T519" i="3"/>
  <c r="T519" i="4" s="1"/>
  <c r="K520" i="3"/>
  <c r="K520" i="4" s="1"/>
  <c r="W520" i="3"/>
  <c r="W520" i="4" s="1"/>
  <c r="B521" i="3"/>
  <c r="B521" i="4" s="1"/>
  <c r="N521" i="3"/>
  <c r="N521" i="4" s="1"/>
  <c r="Z521" i="3"/>
  <c r="Z521" i="4" s="1"/>
  <c r="E522" i="3"/>
  <c r="E522" i="4" s="1"/>
  <c r="Q522" i="3"/>
  <c r="Q522" i="4" s="1"/>
  <c r="H523" i="3"/>
  <c r="H523" i="4" s="1"/>
  <c r="T523" i="3"/>
  <c r="T523" i="4" s="1"/>
  <c r="K524" i="3"/>
  <c r="K524" i="4" s="1"/>
  <c r="W524" i="3"/>
  <c r="W524" i="4" s="1"/>
  <c r="B525" i="3"/>
  <c r="B525" i="4" s="1"/>
  <c r="N525" i="3"/>
  <c r="N525" i="4" s="1"/>
  <c r="Z525" i="3"/>
  <c r="Z525" i="4" s="1"/>
  <c r="E526" i="3"/>
  <c r="E526" i="4" s="1"/>
  <c r="Q526" i="3"/>
  <c r="Q526" i="4" s="1"/>
  <c r="H527" i="3"/>
  <c r="H527" i="4" s="1"/>
  <c r="T527" i="3"/>
  <c r="T527" i="4" s="1"/>
  <c r="K528" i="3"/>
  <c r="K528" i="4" s="1"/>
  <c r="W528" i="3"/>
  <c r="W528" i="4" s="1"/>
  <c r="B529" i="3"/>
  <c r="B529" i="4" s="1"/>
  <c r="N529" i="3"/>
  <c r="N529" i="4" s="1"/>
  <c r="Z529" i="3"/>
  <c r="Z529" i="4" s="1"/>
  <c r="E530" i="3"/>
  <c r="E530" i="4" s="1"/>
  <c r="Q530" i="3"/>
  <c r="Q530" i="4" s="1"/>
  <c r="H531" i="3"/>
  <c r="H531" i="4" s="1"/>
  <c r="T531" i="3"/>
  <c r="T531" i="4" s="1"/>
  <c r="K532" i="3"/>
  <c r="K532" i="4" s="1"/>
  <c r="W532" i="3"/>
  <c r="W532" i="4" s="1"/>
  <c r="B533" i="3"/>
  <c r="B533" i="4" s="1"/>
  <c r="N533" i="3"/>
  <c r="N533" i="4" s="1"/>
  <c r="Z533" i="3"/>
  <c r="Z533" i="4" s="1"/>
  <c r="E534" i="3"/>
  <c r="E534" i="4" s="1"/>
  <c r="Q534" i="3"/>
  <c r="Q534" i="4" s="1"/>
  <c r="H535" i="3"/>
  <c r="H535" i="4" s="1"/>
  <c r="T535" i="3"/>
  <c r="T535" i="4" s="1"/>
  <c r="K536" i="3"/>
  <c r="K536" i="4" s="1"/>
  <c r="W536" i="3"/>
  <c r="W536" i="4" s="1"/>
  <c r="B537" i="3"/>
  <c r="B537" i="4" s="1"/>
  <c r="N537" i="3"/>
  <c r="N537" i="4" s="1"/>
  <c r="Z537" i="3"/>
  <c r="Z537" i="4" s="1"/>
  <c r="E538" i="3"/>
  <c r="E538" i="4" s="1"/>
  <c r="Q538" i="3"/>
  <c r="Q538" i="4" s="1"/>
  <c r="H539" i="3"/>
  <c r="H539" i="4" s="1"/>
  <c r="T539" i="3"/>
  <c r="T539" i="4" s="1"/>
  <c r="K540" i="3"/>
  <c r="K540" i="4" s="1"/>
  <c r="W540" i="3"/>
  <c r="W540" i="4" s="1"/>
  <c r="B541" i="3"/>
  <c r="B541" i="4" s="1"/>
  <c r="N541" i="3"/>
  <c r="N541" i="4" s="1"/>
  <c r="Z541" i="3"/>
  <c r="Z541" i="4" s="1"/>
  <c r="E542" i="3"/>
  <c r="E542" i="4" s="1"/>
  <c r="Q542" i="3"/>
  <c r="Q542" i="4" s="1"/>
  <c r="H543" i="3"/>
  <c r="H543" i="4" s="1"/>
  <c r="T543" i="3"/>
  <c r="T543" i="4" s="1"/>
  <c r="K544" i="3"/>
  <c r="K544" i="4" s="1"/>
  <c r="W544" i="3"/>
  <c r="W544" i="4" s="1"/>
  <c r="B545" i="3"/>
  <c r="B545" i="4" s="1"/>
  <c r="N545" i="3"/>
  <c r="N545" i="4" s="1"/>
  <c r="Z545" i="3"/>
  <c r="Z545" i="4" s="1"/>
  <c r="E546" i="3"/>
  <c r="E546" i="4" s="1"/>
  <c r="Q546" i="3"/>
  <c r="Q546" i="4" s="1"/>
  <c r="H547" i="3"/>
  <c r="H547" i="4" s="1"/>
  <c r="T547" i="3"/>
  <c r="T547" i="4" s="1"/>
  <c r="K548" i="3"/>
  <c r="K548" i="4" s="1"/>
  <c r="W548" i="3"/>
  <c r="W548" i="4" s="1"/>
  <c r="B549" i="3"/>
  <c r="B549" i="4" s="1"/>
  <c r="N549" i="3"/>
  <c r="N549" i="4" s="1"/>
  <c r="Z549" i="3"/>
  <c r="Z549" i="4" s="1"/>
  <c r="E550" i="3"/>
  <c r="E550" i="4" s="1"/>
  <c r="Q550" i="3"/>
  <c r="Q550" i="4" s="1"/>
  <c r="H551" i="3"/>
  <c r="H551" i="4" s="1"/>
  <c r="T551" i="3"/>
  <c r="T551" i="4" s="1"/>
  <c r="K552" i="3"/>
  <c r="K552" i="4" s="1"/>
  <c r="W552" i="3"/>
  <c r="W552" i="4" s="1"/>
  <c r="B553" i="3"/>
  <c r="B553" i="4" s="1"/>
  <c r="N553" i="3"/>
  <c r="N553" i="4" s="1"/>
  <c r="Z553" i="3"/>
  <c r="Z553" i="4" s="1"/>
  <c r="E554" i="3"/>
  <c r="E554" i="4" s="1"/>
  <c r="Q554" i="3"/>
  <c r="Q554" i="4" s="1"/>
  <c r="H555" i="3"/>
  <c r="H555" i="4" s="1"/>
  <c r="T555" i="3"/>
  <c r="T555" i="4" s="1"/>
  <c r="K556" i="3"/>
  <c r="K556" i="4" s="1"/>
  <c r="W556" i="3"/>
  <c r="W556" i="4" s="1"/>
  <c r="B557" i="3"/>
  <c r="B557" i="4" s="1"/>
  <c r="N557" i="3"/>
  <c r="N557" i="4" s="1"/>
  <c r="Z557" i="3"/>
  <c r="Z557" i="4" s="1"/>
  <c r="E558" i="3"/>
  <c r="E558" i="4" s="1"/>
  <c r="Q558" i="3"/>
  <c r="Q558" i="4" s="1"/>
  <c r="H559" i="3"/>
  <c r="H559" i="4" s="1"/>
  <c r="T559" i="3"/>
  <c r="T559" i="4" s="1"/>
  <c r="K560" i="3"/>
  <c r="K560" i="4" s="1"/>
  <c r="W560" i="3"/>
  <c r="W560" i="4" s="1"/>
  <c r="B561" i="3"/>
  <c r="B561" i="4" s="1"/>
  <c r="N561" i="3"/>
  <c r="N561" i="4" s="1"/>
  <c r="Z561" i="3"/>
  <c r="Z561" i="4" s="1"/>
  <c r="E562" i="3"/>
  <c r="E562" i="4" s="1"/>
  <c r="Q562" i="3"/>
  <c r="Q562" i="4" s="1"/>
  <c r="H563" i="3"/>
  <c r="H563" i="4" s="1"/>
  <c r="T563" i="3"/>
  <c r="T563" i="4" s="1"/>
  <c r="K564" i="3"/>
  <c r="K564" i="4" s="1"/>
  <c r="W564" i="3"/>
  <c r="W564" i="4" s="1"/>
  <c r="B565" i="3"/>
  <c r="B565" i="4" s="1"/>
  <c r="N565" i="3"/>
  <c r="N565" i="4" s="1"/>
  <c r="Z565" i="3"/>
  <c r="Z565" i="4" s="1"/>
  <c r="E566" i="3"/>
  <c r="E566" i="4" s="1"/>
  <c r="Q566" i="3"/>
  <c r="Q566" i="4" s="1"/>
  <c r="H567" i="3"/>
  <c r="H567" i="4" s="1"/>
  <c r="T567" i="3"/>
  <c r="T567" i="4" s="1"/>
  <c r="K568" i="3"/>
  <c r="K568" i="4" s="1"/>
  <c r="W568" i="3"/>
  <c r="W568" i="4" s="1"/>
  <c r="B569" i="3"/>
  <c r="B569" i="4" s="1"/>
  <c r="N569" i="3"/>
  <c r="N569" i="4" s="1"/>
  <c r="Z569" i="3"/>
  <c r="Z569" i="4" s="1"/>
  <c r="E570" i="3"/>
  <c r="E570" i="4" s="1"/>
  <c r="Q570" i="3"/>
  <c r="Q570" i="4" s="1"/>
  <c r="H571" i="3"/>
  <c r="H571" i="4" s="1"/>
  <c r="T571" i="3"/>
  <c r="T571" i="4" s="1"/>
  <c r="K572" i="3"/>
  <c r="K572" i="4" s="1"/>
  <c r="W572" i="3"/>
  <c r="W572" i="4" s="1"/>
  <c r="B573" i="3"/>
  <c r="B573" i="4" s="1"/>
  <c r="N573" i="3"/>
  <c r="N573" i="4" s="1"/>
  <c r="Z573" i="3"/>
  <c r="Z573" i="4" s="1"/>
  <c r="E574" i="3"/>
  <c r="E574" i="4" s="1"/>
  <c r="Q574" i="3"/>
  <c r="Q574" i="4" s="1"/>
  <c r="H575" i="3"/>
  <c r="H575" i="4" s="1"/>
  <c r="T575" i="3"/>
  <c r="T575" i="4" s="1"/>
  <c r="K576" i="3"/>
  <c r="K576" i="4" s="1"/>
  <c r="W576" i="3"/>
  <c r="W576" i="4" s="1"/>
  <c r="B577" i="3"/>
  <c r="B577" i="4" s="1"/>
  <c r="N577" i="3"/>
  <c r="N577" i="4" s="1"/>
  <c r="Z577" i="3"/>
  <c r="Z577" i="4" s="1"/>
  <c r="E578" i="3"/>
  <c r="E578" i="4" s="1"/>
  <c r="Q578" i="3"/>
  <c r="Q578" i="4" s="1"/>
  <c r="H579" i="3"/>
  <c r="H579" i="4" s="1"/>
  <c r="T579" i="3"/>
  <c r="T579" i="4" s="1"/>
  <c r="K580" i="3"/>
  <c r="K580" i="4" s="1"/>
  <c r="W580" i="3"/>
  <c r="W580" i="4" s="1"/>
  <c r="B581" i="3"/>
  <c r="B581" i="4" s="1"/>
  <c r="N581" i="3"/>
  <c r="N581" i="4" s="1"/>
  <c r="Z581" i="3"/>
  <c r="Z581" i="4" s="1"/>
  <c r="E582" i="3"/>
  <c r="E582" i="4" s="1"/>
  <c r="Q582" i="3"/>
  <c r="Q582" i="4" s="1"/>
  <c r="H583" i="3"/>
  <c r="H583" i="4" s="1"/>
  <c r="T583" i="3"/>
  <c r="T583" i="4" s="1"/>
  <c r="K584" i="3"/>
  <c r="K584" i="4" s="1"/>
  <c r="W584" i="3"/>
  <c r="W584" i="4" s="1"/>
  <c r="B585" i="3"/>
  <c r="B585" i="4" s="1"/>
  <c r="N585" i="3"/>
  <c r="N585" i="4" s="1"/>
  <c r="Z585" i="3"/>
  <c r="Z585" i="4" s="1"/>
  <c r="E586" i="3"/>
  <c r="E586" i="4" s="1"/>
  <c r="Q586" i="3"/>
  <c r="Q586" i="4" s="1"/>
  <c r="H587" i="3"/>
  <c r="H587" i="4" s="1"/>
  <c r="T587" i="3"/>
  <c r="T587" i="4" s="1"/>
  <c r="K588" i="3"/>
  <c r="K588" i="4" s="1"/>
  <c r="W588" i="3"/>
  <c r="W588" i="4" s="1"/>
  <c r="B589" i="3"/>
  <c r="B589" i="4" s="1"/>
  <c r="N589" i="3"/>
  <c r="N589" i="4" s="1"/>
  <c r="Z589" i="3"/>
  <c r="Z589" i="4" s="1"/>
  <c r="E590" i="3"/>
  <c r="E590" i="4" s="1"/>
  <c r="Q590" i="3"/>
  <c r="Q590" i="4" s="1"/>
  <c r="H591" i="3"/>
  <c r="H591" i="4" s="1"/>
  <c r="T591" i="3"/>
  <c r="T591" i="4" s="1"/>
  <c r="K592" i="3"/>
  <c r="K592" i="4" s="1"/>
  <c r="W592" i="3"/>
  <c r="W592" i="4" s="1"/>
  <c r="B593" i="3"/>
  <c r="B593" i="4" s="1"/>
  <c r="N593" i="3"/>
  <c r="N593" i="4" s="1"/>
  <c r="Z593" i="3"/>
  <c r="Z593" i="4" s="1"/>
  <c r="E594" i="3"/>
  <c r="E594" i="4" s="1"/>
  <c r="Q594" i="3"/>
  <c r="Q594" i="4" s="1"/>
  <c r="H595" i="3"/>
  <c r="H595" i="4" s="1"/>
  <c r="T595" i="3"/>
  <c r="T595" i="4" s="1"/>
  <c r="K596" i="3"/>
  <c r="K596" i="4" s="1"/>
  <c r="W596" i="3"/>
  <c r="W596" i="4" s="1"/>
  <c r="B597" i="3"/>
  <c r="B597" i="4" s="1"/>
  <c r="N597" i="3"/>
  <c r="N597" i="4" s="1"/>
  <c r="Z597" i="3"/>
  <c r="Z597" i="4" s="1"/>
  <c r="E598" i="3"/>
  <c r="E598" i="4" s="1"/>
  <c r="Q598" i="3"/>
  <c r="Q598" i="4" s="1"/>
  <c r="H599" i="3"/>
  <c r="H599" i="4" s="1"/>
  <c r="T599" i="3"/>
  <c r="T599" i="4" s="1"/>
  <c r="K600" i="3"/>
  <c r="K600" i="4" s="1"/>
  <c r="W600" i="3"/>
  <c r="W600" i="4" s="1"/>
  <c r="B601" i="3"/>
  <c r="B601" i="4" s="1"/>
  <c r="N601" i="3"/>
  <c r="N601" i="4" s="1"/>
  <c r="Z601" i="3"/>
  <c r="Z601" i="4" s="1"/>
  <c r="E602" i="3"/>
  <c r="E602" i="4" s="1"/>
  <c r="Q602" i="3"/>
  <c r="Q602" i="4" s="1"/>
  <c r="H603" i="3"/>
  <c r="H603" i="4" s="1"/>
  <c r="T603" i="3"/>
  <c r="T603" i="4" s="1"/>
  <c r="K604" i="3"/>
  <c r="K604" i="4" s="1"/>
  <c r="W604" i="3"/>
  <c r="W604" i="4" s="1"/>
  <c r="B605" i="3"/>
  <c r="B605" i="4" s="1"/>
  <c r="N605" i="3"/>
  <c r="N605" i="4" s="1"/>
  <c r="Z605" i="3"/>
  <c r="Z605" i="4" s="1"/>
  <c r="E606" i="3"/>
  <c r="E606" i="4" s="1"/>
  <c r="Q606" i="3"/>
  <c r="Q606" i="4" s="1"/>
  <c r="H607" i="3"/>
  <c r="H607" i="4" s="1"/>
  <c r="T607" i="3"/>
  <c r="T607" i="4" s="1"/>
  <c r="K608" i="3"/>
  <c r="K608" i="4" s="1"/>
  <c r="W608" i="3"/>
  <c r="W608" i="4" s="1"/>
  <c r="B609" i="3"/>
  <c r="B609" i="4" s="1"/>
  <c r="N609" i="3"/>
  <c r="N609" i="4" s="1"/>
  <c r="Z609" i="3"/>
  <c r="Z609" i="4" s="1"/>
  <c r="E610" i="3"/>
  <c r="E610" i="4" s="1"/>
  <c r="Q610" i="3"/>
  <c r="Q610" i="4" s="1"/>
  <c r="H611" i="3"/>
  <c r="H611" i="4" s="1"/>
  <c r="T611" i="3"/>
  <c r="T611" i="4" s="1"/>
  <c r="K612" i="3"/>
  <c r="K612" i="4" s="1"/>
  <c r="W612" i="3"/>
  <c r="W612" i="4" s="1"/>
  <c r="B613" i="3"/>
  <c r="B613" i="4" s="1"/>
  <c r="N613" i="3"/>
  <c r="N613" i="4" s="1"/>
  <c r="Z613" i="3"/>
  <c r="Z613" i="4" s="1"/>
  <c r="E614" i="3"/>
  <c r="E614" i="4" s="1"/>
  <c r="Q614" i="3"/>
  <c r="Q614" i="4" s="1"/>
  <c r="H615" i="3"/>
  <c r="H615" i="4" s="1"/>
  <c r="T615" i="3"/>
  <c r="T615" i="4" s="1"/>
  <c r="K616" i="3"/>
  <c r="K616" i="4" s="1"/>
  <c r="W616" i="3"/>
  <c r="W616" i="4" s="1"/>
  <c r="B617" i="3"/>
  <c r="B617" i="4" s="1"/>
  <c r="N617" i="3"/>
  <c r="N617" i="4" s="1"/>
  <c r="Z617" i="3"/>
  <c r="Z617" i="4" s="1"/>
  <c r="E618" i="3"/>
  <c r="E618" i="4" s="1"/>
  <c r="Q618" i="3"/>
  <c r="Q618" i="4" s="1"/>
  <c r="H619" i="3"/>
  <c r="H619" i="4" s="1"/>
  <c r="T619" i="3"/>
  <c r="T619" i="4" s="1"/>
  <c r="K620" i="3"/>
  <c r="K620" i="4" s="1"/>
  <c r="W620" i="3"/>
  <c r="W620" i="4" s="1"/>
  <c r="B621" i="3"/>
  <c r="B621" i="4" s="1"/>
  <c r="N621" i="3"/>
  <c r="N621" i="4" s="1"/>
  <c r="Z621" i="3"/>
  <c r="Z621" i="4" s="1"/>
  <c r="E622" i="3"/>
  <c r="E622" i="4" s="1"/>
  <c r="Q622" i="3"/>
  <c r="Q622" i="4" s="1"/>
  <c r="H623" i="3"/>
  <c r="H623" i="4" s="1"/>
  <c r="T623" i="3"/>
  <c r="T623" i="4" s="1"/>
  <c r="K624" i="3"/>
  <c r="K624" i="4" s="1"/>
  <c r="W624" i="3"/>
  <c r="W624" i="4" s="1"/>
  <c r="B625" i="3"/>
  <c r="B625" i="4" s="1"/>
  <c r="N625" i="3"/>
  <c r="N625" i="4" s="1"/>
  <c r="Z625" i="3"/>
  <c r="Z625" i="4" s="1"/>
  <c r="E626" i="3"/>
  <c r="E626" i="4" s="1"/>
  <c r="Q626" i="3"/>
  <c r="Q626" i="4" s="1"/>
  <c r="H627" i="3"/>
  <c r="H627" i="4" s="1"/>
  <c r="T627" i="3"/>
  <c r="T627" i="4" s="1"/>
  <c r="K628" i="3"/>
  <c r="K628" i="4" s="1"/>
  <c r="W628" i="3"/>
  <c r="W628" i="4" s="1"/>
  <c r="B629" i="3"/>
  <c r="B629" i="4" s="1"/>
  <c r="N629" i="3"/>
  <c r="N629" i="4" s="1"/>
  <c r="Z629" i="3"/>
  <c r="Z629" i="4" s="1"/>
  <c r="E630" i="3"/>
  <c r="E630" i="4" s="1"/>
  <c r="Q630" i="3"/>
  <c r="Q630" i="4" s="1"/>
  <c r="H631" i="3"/>
  <c r="H631" i="4" s="1"/>
  <c r="T631" i="3"/>
  <c r="T631" i="4" s="1"/>
  <c r="K632" i="3"/>
  <c r="K632" i="4" s="1"/>
  <c r="W632" i="3"/>
  <c r="W632" i="4" s="1"/>
  <c r="B633" i="3"/>
  <c r="B633" i="4" s="1"/>
  <c r="N633" i="3"/>
  <c r="N633" i="4" s="1"/>
  <c r="Z633" i="3"/>
  <c r="Z633" i="4" s="1"/>
  <c r="E634" i="3"/>
  <c r="E634" i="4" s="1"/>
  <c r="Q634" i="3"/>
  <c r="Q634" i="4" s="1"/>
  <c r="H635" i="3"/>
  <c r="H635" i="4" s="1"/>
  <c r="T635" i="3"/>
  <c r="T635" i="4" s="1"/>
  <c r="K636" i="3"/>
  <c r="K636" i="4" s="1"/>
  <c r="W636" i="3"/>
  <c r="W636" i="4" s="1"/>
  <c r="B637" i="3"/>
  <c r="B637" i="4" s="1"/>
  <c r="N637" i="3"/>
  <c r="N637" i="4" s="1"/>
  <c r="Z637" i="3"/>
  <c r="Z637" i="4" s="1"/>
  <c r="E638" i="3"/>
  <c r="E638" i="4" s="1"/>
  <c r="Q638" i="3"/>
  <c r="Q638" i="4" s="1"/>
  <c r="H639" i="3"/>
  <c r="H639" i="4" s="1"/>
  <c r="T639" i="3"/>
  <c r="T639" i="4" s="1"/>
  <c r="K640" i="3"/>
  <c r="K640" i="4" s="1"/>
  <c r="W640" i="3"/>
  <c r="W640" i="4" s="1"/>
  <c r="B641" i="3"/>
  <c r="B641" i="4" s="1"/>
  <c r="N641" i="3"/>
  <c r="N641" i="4" s="1"/>
  <c r="Z641" i="3"/>
  <c r="Z641" i="4" s="1"/>
  <c r="E642" i="3"/>
  <c r="E642" i="4" s="1"/>
  <c r="Q642" i="3"/>
  <c r="Q642" i="4" s="1"/>
  <c r="H643" i="3"/>
  <c r="H643" i="4" s="1"/>
  <c r="T643" i="3"/>
  <c r="T643" i="4" s="1"/>
  <c r="K644" i="3"/>
  <c r="K644" i="4" s="1"/>
  <c r="W644" i="3"/>
  <c r="W644" i="4" s="1"/>
  <c r="B645" i="3"/>
  <c r="B645" i="4" s="1"/>
  <c r="N645" i="3"/>
  <c r="N645" i="4" s="1"/>
  <c r="Z645" i="3"/>
  <c r="Z645" i="4" s="1"/>
  <c r="E646" i="3"/>
  <c r="E646" i="4" s="1"/>
  <c r="Q646" i="3"/>
  <c r="Q646" i="4" s="1"/>
  <c r="H647" i="3"/>
  <c r="H647" i="4" s="1"/>
  <c r="T647" i="3"/>
  <c r="T647" i="4" s="1"/>
  <c r="K648" i="3"/>
  <c r="K648" i="4" s="1"/>
  <c r="W648" i="3"/>
  <c r="W648" i="4" s="1"/>
  <c r="B649" i="3"/>
  <c r="B649" i="4" s="1"/>
  <c r="N649" i="3"/>
  <c r="N649" i="4" s="1"/>
  <c r="Z649" i="3"/>
  <c r="Z649" i="4" s="1"/>
  <c r="E650" i="3"/>
  <c r="E650" i="4" s="1"/>
  <c r="Q650" i="3"/>
  <c r="Q650" i="4" s="1"/>
  <c r="H651" i="3"/>
  <c r="H651" i="4" s="1"/>
  <c r="T651" i="3"/>
  <c r="T651" i="4" s="1"/>
  <c r="K652" i="3"/>
  <c r="K652" i="4" s="1"/>
  <c r="W652" i="3"/>
  <c r="W652" i="4" s="1"/>
  <c r="B653" i="3"/>
  <c r="B653" i="4" s="1"/>
  <c r="N653" i="3"/>
  <c r="N653" i="4" s="1"/>
  <c r="Z653" i="3"/>
  <c r="Z653" i="4" s="1"/>
  <c r="E654" i="3"/>
  <c r="E654" i="4" s="1"/>
  <c r="Q654" i="3"/>
  <c r="Q654" i="4" s="1"/>
  <c r="H655" i="3"/>
  <c r="H655" i="4" s="1"/>
  <c r="T655" i="3"/>
  <c r="T655" i="4" s="1"/>
  <c r="K656" i="3"/>
  <c r="K656" i="4" s="1"/>
  <c r="W656" i="3"/>
  <c r="W656" i="4" s="1"/>
  <c r="B657" i="3"/>
  <c r="B657" i="4" s="1"/>
  <c r="N657" i="3"/>
  <c r="N657" i="4" s="1"/>
  <c r="Z657" i="3"/>
  <c r="Z657" i="4" s="1"/>
  <c r="E658" i="3"/>
  <c r="E658" i="4" s="1"/>
  <c r="Q658" i="3"/>
  <c r="Q658" i="4" s="1"/>
  <c r="H659" i="3"/>
  <c r="H659" i="4" s="1"/>
  <c r="T659" i="3"/>
  <c r="T659" i="4" s="1"/>
  <c r="K660" i="3"/>
  <c r="K660" i="4" s="1"/>
  <c r="W660" i="3"/>
  <c r="W660" i="4" s="1"/>
  <c r="B661" i="3"/>
  <c r="B661" i="4" s="1"/>
  <c r="N661" i="3"/>
  <c r="N661" i="4" s="1"/>
  <c r="Z661" i="3"/>
  <c r="Z661" i="4" s="1"/>
  <c r="E662" i="3"/>
  <c r="E662" i="4" s="1"/>
  <c r="Q662" i="3"/>
  <c r="Q662" i="4" s="1"/>
  <c r="H663" i="3"/>
  <c r="H663" i="4" s="1"/>
  <c r="T663" i="3"/>
  <c r="T663" i="4" s="1"/>
  <c r="K664" i="3"/>
  <c r="K664" i="4" s="1"/>
  <c r="W664" i="3"/>
  <c r="W664" i="4" s="1"/>
  <c r="B665" i="3"/>
  <c r="B665" i="4" s="1"/>
  <c r="N665" i="3"/>
  <c r="N665" i="4" s="1"/>
  <c r="Z665" i="3"/>
  <c r="Z665" i="4" s="1"/>
  <c r="E666" i="3"/>
  <c r="E666" i="4" s="1"/>
  <c r="Q666" i="3"/>
  <c r="Q666" i="4" s="1"/>
  <c r="H667" i="3"/>
  <c r="H667" i="4" s="1"/>
  <c r="T667" i="3"/>
  <c r="T667" i="4" s="1"/>
  <c r="K668" i="3"/>
  <c r="K668" i="4" s="1"/>
  <c r="W668" i="3"/>
  <c r="W668" i="4" s="1"/>
  <c r="B669" i="3"/>
  <c r="B669" i="4" s="1"/>
  <c r="N669" i="3"/>
  <c r="N669" i="4" s="1"/>
  <c r="Z669" i="3"/>
  <c r="Z669" i="4" s="1"/>
  <c r="E670" i="3"/>
  <c r="E670" i="4" s="1"/>
  <c r="Q670" i="3"/>
  <c r="Q670" i="4" s="1"/>
  <c r="H671" i="3"/>
  <c r="H671" i="4" s="1"/>
  <c r="T671" i="3"/>
  <c r="T671" i="4" s="1"/>
  <c r="K672" i="3"/>
  <c r="K672" i="4" s="1"/>
  <c r="W672" i="3"/>
  <c r="W672" i="4" s="1"/>
  <c r="B673" i="3"/>
  <c r="B673" i="4" s="1"/>
  <c r="N673" i="3"/>
  <c r="N673" i="4" s="1"/>
  <c r="Z673" i="3"/>
  <c r="Z673" i="4" s="1"/>
  <c r="E674" i="3"/>
  <c r="E674" i="4" s="1"/>
  <c r="Q674" i="3"/>
  <c r="Q674" i="4" s="1"/>
  <c r="H675" i="3"/>
  <c r="H675" i="4" s="1"/>
  <c r="T675" i="3"/>
  <c r="T675" i="4" s="1"/>
  <c r="K676" i="3"/>
  <c r="K676" i="4" s="1"/>
  <c r="W676" i="3"/>
  <c r="W676" i="4" s="1"/>
  <c r="B677" i="3"/>
  <c r="B677" i="4" s="1"/>
  <c r="N677" i="3"/>
  <c r="N677" i="4" s="1"/>
  <c r="Z677" i="3"/>
  <c r="Z677" i="4" s="1"/>
  <c r="E678" i="3"/>
  <c r="E678" i="4" s="1"/>
  <c r="Q678" i="3"/>
  <c r="Q678" i="4" s="1"/>
  <c r="H679" i="3"/>
  <c r="H679" i="4" s="1"/>
  <c r="T679" i="3"/>
  <c r="T679" i="4" s="1"/>
  <c r="K680" i="3"/>
  <c r="K680" i="4" s="1"/>
  <c r="W680" i="3"/>
  <c r="W680" i="4" s="1"/>
  <c r="B681" i="3"/>
  <c r="B681" i="4" s="1"/>
  <c r="N681" i="3"/>
  <c r="N681" i="4" s="1"/>
  <c r="Z681" i="3"/>
  <c r="Z681" i="4" s="1"/>
  <c r="E682" i="3"/>
  <c r="E682" i="4" s="1"/>
  <c r="Q682" i="3"/>
  <c r="Q682" i="4" s="1"/>
  <c r="H683" i="3"/>
  <c r="H683" i="4" s="1"/>
  <c r="T683" i="3"/>
  <c r="T683" i="4" s="1"/>
  <c r="K684" i="3"/>
  <c r="K684" i="4" s="1"/>
  <c r="W684" i="3"/>
  <c r="W684" i="4" s="1"/>
  <c r="B685" i="3"/>
  <c r="B685" i="4" s="1"/>
  <c r="N685" i="3"/>
  <c r="N685" i="4" s="1"/>
  <c r="Z685" i="3"/>
  <c r="Z685" i="4" s="1"/>
  <c r="E686" i="3"/>
  <c r="E686" i="4" s="1"/>
  <c r="Q686" i="3"/>
  <c r="Q686" i="4" s="1"/>
  <c r="H687" i="3"/>
  <c r="H687" i="4" s="1"/>
  <c r="T687" i="3"/>
  <c r="T687" i="4" s="1"/>
  <c r="K688" i="3"/>
  <c r="K688" i="4" s="1"/>
  <c r="W688" i="3"/>
  <c r="W688" i="4" s="1"/>
  <c r="B689" i="3"/>
  <c r="B689" i="4" s="1"/>
  <c r="N689" i="3"/>
  <c r="N689" i="4" s="1"/>
  <c r="Z689" i="3"/>
  <c r="Z689" i="4" s="1"/>
  <c r="E690" i="3"/>
  <c r="E690" i="4" s="1"/>
  <c r="Q690" i="3"/>
  <c r="Q690" i="4" s="1"/>
  <c r="H691" i="3"/>
  <c r="H691" i="4" s="1"/>
  <c r="T691" i="3"/>
  <c r="T691" i="4" s="1"/>
  <c r="K692" i="3"/>
  <c r="K692" i="4" s="1"/>
  <c r="W692" i="3"/>
  <c r="W692" i="4" s="1"/>
  <c r="H552" i="3"/>
  <c r="H552" i="4" s="1"/>
  <c r="T552" i="3"/>
  <c r="T552" i="4" s="1"/>
  <c r="K553" i="3"/>
  <c r="K553" i="4" s="1"/>
  <c r="W553" i="3"/>
  <c r="W553" i="4" s="1"/>
  <c r="B554" i="3"/>
  <c r="B554" i="4" s="1"/>
  <c r="N554" i="3"/>
  <c r="N554" i="4" s="1"/>
  <c r="Z554" i="3"/>
  <c r="Z554" i="4" s="1"/>
  <c r="E555" i="3"/>
  <c r="E555" i="4" s="1"/>
  <c r="Q555" i="3"/>
  <c r="Q555" i="4" s="1"/>
  <c r="H556" i="3"/>
  <c r="H556" i="4" s="1"/>
  <c r="T556" i="3"/>
  <c r="T556" i="4" s="1"/>
  <c r="K557" i="3"/>
  <c r="K557" i="4" s="1"/>
  <c r="W557" i="3"/>
  <c r="W557" i="4" s="1"/>
  <c r="B558" i="3"/>
  <c r="B558" i="4" s="1"/>
  <c r="N558" i="3"/>
  <c r="N558" i="4" s="1"/>
  <c r="Z558" i="3"/>
  <c r="Z558" i="4" s="1"/>
  <c r="E559" i="3"/>
  <c r="E559" i="4" s="1"/>
  <c r="Q559" i="3"/>
  <c r="Q559" i="4" s="1"/>
  <c r="H560" i="3"/>
  <c r="H560" i="4" s="1"/>
  <c r="T560" i="3"/>
  <c r="T560" i="4" s="1"/>
  <c r="K561" i="3"/>
  <c r="K561" i="4" s="1"/>
  <c r="W561" i="3"/>
  <c r="W561" i="4" s="1"/>
  <c r="B562" i="3"/>
  <c r="B562" i="4" s="1"/>
  <c r="N562" i="3"/>
  <c r="N562" i="4" s="1"/>
  <c r="Z562" i="3"/>
  <c r="Z562" i="4" s="1"/>
  <c r="E563" i="3"/>
  <c r="E563" i="4" s="1"/>
  <c r="Q563" i="3"/>
  <c r="Q563" i="4" s="1"/>
  <c r="H564" i="3"/>
  <c r="H564" i="4" s="1"/>
  <c r="T564" i="3"/>
  <c r="T564" i="4" s="1"/>
  <c r="K565" i="3"/>
  <c r="K565" i="4" s="1"/>
  <c r="W565" i="3"/>
  <c r="W565" i="4" s="1"/>
  <c r="B566" i="3"/>
  <c r="B566" i="4" s="1"/>
  <c r="N566" i="3"/>
  <c r="N566" i="4" s="1"/>
  <c r="Z566" i="3"/>
  <c r="Z566" i="4" s="1"/>
  <c r="E567" i="3"/>
  <c r="E567" i="4" s="1"/>
  <c r="Q567" i="3"/>
  <c r="Q567" i="4" s="1"/>
  <c r="H568" i="3"/>
  <c r="H568" i="4" s="1"/>
  <c r="T568" i="3"/>
  <c r="T568" i="4" s="1"/>
  <c r="K569" i="3"/>
  <c r="K569" i="4" s="1"/>
  <c r="W569" i="3"/>
  <c r="W569" i="4" s="1"/>
  <c r="B570" i="3"/>
  <c r="B570" i="4" s="1"/>
  <c r="N570" i="3"/>
  <c r="N570" i="4" s="1"/>
  <c r="Z570" i="3"/>
  <c r="Z570" i="4" s="1"/>
  <c r="E571" i="3"/>
  <c r="E571" i="4" s="1"/>
  <c r="Q571" i="3"/>
  <c r="Q571" i="4" s="1"/>
  <c r="H572" i="3"/>
  <c r="H572" i="4" s="1"/>
  <c r="T572" i="3"/>
  <c r="T572" i="4" s="1"/>
  <c r="K573" i="3"/>
  <c r="K573" i="4" s="1"/>
  <c r="W573" i="3"/>
  <c r="W573" i="4" s="1"/>
  <c r="B574" i="3"/>
  <c r="B574" i="4" s="1"/>
  <c r="N574" i="3"/>
  <c r="N574" i="4" s="1"/>
  <c r="Z574" i="3"/>
  <c r="Z574" i="4" s="1"/>
  <c r="E575" i="3"/>
  <c r="E575" i="4" s="1"/>
  <c r="Q575" i="3"/>
  <c r="Q575" i="4" s="1"/>
  <c r="H576" i="3"/>
  <c r="H576" i="4" s="1"/>
  <c r="T576" i="3"/>
  <c r="T576" i="4" s="1"/>
  <c r="K577" i="3"/>
  <c r="K577" i="4" s="1"/>
  <c r="W577" i="3"/>
  <c r="W577" i="4" s="1"/>
  <c r="B578" i="3"/>
  <c r="B578" i="4" s="1"/>
  <c r="N578" i="3"/>
  <c r="N578" i="4" s="1"/>
  <c r="Z578" i="3"/>
  <c r="Z578" i="4" s="1"/>
  <c r="E579" i="3"/>
  <c r="E579" i="4" s="1"/>
  <c r="Q579" i="3"/>
  <c r="Q579" i="4" s="1"/>
  <c r="H580" i="3"/>
  <c r="H580" i="4" s="1"/>
  <c r="T580" i="3"/>
  <c r="T580" i="4" s="1"/>
  <c r="K581" i="3"/>
  <c r="K581" i="4" s="1"/>
  <c r="W581" i="3"/>
  <c r="W581" i="4" s="1"/>
  <c r="B582" i="3"/>
  <c r="B582" i="4" s="1"/>
  <c r="N582" i="3"/>
  <c r="N582" i="4" s="1"/>
  <c r="Z582" i="3"/>
  <c r="Z582" i="4" s="1"/>
  <c r="E583" i="3"/>
  <c r="E583" i="4" s="1"/>
  <c r="Q583" i="3"/>
  <c r="Q583" i="4" s="1"/>
  <c r="H584" i="3"/>
  <c r="H584" i="4" s="1"/>
  <c r="T584" i="3"/>
  <c r="T584" i="4" s="1"/>
  <c r="K585" i="3"/>
  <c r="K585" i="4" s="1"/>
  <c r="W585" i="3"/>
  <c r="W585" i="4" s="1"/>
  <c r="B586" i="3"/>
  <c r="B586" i="4" s="1"/>
  <c r="N586" i="3"/>
  <c r="N586" i="4" s="1"/>
  <c r="Z586" i="3"/>
  <c r="Z586" i="4" s="1"/>
  <c r="E587" i="3"/>
  <c r="E587" i="4" s="1"/>
  <c r="Q587" i="3"/>
  <c r="Q587" i="4" s="1"/>
  <c r="H588" i="3"/>
  <c r="H588" i="4" s="1"/>
  <c r="T588" i="3"/>
  <c r="T588" i="4" s="1"/>
  <c r="K589" i="3"/>
  <c r="K589" i="4" s="1"/>
  <c r="W589" i="3"/>
  <c r="W589" i="4" s="1"/>
  <c r="B590" i="3"/>
  <c r="B590" i="4" s="1"/>
  <c r="N590" i="3"/>
  <c r="N590" i="4" s="1"/>
  <c r="Z590" i="3"/>
  <c r="Z590" i="4" s="1"/>
  <c r="E591" i="3"/>
  <c r="E591" i="4" s="1"/>
  <c r="Q591" i="3"/>
  <c r="Q591" i="4" s="1"/>
  <c r="H592" i="3"/>
  <c r="H592" i="4" s="1"/>
  <c r="T592" i="3"/>
  <c r="T592" i="4" s="1"/>
  <c r="K593" i="3"/>
  <c r="K593" i="4" s="1"/>
  <c r="W593" i="3"/>
  <c r="W593" i="4" s="1"/>
  <c r="B594" i="3"/>
  <c r="B594" i="4" s="1"/>
  <c r="N594" i="3"/>
  <c r="N594" i="4" s="1"/>
  <c r="Z594" i="3"/>
  <c r="Z594" i="4" s="1"/>
  <c r="E595" i="3"/>
  <c r="E595" i="4" s="1"/>
  <c r="Q595" i="3"/>
  <c r="Q595" i="4" s="1"/>
  <c r="H596" i="3"/>
  <c r="H596" i="4" s="1"/>
  <c r="T596" i="3"/>
  <c r="T596" i="4" s="1"/>
  <c r="K597" i="3"/>
  <c r="K597" i="4" s="1"/>
  <c r="W597" i="3"/>
  <c r="W597" i="4" s="1"/>
  <c r="B598" i="3"/>
  <c r="B598" i="4" s="1"/>
  <c r="N598" i="3"/>
  <c r="N598" i="4" s="1"/>
  <c r="Z598" i="3"/>
  <c r="Z598" i="4" s="1"/>
  <c r="E599" i="3"/>
  <c r="E599" i="4" s="1"/>
  <c r="Q599" i="3"/>
  <c r="Q599" i="4" s="1"/>
  <c r="H600" i="3"/>
  <c r="H600" i="4" s="1"/>
  <c r="T600" i="3"/>
  <c r="T600" i="4" s="1"/>
  <c r="K601" i="3"/>
  <c r="K601" i="4" s="1"/>
  <c r="W601" i="3"/>
  <c r="W601" i="4" s="1"/>
  <c r="B602" i="3"/>
  <c r="B602" i="4" s="1"/>
  <c r="N602" i="3"/>
  <c r="N602" i="4" s="1"/>
  <c r="Z602" i="3"/>
  <c r="Z602" i="4" s="1"/>
  <c r="E603" i="3"/>
  <c r="E603" i="4" s="1"/>
  <c r="Q603" i="3"/>
  <c r="Q603" i="4" s="1"/>
  <c r="H604" i="3"/>
  <c r="H604" i="4" s="1"/>
  <c r="T604" i="3"/>
  <c r="T604" i="4" s="1"/>
  <c r="K605" i="3"/>
  <c r="K605" i="4" s="1"/>
  <c r="W605" i="3"/>
  <c r="W605" i="4" s="1"/>
  <c r="B606" i="3"/>
  <c r="B606" i="4" s="1"/>
  <c r="N606" i="3"/>
  <c r="N606" i="4" s="1"/>
  <c r="Z606" i="3"/>
  <c r="Z606" i="4" s="1"/>
  <c r="E607" i="3"/>
  <c r="E607" i="4" s="1"/>
  <c r="Q607" i="3"/>
  <c r="Q607" i="4" s="1"/>
  <c r="H608" i="3"/>
  <c r="H608" i="4" s="1"/>
  <c r="T608" i="3"/>
  <c r="T608" i="4" s="1"/>
  <c r="K609" i="3"/>
  <c r="K609" i="4" s="1"/>
  <c r="W609" i="3"/>
  <c r="W609" i="4" s="1"/>
  <c r="B610" i="3"/>
  <c r="B610" i="4" s="1"/>
  <c r="N610" i="3"/>
  <c r="N610" i="4" s="1"/>
  <c r="Z610" i="3"/>
  <c r="Z610" i="4" s="1"/>
  <c r="E611" i="3"/>
  <c r="E611" i="4" s="1"/>
  <c r="Q611" i="3"/>
  <c r="Q611" i="4" s="1"/>
  <c r="H612" i="3"/>
  <c r="H612" i="4" s="1"/>
  <c r="T612" i="3"/>
  <c r="T612" i="4" s="1"/>
  <c r="K613" i="3"/>
  <c r="K613" i="4" s="1"/>
  <c r="W613" i="3"/>
  <c r="W613" i="4" s="1"/>
  <c r="B614" i="3"/>
  <c r="B614" i="4" s="1"/>
  <c r="N614" i="3"/>
  <c r="N614" i="4" s="1"/>
  <c r="Z614" i="3"/>
  <c r="Z614" i="4" s="1"/>
  <c r="E615" i="3"/>
  <c r="E615" i="4" s="1"/>
  <c r="Q615" i="3"/>
  <c r="Q615" i="4" s="1"/>
  <c r="H616" i="3"/>
  <c r="H616" i="4" s="1"/>
  <c r="T616" i="3"/>
  <c r="T616" i="4" s="1"/>
  <c r="K617" i="3"/>
  <c r="K617" i="4" s="1"/>
  <c r="W617" i="3"/>
  <c r="W617" i="4" s="1"/>
  <c r="B618" i="3"/>
  <c r="B618" i="4" s="1"/>
  <c r="N618" i="3"/>
  <c r="N618" i="4" s="1"/>
  <c r="Z618" i="3"/>
  <c r="Z618" i="4" s="1"/>
  <c r="E619" i="3"/>
  <c r="E619" i="4" s="1"/>
  <c r="Q619" i="3"/>
  <c r="Q619" i="4" s="1"/>
  <c r="H620" i="3"/>
  <c r="H620" i="4" s="1"/>
  <c r="T620" i="3"/>
  <c r="T620" i="4" s="1"/>
  <c r="K621" i="3"/>
  <c r="K621" i="4" s="1"/>
  <c r="W621" i="3"/>
  <c r="W621" i="4" s="1"/>
  <c r="B622" i="3"/>
  <c r="B622" i="4" s="1"/>
  <c r="N622" i="3"/>
  <c r="N622" i="4" s="1"/>
  <c r="Z622" i="3"/>
  <c r="Z622" i="4" s="1"/>
  <c r="E623" i="3"/>
  <c r="E623" i="4" s="1"/>
  <c r="Q623" i="3"/>
  <c r="Q623" i="4" s="1"/>
  <c r="H624" i="3"/>
  <c r="H624" i="4" s="1"/>
  <c r="T624" i="3"/>
  <c r="T624" i="4" s="1"/>
  <c r="K625" i="3"/>
  <c r="K625" i="4" s="1"/>
  <c r="W625" i="3"/>
  <c r="W625" i="4" s="1"/>
  <c r="B626" i="3"/>
  <c r="B626" i="4" s="1"/>
  <c r="N626" i="3"/>
  <c r="N626" i="4" s="1"/>
  <c r="Z626" i="3"/>
  <c r="Z626" i="4" s="1"/>
  <c r="E627" i="3"/>
  <c r="E627" i="4" s="1"/>
  <c r="Q627" i="3"/>
  <c r="Q627" i="4" s="1"/>
  <c r="H628" i="3"/>
  <c r="H628" i="4" s="1"/>
  <c r="T628" i="3"/>
  <c r="T628" i="4" s="1"/>
  <c r="K629" i="3"/>
  <c r="K629" i="4" s="1"/>
  <c r="W629" i="3"/>
  <c r="W629" i="4" s="1"/>
  <c r="B630" i="3"/>
  <c r="B630" i="4" s="1"/>
  <c r="N630" i="3"/>
  <c r="N630" i="4" s="1"/>
  <c r="Z630" i="3"/>
  <c r="Z630" i="4" s="1"/>
  <c r="E631" i="3"/>
  <c r="E631" i="4" s="1"/>
  <c r="Q631" i="3"/>
  <c r="Q631" i="4" s="1"/>
  <c r="H632" i="3"/>
  <c r="H632" i="4" s="1"/>
  <c r="T632" i="3"/>
  <c r="T632" i="4" s="1"/>
  <c r="K633" i="3"/>
  <c r="K633" i="4" s="1"/>
  <c r="W633" i="3"/>
  <c r="W633" i="4" s="1"/>
  <c r="B634" i="3"/>
  <c r="B634" i="4" s="1"/>
  <c r="N634" i="3"/>
  <c r="N634" i="4" s="1"/>
  <c r="Z634" i="3"/>
  <c r="Z634" i="4" s="1"/>
  <c r="V592" i="3"/>
  <c r="V592" i="4" s="1"/>
  <c r="A593" i="3"/>
  <c r="A593" i="4" s="1"/>
  <c r="M593" i="3"/>
  <c r="M593" i="4" s="1"/>
  <c r="Y593" i="3"/>
  <c r="Y593" i="4" s="1"/>
  <c r="D594" i="3"/>
  <c r="D594" i="4" s="1"/>
  <c r="P594" i="3"/>
  <c r="P594" i="4" s="1"/>
  <c r="AB594" i="3"/>
  <c r="AB594" i="4" s="1"/>
  <c r="G595" i="3"/>
  <c r="G595" i="4" s="1"/>
  <c r="S595" i="3"/>
  <c r="S595" i="4" s="1"/>
  <c r="J596" i="3"/>
  <c r="J596" i="4" s="1"/>
  <c r="V596" i="3"/>
  <c r="V596" i="4" s="1"/>
  <c r="A597" i="3"/>
  <c r="A597" i="4" s="1"/>
  <c r="M597" i="3"/>
  <c r="M597" i="4" s="1"/>
  <c r="Y597" i="3"/>
  <c r="Y597" i="4" s="1"/>
  <c r="D598" i="3"/>
  <c r="D598" i="4" s="1"/>
  <c r="P598" i="3"/>
  <c r="P598" i="4" s="1"/>
  <c r="AB598" i="3"/>
  <c r="AB598" i="4" s="1"/>
  <c r="G599" i="3"/>
  <c r="G599" i="4" s="1"/>
  <c r="S599" i="3"/>
  <c r="S599" i="4" s="1"/>
  <c r="J600" i="3"/>
  <c r="J600" i="4" s="1"/>
  <c r="V600" i="3"/>
  <c r="V600" i="4" s="1"/>
  <c r="A601" i="3"/>
  <c r="A601" i="4" s="1"/>
  <c r="M601" i="3"/>
  <c r="M601" i="4" s="1"/>
  <c r="Y601" i="3"/>
  <c r="Y601" i="4" s="1"/>
  <c r="D602" i="3"/>
  <c r="D602" i="4" s="1"/>
  <c r="P602" i="3"/>
  <c r="P602" i="4" s="1"/>
  <c r="AB602" i="3"/>
  <c r="AB602" i="4" s="1"/>
  <c r="G603" i="3"/>
  <c r="G603" i="4" s="1"/>
  <c r="S603" i="3"/>
  <c r="S603" i="4" s="1"/>
  <c r="J604" i="3"/>
  <c r="J604" i="4" s="1"/>
  <c r="V604" i="3"/>
  <c r="V604" i="4" s="1"/>
  <c r="A605" i="3"/>
  <c r="A605" i="4" s="1"/>
  <c r="M605" i="3"/>
  <c r="M605" i="4" s="1"/>
  <c r="Y605" i="3"/>
  <c r="Y605" i="4" s="1"/>
  <c r="D606" i="3"/>
  <c r="D606" i="4" s="1"/>
  <c r="P606" i="3"/>
  <c r="P606" i="4" s="1"/>
  <c r="AB606" i="3"/>
  <c r="AB606" i="4" s="1"/>
  <c r="G607" i="3"/>
  <c r="G607" i="4" s="1"/>
  <c r="S607" i="3"/>
  <c r="S607" i="4" s="1"/>
  <c r="J608" i="3"/>
  <c r="J608" i="4" s="1"/>
  <c r="V608" i="3"/>
  <c r="V608" i="4" s="1"/>
  <c r="A609" i="3"/>
  <c r="A609" i="4" s="1"/>
  <c r="M609" i="3"/>
  <c r="M609" i="4" s="1"/>
  <c r="Y609" i="3"/>
  <c r="Y609" i="4" s="1"/>
  <c r="D610" i="3"/>
  <c r="D610" i="4" s="1"/>
  <c r="P610" i="3"/>
  <c r="P610" i="4" s="1"/>
  <c r="AB610" i="3"/>
  <c r="AB610" i="4" s="1"/>
  <c r="G611" i="3"/>
  <c r="G611" i="4" s="1"/>
  <c r="S611" i="3"/>
  <c r="S611" i="4" s="1"/>
  <c r="J612" i="3"/>
  <c r="J612" i="4" s="1"/>
  <c r="V612" i="3"/>
  <c r="V612" i="4" s="1"/>
  <c r="A613" i="3"/>
  <c r="A613" i="4" s="1"/>
  <c r="M613" i="3"/>
  <c r="M613" i="4" s="1"/>
  <c r="Y613" i="3"/>
  <c r="Y613" i="4" s="1"/>
  <c r="D614" i="3"/>
  <c r="D614" i="4" s="1"/>
  <c r="P614" i="3"/>
  <c r="P614" i="4" s="1"/>
  <c r="AB614" i="3"/>
  <c r="AB614" i="4" s="1"/>
  <c r="G615" i="3"/>
  <c r="G615" i="4" s="1"/>
  <c r="S615" i="3"/>
  <c r="S615" i="4" s="1"/>
  <c r="J616" i="3"/>
  <c r="J616" i="4" s="1"/>
  <c r="V616" i="3"/>
  <c r="V616" i="4" s="1"/>
  <c r="A617" i="3"/>
  <c r="A617" i="4" s="1"/>
  <c r="M617" i="3"/>
  <c r="M617" i="4" s="1"/>
  <c r="Y617" i="3"/>
  <c r="Y617" i="4" s="1"/>
  <c r="D618" i="3"/>
  <c r="D618" i="4" s="1"/>
  <c r="P618" i="3"/>
  <c r="P618" i="4" s="1"/>
  <c r="AB618" i="3"/>
  <c r="AB618" i="4" s="1"/>
  <c r="G619" i="3"/>
  <c r="G619" i="4" s="1"/>
  <c r="S619" i="3"/>
  <c r="S619" i="4" s="1"/>
  <c r="J620" i="3"/>
  <c r="J620" i="4" s="1"/>
  <c r="V620" i="3"/>
  <c r="V620" i="4" s="1"/>
  <c r="A621" i="3"/>
  <c r="A621" i="4" s="1"/>
  <c r="M621" i="3"/>
  <c r="M621" i="4" s="1"/>
  <c r="Y621" i="3"/>
  <c r="Y621" i="4" s="1"/>
  <c r="D622" i="3"/>
  <c r="D622" i="4" s="1"/>
  <c r="P622" i="3"/>
  <c r="P622" i="4" s="1"/>
  <c r="AB622" i="3"/>
  <c r="AB622" i="4" s="1"/>
  <c r="G623" i="3"/>
  <c r="G623" i="4" s="1"/>
  <c r="S623" i="3"/>
  <c r="S623" i="4" s="1"/>
  <c r="J624" i="3"/>
  <c r="J624" i="4" s="1"/>
  <c r="V624" i="3"/>
  <c r="V624" i="4" s="1"/>
  <c r="A625" i="3"/>
  <c r="A625" i="4" s="1"/>
  <c r="M625" i="3"/>
  <c r="M625" i="4" s="1"/>
  <c r="Y625" i="3"/>
  <c r="Y625" i="4" s="1"/>
  <c r="D626" i="3"/>
  <c r="D626" i="4" s="1"/>
  <c r="P626" i="3"/>
  <c r="P626" i="4" s="1"/>
  <c r="AB626" i="3"/>
  <c r="AB626" i="4" s="1"/>
  <c r="G627" i="3"/>
  <c r="G627" i="4" s="1"/>
  <c r="S627" i="3"/>
  <c r="S627" i="4" s="1"/>
  <c r="J628" i="3"/>
  <c r="J628" i="4" s="1"/>
  <c r="V628" i="3"/>
  <c r="V628" i="4" s="1"/>
  <c r="A629" i="3"/>
  <c r="A629" i="4" s="1"/>
  <c r="M629" i="3"/>
  <c r="M629" i="4" s="1"/>
  <c r="Y629" i="3"/>
  <c r="Y629" i="4" s="1"/>
  <c r="D630" i="3"/>
  <c r="D630" i="4" s="1"/>
  <c r="P630" i="3"/>
  <c r="P630" i="4" s="1"/>
  <c r="AB630" i="3"/>
  <c r="AB630" i="4" s="1"/>
  <c r="G631" i="3"/>
  <c r="G631" i="4" s="1"/>
  <c r="S631" i="3"/>
  <c r="S631" i="4" s="1"/>
  <c r="J632" i="3"/>
  <c r="J632" i="4" s="1"/>
  <c r="V632" i="3"/>
  <c r="V632" i="4" s="1"/>
  <c r="A633" i="3"/>
  <c r="A633" i="4" s="1"/>
  <c r="M633" i="3"/>
  <c r="M633" i="4" s="1"/>
  <c r="Y633" i="3"/>
  <c r="Y633" i="4" s="1"/>
  <c r="D634" i="3"/>
  <c r="D634" i="4" s="1"/>
  <c r="P634" i="3"/>
  <c r="P634" i="4" s="1"/>
  <c r="AB634" i="3"/>
  <c r="AB634" i="4" s="1"/>
  <c r="G635" i="3"/>
  <c r="G635" i="4" s="1"/>
  <c r="S635" i="3"/>
  <c r="S635" i="4" s="1"/>
  <c r="J636" i="3"/>
  <c r="J636" i="4" s="1"/>
  <c r="V636" i="3"/>
  <c r="V636" i="4" s="1"/>
  <c r="A637" i="3"/>
  <c r="A637" i="4" s="1"/>
  <c r="M637" i="3"/>
  <c r="M637" i="4" s="1"/>
  <c r="Y637" i="3"/>
  <c r="Y637" i="4" s="1"/>
  <c r="D638" i="3"/>
  <c r="D638" i="4" s="1"/>
  <c r="P638" i="3"/>
  <c r="P638" i="4" s="1"/>
  <c r="AB638" i="3"/>
  <c r="AB638" i="4" s="1"/>
  <c r="G639" i="3"/>
  <c r="G639" i="4" s="1"/>
  <c r="S639" i="3"/>
  <c r="S639" i="4" s="1"/>
  <c r="J640" i="3"/>
  <c r="J640" i="4" s="1"/>
  <c r="V640" i="3"/>
  <c r="V640" i="4" s="1"/>
  <c r="A641" i="3"/>
  <c r="A641" i="4" s="1"/>
  <c r="M641" i="3"/>
  <c r="M641" i="4" s="1"/>
  <c r="Y641" i="3"/>
  <c r="Y641" i="4" s="1"/>
  <c r="D642" i="3"/>
  <c r="D642" i="4" s="1"/>
  <c r="P642" i="3"/>
  <c r="P642" i="4" s="1"/>
  <c r="AB642" i="3"/>
  <c r="AB642" i="4" s="1"/>
  <c r="G643" i="3"/>
  <c r="G643" i="4" s="1"/>
  <c r="S643" i="3"/>
  <c r="S643" i="4" s="1"/>
  <c r="J644" i="3"/>
  <c r="J644" i="4" s="1"/>
  <c r="V644" i="3"/>
  <c r="V644" i="4" s="1"/>
  <c r="A645" i="3"/>
  <c r="A645" i="4" s="1"/>
  <c r="M645" i="3"/>
  <c r="M645" i="4" s="1"/>
  <c r="Y645" i="3"/>
  <c r="Y645" i="4" s="1"/>
  <c r="D646" i="3"/>
  <c r="D646" i="4" s="1"/>
  <c r="P646" i="3"/>
  <c r="P646" i="4" s="1"/>
  <c r="AB646" i="3"/>
  <c r="AB646" i="4" s="1"/>
  <c r="G647" i="3"/>
  <c r="G647" i="4" s="1"/>
  <c r="S647" i="3"/>
  <c r="S647" i="4" s="1"/>
  <c r="J648" i="3"/>
  <c r="J648" i="4" s="1"/>
  <c r="V648" i="3"/>
  <c r="V648" i="4" s="1"/>
  <c r="A649" i="3"/>
  <c r="A649" i="4" s="1"/>
  <c r="M649" i="3"/>
  <c r="M649" i="4" s="1"/>
  <c r="Y649" i="3"/>
  <c r="Y649" i="4" s="1"/>
  <c r="D650" i="3"/>
  <c r="D650" i="4" s="1"/>
  <c r="P456" i="3"/>
  <c r="P456" i="4" s="1"/>
  <c r="AB456" i="3"/>
  <c r="AB456" i="4" s="1"/>
  <c r="G457" i="3"/>
  <c r="G457" i="4" s="1"/>
  <c r="S457" i="3"/>
  <c r="S457" i="4" s="1"/>
  <c r="J458" i="3"/>
  <c r="J458" i="4" s="1"/>
  <c r="V458" i="3"/>
  <c r="V458" i="4" s="1"/>
  <c r="A459" i="3"/>
  <c r="A459" i="4" s="1"/>
  <c r="M459" i="3"/>
  <c r="M459" i="4" s="1"/>
  <c r="Y459" i="3"/>
  <c r="Y459" i="4" s="1"/>
  <c r="D460" i="3"/>
  <c r="D460" i="4" s="1"/>
  <c r="P460" i="3"/>
  <c r="P460" i="4" s="1"/>
  <c r="AB460" i="3"/>
  <c r="AB460" i="4" s="1"/>
  <c r="G461" i="3"/>
  <c r="G461" i="4" s="1"/>
  <c r="S461" i="3"/>
  <c r="S461" i="4" s="1"/>
  <c r="J462" i="3"/>
  <c r="J462" i="4" s="1"/>
  <c r="V462" i="3"/>
  <c r="V462" i="4" s="1"/>
  <c r="A463" i="3"/>
  <c r="A463" i="4" s="1"/>
  <c r="M463" i="3"/>
  <c r="M463" i="4" s="1"/>
  <c r="Y463" i="3"/>
  <c r="Y463" i="4" s="1"/>
  <c r="D464" i="3"/>
  <c r="D464" i="4" s="1"/>
  <c r="P464" i="3"/>
  <c r="P464" i="4" s="1"/>
  <c r="AB464" i="3"/>
  <c r="AB464" i="4" s="1"/>
  <c r="G465" i="3"/>
  <c r="G465" i="4" s="1"/>
  <c r="S465" i="3"/>
  <c r="S465" i="4" s="1"/>
  <c r="J466" i="3"/>
  <c r="J466" i="4" s="1"/>
  <c r="V466" i="3"/>
  <c r="V466" i="4" s="1"/>
  <c r="A467" i="3"/>
  <c r="A467" i="4" s="1"/>
  <c r="M467" i="3"/>
  <c r="M467" i="4" s="1"/>
  <c r="Y467" i="3"/>
  <c r="Y467" i="4" s="1"/>
  <c r="D468" i="3"/>
  <c r="D468" i="4" s="1"/>
  <c r="P468" i="3"/>
  <c r="P468" i="4" s="1"/>
  <c r="AB468" i="3"/>
  <c r="AB468" i="4" s="1"/>
  <c r="G469" i="3"/>
  <c r="G469" i="4" s="1"/>
  <c r="S469" i="3"/>
  <c r="S469" i="4" s="1"/>
  <c r="J470" i="3"/>
  <c r="J470" i="4" s="1"/>
  <c r="V470" i="3"/>
  <c r="V470" i="4" s="1"/>
  <c r="A471" i="3"/>
  <c r="A471" i="4" s="1"/>
  <c r="M471" i="3"/>
  <c r="M471" i="4" s="1"/>
  <c r="Y471" i="3"/>
  <c r="Y471" i="4" s="1"/>
  <c r="D472" i="3"/>
  <c r="D472" i="4" s="1"/>
  <c r="P472" i="3"/>
  <c r="P472" i="4" s="1"/>
  <c r="AB472" i="3"/>
  <c r="AB472" i="4" s="1"/>
  <c r="G473" i="3"/>
  <c r="G473" i="4" s="1"/>
  <c r="S473" i="3"/>
  <c r="S473" i="4" s="1"/>
  <c r="J474" i="3"/>
  <c r="J474" i="4" s="1"/>
  <c r="V474" i="3"/>
  <c r="V474" i="4" s="1"/>
  <c r="A475" i="3"/>
  <c r="A475" i="4" s="1"/>
  <c r="M475" i="3"/>
  <c r="M475" i="4" s="1"/>
  <c r="Y475" i="3"/>
  <c r="Y475" i="4" s="1"/>
  <c r="D476" i="3"/>
  <c r="D476" i="4" s="1"/>
  <c r="P476" i="3"/>
  <c r="P476" i="4" s="1"/>
  <c r="AB476" i="3"/>
  <c r="AB476" i="4" s="1"/>
  <c r="G477" i="3"/>
  <c r="G477" i="4" s="1"/>
  <c r="S477" i="3"/>
  <c r="S477" i="4" s="1"/>
  <c r="J478" i="3"/>
  <c r="J478" i="4" s="1"/>
  <c r="V478" i="3"/>
  <c r="V478" i="4" s="1"/>
  <c r="A479" i="3"/>
  <c r="A479" i="4" s="1"/>
  <c r="M479" i="3"/>
  <c r="M479" i="4" s="1"/>
  <c r="Y479" i="3"/>
  <c r="Y479" i="4" s="1"/>
  <c r="D480" i="3"/>
  <c r="D480" i="4" s="1"/>
  <c r="P480" i="3"/>
  <c r="P480" i="4" s="1"/>
  <c r="AB480" i="3"/>
  <c r="AB480" i="4" s="1"/>
  <c r="G481" i="3"/>
  <c r="G481" i="4" s="1"/>
  <c r="S481" i="3"/>
  <c r="S481" i="4" s="1"/>
  <c r="J482" i="3"/>
  <c r="J482" i="4" s="1"/>
  <c r="V482" i="3"/>
  <c r="V482" i="4" s="1"/>
  <c r="A483" i="3"/>
  <c r="A483" i="4" s="1"/>
  <c r="M483" i="3"/>
  <c r="M483" i="4" s="1"/>
  <c r="Y483" i="3"/>
  <c r="Y483" i="4" s="1"/>
  <c r="D484" i="3"/>
  <c r="D484" i="4" s="1"/>
  <c r="P484" i="3"/>
  <c r="P484" i="4" s="1"/>
  <c r="AB484" i="3"/>
  <c r="AB484" i="4" s="1"/>
  <c r="G485" i="3"/>
  <c r="G485" i="4" s="1"/>
  <c r="S485" i="3"/>
  <c r="S485" i="4" s="1"/>
  <c r="J486" i="3"/>
  <c r="J486" i="4" s="1"/>
  <c r="V486" i="3"/>
  <c r="V486" i="4" s="1"/>
  <c r="A487" i="3"/>
  <c r="A487" i="4" s="1"/>
  <c r="M487" i="3"/>
  <c r="M487" i="4" s="1"/>
  <c r="Y487" i="3"/>
  <c r="Y487" i="4" s="1"/>
  <c r="D488" i="3"/>
  <c r="D488" i="4" s="1"/>
  <c r="P488" i="3"/>
  <c r="P488" i="4" s="1"/>
  <c r="AB488" i="3"/>
  <c r="AB488" i="4" s="1"/>
  <c r="G489" i="3"/>
  <c r="G489" i="4" s="1"/>
  <c r="S489" i="3"/>
  <c r="S489" i="4" s="1"/>
  <c r="J490" i="3"/>
  <c r="J490" i="4" s="1"/>
  <c r="V490" i="3"/>
  <c r="V490" i="4" s="1"/>
  <c r="A491" i="3"/>
  <c r="A491" i="4" s="1"/>
  <c r="M491" i="3"/>
  <c r="M491" i="4" s="1"/>
  <c r="Y491" i="3"/>
  <c r="Y491" i="4" s="1"/>
  <c r="D492" i="3"/>
  <c r="D492" i="4" s="1"/>
  <c r="P492" i="3"/>
  <c r="P492" i="4" s="1"/>
  <c r="AB492" i="3"/>
  <c r="AB492" i="4" s="1"/>
  <c r="G493" i="3"/>
  <c r="G493" i="4" s="1"/>
  <c r="S493" i="3"/>
  <c r="S493" i="4" s="1"/>
  <c r="J494" i="3"/>
  <c r="J494" i="4" s="1"/>
  <c r="V494" i="3"/>
  <c r="V494" i="4" s="1"/>
  <c r="A495" i="3"/>
  <c r="A495" i="4" s="1"/>
  <c r="M495" i="3"/>
  <c r="M495" i="4" s="1"/>
  <c r="Y495" i="3"/>
  <c r="Y495" i="4" s="1"/>
  <c r="D496" i="3"/>
  <c r="D496" i="4" s="1"/>
  <c r="P496" i="3"/>
  <c r="P496" i="4" s="1"/>
  <c r="AB496" i="3"/>
  <c r="AB496" i="4" s="1"/>
  <c r="G497" i="3"/>
  <c r="G497" i="4" s="1"/>
  <c r="S497" i="3"/>
  <c r="S497" i="4" s="1"/>
  <c r="J498" i="3"/>
  <c r="J498" i="4" s="1"/>
  <c r="V498" i="3"/>
  <c r="V498" i="4" s="1"/>
  <c r="A499" i="3"/>
  <c r="A499" i="4" s="1"/>
  <c r="M499" i="3"/>
  <c r="M499" i="4" s="1"/>
  <c r="Y499" i="3"/>
  <c r="Y499" i="4" s="1"/>
  <c r="D500" i="3"/>
  <c r="D500" i="4" s="1"/>
  <c r="P500" i="3"/>
  <c r="P500" i="4" s="1"/>
  <c r="AB500" i="3"/>
  <c r="AB500" i="4" s="1"/>
  <c r="G501" i="3"/>
  <c r="G501" i="4" s="1"/>
  <c r="S501" i="3"/>
  <c r="S501" i="4" s="1"/>
  <c r="J502" i="3"/>
  <c r="J502" i="4" s="1"/>
  <c r="V502" i="3"/>
  <c r="V502" i="4" s="1"/>
  <c r="A503" i="3"/>
  <c r="A503" i="4" s="1"/>
  <c r="M503" i="3"/>
  <c r="M503" i="4" s="1"/>
  <c r="Y503" i="3"/>
  <c r="Y503" i="4" s="1"/>
  <c r="D504" i="3"/>
  <c r="D504" i="4" s="1"/>
  <c r="P504" i="3"/>
  <c r="P504" i="4" s="1"/>
  <c r="AB504" i="3"/>
  <c r="AB504" i="4" s="1"/>
  <c r="G505" i="3"/>
  <c r="G505" i="4" s="1"/>
  <c r="S505" i="3"/>
  <c r="S505" i="4" s="1"/>
  <c r="J506" i="3"/>
  <c r="J506" i="4" s="1"/>
  <c r="V506" i="3"/>
  <c r="V506" i="4" s="1"/>
  <c r="A507" i="3"/>
  <c r="A507" i="4" s="1"/>
  <c r="M507" i="3"/>
  <c r="M507" i="4" s="1"/>
  <c r="Y507" i="3"/>
  <c r="Y507" i="4" s="1"/>
  <c r="D508" i="3"/>
  <c r="D508" i="4" s="1"/>
  <c r="P508" i="3"/>
  <c r="P508" i="4" s="1"/>
  <c r="AB508" i="3"/>
  <c r="AB508" i="4" s="1"/>
  <c r="G509" i="3"/>
  <c r="G509" i="4" s="1"/>
  <c r="S509" i="3"/>
  <c r="S509" i="4" s="1"/>
  <c r="J510" i="3"/>
  <c r="J510" i="4" s="1"/>
  <c r="V510" i="3"/>
  <c r="V510" i="4" s="1"/>
  <c r="A511" i="3"/>
  <c r="A511" i="4" s="1"/>
  <c r="M511" i="3"/>
  <c r="M511" i="4" s="1"/>
  <c r="Y511" i="3"/>
  <c r="Y511" i="4" s="1"/>
  <c r="D512" i="3"/>
  <c r="D512" i="4" s="1"/>
  <c r="P512" i="3"/>
  <c r="P512" i="4" s="1"/>
  <c r="AB512" i="3"/>
  <c r="AB512" i="4" s="1"/>
  <c r="G513" i="3"/>
  <c r="G513" i="4" s="1"/>
  <c r="S513" i="3"/>
  <c r="S513" i="4" s="1"/>
  <c r="J514" i="3"/>
  <c r="J514" i="4" s="1"/>
  <c r="V514" i="3"/>
  <c r="V514" i="4" s="1"/>
  <c r="A515" i="3"/>
  <c r="A515" i="4" s="1"/>
  <c r="M515" i="3"/>
  <c r="M515" i="4" s="1"/>
  <c r="Y515" i="3"/>
  <c r="Y515" i="4" s="1"/>
  <c r="D516" i="3"/>
  <c r="D516" i="4" s="1"/>
  <c r="P516" i="3"/>
  <c r="P516" i="4" s="1"/>
  <c r="AB516" i="3"/>
  <c r="AB516" i="4" s="1"/>
  <c r="G517" i="3"/>
  <c r="G517" i="4" s="1"/>
  <c r="S517" i="3"/>
  <c r="S517" i="4" s="1"/>
  <c r="J518" i="3"/>
  <c r="J518" i="4" s="1"/>
  <c r="V518" i="3"/>
  <c r="V518" i="4" s="1"/>
  <c r="A519" i="3"/>
  <c r="A519" i="4" s="1"/>
  <c r="M519" i="3"/>
  <c r="M519" i="4" s="1"/>
  <c r="Y519" i="3"/>
  <c r="Y519" i="4" s="1"/>
  <c r="D520" i="3"/>
  <c r="D520" i="4" s="1"/>
  <c r="P520" i="3"/>
  <c r="P520" i="4" s="1"/>
  <c r="AB520" i="3"/>
  <c r="AB520" i="4" s="1"/>
  <c r="G521" i="3"/>
  <c r="G521" i="4" s="1"/>
  <c r="S521" i="3"/>
  <c r="S521" i="4" s="1"/>
  <c r="J522" i="3"/>
  <c r="J522" i="4" s="1"/>
  <c r="V522" i="3"/>
  <c r="V522" i="4" s="1"/>
  <c r="A523" i="3"/>
  <c r="A523" i="4" s="1"/>
  <c r="M523" i="3"/>
  <c r="M523" i="4" s="1"/>
  <c r="Y523" i="3"/>
  <c r="Y523" i="4" s="1"/>
  <c r="D524" i="3"/>
  <c r="D524" i="4" s="1"/>
  <c r="P524" i="3"/>
  <c r="P524" i="4" s="1"/>
  <c r="AB524" i="3"/>
  <c r="AB524" i="4" s="1"/>
  <c r="G525" i="3"/>
  <c r="G525" i="4" s="1"/>
  <c r="S525" i="3"/>
  <c r="S525" i="4" s="1"/>
  <c r="J526" i="3"/>
  <c r="J526" i="4" s="1"/>
  <c r="V526" i="3"/>
  <c r="V526" i="4" s="1"/>
  <c r="A527" i="3"/>
  <c r="A527" i="4" s="1"/>
  <c r="M527" i="3"/>
  <c r="M527" i="4" s="1"/>
  <c r="Y527" i="3"/>
  <c r="Y527" i="4" s="1"/>
  <c r="D528" i="3"/>
  <c r="D528" i="4" s="1"/>
  <c r="P528" i="3"/>
  <c r="P528" i="4" s="1"/>
  <c r="AB528" i="3"/>
  <c r="AB528" i="4" s="1"/>
  <c r="G529" i="3"/>
  <c r="G529" i="4" s="1"/>
  <c r="S529" i="3"/>
  <c r="S529" i="4" s="1"/>
  <c r="J530" i="3"/>
  <c r="J530" i="4" s="1"/>
  <c r="V530" i="3"/>
  <c r="V530" i="4" s="1"/>
  <c r="A531" i="3"/>
  <c r="A531" i="4" s="1"/>
  <c r="M531" i="3"/>
  <c r="M531" i="4" s="1"/>
  <c r="Y531" i="3"/>
  <c r="Y531" i="4" s="1"/>
  <c r="D532" i="3"/>
  <c r="D532" i="4" s="1"/>
  <c r="P532" i="3"/>
  <c r="P532" i="4" s="1"/>
  <c r="AB532" i="3"/>
  <c r="AB532" i="4" s="1"/>
  <c r="G533" i="3"/>
  <c r="G533" i="4" s="1"/>
  <c r="S533" i="3"/>
  <c r="S533" i="4" s="1"/>
  <c r="J534" i="3"/>
  <c r="J534" i="4" s="1"/>
  <c r="V534" i="3"/>
  <c r="V534" i="4" s="1"/>
  <c r="A535" i="3"/>
  <c r="A535" i="4" s="1"/>
  <c r="M535" i="3"/>
  <c r="M535" i="4" s="1"/>
  <c r="Y535" i="3"/>
  <c r="Y535" i="4" s="1"/>
  <c r="D536" i="3"/>
  <c r="D536" i="4" s="1"/>
  <c r="P536" i="3"/>
  <c r="P536" i="4" s="1"/>
  <c r="AB536" i="3"/>
  <c r="AB536" i="4" s="1"/>
  <c r="G537" i="3"/>
  <c r="G537" i="4" s="1"/>
  <c r="S537" i="3"/>
  <c r="S537" i="4" s="1"/>
  <c r="J538" i="3"/>
  <c r="J538" i="4" s="1"/>
  <c r="V538" i="3"/>
  <c r="V538" i="4" s="1"/>
  <c r="A539" i="3"/>
  <c r="A539" i="4" s="1"/>
  <c r="M539" i="3"/>
  <c r="M539" i="4" s="1"/>
  <c r="Y539" i="3"/>
  <c r="Y539" i="4" s="1"/>
  <c r="D540" i="3"/>
  <c r="D540" i="4" s="1"/>
  <c r="P540" i="3"/>
  <c r="P540" i="4" s="1"/>
  <c r="AB540" i="3"/>
  <c r="AB540" i="4" s="1"/>
  <c r="G541" i="3"/>
  <c r="G541" i="4" s="1"/>
  <c r="S541" i="3"/>
  <c r="S541" i="4" s="1"/>
  <c r="J542" i="3"/>
  <c r="J542" i="4" s="1"/>
  <c r="V542" i="3"/>
  <c r="V542" i="4" s="1"/>
  <c r="A543" i="3"/>
  <c r="A543" i="4" s="1"/>
  <c r="M543" i="3"/>
  <c r="M543" i="4" s="1"/>
  <c r="Y543" i="3"/>
  <c r="Y543" i="4" s="1"/>
  <c r="D544" i="3"/>
  <c r="D544" i="4" s="1"/>
  <c r="P544" i="3"/>
  <c r="P544" i="4" s="1"/>
  <c r="AB544" i="3"/>
  <c r="AB544" i="4" s="1"/>
  <c r="G545" i="3"/>
  <c r="G545" i="4" s="1"/>
  <c r="S545" i="3"/>
  <c r="S545" i="4" s="1"/>
  <c r="J546" i="3"/>
  <c r="J546" i="4" s="1"/>
  <c r="V546" i="3"/>
  <c r="V546" i="4" s="1"/>
  <c r="A547" i="3"/>
  <c r="A547" i="4" s="1"/>
  <c r="M547" i="3"/>
  <c r="M547" i="4" s="1"/>
  <c r="Y547" i="3"/>
  <c r="Y547" i="4" s="1"/>
  <c r="D548" i="3"/>
  <c r="D548" i="4" s="1"/>
  <c r="P548" i="3"/>
  <c r="P548" i="4" s="1"/>
  <c r="AB548" i="3"/>
  <c r="AB548" i="4" s="1"/>
  <c r="G549" i="3"/>
  <c r="G549" i="4" s="1"/>
  <c r="S549" i="3"/>
  <c r="S549" i="4" s="1"/>
  <c r="J550" i="3"/>
  <c r="J550" i="4" s="1"/>
  <c r="V550" i="3"/>
  <c r="V550" i="4" s="1"/>
  <c r="A551" i="3"/>
  <c r="A551" i="4" s="1"/>
  <c r="M551" i="3"/>
  <c r="M551" i="4" s="1"/>
  <c r="Y551" i="3"/>
  <c r="Y551" i="4" s="1"/>
  <c r="D552" i="3"/>
  <c r="D552" i="4" s="1"/>
  <c r="P552" i="3"/>
  <c r="P552" i="4" s="1"/>
  <c r="AB552" i="3"/>
  <c r="AB552" i="4" s="1"/>
  <c r="G553" i="3"/>
  <c r="G553" i="4" s="1"/>
  <c r="S553" i="3"/>
  <c r="S553" i="4" s="1"/>
  <c r="J554" i="3"/>
  <c r="J554" i="4" s="1"/>
  <c r="V554" i="3"/>
  <c r="V554" i="4" s="1"/>
  <c r="A555" i="3"/>
  <c r="A555" i="4" s="1"/>
  <c r="M555" i="3"/>
  <c r="M555" i="4" s="1"/>
  <c r="Y555" i="3"/>
  <c r="Y555" i="4" s="1"/>
  <c r="D556" i="3"/>
  <c r="D556" i="4" s="1"/>
  <c r="P556" i="3"/>
  <c r="P556" i="4" s="1"/>
  <c r="AB556" i="3"/>
  <c r="AB556" i="4" s="1"/>
  <c r="G557" i="3"/>
  <c r="G557" i="4" s="1"/>
  <c r="S557" i="3"/>
  <c r="S557" i="4" s="1"/>
  <c r="J558" i="3"/>
  <c r="J558" i="4" s="1"/>
  <c r="V558" i="3"/>
  <c r="V558" i="4" s="1"/>
  <c r="A559" i="3"/>
  <c r="A559" i="4" s="1"/>
  <c r="M559" i="3"/>
  <c r="M559" i="4" s="1"/>
  <c r="Y559" i="3"/>
  <c r="Y559" i="4" s="1"/>
  <c r="D560" i="3"/>
  <c r="D560" i="4" s="1"/>
  <c r="P560" i="3"/>
  <c r="P560" i="4" s="1"/>
  <c r="AB560" i="3"/>
  <c r="AB560" i="4" s="1"/>
  <c r="G561" i="3"/>
  <c r="G561" i="4" s="1"/>
  <c r="S561" i="3"/>
  <c r="S561" i="4" s="1"/>
  <c r="J562" i="3"/>
  <c r="J562" i="4" s="1"/>
  <c r="V562" i="3"/>
  <c r="V562" i="4" s="1"/>
  <c r="A563" i="3"/>
  <c r="A563" i="4" s="1"/>
  <c r="M563" i="3"/>
  <c r="M563" i="4" s="1"/>
  <c r="Y563" i="3"/>
  <c r="Y563" i="4" s="1"/>
  <c r="D564" i="3"/>
  <c r="D564" i="4" s="1"/>
  <c r="P564" i="3"/>
  <c r="P564" i="4" s="1"/>
  <c r="AB564" i="3"/>
  <c r="AB564" i="4" s="1"/>
  <c r="G565" i="3"/>
  <c r="G565" i="4" s="1"/>
  <c r="S565" i="3"/>
  <c r="S565" i="4" s="1"/>
  <c r="J566" i="3"/>
  <c r="J566" i="4" s="1"/>
  <c r="V566" i="3"/>
  <c r="V566" i="4" s="1"/>
  <c r="A567" i="3"/>
  <c r="A567" i="4" s="1"/>
  <c r="M567" i="3"/>
  <c r="M567" i="4" s="1"/>
  <c r="Y567" i="3"/>
  <c r="Y567" i="4" s="1"/>
  <c r="D568" i="3"/>
  <c r="D568" i="4" s="1"/>
  <c r="P568" i="3"/>
  <c r="P568" i="4" s="1"/>
  <c r="AB568" i="3"/>
  <c r="AB568" i="4" s="1"/>
  <c r="G569" i="3"/>
  <c r="G569" i="4" s="1"/>
  <c r="S569" i="3"/>
  <c r="S569" i="4" s="1"/>
  <c r="J570" i="3"/>
  <c r="J570" i="4" s="1"/>
  <c r="V570" i="3"/>
  <c r="V570" i="4" s="1"/>
  <c r="A571" i="3"/>
  <c r="A571" i="4" s="1"/>
  <c r="M571" i="3"/>
  <c r="M571" i="4" s="1"/>
  <c r="Y571" i="3"/>
  <c r="Y571" i="4" s="1"/>
  <c r="D572" i="3"/>
  <c r="D572" i="4" s="1"/>
  <c r="P572" i="3"/>
  <c r="P572" i="4" s="1"/>
  <c r="AB572" i="3"/>
  <c r="AB572" i="4" s="1"/>
  <c r="G573" i="3"/>
  <c r="G573" i="4" s="1"/>
  <c r="S573" i="3"/>
  <c r="S573" i="4" s="1"/>
  <c r="J574" i="3"/>
  <c r="J574" i="4" s="1"/>
  <c r="V574" i="3"/>
  <c r="V574" i="4" s="1"/>
  <c r="A575" i="3"/>
  <c r="A575" i="4" s="1"/>
  <c r="M575" i="3"/>
  <c r="M575" i="4" s="1"/>
  <c r="Y575" i="3"/>
  <c r="Y575" i="4" s="1"/>
  <c r="D576" i="3"/>
  <c r="D576" i="4" s="1"/>
  <c r="P576" i="3"/>
  <c r="P576" i="4" s="1"/>
  <c r="AB576" i="3"/>
  <c r="AB576" i="4" s="1"/>
  <c r="G577" i="3"/>
  <c r="G577" i="4" s="1"/>
  <c r="S577" i="3"/>
  <c r="S577" i="4" s="1"/>
  <c r="J578" i="3"/>
  <c r="J578" i="4" s="1"/>
  <c r="V578" i="3"/>
  <c r="V578" i="4" s="1"/>
  <c r="A579" i="3"/>
  <c r="A579" i="4" s="1"/>
  <c r="M579" i="3"/>
  <c r="M579" i="4" s="1"/>
  <c r="Y579" i="3"/>
  <c r="Y579" i="4" s="1"/>
  <c r="D580" i="3"/>
  <c r="D580" i="4" s="1"/>
  <c r="P580" i="3"/>
  <c r="P580" i="4" s="1"/>
  <c r="AB580" i="3"/>
  <c r="AB580" i="4" s="1"/>
  <c r="G581" i="3"/>
  <c r="G581" i="4" s="1"/>
  <c r="S581" i="3"/>
  <c r="S581" i="4" s="1"/>
  <c r="J582" i="3"/>
  <c r="J582" i="4" s="1"/>
  <c r="V582" i="3"/>
  <c r="V582" i="4" s="1"/>
  <c r="A583" i="3"/>
  <c r="A583" i="4" s="1"/>
  <c r="M583" i="3"/>
  <c r="M583" i="4" s="1"/>
  <c r="Y583" i="3"/>
  <c r="Y583" i="4" s="1"/>
  <c r="D584" i="3"/>
  <c r="D584" i="4" s="1"/>
  <c r="P584" i="3"/>
  <c r="P584" i="4" s="1"/>
  <c r="AB584" i="3"/>
  <c r="AB584" i="4" s="1"/>
  <c r="G585" i="3"/>
  <c r="G585" i="4" s="1"/>
  <c r="S585" i="3"/>
  <c r="S585" i="4" s="1"/>
  <c r="J586" i="3"/>
  <c r="J586" i="4" s="1"/>
  <c r="V586" i="3"/>
  <c r="V586" i="4" s="1"/>
  <c r="A587" i="3"/>
  <c r="A587" i="4" s="1"/>
  <c r="M587" i="3"/>
  <c r="M587" i="4" s="1"/>
  <c r="Y587" i="3"/>
  <c r="Y587" i="4" s="1"/>
  <c r="D588" i="3"/>
  <c r="D588" i="4" s="1"/>
  <c r="P588" i="3"/>
  <c r="P588" i="4" s="1"/>
  <c r="AB588" i="3"/>
  <c r="AB588" i="4" s="1"/>
  <c r="G589" i="3"/>
  <c r="G589" i="4" s="1"/>
  <c r="S589" i="3"/>
  <c r="S589" i="4" s="1"/>
  <c r="J590" i="3"/>
  <c r="J590" i="4" s="1"/>
  <c r="V590" i="3"/>
  <c r="V590" i="4" s="1"/>
  <c r="A591" i="3"/>
  <c r="A591" i="4" s="1"/>
  <c r="M591" i="3"/>
  <c r="M591" i="4" s="1"/>
  <c r="Y591" i="3"/>
  <c r="Y591" i="4" s="1"/>
  <c r="D592" i="3"/>
  <c r="D592" i="4" s="1"/>
  <c r="P592" i="3"/>
  <c r="P592" i="4" s="1"/>
  <c r="AB592" i="3"/>
  <c r="AB592" i="4" s="1"/>
  <c r="G593" i="3"/>
  <c r="G593" i="4" s="1"/>
  <c r="S593" i="3"/>
  <c r="S593" i="4" s="1"/>
  <c r="J594" i="3"/>
  <c r="J594" i="4" s="1"/>
  <c r="V594" i="3"/>
  <c r="V594" i="4" s="1"/>
  <c r="A595" i="3"/>
  <c r="A595" i="4" s="1"/>
  <c r="M595" i="3"/>
  <c r="M595" i="4" s="1"/>
  <c r="Y595" i="3"/>
  <c r="Y595" i="4" s="1"/>
  <c r="D596" i="3"/>
  <c r="D596" i="4" s="1"/>
  <c r="P596" i="3"/>
  <c r="P596" i="4" s="1"/>
  <c r="AB596" i="3"/>
  <c r="AB596" i="4" s="1"/>
  <c r="G597" i="3"/>
  <c r="G597" i="4" s="1"/>
  <c r="S597" i="3"/>
  <c r="S597" i="4" s="1"/>
  <c r="J598" i="3"/>
  <c r="J598" i="4" s="1"/>
  <c r="V598" i="3"/>
  <c r="V598" i="4" s="1"/>
  <c r="A599" i="3"/>
  <c r="A599" i="4" s="1"/>
  <c r="M599" i="3"/>
  <c r="M599" i="4" s="1"/>
  <c r="Y599" i="3"/>
  <c r="Y599" i="4" s="1"/>
  <c r="D600" i="3"/>
  <c r="D600" i="4" s="1"/>
  <c r="P600" i="3"/>
  <c r="P600" i="4" s="1"/>
  <c r="AB600" i="3"/>
  <c r="AB600" i="4" s="1"/>
  <c r="G601" i="3"/>
  <c r="G601" i="4" s="1"/>
  <c r="S601" i="3"/>
  <c r="S601" i="4" s="1"/>
  <c r="J602" i="3"/>
  <c r="J602" i="4" s="1"/>
  <c r="V602" i="3"/>
  <c r="V602" i="4" s="1"/>
  <c r="A603" i="3"/>
  <c r="A603" i="4" s="1"/>
  <c r="M603" i="3"/>
  <c r="M603" i="4" s="1"/>
  <c r="Y603" i="3"/>
  <c r="Y603" i="4" s="1"/>
  <c r="D604" i="3"/>
  <c r="D604" i="4" s="1"/>
  <c r="P604" i="3"/>
  <c r="P604" i="4" s="1"/>
  <c r="AB604" i="3"/>
  <c r="AB604" i="4" s="1"/>
  <c r="G605" i="3"/>
  <c r="G605" i="4" s="1"/>
  <c r="S605" i="3"/>
  <c r="S605" i="4" s="1"/>
  <c r="J606" i="3"/>
  <c r="J606" i="4" s="1"/>
  <c r="V606" i="3"/>
  <c r="V606" i="4" s="1"/>
  <c r="A607" i="3"/>
  <c r="A607" i="4" s="1"/>
  <c r="M607" i="3"/>
  <c r="M607" i="4" s="1"/>
  <c r="Y607" i="3"/>
  <c r="Y607" i="4" s="1"/>
  <c r="D608" i="3"/>
  <c r="D608" i="4" s="1"/>
  <c r="P608" i="3"/>
  <c r="P608" i="4" s="1"/>
  <c r="AB608" i="3"/>
  <c r="AB608" i="4" s="1"/>
  <c r="G609" i="3"/>
  <c r="G609" i="4" s="1"/>
  <c r="S609" i="3"/>
  <c r="S609" i="4" s="1"/>
  <c r="J610" i="3"/>
  <c r="J610" i="4" s="1"/>
  <c r="V610" i="3"/>
  <c r="V610" i="4" s="1"/>
  <c r="A611" i="3"/>
  <c r="A611" i="4" s="1"/>
  <c r="M611" i="3"/>
  <c r="M611" i="4" s="1"/>
  <c r="Y611" i="3"/>
  <c r="Y611" i="4" s="1"/>
  <c r="D612" i="3"/>
  <c r="D612" i="4" s="1"/>
  <c r="P612" i="3"/>
  <c r="P612" i="4" s="1"/>
  <c r="AB612" i="3"/>
  <c r="AB612" i="4" s="1"/>
  <c r="G613" i="3"/>
  <c r="G613" i="4" s="1"/>
  <c r="S613" i="3"/>
  <c r="S613" i="4" s="1"/>
  <c r="J614" i="3"/>
  <c r="J614" i="4" s="1"/>
  <c r="V614" i="3"/>
  <c r="V614" i="4" s="1"/>
  <c r="A615" i="3"/>
  <c r="A615" i="4" s="1"/>
  <c r="M615" i="3"/>
  <c r="M615" i="4" s="1"/>
  <c r="Y615" i="3"/>
  <c r="Y615" i="4" s="1"/>
  <c r="D616" i="3"/>
  <c r="D616" i="4" s="1"/>
  <c r="P616" i="3"/>
  <c r="P616" i="4" s="1"/>
  <c r="AB616" i="3"/>
  <c r="AB616" i="4" s="1"/>
  <c r="G617" i="3"/>
  <c r="G617" i="4" s="1"/>
  <c r="S617" i="3"/>
  <c r="S617" i="4" s="1"/>
  <c r="J618" i="3"/>
  <c r="J618" i="4" s="1"/>
  <c r="V618" i="3"/>
  <c r="V618" i="4" s="1"/>
  <c r="A619" i="3"/>
  <c r="A619" i="4" s="1"/>
  <c r="E472" i="3"/>
  <c r="E472" i="4" s="1"/>
  <c r="Q472" i="3"/>
  <c r="Q472" i="4" s="1"/>
  <c r="H473" i="3"/>
  <c r="H473" i="4" s="1"/>
  <c r="T473" i="3"/>
  <c r="T473" i="4" s="1"/>
  <c r="K474" i="3"/>
  <c r="K474" i="4" s="1"/>
  <c r="W474" i="3"/>
  <c r="W474" i="4" s="1"/>
  <c r="B475" i="3"/>
  <c r="B475" i="4" s="1"/>
  <c r="N475" i="3"/>
  <c r="N475" i="4" s="1"/>
  <c r="Z475" i="3"/>
  <c r="Z475" i="4" s="1"/>
  <c r="E476" i="3"/>
  <c r="E476" i="4" s="1"/>
  <c r="Q476" i="3"/>
  <c r="Q476" i="4" s="1"/>
  <c r="H477" i="3"/>
  <c r="H477" i="4" s="1"/>
  <c r="T477" i="3"/>
  <c r="T477" i="4" s="1"/>
  <c r="K478" i="3"/>
  <c r="K478" i="4" s="1"/>
  <c r="W478" i="3"/>
  <c r="W478" i="4" s="1"/>
  <c r="B479" i="3"/>
  <c r="B479" i="4" s="1"/>
  <c r="N479" i="3"/>
  <c r="N479" i="4" s="1"/>
  <c r="Z479" i="3"/>
  <c r="Z479" i="4" s="1"/>
  <c r="E480" i="3"/>
  <c r="E480" i="4" s="1"/>
  <c r="Q480" i="3"/>
  <c r="Q480" i="4" s="1"/>
  <c r="H481" i="3"/>
  <c r="H481" i="4" s="1"/>
  <c r="T481" i="3"/>
  <c r="T481" i="4" s="1"/>
  <c r="K482" i="3"/>
  <c r="K482" i="4" s="1"/>
  <c r="W482" i="3"/>
  <c r="W482" i="4" s="1"/>
  <c r="B483" i="3"/>
  <c r="B483" i="4" s="1"/>
  <c r="N483" i="3"/>
  <c r="N483" i="4" s="1"/>
  <c r="Z483" i="3"/>
  <c r="Z483" i="4" s="1"/>
  <c r="E484" i="3"/>
  <c r="E484" i="4" s="1"/>
  <c r="Q484" i="3"/>
  <c r="Q484" i="4" s="1"/>
  <c r="H485" i="3"/>
  <c r="H485" i="4" s="1"/>
  <c r="T485" i="3"/>
  <c r="T485" i="4" s="1"/>
  <c r="K486" i="3"/>
  <c r="K486" i="4" s="1"/>
  <c r="W486" i="3"/>
  <c r="W486" i="4" s="1"/>
  <c r="B487" i="3"/>
  <c r="B487" i="4" s="1"/>
  <c r="N487" i="3"/>
  <c r="N487" i="4" s="1"/>
  <c r="Z487" i="3"/>
  <c r="Z487" i="4" s="1"/>
  <c r="E488" i="3"/>
  <c r="E488" i="4" s="1"/>
  <c r="Q488" i="3"/>
  <c r="Q488" i="4" s="1"/>
  <c r="H489" i="3"/>
  <c r="H489" i="4" s="1"/>
  <c r="T489" i="3"/>
  <c r="T489" i="4" s="1"/>
  <c r="K490" i="3"/>
  <c r="K490" i="4" s="1"/>
  <c r="W490" i="3"/>
  <c r="W490" i="4" s="1"/>
  <c r="B491" i="3"/>
  <c r="B491" i="4" s="1"/>
  <c r="N491" i="3"/>
  <c r="N491" i="4" s="1"/>
  <c r="Z491" i="3"/>
  <c r="Z491" i="4" s="1"/>
  <c r="E492" i="3"/>
  <c r="E492" i="4" s="1"/>
  <c r="Q492" i="3"/>
  <c r="Q492" i="4" s="1"/>
  <c r="H493" i="3"/>
  <c r="H493" i="4" s="1"/>
  <c r="T493" i="3"/>
  <c r="T493" i="4" s="1"/>
  <c r="K494" i="3"/>
  <c r="K494" i="4" s="1"/>
  <c r="W494" i="3"/>
  <c r="W494" i="4" s="1"/>
  <c r="B495" i="3"/>
  <c r="B495" i="4" s="1"/>
  <c r="N495" i="3"/>
  <c r="N495" i="4" s="1"/>
  <c r="Z495" i="3"/>
  <c r="Z495" i="4" s="1"/>
  <c r="E496" i="3"/>
  <c r="E496" i="4" s="1"/>
  <c r="Q496" i="3"/>
  <c r="Q496" i="4" s="1"/>
  <c r="H497" i="3"/>
  <c r="H497" i="4" s="1"/>
  <c r="T497" i="3"/>
  <c r="T497" i="4" s="1"/>
  <c r="K498" i="3"/>
  <c r="K498" i="4" s="1"/>
  <c r="W498" i="3"/>
  <c r="W498" i="4" s="1"/>
  <c r="B499" i="3"/>
  <c r="B499" i="4" s="1"/>
  <c r="N499" i="3"/>
  <c r="N499" i="4" s="1"/>
  <c r="Z499" i="3"/>
  <c r="Z499" i="4" s="1"/>
  <c r="E500" i="3"/>
  <c r="E500" i="4" s="1"/>
  <c r="Q500" i="3"/>
  <c r="Q500" i="4" s="1"/>
  <c r="H501" i="3"/>
  <c r="H501" i="4" s="1"/>
  <c r="T501" i="3"/>
  <c r="T501" i="4" s="1"/>
  <c r="K502" i="3"/>
  <c r="K502" i="4" s="1"/>
  <c r="W502" i="3"/>
  <c r="W502" i="4" s="1"/>
  <c r="B503" i="3"/>
  <c r="B503" i="4" s="1"/>
  <c r="N503" i="3"/>
  <c r="N503" i="4" s="1"/>
  <c r="Z503" i="3"/>
  <c r="Z503" i="4" s="1"/>
  <c r="E504" i="3"/>
  <c r="E504" i="4" s="1"/>
  <c r="Q504" i="3"/>
  <c r="Q504" i="4" s="1"/>
  <c r="H505" i="3"/>
  <c r="H505" i="4" s="1"/>
  <c r="T505" i="3"/>
  <c r="T505" i="4" s="1"/>
  <c r="K506" i="3"/>
  <c r="K506" i="4" s="1"/>
  <c r="W506" i="3"/>
  <c r="W506" i="4" s="1"/>
  <c r="B507" i="3"/>
  <c r="B507" i="4" s="1"/>
  <c r="N507" i="3"/>
  <c r="N507" i="4" s="1"/>
  <c r="Z507" i="3"/>
  <c r="Z507" i="4" s="1"/>
  <c r="E508" i="3"/>
  <c r="E508" i="4" s="1"/>
  <c r="Q508" i="3"/>
  <c r="Q508" i="4" s="1"/>
  <c r="H509" i="3"/>
  <c r="H509" i="4" s="1"/>
  <c r="T509" i="3"/>
  <c r="T509" i="4" s="1"/>
  <c r="K510" i="3"/>
  <c r="K510" i="4" s="1"/>
  <c r="W510" i="3"/>
  <c r="W510" i="4" s="1"/>
  <c r="B511" i="3"/>
  <c r="B511" i="4" s="1"/>
  <c r="N511" i="3"/>
  <c r="N511" i="4" s="1"/>
  <c r="Z511" i="3"/>
  <c r="Z511" i="4" s="1"/>
  <c r="E512" i="3"/>
  <c r="E512" i="4" s="1"/>
  <c r="Q512" i="3"/>
  <c r="Q512" i="4" s="1"/>
  <c r="H513" i="3"/>
  <c r="H513" i="4" s="1"/>
  <c r="T513" i="3"/>
  <c r="T513" i="4" s="1"/>
  <c r="K514" i="3"/>
  <c r="K514" i="4" s="1"/>
  <c r="W514" i="3"/>
  <c r="W514" i="4" s="1"/>
  <c r="B515" i="3"/>
  <c r="B515" i="4" s="1"/>
  <c r="N515" i="3"/>
  <c r="N515" i="4" s="1"/>
  <c r="Z515" i="3"/>
  <c r="Z515" i="4" s="1"/>
  <c r="E516" i="3"/>
  <c r="E516" i="4" s="1"/>
  <c r="Q516" i="3"/>
  <c r="Q516" i="4" s="1"/>
  <c r="H517" i="3"/>
  <c r="H517" i="4" s="1"/>
  <c r="T517" i="3"/>
  <c r="T517" i="4" s="1"/>
  <c r="K518" i="3"/>
  <c r="K518" i="4" s="1"/>
  <c r="W518" i="3"/>
  <c r="W518" i="4" s="1"/>
  <c r="B519" i="3"/>
  <c r="B519" i="4" s="1"/>
  <c r="N519" i="3"/>
  <c r="N519" i="4" s="1"/>
  <c r="Z519" i="3"/>
  <c r="Z519" i="4" s="1"/>
  <c r="E520" i="3"/>
  <c r="E520" i="4" s="1"/>
  <c r="Q520" i="3"/>
  <c r="Q520" i="4" s="1"/>
  <c r="H521" i="3"/>
  <c r="H521" i="4" s="1"/>
  <c r="T521" i="3"/>
  <c r="T521" i="4" s="1"/>
  <c r="K522" i="3"/>
  <c r="K522" i="4" s="1"/>
  <c r="W522" i="3"/>
  <c r="W522" i="4" s="1"/>
  <c r="B523" i="3"/>
  <c r="B523" i="4" s="1"/>
  <c r="N523" i="3"/>
  <c r="N523" i="4" s="1"/>
  <c r="Z523" i="3"/>
  <c r="Z523" i="4" s="1"/>
  <c r="E524" i="3"/>
  <c r="E524" i="4" s="1"/>
  <c r="Q524" i="3"/>
  <c r="Q524" i="4" s="1"/>
  <c r="H525" i="3"/>
  <c r="H525" i="4" s="1"/>
  <c r="T525" i="3"/>
  <c r="T525" i="4" s="1"/>
  <c r="K526" i="3"/>
  <c r="K526" i="4" s="1"/>
  <c r="W526" i="3"/>
  <c r="W526" i="4" s="1"/>
  <c r="B527" i="3"/>
  <c r="B527" i="4" s="1"/>
  <c r="N527" i="3"/>
  <c r="N527" i="4" s="1"/>
  <c r="Z527" i="3"/>
  <c r="Z527" i="4" s="1"/>
  <c r="E528" i="3"/>
  <c r="E528" i="4" s="1"/>
  <c r="Q528" i="3"/>
  <c r="Q528" i="4" s="1"/>
  <c r="H529" i="3"/>
  <c r="H529" i="4" s="1"/>
  <c r="T529" i="3"/>
  <c r="T529" i="4" s="1"/>
  <c r="K530" i="3"/>
  <c r="K530" i="4" s="1"/>
  <c r="W530" i="3"/>
  <c r="W530" i="4" s="1"/>
  <c r="B531" i="3"/>
  <c r="B531" i="4" s="1"/>
  <c r="N531" i="3"/>
  <c r="N531" i="4" s="1"/>
  <c r="Z531" i="3"/>
  <c r="Z531" i="4" s="1"/>
  <c r="E532" i="3"/>
  <c r="E532" i="4" s="1"/>
  <c r="Q532" i="3"/>
  <c r="Q532" i="4" s="1"/>
  <c r="H533" i="3"/>
  <c r="H533" i="4" s="1"/>
  <c r="T533" i="3"/>
  <c r="T533" i="4" s="1"/>
  <c r="K534" i="3"/>
  <c r="K534" i="4" s="1"/>
  <c r="W534" i="3"/>
  <c r="W534" i="4" s="1"/>
  <c r="B535" i="3"/>
  <c r="B535" i="4" s="1"/>
  <c r="N535" i="3"/>
  <c r="N535" i="4" s="1"/>
  <c r="Z535" i="3"/>
  <c r="Z535" i="4" s="1"/>
  <c r="E536" i="3"/>
  <c r="E536" i="4" s="1"/>
  <c r="Q536" i="3"/>
  <c r="Q536" i="4" s="1"/>
  <c r="H537" i="3"/>
  <c r="H537" i="4" s="1"/>
  <c r="T537" i="3"/>
  <c r="T537" i="4" s="1"/>
  <c r="K538" i="3"/>
  <c r="K538" i="4" s="1"/>
  <c r="W538" i="3"/>
  <c r="W538" i="4" s="1"/>
  <c r="B539" i="3"/>
  <c r="B539" i="4" s="1"/>
  <c r="N539" i="3"/>
  <c r="N539" i="4" s="1"/>
  <c r="Z539" i="3"/>
  <c r="Z539" i="4" s="1"/>
  <c r="E540" i="3"/>
  <c r="E540" i="4" s="1"/>
  <c r="Q540" i="3"/>
  <c r="Q540" i="4" s="1"/>
  <c r="H541" i="3"/>
  <c r="H541" i="4" s="1"/>
  <c r="T541" i="3"/>
  <c r="T541" i="4" s="1"/>
  <c r="K542" i="3"/>
  <c r="K542" i="4" s="1"/>
  <c r="W542" i="3"/>
  <c r="W542" i="4" s="1"/>
  <c r="B543" i="3"/>
  <c r="B543" i="4" s="1"/>
  <c r="N543" i="3"/>
  <c r="N543" i="4" s="1"/>
  <c r="Z543" i="3"/>
  <c r="Z543" i="4" s="1"/>
  <c r="E544" i="3"/>
  <c r="E544" i="4" s="1"/>
  <c r="Q544" i="3"/>
  <c r="Q544" i="4" s="1"/>
  <c r="H545" i="3"/>
  <c r="H545" i="4" s="1"/>
  <c r="T545" i="3"/>
  <c r="T545" i="4" s="1"/>
  <c r="K546" i="3"/>
  <c r="K546" i="4" s="1"/>
  <c r="W546" i="3"/>
  <c r="W546" i="4" s="1"/>
  <c r="B547" i="3"/>
  <c r="B547" i="4" s="1"/>
  <c r="N547" i="3"/>
  <c r="N547" i="4" s="1"/>
  <c r="Z547" i="3"/>
  <c r="Z547" i="4" s="1"/>
  <c r="E548" i="3"/>
  <c r="E548" i="4" s="1"/>
  <c r="Q548" i="3"/>
  <c r="Q548" i="4" s="1"/>
  <c r="H549" i="3"/>
  <c r="H549" i="4" s="1"/>
  <c r="T549" i="3"/>
  <c r="T549" i="4" s="1"/>
  <c r="K550" i="3"/>
  <c r="K550" i="4" s="1"/>
  <c r="W550" i="3"/>
  <c r="W550" i="4" s="1"/>
  <c r="B551" i="3"/>
  <c r="B551" i="4" s="1"/>
  <c r="N551" i="3"/>
  <c r="N551" i="4" s="1"/>
  <c r="Z551" i="3"/>
  <c r="Z551" i="4" s="1"/>
  <c r="E552" i="3"/>
  <c r="E552" i="4" s="1"/>
  <c r="Q552" i="3"/>
  <c r="Q552" i="4" s="1"/>
  <c r="H553" i="3"/>
  <c r="H553" i="4" s="1"/>
  <c r="T553" i="3"/>
  <c r="T553" i="4" s="1"/>
  <c r="K554" i="3"/>
  <c r="K554" i="4" s="1"/>
  <c r="W554" i="3"/>
  <c r="W554" i="4" s="1"/>
  <c r="B555" i="3"/>
  <c r="B555" i="4" s="1"/>
  <c r="N555" i="3"/>
  <c r="N555" i="4" s="1"/>
  <c r="Z555" i="3"/>
  <c r="Z555" i="4" s="1"/>
  <c r="E556" i="3"/>
  <c r="E556" i="4" s="1"/>
  <c r="Q556" i="3"/>
  <c r="Q556" i="4" s="1"/>
  <c r="H557" i="3"/>
  <c r="H557" i="4" s="1"/>
  <c r="T557" i="3"/>
  <c r="T557" i="4" s="1"/>
  <c r="K558" i="3"/>
  <c r="K558" i="4" s="1"/>
  <c r="W558" i="3"/>
  <c r="W558" i="4" s="1"/>
  <c r="B559" i="3"/>
  <c r="B559" i="4" s="1"/>
  <c r="N559" i="3"/>
  <c r="N559" i="4" s="1"/>
  <c r="Z559" i="3"/>
  <c r="Z559" i="4" s="1"/>
  <c r="E560" i="3"/>
  <c r="E560" i="4" s="1"/>
  <c r="Q560" i="3"/>
  <c r="Q560" i="4" s="1"/>
  <c r="H561" i="3"/>
  <c r="H561" i="4" s="1"/>
  <c r="T561" i="3"/>
  <c r="T561" i="4" s="1"/>
  <c r="K562" i="3"/>
  <c r="K562" i="4" s="1"/>
  <c r="W562" i="3"/>
  <c r="W562" i="4" s="1"/>
  <c r="B563" i="3"/>
  <c r="B563" i="4" s="1"/>
  <c r="N563" i="3"/>
  <c r="N563" i="4" s="1"/>
  <c r="Z563" i="3"/>
  <c r="Z563" i="4" s="1"/>
  <c r="E564" i="3"/>
  <c r="E564" i="4" s="1"/>
  <c r="Q564" i="3"/>
  <c r="Q564" i="4" s="1"/>
  <c r="H565" i="3"/>
  <c r="H565" i="4" s="1"/>
  <c r="T565" i="3"/>
  <c r="T565" i="4" s="1"/>
  <c r="K566" i="3"/>
  <c r="K566" i="4" s="1"/>
  <c r="W566" i="3"/>
  <c r="W566" i="4" s="1"/>
  <c r="B567" i="3"/>
  <c r="B567" i="4" s="1"/>
  <c r="N567" i="3"/>
  <c r="N567" i="4" s="1"/>
  <c r="Z567" i="3"/>
  <c r="Z567" i="4" s="1"/>
  <c r="E568" i="3"/>
  <c r="E568" i="4" s="1"/>
  <c r="Q568" i="3"/>
  <c r="Q568" i="4" s="1"/>
  <c r="H569" i="3"/>
  <c r="H569" i="4" s="1"/>
  <c r="T569" i="3"/>
  <c r="T569" i="4" s="1"/>
  <c r="K570" i="3"/>
  <c r="K570" i="4" s="1"/>
  <c r="W570" i="3"/>
  <c r="W570" i="4" s="1"/>
  <c r="B571" i="3"/>
  <c r="B571" i="4" s="1"/>
  <c r="N571" i="3"/>
  <c r="N571" i="4" s="1"/>
  <c r="Z571" i="3"/>
  <c r="Z571" i="4" s="1"/>
  <c r="E572" i="3"/>
  <c r="E572" i="4" s="1"/>
  <c r="Q572" i="3"/>
  <c r="Q572" i="4" s="1"/>
  <c r="H573" i="3"/>
  <c r="H573" i="4" s="1"/>
  <c r="T573" i="3"/>
  <c r="T573" i="4" s="1"/>
  <c r="K574" i="3"/>
  <c r="K574" i="4" s="1"/>
  <c r="W574" i="3"/>
  <c r="W574" i="4" s="1"/>
  <c r="B575" i="3"/>
  <c r="B575" i="4" s="1"/>
  <c r="N575" i="3"/>
  <c r="N575" i="4" s="1"/>
  <c r="Z575" i="3"/>
  <c r="Z575" i="4" s="1"/>
  <c r="E576" i="3"/>
  <c r="E576" i="4" s="1"/>
  <c r="Q576" i="3"/>
  <c r="Q576" i="4" s="1"/>
  <c r="H577" i="3"/>
  <c r="H577" i="4" s="1"/>
  <c r="T577" i="3"/>
  <c r="T577" i="4" s="1"/>
  <c r="K578" i="3"/>
  <c r="K578" i="4" s="1"/>
  <c r="W578" i="3"/>
  <c r="W578" i="4" s="1"/>
  <c r="B579" i="3"/>
  <c r="B579" i="4" s="1"/>
  <c r="N579" i="3"/>
  <c r="N579" i="4" s="1"/>
  <c r="Z579" i="3"/>
  <c r="Z579" i="4" s="1"/>
  <c r="E580" i="3"/>
  <c r="E580" i="4" s="1"/>
  <c r="Q580" i="3"/>
  <c r="Q580" i="4" s="1"/>
  <c r="H581" i="3"/>
  <c r="H581" i="4" s="1"/>
  <c r="T581" i="3"/>
  <c r="T581" i="4" s="1"/>
  <c r="K582" i="3"/>
  <c r="K582" i="4" s="1"/>
  <c r="W582" i="3"/>
  <c r="W582" i="4" s="1"/>
  <c r="B583" i="3"/>
  <c r="B583" i="4" s="1"/>
  <c r="N583" i="3"/>
  <c r="N583" i="4" s="1"/>
  <c r="Z583" i="3"/>
  <c r="Z583" i="4" s="1"/>
  <c r="E584" i="3"/>
  <c r="E584" i="4" s="1"/>
  <c r="Q584" i="3"/>
  <c r="Q584" i="4" s="1"/>
  <c r="H585" i="3"/>
  <c r="H585" i="4" s="1"/>
  <c r="T585" i="3"/>
  <c r="T585" i="4" s="1"/>
  <c r="K586" i="3"/>
  <c r="K586" i="4" s="1"/>
  <c r="W586" i="3"/>
  <c r="W586" i="4" s="1"/>
  <c r="B587" i="3"/>
  <c r="B587" i="4" s="1"/>
  <c r="N587" i="3"/>
  <c r="N587" i="4" s="1"/>
  <c r="Z587" i="3"/>
  <c r="Z587" i="4" s="1"/>
  <c r="E588" i="3"/>
  <c r="E588" i="4" s="1"/>
  <c r="Q588" i="3"/>
  <c r="Q588" i="4" s="1"/>
  <c r="H589" i="3"/>
  <c r="H589" i="4" s="1"/>
  <c r="T589" i="3"/>
  <c r="T589" i="4" s="1"/>
  <c r="K590" i="3"/>
  <c r="K590" i="4" s="1"/>
  <c r="W590" i="3"/>
  <c r="W590" i="4" s="1"/>
  <c r="B591" i="3"/>
  <c r="B591" i="4" s="1"/>
  <c r="N591" i="3"/>
  <c r="N591" i="4" s="1"/>
  <c r="Z591" i="3"/>
  <c r="Z591" i="4" s="1"/>
  <c r="E592" i="3"/>
  <c r="E592" i="4" s="1"/>
  <c r="Q592" i="3"/>
  <c r="Q592" i="4" s="1"/>
  <c r="H593" i="3"/>
  <c r="H593" i="4" s="1"/>
  <c r="T593" i="3"/>
  <c r="T593" i="4" s="1"/>
  <c r="K594" i="3"/>
  <c r="K594" i="4" s="1"/>
  <c r="W594" i="3"/>
  <c r="W594" i="4" s="1"/>
  <c r="B595" i="3"/>
  <c r="B595" i="4" s="1"/>
  <c r="N595" i="3"/>
  <c r="N595" i="4" s="1"/>
  <c r="Z595" i="3"/>
  <c r="Z595" i="4" s="1"/>
  <c r="E596" i="3"/>
  <c r="E596" i="4" s="1"/>
  <c r="Q596" i="3"/>
  <c r="Q596" i="4" s="1"/>
  <c r="H597" i="3"/>
  <c r="H597" i="4" s="1"/>
  <c r="T597" i="3"/>
  <c r="T597" i="4" s="1"/>
  <c r="K598" i="3"/>
  <c r="K598" i="4" s="1"/>
  <c r="W598" i="3"/>
  <c r="W598" i="4" s="1"/>
  <c r="B599" i="3"/>
  <c r="B599" i="4" s="1"/>
  <c r="N599" i="3"/>
  <c r="N599" i="4" s="1"/>
  <c r="Z599" i="3"/>
  <c r="Z599" i="4" s="1"/>
  <c r="E600" i="3"/>
  <c r="E600" i="4" s="1"/>
  <c r="Q600" i="3"/>
  <c r="Q600" i="4" s="1"/>
  <c r="H601" i="3"/>
  <c r="H601" i="4" s="1"/>
  <c r="T601" i="3"/>
  <c r="T601" i="4" s="1"/>
  <c r="K602" i="3"/>
  <c r="K602" i="4" s="1"/>
  <c r="W602" i="3"/>
  <c r="W602" i="4" s="1"/>
  <c r="I437" i="3"/>
  <c r="I437" i="4" s="1"/>
  <c r="U437" i="3"/>
  <c r="U437" i="4" s="1"/>
  <c r="L438" i="3"/>
  <c r="L438" i="4" s="1"/>
  <c r="X438" i="3"/>
  <c r="X438" i="4" s="1"/>
  <c r="C439" i="3"/>
  <c r="C439" i="4" s="1"/>
  <c r="O439" i="3"/>
  <c r="O439" i="4" s="1"/>
  <c r="AA439" i="3"/>
  <c r="AA439" i="4" s="1"/>
  <c r="F440" i="3"/>
  <c r="F440" i="4" s="1"/>
  <c r="R440" i="3"/>
  <c r="R440" i="4" s="1"/>
  <c r="I441" i="3"/>
  <c r="I441" i="4" s="1"/>
  <c r="U441" i="3"/>
  <c r="U441" i="4" s="1"/>
  <c r="L442" i="3"/>
  <c r="L442" i="4" s="1"/>
  <c r="X442" i="3"/>
  <c r="X442" i="4" s="1"/>
  <c r="C443" i="3"/>
  <c r="C443" i="4" s="1"/>
  <c r="O443" i="3"/>
  <c r="O443" i="4" s="1"/>
  <c r="AA443" i="3"/>
  <c r="AA443" i="4" s="1"/>
  <c r="F444" i="3"/>
  <c r="F444" i="4" s="1"/>
  <c r="R444" i="3"/>
  <c r="R444" i="4" s="1"/>
  <c r="I445" i="3"/>
  <c r="I445" i="4" s="1"/>
  <c r="U445" i="3"/>
  <c r="U445" i="4" s="1"/>
  <c r="L446" i="3"/>
  <c r="L446" i="4" s="1"/>
  <c r="X446" i="3"/>
  <c r="X446" i="4" s="1"/>
  <c r="C447" i="3"/>
  <c r="C447" i="4" s="1"/>
  <c r="O447" i="3"/>
  <c r="O447" i="4" s="1"/>
  <c r="AA447" i="3"/>
  <c r="AA447" i="4" s="1"/>
  <c r="F448" i="3"/>
  <c r="F448" i="4" s="1"/>
  <c r="R448" i="3"/>
  <c r="R448" i="4" s="1"/>
  <c r="I449" i="3"/>
  <c r="I449" i="4" s="1"/>
  <c r="U449" i="3"/>
  <c r="U449" i="4" s="1"/>
  <c r="L450" i="3"/>
  <c r="L450" i="4" s="1"/>
  <c r="X450" i="3"/>
  <c r="X450" i="4" s="1"/>
  <c r="C451" i="3"/>
  <c r="C451" i="4" s="1"/>
  <c r="O451" i="3"/>
  <c r="O451" i="4" s="1"/>
  <c r="AA451" i="3"/>
  <c r="AA451" i="4" s="1"/>
  <c r="F452" i="3"/>
  <c r="F452" i="4" s="1"/>
  <c r="R452" i="3"/>
  <c r="R452" i="4" s="1"/>
  <c r="I453" i="3"/>
  <c r="I453" i="4" s="1"/>
  <c r="U453" i="3"/>
  <c r="U453" i="4" s="1"/>
  <c r="L454" i="3"/>
  <c r="L454" i="4" s="1"/>
  <c r="X454" i="3"/>
  <c r="X454" i="4" s="1"/>
  <c r="C455" i="3"/>
  <c r="C455" i="4" s="1"/>
  <c r="O455" i="3"/>
  <c r="O455" i="4" s="1"/>
  <c r="AA455" i="3"/>
  <c r="AA455" i="4" s="1"/>
  <c r="F456" i="3"/>
  <c r="F456" i="4" s="1"/>
  <c r="R456" i="3"/>
  <c r="R456" i="4" s="1"/>
  <c r="I457" i="3"/>
  <c r="I457" i="4" s="1"/>
  <c r="U457" i="3"/>
  <c r="U457" i="4" s="1"/>
  <c r="L458" i="3"/>
  <c r="L458" i="4" s="1"/>
  <c r="X458" i="3"/>
  <c r="X458" i="4" s="1"/>
  <c r="C459" i="3"/>
  <c r="C459" i="4" s="1"/>
  <c r="O459" i="3"/>
  <c r="O459" i="4" s="1"/>
  <c r="AA459" i="3"/>
  <c r="AA459" i="4" s="1"/>
  <c r="F460" i="3"/>
  <c r="F460" i="4" s="1"/>
  <c r="R460" i="3"/>
  <c r="R460" i="4" s="1"/>
  <c r="I461" i="3"/>
  <c r="I461" i="4" s="1"/>
  <c r="U461" i="3"/>
  <c r="U461" i="4" s="1"/>
  <c r="L462" i="3"/>
  <c r="L462" i="4" s="1"/>
  <c r="X462" i="3"/>
  <c r="X462" i="4" s="1"/>
  <c r="C463" i="3"/>
  <c r="C463" i="4" s="1"/>
  <c r="O463" i="3"/>
  <c r="O463" i="4" s="1"/>
  <c r="AA463" i="3"/>
  <c r="AA463" i="4" s="1"/>
  <c r="F464" i="3"/>
  <c r="F464" i="4" s="1"/>
  <c r="R464" i="3"/>
  <c r="R464" i="4" s="1"/>
  <c r="I465" i="3"/>
  <c r="I465" i="4" s="1"/>
  <c r="U465" i="3"/>
  <c r="U465" i="4" s="1"/>
  <c r="L466" i="3"/>
  <c r="L466" i="4" s="1"/>
  <c r="X466" i="3"/>
  <c r="X466" i="4" s="1"/>
  <c r="C467" i="3"/>
  <c r="C467" i="4" s="1"/>
  <c r="O467" i="3"/>
  <c r="O467" i="4" s="1"/>
  <c r="AA467" i="3"/>
  <c r="AA467" i="4" s="1"/>
  <c r="F468" i="3"/>
  <c r="F468" i="4" s="1"/>
  <c r="R468" i="3"/>
  <c r="R468" i="4" s="1"/>
  <c r="I469" i="3"/>
  <c r="I469" i="4" s="1"/>
  <c r="U469" i="3"/>
  <c r="U469" i="4" s="1"/>
  <c r="L470" i="3"/>
  <c r="L470" i="4" s="1"/>
  <c r="X470" i="3"/>
  <c r="X470" i="4" s="1"/>
  <c r="C471" i="3"/>
  <c r="C471" i="4" s="1"/>
  <c r="O471" i="3"/>
  <c r="O471" i="4" s="1"/>
  <c r="AA471" i="3"/>
  <c r="AA471" i="4" s="1"/>
  <c r="F472" i="3"/>
  <c r="F472" i="4" s="1"/>
  <c r="R472" i="3"/>
  <c r="R472" i="4" s="1"/>
  <c r="I473" i="3"/>
  <c r="I473" i="4" s="1"/>
  <c r="U473" i="3"/>
  <c r="U473" i="4" s="1"/>
  <c r="L474" i="3"/>
  <c r="L474" i="4" s="1"/>
  <c r="X474" i="3"/>
  <c r="X474" i="4" s="1"/>
  <c r="C475" i="3"/>
  <c r="C475" i="4" s="1"/>
  <c r="O475" i="3"/>
  <c r="O475" i="4" s="1"/>
  <c r="AA475" i="3"/>
  <c r="AA475" i="4" s="1"/>
  <c r="F476" i="3"/>
  <c r="F476" i="4" s="1"/>
  <c r="R476" i="3"/>
  <c r="R476" i="4" s="1"/>
  <c r="I477" i="3"/>
  <c r="I477" i="4" s="1"/>
  <c r="U477" i="3"/>
  <c r="U477" i="4" s="1"/>
  <c r="L478" i="3"/>
  <c r="L478" i="4" s="1"/>
  <c r="X478" i="3"/>
  <c r="X478" i="4" s="1"/>
  <c r="C479" i="3"/>
  <c r="C479" i="4" s="1"/>
  <c r="O479" i="3"/>
  <c r="O479" i="4" s="1"/>
  <c r="AA479" i="3"/>
  <c r="AA479" i="4" s="1"/>
  <c r="F480" i="3"/>
  <c r="F480" i="4" s="1"/>
  <c r="R480" i="3"/>
  <c r="R480" i="4" s="1"/>
  <c r="I481" i="3"/>
  <c r="I481" i="4" s="1"/>
  <c r="U481" i="3"/>
  <c r="U481" i="4" s="1"/>
  <c r="L482" i="3"/>
  <c r="L482" i="4" s="1"/>
  <c r="X482" i="3"/>
  <c r="X482" i="4" s="1"/>
  <c r="C483" i="3"/>
  <c r="C483" i="4" s="1"/>
  <c r="O483" i="3"/>
  <c r="O483" i="4" s="1"/>
  <c r="AA483" i="3"/>
  <c r="AA483" i="4" s="1"/>
  <c r="F484" i="3"/>
  <c r="F484" i="4" s="1"/>
  <c r="R484" i="3"/>
  <c r="R484" i="4" s="1"/>
  <c r="I485" i="3"/>
  <c r="I485" i="4" s="1"/>
  <c r="U485" i="3"/>
  <c r="U485" i="4" s="1"/>
  <c r="L486" i="3"/>
  <c r="L486" i="4" s="1"/>
  <c r="X486" i="3"/>
  <c r="X486" i="4" s="1"/>
  <c r="C487" i="3"/>
  <c r="C487" i="4" s="1"/>
  <c r="O487" i="3"/>
  <c r="O487" i="4" s="1"/>
  <c r="AA487" i="3"/>
  <c r="AA487" i="4" s="1"/>
  <c r="F488" i="3"/>
  <c r="F488" i="4" s="1"/>
  <c r="R488" i="3"/>
  <c r="R488" i="4" s="1"/>
  <c r="I489" i="3"/>
  <c r="I489" i="4" s="1"/>
  <c r="U489" i="3"/>
  <c r="U489" i="4" s="1"/>
  <c r="L490" i="3"/>
  <c r="L490" i="4" s="1"/>
  <c r="X490" i="3"/>
  <c r="X490" i="4" s="1"/>
  <c r="C491" i="3"/>
  <c r="C491" i="4" s="1"/>
  <c r="O491" i="3"/>
  <c r="O491" i="4" s="1"/>
  <c r="AA491" i="3"/>
  <c r="AA491" i="4" s="1"/>
  <c r="F492" i="3"/>
  <c r="F492" i="4" s="1"/>
  <c r="R492" i="3"/>
  <c r="R492" i="4" s="1"/>
  <c r="I493" i="3"/>
  <c r="I493" i="4" s="1"/>
  <c r="U493" i="3"/>
  <c r="U493" i="4" s="1"/>
  <c r="L494" i="3"/>
  <c r="L494" i="4" s="1"/>
  <c r="X494" i="3"/>
  <c r="X494" i="4" s="1"/>
  <c r="C495" i="3"/>
  <c r="C495" i="4" s="1"/>
  <c r="O495" i="3"/>
  <c r="O495" i="4" s="1"/>
  <c r="AA495" i="3"/>
  <c r="AA495" i="4" s="1"/>
  <c r="F496" i="3"/>
  <c r="F496" i="4" s="1"/>
  <c r="R496" i="3"/>
  <c r="R496" i="4" s="1"/>
  <c r="I497" i="3"/>
  <c r="I497" i="4" s="1"/>
  <c r="U497" i="3"/>
  <c r="U497" i="4" s="1"/>
  <c r="L498" i="3"/>
  <c r="L498" i="4" s="1"/>
  <c r="X498" i="3"/>
  <c r="X498" i="4" s="1"/>
  <c r="C499" i="3"/>
  <c r="C499" i="4" s="1"/>
  <c r="O499" i="3"/>
  <c r="O499" i="4" s="1"/>
  <c r="AA499" i="3"/>
  <c r="AA499" i="4" s="1"/>
  <c r="F500" i="3"/>
  <c r="F500" i="4" s="1"/>
  <c r="R500" i="3"/>
  <c r="R500" i="4" s="1"/>
  <c r="I501" i="3"/>
  <c r="I501" i="4" s="1"/>
  <c r="U501" i="3"/>
  <c r="U501" i="4" s="1"/>
  <c r="L502" i="3"/>
  <c r="L502" i="4" s="1"/>
  <c r="X502" i="3"/>
  <c r="X502" i="4" s="1"/>
  <c r="C503" i="3"/>
  <c r="C503" i="4" s="1"/>
  <c r="O503" i="3"/>
  <c r="O503" i="4" s="1"/>
  <c r="AA503" i="3"/>
  <c r="AA503" i="4" s="1"/>
  <c r="F504" i="3"/>
  <c r="F504" i="4" s="1"/>
  <c r="R504" i="3"/>
  <c r="R504" i="4" s="1"/>
  <c r="I505" i="3"/>
  <c r="I505" i="4" s="1"/>
  <c r="U505" i="3"/>
  <c r="U505" i="4" s="1"/>
  <c r="L506" i="3"/>
  <c r="L506" i="4" s="1"/>
  <c r="X506" i="3"/>
  <c r="X506" i="4" s="1"/>
  <c r="C507" i="3"/>
  <c r="C507" i="4" s="1"/>
  <c r="O507" i="3"/>
  <c r="O507" i="4" s="1"/>
  <c r="AA507" i="3"/>
  <c r="AA507" i="4" s="1"/>
  <c r="F508" i="3"/>
  <c r="F508" i="4" s="1"/>
  <c r="R508" i="3"/>
  <c r="R508" i="4" s="1"/>
  <c r="I509" i="3"/>
  <c r="I509" i="4" s="1"/>
  <c r="U509" i="3"/>
  <c r="U509" i="4" s="1"/>
  <c r="L510" i="3"/>
  <c r="L510" i="4" s="1"/>
  <c r="X510" i="3"/>
  <c r="X510" i="4" s="1"/>
  <c r="C511" i="3"/>
  <c r="C511" i="4" s="1"/>
  <c r="O511" i="3"/>
  <c r="O511" i="4" s="1"/>
  <c r="AA511" i="3"/>
  <c r="AA511" i="4" s="1"/>
  <c r="F512" i="3"/>
  <c r="F512" i="4" s="1"/>
  <c r="R512" i="3"/>
  <c r="R512" i="4" s="1"/>
  <c r="I513" i="3"/>
  <c r="I513" i="4" s="1"/>
  <c r="U513" i="3"/>
  <c r="U513" i="4" s="1"/>
  <c r="L514" i="3"/>
  <c r="L514" i="4" s="1"/>
  <c r="X514" i="3"/>
  <c r="X514" i="4" s="1"/>
  <c r="C515" i="3"/>
  <c r="C515" i="4" s="1"/>
  <c r="O515" i="3"/>
  <c r="O515" i="4" s="1"/>
  <c r="AA515" i="3"/>
  <c r="AA515" i="4" s="1"/>
  <c r="F516" i="3"/>
  <c r="F516" i="4" s="1"/>
  <c r="R516" i="3"/>
  <c r="R516" i="4" s="1"/>
  <c r="I517" i="3"/>
  <c r="I517" i="4" s="1"/>
  <c r="U517" i="3"/>
  <c r="U517" i="4" s="1"/>
  <c r="L518" i="3"/>
  <c r="L518" i="4" s="1"/>
  <c r="X518" i="3"/>
  <c r="X518" i="4" s="1"/>
  <c r="C519" i="3"/>
  <c r="C519" i="4" s="1"/>
  <c r="O519" i="3"/>
  <c r="O519" i="4" s="1"/>
  <c r="AA519" i="3"/>
  <c r="AA519" i="4" s="1"/>
  <c r="F520" i="3"/>
  <c r="F520" i="4" s="1"/>
  <c r="R520" i="3"/>
  <c r="R520" i="4" s="1"/>
  <c r="I521" i="3"/>
  <c r="I521" i="4" s="1"/>
  <c r="U521" i="3"/>
  <c r="U521" i="4" s="1"/>
  <c r="L522" i="3"/>
  <c r="L522" i="4" s="1"/>
  <c r="X522" i="3"/>
  <c r="X522" i="4" s="1"/>
  <c r="C523" i="3"/>
  <c r="C523" i="4" s="1"/>
  <c r="O523" i="3"/>
  <c r="O523" i="4" s="1"/>
  <c r="AA523" i="3"/>
  <c r="AA523" i="4" s="1"/>
  <c r="F524" i="3"/>
  <c r="F524" i="4" s="1"/>
  <c r="R524" i="3"/>
  <c r="R524" i="4" s="1"/>
  <c r="I525" i="3"/>
  <c r="I525" i="4" s="1"/>
  <c r="U525" i="3"/>
  <c r="U525" i="4" s="1"/>
  <c r="L526" i="3"/>
  <c r="L526" i="4" s="1"/>
  <c r="X526" i="3"/>
  <c r="X526" i="4" s="1"/>
  <c r="C527" i="3"/>
  <c r="C527" i="4" s="1"/>
  <c r="O527" i="3"/>
  <c r="O527" i="4" s="1"/>
  <c r="AA527" i="3"/>
  <c r="AA527" i="4" s="1"/>
  <c r="F528" i="3"/>
  <c r="F528" i="4" s="1"/>
  <c r="R528" i="3"/>
  <c r="R528" i="4" s="1"/>
  <c r="I529" i="3"/>
  <c r="I529" i="4" s="1"/>
  <c r="U529" i="3"/>
  <c r="U529" i="4" s="1"/>
  <c r="L530" i="3"/>
  <c r="L530" i="4" s="1"/>
  <c r="X530" i="3"/>
  <c r="X530" i="4" s="1"/>
  <c r="C531" i="3"/>
  <c r="C531" i="4" s="1"/>
  <c r="O531" i="3"/>
  <c r="O531" i="4" s="1"/>
  <c r="AA531" i="3"/>
  <c r="AA531" i="4" s="1"/>
  <c r="F532" i="3"/>
  <c r="F532" i="4" s="1"/>
  <c r="R532" i="3"/>
  <c r="R532" i="4" s="1"/>
  <c r="I533" i="3"/>
  <c r="I533" i="4" s="1"/>
  <c r="U533" i="3"/>
  <c r="U533" i="4" s="1"/>
  <c r="L534" i="3"/>
  <c r="L534" i="4" s="1"/>
  <c r="X534" i="3"/>
  <c r="X534" i="4" s="1"/>
  <c r="C535" i="3"/>
  <c r="C535" i="4" s="1"/>
  <c r="O535" i="3"/>
  <c r="O535" i="4" s="1"/>
  <c r="AA535" i="3"/>
  <c r="AA535" i="4" s="1"/>
  <c r="F536" i="3"/>
  <c r="F536" i="4" s="1"/>
  <c r="R536" i="3"/>
  <c r="R536" i="4" s="1"/>
  <c r="I537" i="3"/>
  <c r="I537" i="4" s="1"/>
  <c r="U537" i="3"/>
  <c r="U537" i="4" s="1"/>
  <c r="L538" i="3"/>
  <c r="L538" i="4" s="1"/>
  <c r="X538" i="3"/>
  <c r="X538" i="4" s="1"/>
  <c r="C539" i="3"/>
  <c r="C539" i="4" s="1"/>
  <c r="O539" i="3"/>
  <c r="O539" i="4" s="1"/>
  <c r="AA539" i="3"/>
  <c r="AA539" i="4" s="1"/>
  <c r="F540" i="3"/>
  <c r="F540" i="4" s="1"/>
  <c r="R540" i="3"/>
  <c r="R540" i="4" s="1"/>
  <c r="I541" i="3"/>
  <c r="I541" i="4" s="1"/>
  <c r="U541" i="3"/>
  <c r="U541" i="4" s="1"/>
  <c r="L542" i="3"/>
  <c r="L542" i="4" s="1"/>
  <c r="X542" i="3"/>
  <c r="X542" i="4" s="1"/>
  <c r="C543" i="3"/>
  <c r="C543" i="4" s="1"/>
  <c r="O543" i="3"/>
  <c r="O543" i="4" s="1"/>
  <c r="AA543" i="3"/>
  <c r="AA543" i="4" s="1"/>
  <c r="F544" i="3"/>
  <c r="F544" i="4" s="1"/>
  <c r="R544" i="3"/>
  <c r="R544" i="4" s="1"/>
  <c r="I545" i="3"/>
  <c r="I545" i="4" s="1"/>
  <c r="U545" i="3"/>
  <c r="U545" i="4" s="1"/>
  <c r="L546" i="3"/>
  <c r="L546" i="4" s="1"/>
  <c r="X546" i="3"/>
  <c r="X546" i="4" s="1"/>
  <c r="C547" i="3"/>
  <c r="C547" i="4" s="1"/>
  <c r="O547" i="3"/>
  <c r="O547" i="4" s="1"/>
  <c r="AA547" i="3"/>
  <c r="AA547" i="4" s="1"/>
  <c r="F548" i="3"/>
  <c r="F548" i="4" s="1"/>
  <c r="R548" i="3"/>
  <c r="R548" i="4" s="1"/>
  <c r="I549" i="3"/>
  <c r="I549" i="4" s="1"/>
  <c r="U549" i="3"/>
  <c r="U549" i="4" s="1"/>
  <c r="L550" i="3"/>
  <c r="L550" i="4" s="1"/>
  <c r="X550" i="3"/>
  <c r="X550" i="4" s="1"/>
  <c r="C551" i="3"/>
  <c r="C551" i="4" s="1"/>
  <c r="O551" i="3"/>
  <c r="O551" i="4" s="1"/>
  <c r="AA551" i="3"/>
  <c r="AA551" i="4" s="1"/>
  <c r="F552" i="3"/>
  <c r="F552" i="4" s="1"/>
  <c r="R552" i="3"/>
  <c r="R552" i="4" s="1"/>
  <c r="I553" i="3"/>
  <c r="I553" i="4" s="1"/>
  <c r="U553" i="3"/>
  <c r="U553" i="4" s="1"/>
  <c r="L554" i="3"/>
  <c r="L554" i="4" s="1"/>
  <c r="X554" i="3"/>
  <c r="X554" i="4" s="1"/>
  <c r="C555" i="3"/>
  <c r="C555" i="4" s="1"/>
  <c r="O555" i="3"/>
  <c r="O555" i="4" s="1"/>
  <c r="AA555" i="3"/>
  <c r="AA555" i="4" s="1"/>
  <c r="F556" i="3"/>
  <c r="F556" i="4" s="1"/>
  <c r="R556" i="3"/>
  <c r="R556" i="4" s="1"/>
  <c r="I557" i="3"/>
  <c r="I557" i="4" s="1"/>
  <c r="U557" i="3"/>
  <c r="U557" i="4" s="1"/>
  <c r="L558" i="3"/>
  <c r="L558" i="4" s="1"/>
  <c r="X558" i="3"/>
  <c r="X558" i="4" s="1"/>
  <c r="C559" i="3"/>
  <c r="C559" i="4" s="1"/>
  <c r="O559" i="3"/>
  <c r="O559" i="4" s="1"/>
  <c r="AA559" i="3"/>
  <c r="AA559" i="4" s="1"/>
  <c r="F560" i="3"/>
  <c r="F560" i="4" s="1"/>
  <c r="R560" i="3"/>
  <c r="R560" i="4" s="1"/>
  <c r="I561" i="3"/>
  <c r="I561" i="4" s="1"/>
  <c r="U561" i="3"/>
  <c r="U561" i="4" s="1"/>
  <c r="L562" i="3"/>
  <c r="L562" i="4" s="1"/>
  <c r="X562" i="3"/>
  <c r="X562" i="4" s="1"/>
  <c r="C563" i="3"/>
  <c r="C563" i="4" s="1"/>
  <c r="O563" i="3"/>
  <c r="O563" i="4" s="1"/>
  <c r="AA563" i="3"/>
  <c r="AA563" i="4" s="1"/>
  <c r="F564" i="3"/>
  <c r="F564" i="4" s="1"/>
  <c r="R564" i="3"/>
  <c r="R564" i="4" s="1"/>
  <c r="I565" i="3"/>
  <c r="I565" i="4" s="1"/>
  <c r="U565" i="3"/>
  <c r="U565" i="4" s="1"/>
  <c r="L566" i="3"/>
  <c r="L566" i="4" s="1"/>
  <c r="X566" i="3"/>
  <c r="X566" i="4" s="1"/>
  <c r="C567" i="3"/>
  <c r="C567" i="4" s="1"/>
  <c r="O567" i="3"/>
  <c r="O567" i="4" s="1"/>
  <c r="AA567" i="3"/>
  <c r="AA567" i="4" s="1"/>
  <c r="F568" i="3"/>
  <c r="F568" i="4" s="1"/>
  <c r="R568" i="3"/>
  <c r="R568" i="4" s="1"/>
  <c r="I569" i="3"/>
  <c r="I569" i="4" s="1"/>
  <c r="U569" i="3"/>
  <c r="U569" i="4" s="1"/>
  <c r="L570" i="3"/>
  <c r="L570" i="4" s="1"/>
  <c r="X570" i="3"/>
  <c r="X570" i="4" s="1"/>
  <c r="C571" i="3"/>
  <c r="C571" i="4" s="1"/>
  <c r="O571" i="3"/>
  <c r="O571" i="4" s="1"/>
  <c r="AA571" i="3"/>
  <c r="AA571" i="4" s="1"/>
  <c r="F572" i="3"/>
  <c r="F572" i="4" s="1"/>
  <c r="R572" i="3"/>
  <c r="R572" i="4" s="1"/>
  <c r="I573" i="3"/>
  <c r="I573" i="4" s="1"/>
  <c r="U573" i="3"/>
  <c r="U573" i="4" s="1"/>
  <c r="L574" i="3"/>
  <c r="L574" i="4" s="1"/>
  <c r="X574" i="3"/>
  <c r="X574" i="4" s="1"/>
  <c r="C575" i="3"/>
  <c r="C575" i="4" s="1"/>
  <c r="O575" i="3"/>
  <c r="O575" i="4" s="1"/>
  <c r="AA575" i="3"/>
  <c r="AA575" i="4" s="1"/>
  <c r="F576" i="3"/>
  <c r="F576" i="4" s="1"/>
  <c r="R576" i="3"/>
  <c r="R576" i="4" s="1"/>
  <c r="I577" i="3"/>
  <c r="I577" i="4" s="1"/>
  <c r="AA669" i="3"/>
  <c r="AA669" i="4" s="1"/>
  <c r="F670" i="3"/>
  <c r="F670" i="4" s="1"/>
  <c r="R670" i="3"/>
  <c r="R670" i="4" s="1"/>
  <c r="I671" i="3"/>
  <c r="I671" i="4" s="1"/>
  <c r="U671" i="3"/>
  <c r="U671" i="4" s="1"/>
  <c r="L672" i="3"/>
  <c r="L672" i="4" s="1"/>
  <c r="X672" i="3"/>
  <c r="X672" i="4" s="1"/>
  <c r="C673" i="3"/>
  <c r="C673" i="4" s="1"/>
  <c r="O673" i="3"/>
  <c r="O673" i="4" s="1"/>
  <c r="AA673" i="3"/>
  <c r="AA673" i="4" s="1"/>
  <c r="F674" i="3"/>
  <c r="F674" i="4" s="1"/>
  <c r="R674" i="3"/>
  <c r="R674" i="4" s="1"/>
  <c r="I675" i="3"/>
  <c r="I675" i="4" s="1"/>
  <c r="U675" i="3"/>
  <c r="U675" i="4" s="1"/>
  <c r="L676" i="3"/>
  <c r="L676" i="4" s="1"/>
  <c r="X676" i="3"/>
  <c r="X676" i="4" s="1"/>
  <c r="C677" i="3"/>
  <c r="C677" i="4" s="1"/>
  <c r="O677" i="3"/>
  <c r="O677" i="4" s="1"/>
  <c r="AA677" i="3"/>
  <c r="AA677" i="4" s="1"/>
  <c r="F678" i="3"/>
  <c r="F678" i="4" s="1"/>
  <c r="R678" i="3"/>
  <c r="R678" i="4" s="1"/>
  <c r="I679" i="3"/>
  <c r="I679" i="4" s="1"/>
  <c r="U679" i="3"/>
  <c r="U679" i="4" s="1"/>
  <c r="L680" i="3"/>
  <c r="L680" i="4" s="1"/>
  <c r="X680" i="3"/>
  <c r="X680" i="4" s="1"/>
  <c r="C681" i="3"/>
  <c r="C681" i="4" s="1"/>
  <c r="O681" i="3"/>
  <c r="O681" i="4" s="1"/>
  <c r="AA681" i="3"/>
  <c r="AA681" i="4" s="1"/>
  <c r="F682" i="3"/>
  <c r="F682" i="4" s="1"/>
  <c r="R682" i="3"/>
  <c r="R682" i="4" s="1"/>
  <c r="I683" i="3"/>
  <c r="I683" i="4" s="1"/>
  <c r="U683" i="3"/>
  <c r="U683" i="4" s="1"/>
  <c r="L684" i="3"/>
  <c r="L684" i="4" s="1"/>
  <c r="X684" i="3"/>
  <c r="X684" i="4" s="1"/>
  <c r="C685" i="3"/>
  <c r="C685" i="4" s="1"/>
  <c r="O685" i="3"/>
  <c r="O685" i="4" s="1"/>
  <c r="AA685" i="3"/>
  <c r="AA685" i="4" s="1"/>
  <c r="F686" i="3"/>
  <c r="F686" i="4" s="1"/>
  <c r="R686" i="3"/>
  <c r="R686" i="4" s="1"/>
  <c r="I687" i="3"/>
  <c r="I687" i="4" s="1"/>
  <c r="U687" i="3"/>
  <c r="U687" i="4" s="1"/>
  <c r="L688" i="3"/>
  <c r="L688" i="4" s="1"/>
  <c r="X688" i="3"/>
  <c r="X688" i="4" s="1"/>
  <c r="C689" i="3"/>
  <c r="C689" i="4" s="1"/>
  <c r="O689" i="3"/>
  <c r="O689" i="4" s="1"/>
  <c r="AA689" i="3"/>
  <c r="AA689" i="4" s="1"/>
  <c r="F690" i="3"/>
  <c r="F690" i="4" s="1"/>
  <c r="R690" i="3"/>
  <c r="R690" i="4" s="1"/>
  <c r="I691" i="3"/>
  <c r="I691" i="4" s="1"/>
  <c r="U691" i="3"/>
  <c r="U691" i="4" s="1"/>
  <c r="L692" i="3"/>
  <c r="L692" i="4" s="1"/>
  <c r="O752" i="3"/>
  <c r="O752" i="4" s="1"/>
  <c r="O753" i="3"/>
  <c r="O753" i="4" s="1"/>
  <c r="Y619" i="3"/>
  <c r="Y619" i="4" s="1"/>
  <c r="D620" i="3"/>
  <c r="D620" i="4" s="1"/>
  <c r="P620" i="3"/>
  <c r="P620" i="4" s="1"/>
  <c r="AB620" i="3"/>
  <c r="AB620" i="4" s="1"/>
  <c r="G621" i="3"/>
  <c r="G621" i="4" s="1"/>
  <c r="S621" i="3"/>
  <c r="S621" i="4" s="1"/>
  <c r="J622" i="3"/>
  <c r="J622" i="4" s="1"/>
  <c r="V622" i="3"/>
  <c r="V622" i="4" s="1"/>
  <c r="A623" i="3"/>
  <c r="A623" i="4" s="1"/>
  <c r="M623" i="3"/>
  <c r="M623" i="4" s="1"/>
  <c r="Y623" i="3"/>
  <c r="Y623" i="4" s="1"/>
  <c r="D624" i="3"/>
  <c r="D624" i="4" s="1"/>
  <c r="P624" i="3"/>
  <c r="P624" i="4" s="1"/>
  <c r="AB624" i="3"/>
  <c r="AB624" i="4" s="1"/>
  <c r="G625" i="3"/>
  <c r="G625" i="4" s="1"/>
  <c r="S625" i="3"/>
  <c r="S625" i="4" s="1"/>
  <c r="J626" i="3"/>
  <c r="J626" i="4" s="1"/>
  <c r="V626" i="3"/>
  <c r="V626" i="4" s="1"/>
  <c r="A627" i="3"/>
  <c r="A627" i="4" s="1"/>
  <c r="M627" i="3"/>
  <c r="M627" i="4" s="1"/>
  <c r="Y627" i="3"/>
  <c r="Y627" i="4" s="1"/>
  <c r="D628" i="3"/>
  <c r="D628" i="4" s="1"/>
  <c r="P628" i="3"/>
  <c r="P628" i="4" s="1"/>
  <c r="AB628" i="3"/>
  <c r="AB628" i="4" s="1"/>
  <c r="G629" i="3"/>
  <c r="G629" i="4" s="1"/>
  <c r="S629" i="3"/>
  <c r="S629" i="4" s="1"/>
  <c r="J630" i="3"/>
  <c r="J630" i="4" s="1"/>
  <c r="V630" i="3"/>
  <c r="V630" i="4" s="1"/>
  <c r="A631" i="3"/>
  <c r="A631" i="4" s="1"/>
  <c r="M631" i="3"/>
  <c r="M631" i="4" s="1"/>
  <c r="Y631" i="3"/>
  <c r="Y631" i="4" s="1"/>
  <c r="D632" i="3"/>
  <c r="D632" i="4" s="1"/>
  <c r="P632" i="3"/>
  <c r="P632" i="4" s="1"/>
  <c r="AB632" i="3"/>
  <c r="AB632" i="4" s="1"/>
  <c r="G633" i="3"/>
  <c r="G633" i="4" s="1"/>
  <c r="S633" i="3"/>
  <c r="S633" i="4" s="1"/>
  <c r="J634" i="3"/>
  <c r="J634" i="4" s="1"/>
  <c r="V634" i="3"/>
  <c r="V634" i="4" s="1"/>
  <c r="A635" i="3"/>
  <c r="A635" i="4" s="1"/>
  <c r="M635" i="3"/>
  <c r="M635" i="4" s="1"/>
  <c r="Y635" i="3"/>
  <c r="Y635" i="4" s="1"/>
  <c r="D636" i="3"/>
  <c r="D636" i="4" s="1"/>
  <c r="P636" i="3"/>
  <c r="P636" i="4" s="1"/>
  <c r="AB636" i="3"/>
  <c r="AB636" i="4" s="1"/>
  <c r="G637" i="3"/>
  <c r="G637" i="4" s="1"/>
  <c r="S637" i="3"/>
  <c r="S637" i="4" s="1"/>
  <c r="J638" i="3"/>
  <c r="J638" i="4" s="1"/>
  <c r="V638" i="3"/>
  <c r="V638" i="4" s="1"/>
  <c r="A639" i="3"/>
  <c r="A639" i="4" s="1"/>
  <c r="M639" i="3"/>
  <c r="M639" i="4" s="1"/>
  <c r="Y639" i="3"/>
  <c r="Y639" i="4" s="1"/>
  <c r="D640" i="3"/>
  <c r="D640" i="4" s="1"/>
  <c r="P640" i="3"/>
  <c r="P640" i="4" s="1"/>
  <c r="AB640" i="3"/>
  <c r="AB640" i="4" s="1"/>
  <c r="G641" i="3"/>
  <c r="G641" i="4" s="1"/>
  <c r="S641" i="3"/>
  <c r="S641" i="4" s="1"/>
  <c r="J642" i="3"/>
  <c r="J642" i="4" s="1"/>
  <c r="V642" i="3"/>
  <c r="V642" i="4" s="1"/>
  <c r="A643" i="3"/>
  <c r="A643" i="4" s="1"/>
  <c r="M643" i="3"/>
  <c r="M643" i="4" s="1"/>
  <c r="Y643" i="3"/>
  <c r="Y643" i="4" s="1"/>
  <c r="D644" i="3"/>
  <c r="D644" i="4" s="1"/>
  <c r="P644" i="3"/>
  <c r="P644" i="4" s="1"/>
  <c r="AB644" i="3"/>
  <c r="AB644" i="4" s="1"/>
  <c r="G645" i="3"/>
  <c r="G645" i="4" s="1"/>
  <c r="S645" i="3"/>
  <c r="S645" i="4" s="1"/>
  <c r="J646" i="3"/>
  <c r="J646" i="4" s="1"/>
  <c r="V646" i="3"/>
  <c r="V646" i="4" s="1"/>
  <c r="A647" i="3"/>
  <c r="A647" i="4" s="1"/>
  <c r="M647" i="3"/>
  <c r="M647" i="4" s="1"/>
  <c r="Y647" i="3"/>
  <c r="Y647" i="4" s="1"/>
  <c r="D648" i="3"/>
  <c r="D648" i="4" s="1"/>
  <c r="P648" i="3"/>
  <c r="P648" i="4" s="1"/>
  <c r="AB648" i="3"/>
  <c r="AB648" i="4" s="1"/>
  <c r="G649" i="3"/>
  <c r="G649" i="4" s="1"/>
  <c r="S649" i="3"/>
  <c r="S649" i="4" s="1"/>
  <c r="J650" i="3"/>
  <c r="J650" i="4" s="1"/>
  <c r="V650" i="3"/>
  <c r="V650" i="4" s="1"/>
  <c r="A651" i="3"/>
  <c r="A651" i="4" s="1"/>
  <c r="M651" i="3"/>
  <c r="M651" i="4" s="1"/>
  <c r="Y651" i="3"/>
  <c r="Y651" i="4" s="1"/>
  <c r="D652" i="3"/>
  <c r="D652" i="4" s="1"/>
  <c r="P652" i="3"/>
  <c r="P652" i="4" s="1"/>
  <c r="AB652" i="3"/>
  <c r="AB652" i="4" s="1"/>
  <c r="G653" i="3"/>
  <c r="G653" i="4" s="1"/>
  <c r="S653" i="3"/>
  <c r="S653" i="4" s="1"/>
  <c r="J654" i="3"/>
  <c r="J654" i="4" s="1"/>
  <c r="V654" i="3"/>
  <c r="V654" i="4" s="1"/>
  <c r="A655" i="3"/>
  <c r="A655" i="4" s="1"/>
  <c r="M655" i="3"/>
  <c r="M655" i="4" s="1"/>
  <c r="Y655" i="3"/>
  <c r="Y655" i="4" s="1"/>
  <c r="D656" i="3"/>
  <c r="D656" i="4" s="1"/>
  <c r="P656" i="3"/>
  <c r="P656" i="4" s="1"/>
  <c r="AB656" i="3"/>
  <c r="AB656" i="4" s="1"/>
  <c r="G657" i="3"/>
  <c r="G657" i="4" s="1"/>
  <c r="S657" i="3"/>
  <c r="S657" i="4" s="1"/>
  <c r="J658" i="3"/>
  <c r="J658" i="4" s="1"/>
  <c r="V658" i="3"/>
  <c r="V658" i="4" s="1"/>
  <c r="A659" i="3"/>
  <c r="A659" i="4" s="1"/>
  <c r="M659" i="3"/>
  <c r="M659" i="4" s="1"/>
  <c r="Y659" i="3"/>
  <c r="Y659" i="4" s="1"/>
  <c r="D660" i="3"/>
  <c r="D660" i="4" s="1"/>
  <c r="P660" i="3"/>
  <c r="P660" i="4" s="1"/>
  <c r="AB660" i="3"/>
  <c r="AB660" i="4" s="1"/>
  <c r="G661" i="3"/>
  <c r="G661" i="4" s="1"/>
  <c r="S661" i="3"/>
  <c r="S661" i="4" s="1"/>
  <c r="J662" i="3"/>
  <c r="J662" i="4" s="1"/>
  <c r="V662" i="3"/>
  <c r="V662" i="4" s="1"/>
  <c r="A663" i="3"/>
  <c r="A663" i="4" s="1"/>
  <c r="M663" i="3"/>
  <c r="M663" i="4" s="1"/>
  <c r="Y663" i="3"/>
  <c r="Y663" i="4" s="1"/>
  <c r="D664" i="3"/>
  <c r="D664" i="4" s="1"/>
  <c r="P664" i="3"/>
  <c r="P664" i="4" s="1"/>
  <c r="AB664" i="3"/>
  <c r="AB664" i="4" s="1"/>
  <c r="G665" i="3"/>
  <c r="G665" i="4" s="1"/>
  <c r="S665" i="3"/>
  <c r="S665" i="4" s="1"/>
  <c r="J666" i="3"/>
  <c r="J666" i="4" s="1"/>
  <c r="V666" i="3"/>
  <c r="V666" i="4" s="1"/>
  <c r="A667" i="3"/>
  <c r="A667" i="4" s="1"/>
  <c r="M667" i="3"/>
  <c r="M667" i="4" s="1"/>
  <c r="Y667" i="3"/>
  <c r="Y667" i="4" s="1"/>
  <c r="D668" i="3"/>
  <c r="D668" i="4" s="1"/>
  <c r="P668" i="3"/>
  <c r="P668" i="4" s="1"/>
  <c r="AB668" i="3"/>
  <c r="AB668" i="4" s="1"/>
  <c r="G669" i="3"/>
  <c r="G669" i="4" s="1"/>
  <c r="S669" i="3"/>
  <c r="S669" i="4" s="1"/>
  <c r="J670" i="3"/>
  <c r="J670" i="4" s="1"/>
  <c r="V670" i="3"/>
  <c r="V670" i="4" s="1"/>
  <c r="A671" i="3"/>
  <c r="A671" i="4" s="1"/>
  <c r="M671" i="3"/>
  <c r="M671" i="4" s="1"/>
  <c r="Y671" i="3"/>
  <c r="Y671" i="4" s="1"/>
  <c r="D672" i="3"/>
  <c r="D672" i="4" s="1"/>
  <c r="P672" i="3"/>
  <c r="P672" i="4" s="1"/>
  <c r="AB672" i="3"/>
  <c r="AB672" i="4" s="1"/>
  <c r="G673" i="3"/>
  <c r="G673" i="4" s="1"/>
  <c r="S673" i="3"/>
  <c r="S673" i="4" s="1"/>
  <c r="J674" i="3"/>
  <c r="J674" i="4" s="1"/>
  <c r="V674" i="3"/>
  <c r="V674" i="4" s="1"/>
  <c r="A675" i="3"/>
  <c r="A675" i="4" s="1"/>
  <c r="M675" i="3"/>
  <c r="M675" i="4" s="1"/>
  <c r="Y675" i="3"/>
  <c r="Y675" i="4" s="1"/>
  <c r="D676" i="3"/>
  <c r="D676" i="4" s="1"/>
  <c r="P676" i="3"/>
  <c r="P676" i="4" s="1"/>
  <c r="AB676" i="3"/>
  <c r="AB676" i="4" s="1"/>
  <c r="G677" i="3"/>
  <c r="G677" i="4" s="1"/>
  <c r="S677" i="3"/>
  <c r="S677" i="4" s="1"/>
  <c r="J678" i="3"/>
  <c r="J678" i="4" s="1"/>
  <c r="V678" i="3"/>
  <c r="V678" i="4" s="1"/>
  <c r="A679" i="3"/>
  <c r="A679" i="4" s="1"/>
  <c r="M679" i="3"/>
  <c r="M679" i="4" s="1"/>
  <c r="Y679" i="3"/>
  <c r="Y679" i="4" s="1"/>
  <c r="D680" i="3"/>
  <c r="D680" i="4" s="1"/>
  <c r="P680" i="3"/>
  <c r="P680" i="4" s="1"/>
  <c r="AB680" i="3"/>
  <c r="AB680" i="4" s="1"/>
  <c r="G681" i="3"/>
  <c r="G681" i="4" s="1"/>
  <c r="S681" i="3"/>
  <c r="S681" i="4" s="1"/>
  <c r="J682" i="3"/>
  <c r="J682" i="4" s="1"/>
  <c r="V682" i="3"/>
  <c r="V682" i="4" s="1"/>
  <c r="A683" i="3"/>
  <c r="A683" i="4" s="1"/>
  <c r="M683" i="3"/>
  <c r="M683" i="4" s="1"/>
  <c r="Y683" i="3"/>
  <c r="Y683" i="4" s="1"/>
  <c r="D684" i="3"/>
  <c r="D684" i="4" s="1"/>
  <c r="P684" i="3"/>
  <c r="P684" i="4" s="1"/>
  <c r="AB684" i="3"/>
  <c r="AB684" i="4" s="1"/>
  <c r="G685" i="3"/>
  <c r="G685" i="4" s="1"/>
  <c r="S685" i="3"/>
  <c r="S685" i="4" s="1"/>
  <c r="J686" i="3"/>
  <c r="J686" i="4" s="1"/>
  <c r="V686" i="3"/>
  <c r="V686" i="4" s="1"/>
  <c r="A687" i="3"/>
  <c r="A687" i="4" s="1"/>
  <c r="M687" i="3"/>
  <c r="M687" i="4" s="1"/>
  <c r="Y687" i="3"/>
  <c r="Y687" i="4" s="1"/>
  <c r="D688" i="3"/>
  <c r="D688" i="4" s="1"/>
  <c r="P688" i="3"/>
  <c r="P688" i="4" s="1"/>
  <c r="AB688" i="3"/>
  <c r="AB688" i="4" s="1"/>
  <c r="G689" i="3"/>
  <c r="G689" i="4" s="1"/>
  <c r="S689" i="3"/>
  <c r="S689" i="4" s="1"/>
  <c r="J690" i="3"/>
  <c r="J690" i="4" s="1"/>
  <c r="V690" i="3"/>
  <c r="V690" i="4" s="1"/>
  <c r="A691" i="3"/>
  <c r="A691" i="4" s="1"/>
  <c r="M691" i="3"/>
  <c r="M691" i="4" s="1"/>
  <c r="Y691" i="3"/>
  <c r="Y691" i="4" s="1"/>
  <c r="D692" i="3"/>
  <c r="D692" i="4" s="1"/>
  <c r="P692" i="3"/>
  <c r="P692" i="4" s="1"/>
  <c r="AB692" i="3"/>
  <c r="AB692" i="4" s="1"/>
  <c r="G693" i="3"/>
  <c r="G693" i="4" s="1"/>
  <c r="S693" i="3"/>
  <c r="S693" i="4" s="1"/>
  <c r="J694" i="3"/>
  <c r="J694" i="4" s="1"/>
  <c r="V694" i="3"/>
  <c r="V694" i="4" s="1"/>
  <c r="A695" i="3"/>
  <c r="A695" i="4" s="1"/>
  <c r="M695" i="3"/>
  <c r="M695" i="4" s="1"/>
  <c r="Y695" i="3"/>
  <c r="Y695" i="4" s="1"/>
  <c r="D696" i="3"/>
  <c r="D696" i="4" s="1"/>
  <c r="P696" i="3"/>
  <c r="P696" i="4" s="1"/>
  <c r="AB696" i="3"/>
  <c r="AB696" i="4" s="1"/>
  <c r="G697" i="3"/>
  <c r="G697" i="4" s="1"/>
  <c r="S697" i="3"/>
  <c r="S697" i="4" s="1"/>
  <c r="J698" i="3"/>
  <c r="J698" i="4" s="1"/>
  <c r="V698" i="3"/>
  <c r="V698" i="4" s="1"/>
  <c r="A699" i="3"/>
  <c r="A699" i="4" s="1"/>
  <c r="M699" i="3"/>
  <c r="M699" i="4" s="1"/>
  <c r="Y699" i="3"/>
  <c r="Y699" i="4" s="1"/>
  <c r="D700" i="3"/>
  <c r="D700" i="4" s="1"/>
  <c r="P700" i="3"/>
  <c r="P700" i="4" s="1"/>
  <c r="AB700" i="3"/>
  <c r="AB700" i="4" s="1"/>
  <c r="G701" i="3"/>
  <c r="G701" i="4" s="1"/>
  <c r="S701" i="3"/>
  <c r="S701" i="4" s="1"/>
  <c r="J702" i="3"/>
  <c r="J702" i="4" s="1"/>
  <c r="V702" i="3"/>
  <c r="V702" i="4" s="1"/>
  <c r="A703" i="3"/>
  <c r="A703" i="4" s="1"/>
  <c r="M703" i="3"/>
  <c r="M703" i="4" s="1"/>
  <c r="Y703" i="3"/>
  <c r="Y703" i="4" s="1"/>
  <c r="D704" i="3"/>
  <c r="D704" i="4" s="1"/>
  <c r="P704" i="3"/>
  <c r="P704" i="4" s="1"/>
  <c r="AB704" i="3"/>
  <c r="AB704" i="4" s="1"/>
  <c r="G705" i="3"/>
  <c r="G705" i="4" s="1"/>
  <c r="S705" i="3"/>
  <c r="S705" i="4" s="1"/>
  <c r="J706" i="3"/>
  <c r="J706" i="4" s="1"/>
  <c r="V706" i="3"/>
  <c r="V706" i="4" s="1"/>
  <c r="A707" i="3"/>
  <c r="A707" i="4" s="1"/>
  <c r="M707" i="3"/>
  <c r="M707" i="4" s="1"/>
  <c r="Y707" i="3"/>
  <c r="Y707" i="4" s="1"/>
  <c r="D708" i="3"/>
  <c r="D708" i="4" s="1"/>
  <c r="P708" i="3"/>
  <c r="P708" i="4" s="1"/>
  <c r="AB708" i="3"/>
  <c r="AB708" i="4" s="1"/>
  <c r="G709" i="3"/>
  <c r="G709" i="4" s="1"/>
  <c r="S709" i="3"/>
  <c r="S709" i="4" s="1"/>
  <c r="J710" i="3"/>
  <c r="J710" i="4" s="1"/>
  <c r="V710" i="3"/>
  <c r="V710" i="4" s="1"/>
  <c r="A711" i="3"/>
  <c r="A711" i="4" s="1"/>
  <c r="M711" i="3"/>
  <c r="M711" i="4" s="1"/>
  <c r="Y711" i="3"/>
  <c r="Y711" i="4" s="1"/>
  <c r="D712" i="3"/>
  <c r="D712" i="4" s="1"/>
  <c r="P712" i="3"/>
  <c r="P712" i="4" s="1"/>
  <c r="AB712" i="3"/>
  <c r="AB712" i="4" s="1"/>
  <c r="G713" i="3"/>
  <c r="G713" i="4" s="1"/>
  <c r="S713" i="3"/>
  <c r="S713" i="4" s="1"/>
  <c r="J714" i="3"/>
  <c r="J714" i="4" s="1"/>
  <c r="V714" i="3"/>
  <c r="V714" i="4" s="1"/>
  <c r="A715" i="3"/>
  <c r="A715" i="4" s="1"/>
  <c r="M715" i="3"/>
  <c r="M715" i="4" s="1"/>
  <c r="Y715" i="3"/>
  <c r="Y715" i="4" s="1"/>
  <c r="D716" i="3"/>
  <c r="D716" i="4" s="1"/>
  <c r="P716" i="3"/>
  <c r="P716" i="4" s="1"/>
  <c r="AB716" i="3"/>
  <c r="AB716" i="4" s="1"/>
  <c r="G717" i="3"/>
  <c r="G717" i="4" s="1"/>
  <c r="S717" i="3"/>
  <c r="S717" i="4" s="1"/>
  <c r="J718" i="3"/>
  <c r="J718" i="4" s="1"/>
  <c r="V718" i="3"/>
  <c r="V718" i="4" s="1"/>
  <c r="A719" i="3"/>
  <c r="A719" i="4" s="1"/>
  <c r="M719" i="3"/>
  <c r="M719" i="4" s="1"/>
  <c r="Y719" i="3"/>
  <c r="Y719" i="4" s="1"/>
  <c r="D720" i="3"/>
  <c r="D720" i="4" s="1"/>
  <c r="P720" i="3"/>
  <c r="P720" i="4" s="1"/>
  <c r="AB720" i="3"/>
  <c r="AB720" i="4" s="1"/>
  <c r="G721" i="3"/>
  <c r="G721" i="4" s="1"/>
  <c r="S721" i="3"/>
  <c r="S721" i="4" s="1"/>
  <c r="J722" i="3"/>
  <c r="J722" i="4" s="1"/>
  <c r="V722" i="3"/>
  <c r="V722" i="4" s="1"/>
  <c r="A723" i="3"/>
  <c r="A723" i="4" s="1"/>
  <c r="M723" i="3"/>
  <c r="M723" i="4" s="1"/>
  <c r="Y723" i="3"/>
  <c r="Y723" i="4" s="1"/>
  <c r="D724" i="3"/>
  <c r="D724" i="4" s="1"/>
  <c r="P724" i="3"/>
  <c r="P724" i="4" s="1"/>
  <c r="AB724" i="3"/>
  <c r="AB724" i="4" s="1"/>
  <c r="G725" i="3"/>
  <c r="G725" i="4" s="1"/>
  <c r="S725" i="3"/>
  <c r="S725" i="4" s="1"/>
  <c r="J726" i="3"/>
  <c r="J726" i="4" s="1"/>
  <c r="N751" i="3"/>
  <c r="N751" i="4" s="1"/>
  <c r="Z751" i="3"/>
  <c r="Z751" i="4" s="1"/>
  <c r="Z753" i="3"/>
  <c r="Z753" i="4" s="1"/>
  <c r="B603" i="3"/>
  <c r="B603" i="4" s="1"/>
  <c r="N603" i="3"/>
  <c r="N603" i="4" s="1"/>
  <c r="Z603" i="3"/>
  <c r="Z603" i="4" s="1"/>
  <c r="E604" i="3"/>
  <c r="E604" i="4" s="1"/>
  <c r="Q604" i="3"/>
  <c r="Q604" i="4" s="1"/>
  <c r="H605" i="3"/>
  <c r="H605" i="4" s="1"/>
  <c r="T605" i="3"/>
  <c r="T605" i="4" s="1"/>
  <c r="K606" i="3"/>
  <c r="K606" i="4" s="1"/>
  <c r="W606" i="3"/>
  <c r="W606" i="4" s="1"/>
  <c r="B607" i="3"/>
  <c r="B607" i="4" s="1"/>
  <c r="N607" i="3"/>
  <c r="N607" i="4" s="1"/>
  <c r="Z607" i="3"/>
  <c r="Z607" i="4" s="1"/>
  <c r="E608" i="3"/>
  <c r="E608" i="4" s="1"/>
  <c r="Q608" i="3"/>
  <c r="Q608" i="4" s="1"/>
  <c r="H609" i="3"/>
  <c r="H609" i="4" s="1"/>
  <c r="T609" i="3"/>
  <c r="T609" i="4" s="1"/>
  <c r="K610" i="3"/>
  <c r="K610" i="4" s="1"/>
  <c r="W610" i="3"/>
  <c r="W610" i="4" s="1"/>
  <c r="B611" i="3"/>
  <c r="B611" i="4" s="1"/>
  <c r="N611" i="3"/>
  <c r="N611" i="4" s="1"/>
  <c r="Z611" i="3"/>
  <c r="Z611" i="4" s="1"/>
  <c r="E612" i="3"/>
  <c r="E612" i="4" s="1"/>
  <c r="Q612" i="3"/>
  <c r="Q612" i="4" s="1"/>
  <c r="H613" i="3"/>
  <c r="H613" i="4" s="1"/>
  <c r="T613" i="3"/>
  <c r="T613" i="4" s="1"/>
  <c r="K614" i="3"/>
  <c r="K614" i="4" s="1"/>
  <c r="W614" i="3"/>
  <c r="W614" i="4" s="1"/>
  <c r="B615" i="3"/>
  <c r="B615" i="4" s="1"/>
  <c r="N615" i="3"/>
  <c r="N615" i="4" s="1"/>
  <c r="Z615" i="3"/>
  <c r="Z615" i="4" s="1"/>
  <c r="E616" i="3"/>
  <c r="E616" i="4" s="1"/>
  <c r="Q616" i="3"/>
  <c r="Q616" i="4" s="1"/>
  <c r="H617" i="3"/>
  <c r="H617" i="4" s="1"/>
  <c r="T617" i="3"/>
  <c r="T617" i="4" s="1"/>
  <c r="K618" i="3"/>
  <c r="K618" i="4" s="1"/>
  <c r="W618" i="3"/>
  <c r="W618" i="4" s="1"/>
  <c r="B619" i="3"/>
  <c r="B619" i="4" s="1"/>
  <c r="N619" i="3"/>
  <c r="N619" i="4" s="1"/>
  <c r="Z619" i="3"/>
  <c r="Z619" i="4" s="1"/>
  <c r="E620" i="3"/>
  <c r="E620" i="4" s="1"/>
  <c r="Q620" i="3"/>
  <c r="Q620" i="4" s="1"/>
  <c r="H621" i="3"/>
  <c r="H621" i="4" s="1"/>
  <c r="T621" i="3"/>
  <c r="T621" i="4" s="1"/>
  <c r="K622" i="3"/>
  <c r="K622" i="4" s="1"/>
  <c r="W622" i="3"/>
  <c r="W622" i="4" s="1"/>
  <c r="B623" i="3"/>
  <c r="B623" i="4" s="1"/>
  <c r="N623" i="3"/>
  <c r="N623" i="4" s="1"/>
  <c r="Z623" i="3"/>
  <c r="Z623" i="4" s="1"/>
  <c r="E624" i="3"/>
  <c r="E624" i="4" s="1"/>
  <c r="Q624" i="3"/>
  <c r="Q624" i="4" s="1"/>
  <c r="H625" i="3"/>
  <c r="H625" i="4" s="1"/>
  <c r="T625" i="3"/>
  <c r="T625" i="4" s="1"/>
  <c r="K626" i="3"/>
  <c r="K626" i="4" s="1"/>
  <c r="W626" i="3"/>
  <c r="W626" i="4" s="1"/>
  <c r="B627" i="3"/>
  <c r="B627" i="4" s="1"/>
  <c r="N627" i="3"/>
  <c r="N627" i="4" s="1"/>
  <c r="Z627" i="3"/>
  <c r="Z627" i="4" s="1"/>
  <c r="E628" i="3"/>
  <c r="E628" i="4" s="1"/>
  <c r="Q628" i="3"/>
  <c r="Q628" i="4" s="1"/>
  <c r="H629" i="3"/>
  <c r="H629" i="4" s="1"/>
  <c r="T629" i="3"/>
  <c r="T629" i="4" s="1"/>
  <c r="K630" i="3"/>
  <c r="K630" i="4" s="1"/>
  <c r="W630" i="3"/>
  <c r="W630" i="4" s="1"/>
  <c r="B631" i="3"/>
  <c r="B631" i="4" s="1"/>
  <c r="N631" i="3"/>
  <c r="N631" i="4" s="1"/>
  <c r="Z631" i="3"/>
  <c r="Z631" i="4" s="1"/>
  <c r="E632" i="3"/>
  <c r="E632" i="4" s="1"/>
  <c r="Q632" i="3"/>
  <c r="Q632" i="4" s="1"/>
  <c r="H633" i="3"/>
  <c r="H633" i="4" s="1"/>
  <c r="T633" i="3"/>
  <c r="T633" i="4" s="1"/>
  <c r="K634" i="3"/>
  <c r="K634" i="4" s="1"/>
  <c r="W634" i="3"/>
  <c r="W634" i="4" s="1"/>
  <c r="B635" i="3"/>
  <c r="B635" i="4" s="1"/>
  <c r="N635" i="3"/>
  <c r="N635" i="4" s="1"/>
  <c r="Z635" i="3"/>
  <c r="Z635" i="4" s="1"/>
  <c r="E636" i="3"/>
  <c r="E636" i="4" s="1"/>
  <c r="Q636" i="3"/>
  <c r="Q636" i="4" s="1"/>
  <c r="H637" i="3"/>
  <c r="H637" i="4" s="1"/>
  <c r="T637" i="3"/>
  <c r="T637" i="4" s="1"/>
  <c r="K638" i="3"/>
  <c r="K638" i="4" s="1"/>
  <c r="W638" i="3"/>
  <c r="W638" i="4" s="1"/>
  <c r="B639" i="3"/>
  <c r="B639" i="4" s="1"/>
  <c r="N639" i="3"/>
  <c r="N639" i="4" s="1"/>
  <c r="Z639" i="3"/>
  <c r="Z639" i="4" s="1"/>
  <c r="E640" i="3"/>
  <c r="E640" i="4" s="1"/>
  <c r="Q640" i="3"/>
  <c r="Q640" i="4" s="1"/>
  <c r="H641" i="3"/>
  <c r="H641" i="4" s="1"/>
  <c r="T641" i="3"/>
  <c r="T641" i="4" s="1"/>
  <c r="K642" i="3"/>
  <c r="K642" i="4" s="1"/>
  <c r="W642" i="3"/>
  <c r="W642" i="4" s="1"/>
  <c r="B643" i="3"/>
  <c r="B643" i="4" s="1"/>
  <c r="N643" i="3"/>
  <c r="N643" i="4" s="1"/>
  <c r="Z643" i="3"/>
  <c r="Z643" i="4" s="1"/>
  <c r="E644" i="3"/>
  <c r="E644" i="4" s="1"/>
  <c r="Q644" i="3"/>
  <c r="Q644" i="4" s="1"/>
  <c r="H645" i="3"/>
  <c r="H645" i="4" s="1"/>
  <c r="T645" i="3"/>
  <c r="T645" i="4" s="1"/>
  <c r="K646" i="3"/>
  <c r="K646" i="4" s="1"/>
  <c r="W646" i="3"/>
  <c r="W646" i="4" s="1"/>
  <c r="B647" i="3"/>
  <c r="B647" i="4" s="1"/>
  <c r="N647" i="3"/>
  <c r="N647" i="4" s="1"/>
  <c r="Z647" i="3"/>
  <c r="Z647" i="4" s="1"/>
  <c r="E648" i="3"/>
  <c r="E648" i="4" s="1"/>
  <c r="Q648" i="3"/>
  <c r="Q648" i="4" s="1"/>
  <c r="H649" i="3"/>
  <c r="H649" i="4" s="1"/>
  <c r="T649" i="3"/>
  <c r="T649" i="4" s="1"/>
  <c r="K650" i="3"/>
  <c r="K650" i="4" s="1"/>
  <c r="W650" i="3"/>
  <c r="W650" i="4" s="1"/>
  <c r="B651" i="3"/>
  <c r="B651" i="4" s="1"/>
  <c r="N651" i="3"/>
  <c r="N651" i="4" s="1"/>
  <c r="Z651" i="3"/>
  <c r="Z651" i="4" s="1"/>
  <c r="E652" i="3"/>
  <c r="E652" i="4" s="1"/>
  <c r="Q652" i="3"/>
  <c r="Q652" i="4" s="1"/>
  <c r="H653" i="3"/>
  <c r="H653" i="4" s="1"/>
  <c r="T653" i="3"/>
  <c r="T653" i="4" s="1"/>
  <c r="K654" i="3"/>
  <c r="K654" i="4" s="1"/>
  <c r="W654" i="3"/>
  <c r="W654" i="4" s="1"/>
  <c r="B655" i="3"/>
  <c r="B655" i="4" s="1"/>
  <c r="N655" i="3"/>
  <c r="N655" i="4" s="1"/>
  <c r="Z655" i="3"/>
  <c r="Z655" i="4" s="1"/>
  <c r="E656" i="3"/>
  <c r="E656" i="4" s="1"/>
  <c r="Q656" i="3"/>
  <c r="Q656" i="4" s="1"/>
  <c r="H657" i="3"/>
  <c r="H657" i="4" s="1"/>
  <c r="T657" i="3"/>
  <c r="T657" i="4" s="1"/>
  <c r="K658" i="3"/>
  <c r="K658" i="4" s="1"/>
  <c r="W658" i="3"/>
  <c r="W658" i="4" s="1"/>
  <c r="B659" i="3"/>
  <c r="B659" i="4" s="1"/>
  <c r="N659" i="3"/>
  <c r="N659" i="4" s="1"/>
  <c r="Z659" i="3"/>
  <c r="Z659" i="4" s="1"/>
  <c r="E660" i="3"/>
  <c r="E660" i="4" s="1"/>
  <c r="Q660" i="3"/>
  <c r="Q660" i="4" s="1"/>
  <c r="H661" i="3"/>
  <c r="H661" i="4" s="1"/>
  <c r="T661" i="3"/>
  <c r="T661" i="4" s="1"/>
  <c r="K662" i="3"/>
  <c r="K662" i="4" s="1"/>
  <c r="W662" i="3"/>
  <c r="W662" i="4" s="1"/>
  <c r="B663" i="3"/>
  <c r="B663" i="4" s="1"/>
  <c r="N663" i="3"/>
  <c r="N663" i="4" s="1"/>
  <c r="Z663" i="3"/>
  <c r="Z663" i="4" s="1"/>
  <c r="E664" i="3"/>
  <c r="E664" i="4" s="1"/>
  <c r="Q664" i="3"/>
  <c r="Q664" i="4" s="1"/>
  <c r="H665" i="3"/>
  <c r="H665" i="4" s="1"/>
  <c r="T665" i="3"/>
  <c r="T665" i="4" s="1"/>
  <c r="K666" i="3"/>
  <c r="K666" i="4" s="1"/>
  <c r="W666" i="3"/>
  <c r="W666" i="4" s="1"/>
  <c r="B667" i="3"/>
  <c r="B667" i="4" s="1"/>
  <c r="N667" i="3"/>
  <c r="N667" i="4" s="1"/>
  <c r="Z667" i="3"/>
  <c r="Z667" i="4" s="1"/>
  <c r="E668" i="3"/>
  <c r="E668" i="4" s="1"/>
  <c r="Q668" i="3"/>
  <c r="Q668" i="4" s="1"/>
  <c r="H669" i="3"/>
  <c r="H669" i="4" s="1"/>
  <c r="T669" i="3"/>
  <c r="T669" i="4" s="1"/>
  <c r="K670" i="3"/>
  <c r="K670" i="4" s="1"/>
  <c r="W670" i="3"/>
  <c r="W670" i="4" s="1"/>
  <c r="B671" i="3"/>
  <c r="B671" i="4" s="1"/>
  <c r="N671" i="3"/>
  <c r="N671" i="4" s="1"/>
  <c r="Z671" i="3"/>
  <c r="Z671" i="4" s="1"/>
  <c r="E672" i="3"/>
  <c r="E672" i="4" s="1"/>
  <c r="Q672" i="3"/>
  <c r="Q672" i="4" s="1"/>
  <c r="H673" i="3"/>
  <c r="H673" i="4" s="1"/>
  <c r="T673" i="3"/>
  <c r="T673" i="4" s="1"/>
  <c r="K674" i="3"/>
  <c r="K674" i="4" s="1"/>
  <c r="W674" i="3"/>
  <c r="W674" i="4" s="1"/>
  <c r="B675" i="3"/>
  <c r="B675" i="4" s="1"/>
  <c r="N675" i="3"/>
  <c r="N675" i="4" s="1"/>
  <c r="Z675" i="3"/>
  <c r="Z675" i="4" s="1"/>
  <c r="E676" i="3"/>
  <c r="E676" i="4" s="1"/>
  <c r="Q676" i="3"/>
  <c r="Q676" i="4" s="1"/>
  <c r="H677" i="3"/>
  <c r="H677" i="4" s="1"/>
  <c r="T677" i="3"/>
  <c r="T677" i="4" s="1"/>
  <c r="K678" i="3"/>
  <c r="K678" i="4" s="1"/>
  <c r="W678" i="3"/>
  <c r="W678" i="4" s="1"/>
  <c r="B679" i="3"/>
  <c r="B679" i="4" s="1"/>
  <c r="N679" i="3"/>
  <c r="N679" i="4" s="1"/>
  <c r="Z679" i="3"/>
  <c r="Z679" i="4" s="1"/>
  <c r="E680" i="3"/>
  <c r="E680" i="4" s="1"/>
  <c r="Q680" i="3"/>
  <c r="Q680" i="4" s="1"/>
  <c r="H681" i="3"/>
  <c r="H681" i="4" s="1"/>
  <c r="T681" i="3"/>
  <c r="T681" i="4" s="1"/>
  <c r="K682" i="3"/>
  <c r="K682" i="4" s="1"/>
  <c r="W682" i="3"/>
  <c r="W682" i="4" s="1"/>
  <c r="B683" i="3"/>
  <c r="B683" i="4" s="1"/>
  <c r="N683" i="3"/>
  <c r="N683" i="4" s="1"/>
  <c r="Z683" i="3"/>
  <c r="Z683" i="4" s="1"/>
  <c r="E684" i="3"/>
  <c r="E684" i="4" s="1"/>
  <c r="Q684" i="3"/>
  <c r="Q684" i="4" s="1"/>
  <c r="H685" i="3"/>
  <c r="H685" i="4" s="1"/>
  <c r="T685" i="3"/>
  <c r="T685" i="4" s="1"/>
  <c r="K686" i="3"/>
  <c r="K686" i="4" s="1"/>
  <c r="W686" i="3"/>
  <c r="W686" i="4" s="1"/>
  <c r="B687" i="3"/>
  <c r="B687" i="4" s="1"/>
  <c r="N687" i="3"/>
  <c r="N687" i="4" s="1"/>
  <c r="Z687" i="3"/>
  <c r="Z687" i="4" s="1"/>
  <c r="E688" i="3"/>
  <c r="E688" i="4" s="1"/>
  <c r="Q688" i="3"/>
  <c r="Q688" i="4" s="1"/>
  <c r="H689" i="3"/>
  <c r="H689" i="4" s="1"/>
  <c r="T689" i="3"/>
  <c r="T689" i="4" s="1"/>
  <c r="K690" i="3"/>
  <c r="K690" i="4" s="1"/>
  <c r="W690" i="3"/>
  <c r="W690" i="4" s="1"/>
  <c r="B691" i="3"/>
  <c r="B691" i="4" s="1"/>
  <c r="N691" i="3"/>
  <c r="N691" i="4" s="1"/>
  <c r="Z691" i="3"/>
  <c r="Z691" i="4" s="1"/>
  <c r="E692" i="3"/>
  <c r="E692" i="4" s="1"/>
  <c r="Q692" i="3"/>
  <c r="Q692" i="4" s="1"/>
  <c r="H693" i="3"/>
  <c r="H693" i="4" s="1"/>
  <c r="T693" i="3"/>
  <c r="T693" i="4" s="1"/>
  <c r="K694" i="3"/>
  <c r="K694" i="4" s="1"/>
  <c r="W694" i="3"/>
  <c r="W694" i="4" s="1"/>
  <c r="B695" i="3"/>
  <c r="B695" i="4" s="1"/>
  <c r="N695" i="3"/>
  <c r="N695" i="4" s="1"/>
  <c r="Z695" i="3"/>
  <c r="Z695" i="4" s="1"/>
  <c r="E696" i="3"/>
  <c r="E696" i="4" s="1"/>
  <c r="Q696" i="3"/>
  <c r="Q696" i="4" s="1"/>
  <c r="H697" i="3"/>
  <c r="H697" i="4" s="1"/>
  <c r="U577" i="3"/>
  <c r="U577" i="4" s="1"/>
  <c r="L578" i="3"/>
  <c r="L578" i="4" s="1"/>
  <c r="X578" i="3"/>
  <c r="X578" i="4" s="1"/>
  <c r="C579" i="3"/>
  <c r="C579" i="4" s="1"/>
  <c r="O579" i="3"/>
  <c r="O579" i="4" s="1"/>
  <c r="AA579" i="3"/>
  <c r="AA579" i="4" s="1"/>
  <c r="F580" i="3"/>
  <c r="F580" i="4" s="1"/>
  <c r="R580" i="3"/>
  <c r="R580" i="4" s="1"/>
  <c r="I581" i="3"/>
  <c r="I581" i="4" s="1"/>
  <c r="U581" i="3"/>
  <c r="U581" i="4" s="1"/>
  <c r="L582" i="3"/>
  <c r="L582" i="4" s="1"/>
  <c r="X582" i="3"/>
  <c r="X582" i="4" s="1"/>
  <c r="C583" i="3"/>
  <c r="C583" i="4" s="1"/>
  <c r="O583" i="3"/>
  <c r="O583" i="4" s="1"/>
  <c r="AA583" i="3"/>
  <c r="AA583" i="4" s="1"/>
  <c r="F584" i="3"/>
  <c r="F584" i="4" s="1"/>
  <c r="R584" i="3"/>
  <c r="R584" i="4" s="1"/>
  <c r="I585" i="3"/>
  <c r="I585" i="4" s="1"/>
  <c r="U585" i="3"/>
  <c r="U585" i="4" s="1"/>
  <c r="L586" i="3"/>
  <c r="L586" i="4" s="1"/>
  <c r="X586" i="3"/>
  <c r="X586" i="4" s="1"/>
  <c r="C587" i="3"/>
  <c r="C587" i="4" s="1"/>
  <c r="O587" i="3"/>
  <c r="O587" i="4" s="1"/>
  <c r="AA587" i="3"/>
  <c r="AA587" i="4" s="1"/>
  <c r="F588" i="3"/>
  <c r="F588" i="4" s="1"/>
  <c r="R588" i="3"/>
  <c r="R588" i="4" s="1"/>
  <c r="I589" i="3"/>
  <c r="I589" i="4" s="1"/>
  <c r="U589" i="3"/>
  <c r="U589" i="4" s="1"/>
  <c r="L590" i="3"/>
  <c r="L590" i="4" s="1"/>
  <c r="X590" i="3"/>
  <c r="X590" i="4" s="1"/>
  <c r="C591" i="3"/>
  <c r="C591" i="4" s="1"/>
  <c r="O591" i="3"/>
  <c r="O591" i="4" s="1"/>
  <c r="AA591" i="3"/>
  <c r="AA591" i="4" s="1"/>
  <c r="F592" i="3"/>
  <c r="F592" i="4" s="1"/>
  <c r="R592" i="3"/>
  <c r="R592" i="4" s="1"/>
  <c r="I593" i="3"/>
  <c r="I593" i="4" s="1"/>
  <c r="U593" i="3"/>
  <c r="U593" i="4" s="1"/>
  <c r="L594" i="3"/>
  <c r="L594" i="4" s="1"/>
  <c r="X594" i="3"/>
  <c r="X594" i="4" s="1"/>
  <c r="C595" i="3"/>
  <c r="C595" i="4" s="1"/>
  <c r="O595" i="3"/>
  <c r="O595" i="4" s="1"/>
  <c r="AA595" i="3"/>
  <c r="AA595" i="4" s="1"/>
  <c r="F596" i="3"/>
  <c r="F596" i="4" s="1"/>
  <c r="R596" i="3"/>
  <c r="R596" i="4" s="1"/>
  <c r="I597" i="3"/>
  <c r="I597" i="4" s="1"/>
  <c r="U597" i="3"/>
  <c r="U597" i="4" s="1"/>
  <c r="L598" i="3"/>
  <c r="L598" i="4" s="1"/>
  <c r="X598" i="3"/>
  <c r="X598" i="4" s="1"/>
  <c r="C599" i="3"/>
  <c r="C599" i="4" s="1"/>
  <c r="O599" i="3"/>
  <c r="O599" i="4" s="1"/>
  <c r="AA599" i="3"/>
  <c r="AA599" i="4" s="1"/>
  <c r="F600" i="3"/>
  <c r="F600" i="4" s="1"/>
  <c r="R600" i="3"/>
  <c r="R600" i="4" s="1"/>
  <c r="I601" i="3"/>
  <c r="I601" i="4" s="1"/>
  <c r="U601" i="3"/>
  <c r="U601" i="4" s="1"/>
  <c r="L602" i="3"/>
  <c r="L602" i="4" s="1"/>
  <c r="X602" i="3"/>
  <c r="X602" i="4" s="1"/>
  <c r="C603" i="3"/>
  <c r="C603" i="4" s="1"/>
  <c r="O603" i="3"/>
  <c r="O603" i="4" s="1"/>
  <c r="AA603" i="3"/>
  <c r="AA603" i="4" s="1"/>
  <c r="F604" i="3"/>
  <c r="F604" i="4" s="1"/>
  <c r="R604" i="3"/>
  <c r="R604" i="4" s="1"/>
  <c r="I605" i="3"/>
  <c r="I605" i="4" s="1"/>
  <c r="U605" i="3"/>
  <c r="U605" i="4" s="1"/>
  <c r="L606" i="3"/>
  <c r="L606" i="4" s="1"/>
  <c r="X606" i="3"/>
  <c r="X606" i="4" s="1"/>
  <c r="C607" i="3"/>
  <c r="C607" i="4" s="1"/>
  <c r="O607" i="3"/>
  <c r="O607" i="4" s="1"/>
  <c r="AA607" i="3"/>
  <c r="AA607" i="4" s="1"/>
  <c r="F608" i="3"/>
  <c r="F608" i="4" s="1"/>
  <c r="R608" i="3"/>
  <c r="R608" i="4" s="1"/>
  <c r="I609" i="3"/>
  <c r="I609" i="4" s="1"/>
  <c r="U609" i="3"/>
  <c r="U609" i="4" s="1"/>
  <c r="L610" i="3"/>
  <c r="L610" i="4" s="1"/>
  <c r="X610" i="3"/>
  <c r="X610" i="4" s="1"/>
  <c r="C611" i="3"/>
  <c r="C611" i="4" s="1"/>
  <c r="O611" i="3"/>
  <c r="O611" i="4" s="1"/>
  <c r="AA611" i="3"/>
  <c r="AA611" i="4" s="1"/>
  <c r="F612" i="3"/>
  <c r="F612" i="4" s="1"/>
  <c r="R612" i="3"/>
  <c r="R612" i="4" s="1"/>
  <c r="I613" i="3"/>
  <c r="I613" i="4" s="1"/>
  <c r="U613" i="3"/>
  <c r="U613" i="4" s="1"/>
  <c r="L614" i="3"/>
  <c r="L614" i="4" s="1"/>
  <c r="X614" i="3"/>
  <c r="X614" i="4" s="1"/>
  <c r="C615" i="3"/>
  <c r="C615" i="4" s="1"/>
  <c r="O615" i="3"/>
  <c r="O615" i="4" s="1"/>
  <c r="AA615" i="3"/>
  <c r="AA615" i="4" s="1"/>
  <c r="F616" i="3"/>
  <c r="F616" i="4" s="1"/>
  <c r="R616" i="3"/>
  <c r="R616" i="4" s="1"/>
  <c r="I617" i="3"/>
  <c r="I617" i="4" s="1"/>
  <c r="U617" i="3"/>
  <c r="U617" i="4" s="1"/>
  <c r="L618" i="3"/>
  <c r="L618" i="4" s="1"/>
  <c r="X618" i="3"/>
  <c r="X618" i="4" s="1"/>
  <c r="C619" i="3"/>
  <c r="C619" i="4" s="1"/>
  <c r="O619" i="3"/>
  <c r="O619" i="4" s="1"/>
  <c r="AA619" i="3"/>
  <c r="AA619" i="4" s="1"/>
  <c r="F620" i="3"/>
  <c r="F620" i="4" s="1"/>
  <c r="R620" i="3"/>
  <c r="R620" i="4" s="1"/>
  <c r="I621" i="3"/>
  <c r="I621" i="4" s="1"/>
  <c r="U621" i="3"/>
  <c r="U621" i="4" s="1"/>
  <c r="L622" i="3"/>
  <c r="L622" i="4" s="1"/>
  <c r="X622" i="3"/>
  <c r="X622" i="4" s="1"/>
  <c r="C623" i="3"/>
  <c r="C623" i="4" s="1"/>
  <c r="O623" i="3"/>
  <c r="O623" i="4" s="1"/>
  <c r="AA623" i="3"/>
  <c r="AA623" i="4" s="1"/>
  <c r="F624" i="3"/>
  <c r="F624" i="4" s="1"/>
  <c r="R624" i="3"/>
  <c r="R624" i="4" s="1"/>
  <c r="I625" i="3"/>
  <c r="I625" i="4" s="1"/>
  <c r="U625" i="3"/>
  <c r="U625" i="4" s="1"/>
  <c r="L626" i="3"/>
  <c r="L626" i="4" s="1"/>
  <c r="X626" i="3"/>
  <c r="X626" i="4" s="1"/>
  <c r="C627" i="3"/>
  <c r="C627" i="4" s="1"/>
  <c r="O627" i="3"/>
  <c r="O627" i="4" s="1"/>
  <c r="AA627" i="3"/>
  <c r="AA627" i="4" s="1"/>
  <c r="F628" i="3"/>
  <c r="F628" i="4" s="1"/>
  <c r="R628" i="3"/>
  <c r="R628" i="4" s="1"/>
  <c r="I629" i="3"/>
  <c r="I629" i="4" s="1"/>
  <c r="U629" i="3"/>
  <c r="U629" i="4" s="1"/>
  <c r="L630" i="3"/>
  <c r="L630" i="4" s="1"/>
  <c r="X630" i="3"/>
  <c r="X630" i="4" s="1"/>
  <c r="C631" i="3"/>
  <c r="C631" i="4" s="1"/>
  <c r="O631" i="3"/>
  <c r="O631" i="4" s="1"/>
  <c r="AA631" i="3"/>
  <c r="AA631" i="4" s="1"/>
  <c r="F632" i="3"/>
  <c r="F632" i="4" s="1"/>
  <c r="R632" i="3"/>
  <c r="R632" i="4" s="1"/>
  <c r="I633" i="3"/>
  <c r="I633" i="4" s="1"/>
  <c r="U633" i="3"/>
  <c r="U633" i="4" s="1"/>
  <c r="L634" i="3"/>
  <c r="L634" i="4" s="1"/>
  <c r="X634" i="3"/>
  <c r="X634" i="4" s="1"/>
  <c r="C635" i="3"/>
  <c r="C635" i="4" s="1"/>
  <c r="O635" i="3"/>
  <c r="O635" i="4" s="1"/>
  <c r="AA635" i="3"/>
  <c r="AA635" i="4" s="1"/>
  <c r="F636" i="3"/>
  <c r="F636" i="4" s="1"/>
  <c r="R636" i="3"/>
  <c r="R636" i="4" s="1"/>
  <c r="I637" i="3"/>
  <c r="I637" i="4" s="1"/>
  <c r="U637" i="3"/>
  <c r="U637" i="4" s="1"/>
  <c r="L638" i="3"/>
  <c r="L638" i="4" s="1"/>
  <c r="X638" i="3"/>
  <c r="X638" i="4" s="1"/>
  <c r="C639" i="3"/>
  <c r="C639" i="4" s="1"/>
  <c r="O639" i="3"/>
  <c r="O639" i="4" s="1"/>
  <c r="AA639" i="3"/>
  <c r="AA639" i="4" s="1"/>
  <c r="F640" i="3"/>
  <c r="F640" i="4" s="1"/>
  <c r="R640" i="3"/>
  <c r="R640" i="4" s="1"/>
  <c r="I641" i="3"/>
  <c r="I641" i="4" s="1"/>
  <c r="U641" i="3"/>
  <c r="U641" i="4" s="1"/>
  <c r="L642" i="3"/>
  <c r="L642" i="4" s="1"/>
  <c r="X642" i="3"/>
  <c r="X642" i="4" s="1"/>
  <c r="C643" i="3"/>
  <c r="C643" i="4" s="1"/>
  <c r="O643" i="3"/>
  <c r="O643" i="4" s="1"/>
  <c r="AA643" i="3"/>
  <c r="AA643" i="4" s="1"/>
  <c r="F644" i="3"/>
  <c r="F644" i="4" s="1"/>
  <c r="R644" i="3"/>
  <c r="R644" i="4" s="1"/>
  <c r="I645" i="3"/>
  <c r="I645" i="4" s="1"/>
  <c r="U645" i="3"/>
  <c r="U645" i="4" s="1"/>
  <c r="L646" i="3"/>
  <c r="L646" i="4" s="1"/>
  <c r="X646" i="3"/>
  <c r="X646" i="4" s="1"/>
  <c r="C647" i="3"/>
  <c r="C647" i="4" s="1"/>
  <c r="O647" i="3"/>
  <c r="O647" i="4" s="1"/>
  <c r="AA647" i="3"/>
  <c r="AA647" i="4" s="1"/>
  <c r="F648" i="3"/>
  <c r="F648" i="4" s="1"/>
  <c r="R648" i="3"/>
  <c r="R648" i="4" s="1"/>
  <c r="I649" i="3"/>
  <c r="I649" i="4" s="1"/>
  <c r="U649" i="3"/>
  <c r="U649" i="4" s="1"/>
  <c r="L650" i="3"/>
  <c r="L650" i="4" s="1"/>
  <c r="X650" i="3"/>
  <c r="X650" i="4" s="1"/>
  <c r="C651" i="3"/>
  <c r="C651" i="4" s="1"/>
  <c r="O651" i="3"/>
  <c r="O651" i="4" s="1"/>
  <c r="AA651" i="3"/>
  <c r="AA651" i="4" s="1"/>
  <c r="F652" i="3"/>
  <c r="F652" i="4" s="1"/>
  <c r="R652" i="3"/>
  <c r="R652" i="4" s="1"/>
  <c r="I653" i="3"/>
  <c r="I653" i="4" s="1"/>
  <c r="U653" i="3"/>
  <c r="U653" i="4" s="1"/>
  <c r="L654" i="3"/>
  <c r="L654" i="4" s="1"/>
  <c r="X654" i="3"/>
  <c r="X654" i="4" s="1"/>
  <c r="C655" i="3"/>
  <c r="C655" i="4" s="1"/>
  <c r="O655" i="3"/>
  <c r="O655" i="4" s="1"/>
  <c r="AA655" i="3"/>
  <c r="AA655" i="4" s="1"/>
  <c r="F656" i="3"/>
  <c r="F656" i="4" s="1"/>
  <c r="R656" i="3"/>
  <c r="R656" i="4" s="1"/>
  <c r="I657" i="3"/>
  <c r="I657" i="4" s="1"/>
  <c r="U657" i="3"/>
  <c r="U657" i="4" s="1"/>
  <c r="L658" i="3"/>
  <c r="L658" i="4" s="1"/>
  <c r="X658" i="3"/>
  <c r="X658" i="4" s="1"/>
  <c r="C659" i="3"/>
  <c r="C659" i="4" s="1"/>
  <c r="O659" i="3"/>
  <c r="O659" i="4" s="1"/>
  <c r="AA659" i="3"/>
  <c r="AA659" i="4" s="1"/>
  <c r="F660" i="3"/>
  <c r="F660" i="4" s="1"/>
  <c r="R660" i="3"/>
  <c r="R660" i="4" s="1"/>
  <c r="I661" i="3"/>
  <c r="I661" i="4" s="1"/>
  <c r="U661" i="3"/>
  <c r="U661" i="4" s="1"/>
  <c r="L662" i="3"/>
  <c r="L662" i="4" s="1"/>
  <c r="X662" i="3"/>
  <c r="X662" i="4" s="1"/>
  <c r="C663" i="3"/>
  <c r="C663" i="4" s="1"/>
  <c r="O663" i="3"/>
  <c r="O663" i="4" s="1"/>
  <c r="AA663" i="3"/>
  <c r="AA663" i="4" s="1"/>
  <c r="F664" i="3"/>
  <c r="F664" i="4" s="1"/>
  <c r="R664" i="3"/>
  <c r="R664" i="4" s="1"/>
  <c r="I665" i="3"/>
  <c r="I665" i="4" s="1"/>
  <c r="U665" i="3"/>
  <c r="U665" i="4" s="1"/>
  <c r="L666" i="3"/>
  <c r="L666" i="4" s="1"/>
  <c r="X666" i="3"/>
  <c r="X666" i="4" s="1"/>
  <c r="C667" i="3"/>
  <c r="C667" i="4" s="1"/>
  <c r="O667" i="3"/>
  <c r="O667" i="4" s="1"/>
  <c r="AA667" i="3"/>
  <c r="AA667" i="4" s="1"/>
  <c r="F668" i="3"/>
  <c r="F668" i="4" s="1"/>
  <c r="R668" i="3"/>
  <c r="R668" i="4" s="1"/>
  <c r="I669" i="3"/>
  <c r="I669" i="4" s="1"/>
  <c r="U669" i="3"/>
  <c r="U669" i="4" s="1"/>
  <c r="L670" i="3"/>
  <c r="L670" i="4" s="1"/>
  <c r="X670" i="3"/>
  <c r="X670" i="4" s="1"/>
  <c r="C671" i="3"/>
  <c r="C671" i="4" s="1"/>
  <c r="O671" i="3"/>
  <c r="O671" i="4" s="1"/>
  <c r="AA671" i="3"/>
  <c r="AA671" i="4" s="1"/>
  <c r="F672" i="3"/>
  <c r="F672" i="4" s="1"/>
  <c r="R672" i="3"/>
  <c r="R672" i="4" s="1"/>
  <c r="I673" i="3"/>
  <c r="I673" i="4" s="1"/>
  <c r="U673" i="3"/>
  <c r="U673" i="4" s="1"/>
  <c r="L674" i="3"/>
  <c r="L674" i="4" s="1"/>
  <c r="X674" i="3"/>
  <c r="X674" i="4" s="1"/>
  <c r="C675" i="3"/>
  <c r="C675" i="4" s="1"/>
  <c r="O675" i="3"/>
  <c r="O675" i="4" s="1"/>
  <c r="AA675" i="3"/>
  <c r="AA675" i="4" s="1"/>
  <c r="F676" i="3"/>
  <c r="F676" i="4" s="1"/>
  <c r="R676" i="3"/>
  <c r="R676" i="4" s="1"/>
  <c r="I677" i="3"/>
  <c r="I677" i="4" s="1"/>
  <c r="U677" i="3"/>
  <c r="U677" i="4" s="1"/>
  <c r="L678" i="3"/>
  <c r="L678" i="4" s="1"/>
  <c r="X678" i="3"/>
  <c r="X678" i="4" s="1"/>
  <c r="C679" i="3"/>
  <c r="C679" i="4" s="1"/>
  <c r="O679" i="3"/>
  <c r="O679" i="4" s="1"/>
  <c r="AA679" i="3"/>
  <c r="AA679" i="4" s="1"/>
  <c r="F680" i="3"/>
  <c r="F680" i="4" s="1"/>
  <c r="R680" i="3"/>
  <c r="R680" i="4" s="1"/>
  <c r="I681" i="3"/>
  <c r="I681" i="4" s="1"/>
  <c r="U681" i="3"/>
  <c r="U681" i="4" s="1"/>
  <c r="L682" i="3"/>
  <c r="L682" i="4" s="1"/>
  <c r="X682" i="3"/>
  <c r="X682" i="4" s="1"/>
  <c r="C683" i="3"/>
  <c r="C683" i="4" s="1"/>
  <c r="O683" i="3"/>
  <c r="O683" i="4" s="1"/>
  <c r="AA683" i="3"/>
  <c r="AA683" i="4" s="1"/>
  <c r="F684" i="3"/>
  <c r="F684" i="4" s="1"/>
  <c r="R684" i="3"/>
  <c r="R684" i="4" s="1"/>
  <c r="I685" i="3"/>
  <c r="I685" i="4" s="1"/>
  <c r="U685" i="3"/>
  <c r="U685" i="4" s="1"/>
  <c r="L686" i="3"/>
  <c r="L686" i="4" s="1"/>
  <c r="X686" i="3"/>
  <c r="X686" i="4" s="1"/>
  <c r="C687" i="3"/>
  <c r="C687" i="4" s="1"/>
  <c r="O687" i="3"/>
  <c r="O687" i="4" s="1"/>
  <c r="AA687" i="3"/>
  <c r="AA687" i="4" s="1"/>
  <c r="F688" i="3"/>
  <c r="F688" i="4" s="1"/>
  <c r="R688" i="3"/>
  <c r="R688" i="4" s="1"/>
  <c r="I689" i="3"/>
  <c r="I689" i="4" s="1"/>
  <c r="U689" i="3"/>
  <c r="U689" i="4" s="1"/>
  <c r="L690" i="3"/>
  <c r="L690" i="4" s="1"/>
  <c r="X690" i="3"/>
  <c r="X690" i="4" s="1"/>
  <c r="C691" i="3"/>
  <c r="C691" i="4" s="1"/>
  <c r="O691" i="3"/>
  <c r="O691" i="4" s="1"/>
  <c r="Y618" i="3"/>
  <c r="Y618" i="4" s="1"/>
  <c r="D619" i="3"/>
  <c r="D619" i="4" s="1"/>
  <c r="P619" i="3"/>
  <c r="P619" i="4" s="1"/>
  <c r="AB619" i="3"/>
  <c r="AB619" i="4" s="1"/>
  <c r="G620" i="3"/>
  <c r="G620" i="4" s="1"/>
  <c r="S620" i="3"/>
  <c r="S620" i="4" s="1"/>
  <c r="J621" i="3"/>
  <c r="J621" i="4" s="1"/>
  <c r="V621" i="3"/>
  <c r="V621" i="4" s="1"/>
  <c r="A622" i="3"/>
  <c r="A622" i="4" s="1"/>
  <c r="M622" i="3"/>
  <c r="M622" i="4" s="1"/>
  <c r="Y622" i="3"/>
  <c r="Y622" i="4" s="1"/>
  <c r="D623" i="3"/>
  <c r="D623" i="4" s="1"/>
  <c r="P623" i="3"/>
  <c r="P623" i="4" s="1"/>
  <c r="AB623" i="3"/>
  <c r="AB623" i="4" s="1"/>
  <c r="G624" i="3"/>
  <c r="G624" i="4" s="1"/>
  <c r="S624" i="3"/>
  <c r="S624" i="4" s="1"/>
  <c r="J625" i="3"/>
  <c r="J625" i="4" s="1"/>
  <c r="V625" i="3"/>
  <c r="V625" i="4" s="1"/>
  <c r="A626" i="3"/>
  <c r="A626" i="4" s="1"/>
  <c r="M626" i="3"/>
  <c r="M626" i="4" s="1"/>
  <c r="Y626" i="3"/>
  <c r="Y626" i="4" s="1"/>
  <c r="D627" i="3"/>
  <c r="D627" i="4" s="1"/>
  <c r="P627" i="3"/>
  <c r="P627" i="4" s="1"/>
  <c r="AB627" i="3"/>
  <c r="AB627" i="4" s="1"/>
  <c r="G628" i="3"/>
  <c r="G628" i="4" s="1"/>
  <c r="S628" i="3"/>
  <c r="S628" i="4" s="1"/>
  <c r="J629" i="3"/>
  <c r="J629" i="4" s="1"/>
  <c r="V629" i="3"/>
  <c r="V629" i="4" s="1"/>
  <c r="A630" i="3"/>
  <c r="A630" i="4" s="1"/>
  <c r="M630" i="3"/>
  <c r="M630" i="4" s="1"/>
  <c r="Y630" i="3"/>
  <c r="Y630" i="4" s="1"/>
  <c r="D631" i="3"/>
  <c r="D631" i="4" s="1"/>
  <c r="P631" i="3"/>
  <c r="P631" i="4" s="1"/>
  <c r="AB631" i="3"/>
  <c r="AB631" i="4" s="1"/>
  <c r="G632" i="3"/>
  <c r="G632" i="4" s="1"/>
  <c r="S632" i="3"/>
  <c r="S632" i="4" s="1"/>
  <c r="J633" i="3"/>
  <c r="J633" i="4" s="1"/>
  <c r="V633" i="3"/>
  <c r="V633" i="4" s="1"/>
  <c r="A634" i="3"/>
  <c r="A634" i="4" s="1"/>
  <c r="M634" i="3"/>
  <c r="M634" i="4" s="1"/>
  <c r="Y634" i="3"/>
  <c r="Y634" i="4" s="1"/>
  <c r="D635" i="3"/>
  <c r="D635" i="4" s="1"/>
  <c r="P635" i="3"/>
  <c r="P635" i="4" s="1"/>
  <c r="AB635" i="3"/>
  <c r="AB635" i="4" s="1"/>
  <c r="G636" i="3"/>
  <c r="G636" i="4" s="1"/>
  <c r="S636" i="3"/>
  <c r="S636" i="4" s="1"/>
  <c r="J637" i="3"/>
  <c r="J637" i="4" s="1"/>
  <c r="V637" i="3"/>
  <c r="V637" i="4" s="1"/>
  <c r="A638" i="3"/>
  <c r="A638" i="4" s="1"/>
  <c r="M638" i="3"/>
  <c r="M638" i="4" s="1"/>
  <c r="Y638" i="3"/>
  <c r="Y638" i="4" s="1"/>
  <c r="D639" i="3"/>
  <c r="D639" i="4" s="1"/>
  <c r="P639" i="3"/>
  <c r="P639" i="4" s="1"/>
  <c r="AB639" i="3"/>
  <c r="AB639" i="4" s="1"/>
  <c r="G640" i="3"/>
  <c r="G640" i="4" s="1"/>
  <c r="S640" i="3"/>
  <c r="S640" i="4" s="1"/>
  <c r="J641" i="3"/>
  <c r="J641" i="4" s="1"/>
  <c r="V641" i="3"/>
  <c r="V641" i="4" s="1"/>
  <c r="A642" i="3"/>
  <c r="A642" i="4" s="1"/>
  <c r="M642" i="3"/>
  <c r="M642" i="4" s="1"/>
  <c r="Y642" i="3"/>
  <c r="Y642" i="4" s="1"/>
  <c r="D643" i="3"/>
  <c r="D643" i="4" s="1"/>
  <c r="P643" i="3"/>
  <c r="P643" i="4" s="1"/>
  <c r="AB643" i="3"/>
  <c r="AB643" i="4" s="1"/>
  <c r="G644" i="3"/>
  <c r="G644" i="4" s="1"/>
  <c r="S644" i="3"/>
  <c r="S644" i="4" s="1"/>
  <c r="J645" i="3"/>
  <c r="J645" i="4" s="1"/>
  <c r="V645" i="3"/>
  <c r="V645" i="4" s="1"/>
  <c r="A646" i="3"/>
  <c r="A646" i="4" s="1"/>
  <c r="M646" i="3"/>
  <c r="M646" i="4" s="1"/>
  <c r="Y646" i="3"/>
  <c r="Y646" i="4" s="1"/>
  <c r="D647" i="3"/>
  <c r="D647" i="4" s="1"/>
  <c r="P647" i="3"/>
  <c r="P647" i="4" s="1"/>
  <c r="AB647" i="3"/>
  <c r="AB647" i="4" s="1"/>
  <c r="G648" i="3"/>
  <c r="G648" i="4" s="1"/>
  <c r="S648" i="3"/>
  <c r="S648" i="4" s="1"/>
  <c r="J649" i="3"/>
  <c r="J649" i="4" s="1"/>
  <c r="V649" i="3"/>
  <c r="V649" i="4" s="1"/>
  <c r="A650" i="3"/>
  <c r="A650" i="4" s="1"/>
  <c r="M650" i="3"/>
  <c r="M650" i="4" s="1"/>
  <c r="Y650" i="3"/>
  <c r="Y650" i="4" s="1"/>
  <c r="D651" i="3"/>
  <c r="D651" i="4" s="1"/>
  <c r="P651" i="3"/>
  <c r="P651" i="4" s="1"/>
  <c r="AB651" i="3"/>
  <c r="AB651" i="4" s="1"/>
  <c r="G652" i="3"/>
  <c r="G652" i="4" s="1"/>
  <c r="S652" i="3"/>
  <c r="S652" i="4" s="1"/>
  <c r="J653" i="3"/>
  <c r="J653" i="4" s="1"/>
  <c r="V653" i="3"/>
  <c r="V653" i="4" s="1"/>
  <c r="A654" i="3"/>
  <c r="A654" i="4" s="1"/>
  <c r="M654" i="3"/>
  <c r="M654" i="4" s="1"/>
  <c r="Y654" i="3"/>
  <c r="Y654" i="4" s="1"/>
  <c r="D655" i="3"/>
  <c r="D655" i="4" s="1"/>
  <c r="P655" i="3"/>
  <c r="P655" i="4" s="1"/>
  <c r="AB655" i="3"/>
  <c r="AB655" i="4" s="1"/>
  <c r="G656" i="3"/>
  <c r="G656" i="4" s="1"/>
  <c r="S656" i="3"/>
  <c r="S656" i="4" s="1"/>
  <c r="J657" i="3"/>
  <c r="J657" i="4" s="1"/>
  <c r="V657" i="3"/>
  <c r="V657" i="4" s="1"/>
  <c r="A658" i="3"/>
  <c r="A658" i="4" s="1"/>
  <c r="M658" i="3"/>
  <c r="M658" i="4" s="1"/>
  <c r="Y658" i="3"/>
  <c r="Y658" i="4" s="1"/>
  <c r="D659" i="3"/>
  <c r="D659" i="4" s="1"/>
  <c r="P659" i="3"/>
  <c r="P659" i="4" s="1"/>
  <c r="AB659" i="3"/>
  <c r="AB659" i="4" s="1"/>
  <c r="G660" i="3"/>
  <c r="G660" i="4" s="1"/>
  <c r="S660" i="3"/>
  <c r="S660" i="4" s="1"/>
  <c r="J661" i="3"/>
  <c r="J661" i="4" s="1"/>
  <c r="V661" i="3"/>
  <c r="V661" i="4" s="1"/>
  <c r="A662" i="3"/>
  <c r="A662" i="4" s="1"/>
  <c r="M662" i="3"/>
  <c r="M662" i="4" s="1"/>
  <c r="Y662" i="3"/>
  <c r="Y662" i="4" s="1"/>
  <c r="D663" i="3"/>
  <c r="D663" i="4" s="1"/>
  <c r="P663" i="3"/>
  <c r="P663" i="4" s="1"/>
  <c r="AB663" i="3"/>
  <c r="AB663" i="4" s="1"/>
  <c r="G664" i="3"/>
  <c r="G664" i="4" s="1"/>
  <c r="S664" i="3"/>
  <c r="S664" i="4" s="1"/>
  <c r="J665" i="3"/>
  <c r="J665" i="4" s="1"/>
  <c r="V665" i="3"/>
  <c r="V665" i="4" s="1"/>
  <c r="A666" i="3"/>
  <c r="A666" i="4" s="1"/>
  <c r="M666" i="3"/>
  <c r="M666" i="4" s="1"/>
  <c r="Y666" i="3"/>
  <c r="Y666" i="4" s="1"/>
  <c r="D667" i="3"/>
  <c r="D667" i="4" s="1"/>
  <c r="P667" i="3"/>
  <c r="P667" i="4" s="1"/>
  <c r="AB667" i="3"/>
  <c r="AB667" i="4" s="1"/>
  <c r="G668" i="3"/>
  <c r="G668" i="4" s="1"/>
  <c r="S668" i="3"/>
  <c r="S668" i="4" s="1"/>
  <c r="J669" i="3"/>
  <c r="J669" i="4" s="1"/>
  <c r="V669" i="3"/>
  <c r="V669" i="4" s="1"/>
  <c r="A670" i="3"/>
  <c r="A670" i="4" s="1"/>
  <c r="M670" i="3"/>
  <c r="M670" i="4" s="1"/>
  <c r="Y670" i="3"/>
  <c r="Y670" i="4" s="1"/>
  <c r="D671" i="3"/>
  <c r="D671" i="4" s="1"/>
  <c r="P671" i="3"/>
  <c r="P671" i="4" s="1"/>
  <c r="AB671" i="3"/>
  <c r="AB671" i="4" s="1"/>
  <c r="G672" i="3"/>
  <c r="G672" i="4" s="1"/>
  <c r="S672" i="3"/>
  <c r="S672" i="4" s="1"/>
  <c r="J673" i="3"/>
  <c r="J673" i="4" s="1"/>
  <c r="V673" i="3"/>
  <c r="V673" i="4" s="1"/>
  <c r="A674" i="3"/>
  <c r="A674" i="4" s="1"/>
  <c r="M674" i="3"/>
  <c r="M674" i="4" s="1"/>
  <c r="Y674" i="3"/>
  <c r="Y674" i="4" s="1"/>
  <c r="D675" i="3"/>
  <c r="D675" i="4" s="1"/>
  <c r="P675" i="3"/>
  <c r="P675" i="4" s="1"/>
  <c r="AB675" i="3"/>
  <c r="AB675" i="4" s="1"/>
  <c r="G676" i="3"/>
  <c r="G676" i="4" s="1"/>
  <c r="S676" i="3"/>
  <c r="S676" i="4" s="1"/>
  <c r="J677" i="3"/>
  <c r="J677" i="4" s="1"/>
  <c r="V677" i="3"/>
  <c r="V677" i="4" s="1"/>
  <c r="A678" i="3"/>
  <c r="A678" i="4" s="1"/>
  <c r="M678" i="3"/>
  <c r="M678" i="4" s="1"/>
  <c r="Y678" i="3"/>
  <c r="Y678" i="4" s="1"/>
  <c r="D679" i="3"/>
  <c r="D679" i="4" s="1"/>
  <c r="P679" i="3"/>
  <c r="P679" i="4" s="1"/>
  <c r="AB679" i="3"/>
  <c r="AB679" i="4" s="1"/>
  <c r="G680" i="3"/>
  <c r="G680" i="4" s="1"/>
  <c r="S680" i="3"/>
  <c r="S680" i="4" s="1"/>
  <c r="J681" i="3"/>
  <c r="J681" i="4" s="1"/>
  <c r="V681" i="3"/>
  <c r="V681" i="4" s="1"/>
  <c r="A682" i="3"/>
  <c r="A682" i="4" s="1"/>
  <c r="M682" i="3"/>
  <c r="M682" i="4" s="1"/>
  <c r="Y682" i="3"/>
  <c r="Y682" i="4" s="1"/>
  <c r="D683" i="3"/>
  <c r="D683" i="4" s="1"/>
  <c r="P683" i="3"/>
  <c r="P683" i="4" s="1"/>
  <c r="AB683" i="3"/>
  <c r="AB683" i="4" s="1"/>
  <c r="G684" i="3"/>
  <c r="G684" i="4" s="1"/>
  <c r="S684" i="3"/>
  <c r="S684" i="4" s="1"/>
  <c r="J685" i="3"/>
  <c r="J685" i="4" s="1"/>
  <c r="V685" i="3"/>
  <c r="V685" i="4" s="1"/>
  <c r="A686" i="3"/>
  <c r="A686" i="4" s="1"/>
  <c r="M686" i="3"/>
  <c r="M686" i="4" s="1"/>
  <c r="Y686" i="3"/>
  <c r="Y686" i="4" s="1"/>
  <c r="D687" i="3"/>
  <c r="D687" i="4" s="1"/>
  <c r="P687" i="3"/>
  <c r="P687" i="4" s="1"/>
  <c r="AB687" i="3"/>
  <c r="AB687" i="4" s="1"/>
  <c r="G688" i="3"/>
  <c r="G688" i="4" s="1"/>
  <c r="S688" i="3"/>
  <c r="S688" i="4" s="1"/>
  <c r="J689" i="3"/>
  <c r="J689" i="4" s="1"/>
  <c r="V689" i="3"/>
  <c r="V689" i="4" s="1"/>
  <c r="A690" i="3"/>
  <c r="A690" i="4" s="1"/>
  <c r="M690" i="3"/>
  <c r="M690" i="4" s="1"/>
  <c r="Y690" i="3"/>
  <c r="Y690" i="4" s="1"/>
  <c r="D691" i="3"/>
  <c r="D691" i="4" s="1"/>
  <c r="P691" i="3"/>
  <c r="P691" i="4" s="1"/>
  <c r="AB691" i="3"/>
  <c r="AB691" i="4" s="1"/>
  <c r="G692" i="3"/>
  <c r="G692" i="4" s="1"/>
  <c r="S692" i="3"/>
  <c r="S692" i="4" s="1"/>
  <c r="J693" i="3"/>
  <c r="J693" i="4" s="1"/>
  <c r="V693" i="3"/>
  <c r="V693" i="4" s="1"/>
  <c r="A694" i="3"/>
  <c r="A694" i="4" s="1"/>
  <c r="M694" i="3"/>
  <c r="M694" i="4" s="1"/>
  <c r="Y694" i="3"/>
  <c r="Y694" i="4" s="1"/>
  <c r="D695" i="3"/>
  <c r="D695" i="4" s="1"/>
  <c r="P695" i="3"/>
  <c r="P695" i="4" s="1"/>
  <c r="AB695" i="3"/>
  <c r="AB695" i="4" s="1"/>
  <c r="G696" i="3"/>
  <c r="G696" i="4" s="1"/>
  <c r="S696" i="3"/>
  <c r="S696" i="4" s="1"/>
  <c r="J697" i="3"/>
  <c r="J697" i="4" s="1"/>
  <c r="V697" i="3"/>
  <c r="V697" i="4" s="1"/>
  <c r="A698" i="3"/>
  <c r="A698" i="4" s="1"/>
  <c r="M698" i="3"/>
  <c r="M698" i="4" s="1"/>
  <c r="Y698" i="3"/>
  <c r="Y698" i="4" s="1"/>
  <c r="D699" i="3"/>
  <c r="D699" i="4" s="1"/>
  <c r="P699" i="3"/>
  <c r="P699" i="4" s="1"/>
  <c r="AB699" i="3"/>
  <c r="AB699" i="4" s="1"/>
  <c r="G700" i="3"/>
  <c r="G700" i="4" s="1"/>
  <c r="S700" i="3"/>
  <c r="S700" i="4" s="1"/>
  <c r="E751" i="3"/>
  <c r="E751" i="4" s="1"/>
  <c r="Q751" i="3"/>
  <c r="Q751" i="4" s="1"/>
  <c r="J752" i="3"/>
  <c r="J752" i="4" s="1"/>
  <c r="V752" i="3"/>
  <c r="V752" i="4" s="1"/>
  <c r="B753" i="3"/>
  <c r="B753" i="4" s="1"/>
  <c r="P753" i="3"/>
  <c r="P753" i="4" s="1"/>
  <c r="E635" i="3"/>
  <c r="E635" i="4" s="1"/>
  <c r="Q635" i="3"/>
  <c r="Q635" i="4" s="1"/>
  <c r="H636" i="3"/>
  <c r="H636" i="4" s="1"/>
  <c r="T636" i="3"/>
  <c r="T636" i="4" s="1"/>
  <c r="K637" i="3"/>
  <c r="K637" i="4" s="1"/>
  <c r="W637" i="3"/>
  <c r="W637" i="4" s="1"/>
  <c r="B638" i="3"/>
  <c r="B638" i="4" s="1"/>
  <c r="N638" i="3"/>
  <c r="N638" i="4" s="1"/>
  <c r="Z638" i="3"/>
  <c r="Z638" i="4" s="1"/>
  <c r="E639" i="3"/>
  <c r="E639" i="4" s="1"/>
  <c r="Q639" i="3"/>
  <c r="Q639" i="4" s="1"/>
  <c r="H640" i="3"/>
  <c r="H640" i="4" s="1"/>
  <c r="T640" i="3"/>
  <c r="T640" i="4" s="1"/>
  <c r="K641" i="3"/>
  <c r="K641" i="4" s="1"/>
  <c r="W641" i="3"/>
  <c r="W641" i="4" s="1"/>
  <c r="B642" i="3"/>
  <c r="B642" i="4" s="1"/>
  <c r="N642" i="3"/>
  <c r="N642" i="4" s="1"/>
  <c r="Z642" i="3"/>
  <c r="Z642" i="4" s="1"/>
  <c r="E643" i="3"/>
  <c r="E643" i="4" s="1"/>
  <c r="Q643" i="3"/>
  <c r="Q643" i="4" s="1"/>
  <c r="H644" i="3"/>
  <c r="H644" i="4" s="1"/>
  <c r="T644" i="3"/>
  <c r="T644" i="4" s="1"/>
  <c r="K645" i="3"/>
  <c r="K645" i="4" s="1"/>
  <c r="W645" i="3"/>
  <c r="W645" i="4" s="1"/>
  <c r="B646" i="3"/>
  <c r="B646" i="4" s="1"/>
  <c r="N646" i="3"/>
  <c r="N646" i="4" s="1"/>
  <c r="Z646" i="3"/>
  <c r="Z646" i="4" s="1"/>
  <c r="E647" i="3"/>
  <c r="E647" i="4" s="1"/>
  <c r="Q647" i="3"/>
  <c r="Q647" i="4" s="1"/>
  <c r="H648" i="3"/>
  <c r="H648" i="4" s="1"/>
  <c r="T648" i="3"/>
  <c r="T648" i="4" s="1"/>
  <c r="K649" i="3"/>
  <c r="K649" i="4" s="1"/>
  <c r="W649" i="3"/>
  <c r="W649" i="4" s="1"/>
  <c r="B650" i="3"/>
  <c r="B650" i="4" s="1"/>
  <c r="N650" i="3"/>
  <c r="N650" i="4" s="1"/>
  <c r="Z650" i="3"/>
  <c r="Z650" i="4" s="1"/>
  <c r="E651" i="3"/>
  <c r="E651" i="4" s="1"/>
  <c r="Q651" i="3"/>
  <c r="Q651" i="4" s="1"/>
  <c r="H652" i="3"/>
  <c r="H652" i="4" s="1"/>
  <c r="T652" i="3"/>
  <c r="T652" i="4" s="1"/>
  <c r="K653" i="3"/>
  <c r="K653" i="4" s="1"/>
  <c r="W653" i="3"/>
  <c r="W653" i="4" s="1"/>
  <c r="B654" i="3"/>
  <c r="B654" i="4" s="1"/>
  <c r="N654" i="3"/>
  <c r="N654" i="4" s="1"/>
  <c r="Z654" i="3"/>
  <c r="Z654" i="4" s="1"/>
  <c r="E655" i="3"/>
  <c r="E655" i="4" s="1"/>
  <c r="Q655" i="3"/>
  <c r="Q655" i="4" s="1"/>
  <c r="H656" i="3"/>
  <c r="H656" i="4" s="1"/>
  <c r="T656" i="3"/>
  <c r="T656" i="4" s="1"/>
  <c r="K657" i="3"/>
  <c r="K657" i="4" s="1"/>
  <c r="W657" i="3"/>
  <c r="W657" i="4" s="1"/>
  <c r="B658" i="3"/>
  <c r="B658" i="4" s="1"/>
  <c r="N658" i="3"/>
  <c r="N658" i="4" s="1"/>
  <c r="Z658" i="3"/>
  <c r="Z658" i="4" s="1"/>
  <c r="E659" i="3"/>
  <c r="E659" i="4" s="1"/>
  <c r="Q659" i="3"/>
  <c r="Q659" i="4" s="1"/>
  <c r="H660" i="3"/>
  <c r="H660" i="4" s="1"/>
  <c r="T660" i="3"/>
  <c r="T660" i="4" s="1"/>
  <c r="K661" i="3"/>
  <c r="K661" i="4" s="1"/>
  <c r="W661" i="3"/>
  <c r="W661" i="4" s="1"/>
  <c r="B662" i="3"/>
  <c r="B662" i="4" s="1"/>
  <c r="N662" i="3"/>
  <c r="N662" i="4" s="1"/>
  <c r="Z662" i="3"/>
  <c r="Z662" i="4" s="1"/>
  <c r="E663" i="3"/>
  <c r="E663" i="4" s="1"/>
  <c r="Q663" i="3"/>
  <c r="Q663" i="4" s="1"/>
  <c r="H664" i="3"/>
  <c r="H664" i="4" s="1"/>
  <c r="T664" i="3"/>
  <c r="T664" i="4" s="1"/>
  <c r="K665" i="3"/>
  <c r="K665" i="4" s="1"/>
  <c r="W665" i="3"/>
  <c r="W665" i="4" s="1"/>
  <c r="B666" i="3"/>
  <c r="B666" i="4" s="1"/>
  <c r="N666" i="3"/>
  <c r="N666" i="4" s="1"/>
  <c r="Z666" i="3"/>
  <c r="Z666" i="4" s="1"/>
  <c r="E667" i="3"/>
  <c r="E667" i="4" s="1"/>
  <c r="Q667" i="3"/>
  <c r="Q667" i="4" s="1"/>
  <c r="H668" i="3"/>
  <c r="H668" i="4" s="1"/>
  <c r="T668" i="3"/>
  <c r="T668" i="4" s="1"/>
  <c r="K669" i="3"/>
  <c r="K669" i="4" s="1"/>
  <c r="W669" i="3"/>
  <c r="W669" i="4" s="1"/>
  <c r="B670" i="3"/>
  <c r="B670" i="4" s="1"/>
  <c r="N670" i="3"/>
  <c r="N670" i="4" s="1"/>
  <c r="Z670" i="3"/>
  <c r="Z670" i="4" s="1"/>
  <c r="E671" i="3"/>
  <c r="E671" i="4" s="1"/>
  <c r="Q671" i="3"/>
  <c r="Q671" i="4" s="1"/>
  <c r="H672" i="3"/>
  <c r="H672" i="4" s="1"/>
  <c r="T672" i="3"/>
  <c r="T672" i="4" s="1"/>
  <c r="K673" i="3"/>
  <c r="K673" i="4" s="1"/>
  <c r="W673" i="3"/>
  <c r="W673" i="4" s="1"/>
  <c r="B674" i="3"/>
  <c r="B674" i="4" s="1"/>
  <c r="N674" i="3"/>
  <c r="N674" i="4" s="1"/>
  <c r="Z674" i="3"/>
  <c r="Z674" i="4" s="1"/>
  <c r="E675" i="3"/>
  <c r="E675" i="4" s="1"/>
  <c r="Q675" i="3"/>
  <c r="Q675" i="4" s="1"/>
  <c r="H676" i="3"/>
  <c r="H676" i="4" s="1"/>
  <c r="T676" i="3"/>
  <c r="T676" i="4" s="1"/>
  <c r="K677" i="3"/>
  <c r="K677" i="4" s="1"/>
  <c r="W677" i="3"/>
  <c r="W677" i="4" s="1"/>
  <c r="B678" i="3"/>
  <c r="B678" i="4" s="1"/>
  <c r="N678" i="3"/>
  <c r="N678" i="4" s="1"/>
  <c r="Z678" i="3"/>
  <c r="Z678" i="4" s="1"/>
  <c r="E679" i="3"/>
  <c r="E679" i="4" s="1"/>
  <c r="Q679" i="3"/>
  <c r="Q679" i="4" s="1"/>
  <c r="H680" i="3"/>
  <c r="H680" i="4" s="1"/>
  <c r="T680" i="3"/>
  <c r="T680" i="4" s="1"/>
  <c r="K681" i="3"/>
  <c r="K681" i="4" s="1"/>
  <c r="W681" i="3"/>
  <c r="W681" i="4" s="1"/>
  <c r="B682" i="3"/>
  <c r="B682" i="4" s="1"/>
  <c r="N682" i="3"/>
  <c r="N682" i="4" s="1"/>
  <c r="Z682" i="3"/>
  <c r="Z682" i="4" s="1"/>
  <c r="E683" i="3"/>
  <c r="E683" i="4" s="1"/>
  <c r="Q683" i="3"/>
  <c r="Q683" i="4" s="1"/>
  <c r="H684" i="3"/>
  <c r="H684" i="4" s="1"/>
  <c r="T684" i="3"/>
  <c r="T684" i="4" s="1"/>
  <c r="K685" i="3"/>
  <c r="K685" i="4" s="1"/>
  <c r="W685" i="3"/>
  <c r="W685" i="4" s="1"/>
  <c r="B686" i="3"/>
  <c r="B686" i="4" s="1"/>
  <c r="N686" i="3"/>
  <c r="N686" i="4" s="1"/>
  <c r="Z686" i="3"/>
  <c r="Z686" i="4" s="1"/>
  <c r="E687" i="3"/>
  <c r="E687" i="4" s="1"/>
  <c r="Q687" i="3"/>
  <c r="Q687" i="4" s="1"/>
  <c r="H688" i="3"/>
  <c r="H688" i="4" s="1"/>
  <c r="T688" i="3"/>
  <c r="T688" i="4" s="1"/>
  <c r="K689" i="3"/>
  <c r="K689" i="4" s="1"/>
  <c r="W689" i="3"/>
  <c r="W689" i="4" s="1"/>
  <c r="B690" i="3"/>
  <c r="B690" i="4" s="1"/>
  <c r="N690" i="3"/>
  <c r="N690" i="4" s="1"/>
  <c r="Z690" i="3"/>
  <c r="Z690" i="4" s="1"/>
  <c r="E691" i="3"/>
  <c r="E691" i="4" s="1"/>
  <c r="Q691" i="3"/>
  <c r="Q691" i="4" s="1"/>
  <c r="H692" i="3"/>
  <c r="H692" i="4" s="1"/>
  <c r="T692" i="3"/>
  <c r="T692" i="4" s="1"/>
  <c r="K693" i="3"/>
  <c r="K693" i="4" s="1"/>
  <c r="W693" i="3"/>
  <c r="W693" i="4" s="1"/>
  <c r="B694" i="3"/>
  <c r="B694" i="4" s="1"/>
  <c r="N694" i="3"/>
  <c r="N694" i="4" s="1"/>
  <c r="Z694" i="3"/>
  <c r="Z694" i="4" s="1"/>
  <c r="E695" i="3"/>
  <c r="E695" i="4" s="1"/>
  <c r="Q695" i="3"/>
  <c r="Q695" i="4" s="1"/>
  <c r="H696" i="3"/>
  <c r="H696" i="4" s="1"/>
  <c r="T696" i="3"/>
  <c r="T696" i="4" s="1"/>
  <c r="K697" i="3"/>
  <c r="K697" i="4" s="1"/>
  <c r="W697" i="3"/>
  <c r="W697" i="4" s="1"/>
  <c r="B698" i="3"/>
  <c r="B698" i="4" s="1"/>
  <c r="N698" i="3"/>
  <c r="N698" i="4" s="1"/>
  <c r="Z698" i="3"/>
  <c r="Z698" i="4" s="1"/>
  <c r="E699" i="3"/>
  <c r="E699" i="4" s="1"/>
  <c r="Q699" i="3"/>
  <c r="Q699" i="4" s="1"/>
  <c r="H700" i="3"/>
  <c r="H700" i="4" s="1"/>
  <c r="T700" i="3"/>
  <c r="T700" i="4" s="1"/>
  <c r="K701" i="3"/>
  <c r="K701" i="4" s="1"/>
  <c r="W701" i="3"/>
  <c r="W701" i="4" s="1"/>
  <c r="B702" i="3"/>
  <c r="B702" i="4" s="1"/>
  <c r="N702" i="3"/>
  <c r="N702" i="4" s="1"/>
  <c r="Z702" i="3"/>
  <c r="Z702" i="4" s="1"/>
  <c r="E703" i="3"/>
  <c r="E703" i="4" s="1"/>
  <c r="Q703" i="3"/>
  <c r="Q703" i="4" s="1"/>
  <c r="H704" i="3"/>
  <c r="H704" i="4" s="1"/>
  <c r="T704" i="3"/>
  <c r="T704" i="4" s="1"/>
  <c r="K705" i="3"/>
  <c r="K705" i="4" s="1"/>
  <c r="W705" i="3"/>
  <c r="W705" i="4" s="1"/>
  <c r="B706" i="3"/>
  <c r="B706" i="4" s="1"/>
  <c r="N706" i="3"/>
  <c r="N706" i="4" s="1"/>
  <c r="Z706" i="3"/>
  <c r="Z706" i="4" s="1"/>
  <c r="E707" i="3"/>
  <c r="E707" i="4" s="1"/>
  <c r="Q707" i="3"/>
  <c r="Q707" i="4" s="1"/>
  <c r="H708" i="3"/>
  <c r="H708" i="4" s="1"/>
  <c r="T708" i="3"/>
  <c r="T708" i="4" s="1"/>
  <c r="K709" i="3"/>
  <c r="K709" i="4" s="1"/>
  <c r="W709" i="3"/>
  <c r="W709" i="4" s="1"/>
  <c r="B710" i="3"/>
  <c r="B710" i="4" s="1"/>
  <c r="N710" i="3"/>
  <c r="N710" i="4" s="1"/>
  <c r="Z710" i="3"/>
  <c r="Z710" i="4" s="1"/>
  <c r="E711" i="3"/>
  <c r="E711" i="4" s="1"/>
  <c r="Q711" i="3"/>
  <c r="Q711" i="4" s="1"/>
  <c r="H712" i="3"/>
  <c r="H712" i="4" s="1"/>
  <c r="T712" i="3"/>
  <c r="T712" i="4" s="1"/>
  <c r="K713" i="3"/>
  <c r="K713" i="4" s="1"/>
  <c r="W713" i="3"/>
  <c r="W713" i="4" s="1"/>
  <c r="B714" i="3"/>
  <c r="B714" i="4" s="1"/>
  <c r="N714" i="3"/>
  <c r="N714" i="4" s="1"/>
  <c r="Z714" i="3"/>
  <c r="Z714" i="4" s="1"/>
  <c r="E715" i="3"/>
  <c r="E715" i="4" s="1"/>
  <c r="Q715" i="3"/>
  <c r="Q715" i="4" s="1"/>
  <c r="H716" i="3"/>
  <c r="H716" i="4" s="1"/>
  <c r="T716" i="3"/>
  <c r="T716" i="4" s="1"/>
  <c r="K717" i="3"/>
  <c r="K717" i="4" s="1"/>
  <c r="W717" i="3"/>
  <c r="W717" i="4" s="1"/>
  <c r="B718" i="3"/>
  <c r="B718" i="4" s="1"/>
  <c r="N718" i="3"/>
  <c r="N718" i="4" s="1"/>
  <c r="Z718" i="3"/>
  <c r="Z718" i="4" s="1"/>
  <c r="E719" i="3"/>
  <c r="E719" i="4" s="1"/>
  <c r="Q719" i="3"/>
  <c r="Q719" i="4" s="1"/>
  <c r="H720" i="3"/>
  <c r="H720" i="4" s="1"/>
  <c r="T720" i="3"/>
  <c r="T720" i="4" s="1"/>
  <c r="K721" i="3"/>
  <c r="K721" i="4" s="1"/>
  <c r="W721" i="3"/>
  <c r="W721" i="4" s="1"/>
  <c r="B722" i="3"/>
  <c r="B722" i="4" s="1"/>
  <c r="N722" i="3"/>
  <c r="N722" i="4" s="1"/>
  <c r="Z722" i="3"/>
  <c r="Z722" i="4" s="1"/>
  <c r="E723" i="3"/>
  <c r="E723" i="4" s="1"/>
  <c r="Q723" i="3"/>
  <c r="Q723" i="4" s="1"/>
  <c r="H724" i="3"/>
  <c r="H724" i="4" s="1"/>
  <c r="T724" i="3"/>
  <c r="T724" i="4" s="1"/>
  <c r="K725" i="3"/>
  <c r="K725" i="4" s="1"/>
  <c r="W725" i="3"/>
  <c r="W725" i="4" s="1"/>
  <c r="B726" i="3"/>
  <c r="B726" i="4" s="1"/>
  <c r="N726" i="3"/>
  <c r="N726" i="4" s="1"/>
  <c r="Z726" i="3"/>
  <c r="Z726" i="4" s="1"/>
  <c r="E727" i="3"/>
  <c r="E727" i="4" s="1"/>
  <c r="Q727" i="3"/>
  <c r="Q727" i="4" s="1"/>
  <c r="H728" i="3"/>
  <c r="H728" i="4" s="1"/>
  <c r="T728" i="3"/>
  <c r="T728" i="4" s="1"/>
  <c r="K729" i="3"/>
  <c r="K729" i="4" s="1"/>
  <c r="W729" i="3"/>
  <c r="W729" i="4" s="1"/>
  <c r="B730" i="3"/>
  <c r="B730" i="4" s="1"/>
  <c r="N730" i="3"/>
  <c r="N730" i="4" s="1"/>
  <c r="Z730" i="3"/>
  <c r="Z730" i="4" s="1"/>
  <c r="E731" i="3"/>
  <c r="E731" i="4" s="1"/>
  <c r="Q731" i="3"/>
  <c r="Q731" i="4" s="1"/>
  <c r="H732" i="3"/>
  <c r="H732" i="4" s="1"/>
  <c r="T732" i="3"/>
  <c r="T732" i="4" s="1"/>
  <c r="K733" i="3"/>
  <c r="K733" i="4" s="1"/>
  <c r="W733" i="3"/>
  <c r="W733" i="4" s="1"/>
  <c r="B734" i="3"/>
  <c r="B734" i="4" s="1"/>
  <c r="N734" i="3"/>
  <c r="N734" i="4" s="1"/>
  <c r="Z734" i="3"/>
  <c r="Z734" i="4" s="1"/>
  <c r="E735" i="3"/>
  <c r="E735" i="4" s="1"/>
  <c r="Q735" i="3"/>
  <c r="Q735" i="4" s="1"/>
  <c r="H736" i="3"/>
  <c r="H736" i="4" s="1"/>
  <c r="T736" i="3"/>
  <c r="T736" i="4" s="1"/>
  <c r="K737" i="3"/>
  <c r="K737" i="4" s="1"/>
  <c r="W737" i="3"/>
  <c r="W737" i="4" s="1"/>
  <c r="B738" i="3"/>
  <c r="B738" i="4" s="1"/>
  <c r="N738" i="3"/>
  <c r="N738" i="4" s="1"/>
  <c r="Z738" i="3"/>
  <c r="Z738" i="4" s="1"/>
  <c r="E739" i="3"/>
  <c r="E739" i="4" s="1"/>
  <c r="Q739" i="3"/>
  <c r="Q739" i="4" s="1"/>
  <c r="H740" i="3"/>
  <c r="H740" i="4" s="1"/>
  <c r="T740" i="3"/>
  <c r="T740" i="4" s="1"/>
  <c r="K741" i="3"/>
  <c r="K741" i="4" s="1"/>
  <c r="W741" i="3"/>
  <c r="W741" i="4" s="1"/>
  <c r="B742" i="3"/>
  <c r="B742" i="4" s="1"/>
  <c r="N742" i="3"/>
  <c r="N742" i="4" s="1"/>
  <c r="Z742" i="3"/>
  <c r="Z742" i="4" s="1"/>
  <c r="E743" i="3"/>
  <c r="E743" i="4" s="1"/>
  <c r="Q743" i="3"/>
  <c r="Q743" i="4" s="1"/>
  <c r="H744" i="3"/>
  <c r="H744" i="4" s="1"/>
  <c r="T744" i="3"/>
  <c r="T744" i="4" s="1"/>
  <c r="K745" i="3"/>
  <c r="K745" i="4" s="1"/>
  <c r="W745" i="3"/>
  <c r="W745" i="4" s="1"/>
  <c r="B746" i="3"/>
  <c r="B746" i="4" s="1"/>
  <c r="N746" i="3"/>
  <c r="N746" i="4" s="1"/>
  <c r="Z746" i="3"/>
  <c r="Z746" i="4" s="1"/>
  <c r="E747" i="3"/>
  <c r="E747" i="4" s="1"/>
  <c r="Q747" i="3"/>
  <c r="Q747" i="4" s="1"/>
  <c r="H748" i="3"/>
  <c r="H748" i="4" s="1"/>
  <c r="T748" i="3"/>
  <c r="T748" i="4" s="1"/>
  <c r="K749" i="3"/>
  <c r="K749" i="4" s="1"/>
  <c r="W749" i="3"/>
  <c r="W749" i="4" s="1"/>
  <c r="B750" i="3"/>
  <c r="B750" i="4" s="1"/>
  <c r="N750" i="3"/>
  <c r="N750" i="4" s="1"/>
  <c r="Z750" i="3"/>
  <c r="Z750" i="4" s="1"/>
  <c r="F751" i="3"/>
  <c r="F751" i="4" s="1"/>
  <c r="R751" i="3"/>
  <c r="R751" i="4" s="1"/>
  <c r="K752" i="3"/>
  <c r="K752" i="4" s="1"/>
  <c r="W752" i="3"/>
  <c r="W752" i="4" s="1"/>
  <c r="D753" i="3"/>
  <c r="D753" i="4" s="1"/>
  <c r="F611" i="3"/>
  <c r="F611" i="4" s="1"/>
  <c r="R611" i="3"/>
  <c r="R611" i="4" s="1"/>
  <c r="I612" i="3"/>
  <c r="I612" i="4" s="1"/>
  <c r="U612" i="3"/>
  <c r="U612" i="4" s="1"/>
  <c r="L613" i="3"/>
  <c r="L613" i="4" s="1"/>
  <c r="X613" i="3"/>
  <c r="X613" i="4" s="1"/>
  <c r="C614" i="3"/>
  <c r="C614" i="4" s="1"/>
  <c r="O614" i="3"/>
  <c r="O614" i="4" s="1"/>
  <c r="AA614" i="3"/>
  <c r="AA614" i="4" s="1"/>
  <c r="F615" i="3"/>
  <c r="F615" i="4" s="1"/>
  <c r="R615" i="3"/>
  <c r="R615" i="4" s="1"/>
  <c r="I616" i="3"/>
  <c r="I616" i="4" s="1"/>
  <c r="U616" i="3"/>
  <c r="U616" i="4" s="1"/>
  <c r="L617" i="3"/>
  <c r="L617" i="4" s="1"/>
  <c r="X617" i="3"/>
  <c r="X617" i="4" s="1"/>
  <c r="C618" i="3"/>
  <c r="C618" i="4" s="1"/>
  <c r="O618" i="3"/>
  <c r="O618" i="4" s="1"/>
  <c r="AA618" i="3"/>
  <c r="AA618" i="4" s="1"/>
  <c r="F619" i="3"/>
  <c r="F619" i="4" s="1"/>
  <c r="R619" i="3"/>
  <c r="R619" i="4" s="1"/>
  <c r="I620" i="3"/>
  <c r="I620" i="4" s="1"/>
  <c r="U620" i="3"/>
  <c r="U620" i="4" s="1"/>
  <c r="L621" i="3"/>
  <c r="L621" i="4" s="1"/>
  <c r="X621" i="3"/>
  <c r="X621" i="4" s="1"/>
  <c r="C622" i="3"/>
  <c r="C622" i="4" s="1"/>
  <c r="O622" i="3"/>
  <c r="O622" i="4" s="1"/>
  <c r="AA622" i="3"/>
  <c r="AA622" i="4" s="1"/>
  <c r="F623" i="3"/>
  <c r="F623" i="4" s="1"/>
  <c r="R623" i="3"/>
  <c r="R623" i="4" s="1"/>
  <c r="I624" i="3"/>
  <c r="I624" i="4" s="1"/>
  <c r="U624" i="3"/>
  <c r="U624" i="4" s="1"/>
  <c r="L625" i="3"/>
  <c r="L625" i="4" s="1"/>
  <c r="X625" i="3"/>
  <c r="X625" i="4" s="1"/>
  <c r="C626" i="3"/>
  <c r="C626" i="4" s="1"/>
  <c r="O626" i="3"/>
  <c r="O626" i="4" s="1"/>
  <c r="AA626" i="3"/>
  <c r="AA626" i="4" s="1"/>
  <c r="F627" i="3"/>
  <c r="F627" i="4" s="1"/>
  <c r="R627" i="3"/>
  <c r="R627" i="4" s="1"/>
  <c r="I628" i="3"/>
  <c r="I628" i="4" s="1"/>
  <c r="U628" i="3"/>
  <c r="U628" i="4" s="1"/>
  <c r="L629" i="3"/>
  <c r="L629" i="4" s="1"/>
  <c r="X629" i="3"/>
  <c r="X629" i="4" s="1"/>
  <c r="C630" i="3"/>
  <c r="C630" i="4" s="1"/>
  <c r="O630" i="3"/>
  <c r="O630" i="4" s="1"/>
  <c r="AA630" i="3"/>
  <c r="AA630" i="4" s="1"/>
  <c r="F631" i="3"/>
  <c r="F631" i="4" s="1"/>
  <c r="R631" i="3"/>
  <c r="R631" i="4" s="1"/>
  <c r="I632" i="3"/>
  <c r="I632" i="4" s="1"/>
  <c r="U632" i="3"/>
  <c r="U632" i="4" s="1"/>
  <c r="L633" i="3"/>
  <c r="L633" i="4" s="1"/>
  <c r="X633" i="3"/>
  <c r="X633" i="4" s="1"/>
  <c r="C634" i="3"/>
  <c r="C634" i="4" s="1"/>
  <c r="O634" i="3"/>
  <c r="O634" i="4" s="1"/>
  <c r="AA634" i="3"/>
  <c r="AA634" i="4" s="1"/>
  <c r="F635" i="3"/>
  <c r="F635" i="4" s="1"/>
  <c r="R635" i="3"/>
  <c r="R635" i="4" s="1"/>
  <c r="I636" i="3"/>
  <c r="I636" i="4" s="1"/>
  <c r="U636" i="3"/>
  <c r="U636" i="4" s="1"/>
  <c r="L637" i="3"/>
  <c r="L637" i="4" s="1"/>
  <c r="X637" i="3"/>
  <c r="X637" i="4" s="1"/>
  <c r="C638" i="3"/>
  <c r="C638" i="4" s="1"/>
  <c r="O638" i="3"/>
  <c r="O638" i="4" s="1"/>
  <c r="AA638" i="3"/>
  <c r="AA638" i="4" s="1"/>
  <c r="F639" i="3"/>
  <c r="F639" i="4" s="1"/>
  <c r="R639" i="3"/>
  <c r="R639" i="4" s="1"/>
  <c r="I640" i="3"/>
  <c r="I640" i="4" s="1"/>
  <c r="U640" i="3"/>
  <c r="U640" i="4" s="1"/>
  <c r="L641" i="3"/>
  <c r="L641" i="4" s="1"/>
  <c r="X641" i="3"/>
  <c r="X641" i="4" s="1"/>
  <c r="C642" i="3"/>
  <c r="C642" i="4" s="1"/>
  <c r="O642" i="3"/>
  <c r="O642" i="4" s="1"/>
  <c r="AA642" i="3"/>
  <c r="AA642" i="4" s="1"/>
  <c r="F643" i="3"/>
  <c r="F643" i="4" s="1"/>
  <c r="R643" i="3"/>
  <c r="R643" i="4" s="1"/>
  <c r="I644" i="3"/>
  <c r="I644" i="4" s="1"/>
  <c r="U644" i="3"/>
  <c r="U644" i="4" s="1"/>
  <c r="L645" i="3"/>
  <c r="L645" i="4" s="1"/>
  <c r="X645" i="3"/>
  <c r="X645" i="4" s="1"/>
  <c r="C646" i="3"/>
  <c r="C646" i="4" s="1"/>
  <c r="O646" i="3"/>
  <c r="O646" i="4" s="1"/>
  <c r="AA646" i="3"/>
  <c r="AA646" i="4" s="1"/>
  <c r="F647" i="3"/>
  <c r="F647" i="4" s="1"/>
  <c r="R647" i="3"/>
  <c r="R647" i="4" s="1"/>
  <c r="I648" i="3"/>
  <c r="I648" i="4" s="1"/>
  <c r="U648" i="3"/>
  <c r="U648" i="4" s="1"/>
  <c r="L649" i="3"/>
  <c r="L649" i="4" s="1"/>
  <c r="X649" i="3"/>
  <c r="X649" i="4" s="1"/>
  <c r="C650" i="3"/>
  <c r="C650" i="4" s="1"/>
  <c r="O650" i="3"/>
  <c r="O650" i="4" s="1"/>
  <c r="AA650" i="3"/>
  <c r="AA650" i="4" s="1"/>
  <c r="F651" i="3"/>
  <c r="F651" i="4" s="1"/>
  <c r="R651" i="3"/>
  <c r="R651" i="4" s="1"/>
  <c r="I652" i="3"/>
  <c r="I652" i="4" s="1"/>
  <c r="U652" i="3"/>
  <c r="U652" i="4" s="1"/>
  <c r="L653" i="3"/>
  <c r="L653" i="4" s="1"/>
  <c r="X653" i="3"/>
  <c r="X653" i="4" s="1"/>
  <c r="C654" i="3"/>
  <c r="C654" i="4" s="1"/>
  <c r="O654" i="3"/>
  <c r="O654" i="4" s="1"/>
  <c r="AA654" i="3"/>
  <c r="AA654" i="4" s="1"/>
  <c r="F655" i="3"/>
  <c r="F655" i="4" s="1"/>
  <c r="R655" i="3"/>
  <c r="R655" i="4" s="1"/>
  <c r="I656" i="3"/>
  <c r="I656" i="4" s="1"/>
  <c r="U656" i="3"/>
  <c r="U656" i="4" s="1"/>
  <c r="L657" i="3"/>
  <c r="L657" i="4" s="1"/>
  <c r="X657" i="3"/>
  <c r="X657" i="4" s="1"/>
  <c r="C658" i="3"/>
  <c r="C658" i="4" s="1"/>
  <c r="O658" i="3"/>
  <c r="O658" i="4" s="1"/>
  <c r="AA658" i="3"/>
  <c r="AA658" i="4" s="1"/>
  <c r="F659" i="3"/>
  <c r="F659" i="4" s="1"/>
  <c r="R659" i="3"/>
  <c r="R659" i="4" s="1"/>
  <c r="I660" i="3"/>
  <c r="I660" i="4" s="1"/>
  <c r="U660" i="3"/>
  <c r="U660" i="4" s="1"/>
  <c r="L661" i="3"/>
  <c r="L661" i="4" s="1"/>
  <c r="X661" i="3"/>
  <c r="X661" i="4" s="1"/>
  <c r="C662" i="3"/>
  <c r="C662" i="4" s="1"/>
  <c r="O662" i="3"/>
  <c r="O662" i="4" s="1"/>
  <c r="AA662" i="3"/>
  <c r="AA662" i="4" s="1"/>
  <c r="F663" i="3"/>
  <c r="F663" i="4" s="1"/>
  <c r="R663" i="3"/>
  <c r="R663" i="4" s="1"/>
  <c r="I664" i="3"/>
  <c r="I664" i="4" s="1"/>
  <c r="U664" i="3"/>
  <c r="U664" i="4" s="1"/>
  <c r="L665" i="3"/>
  <c r="L665" i="4" s="1"/>
  <c r="X665" i="3"/>
  <c r="X665" i="4" s="1"/>
  <c r="C666" i="3"/>
  <c r="C666" i="4" s="1"/>
  <c r="O666" i="3"/>
  <c r="O666" i="4" s="1"/>
  <c r="AA666" i="3"/>
  <c r="AA666" i="4" s="1"/>
  <c r="F667" i="3"/>
  <c r="F667" i="4" s="1"/>
  <c r="R667" i="3"/>
  <c r="R667" i="4" s="1"/>
  <c r="I668" i="3"/>
  <c r="I668" i="4" s="1"/>
  <c r="U668" i="3"/>
  <c r="U668" i="4" s="1"/>
  <c r="L669" i="3"/>
  <c r="L669" i="4" s="1"/>
  <c r="X669" i="3"/>
  <c r="X669" i="4" s="1"/>
  <c r="C670" i="3"/>
  <c r="C670" i="4" s="1"/>
  <c r="O670" i="3"/>
  <c r="O670" i="4" s="1"/>
  <c r="AA670" i="3"/>
  <c r="AA670" i="4" s="1"/>
  <c r="F671" i="3"/>
  <c r="F671" i="4" s="1"/>
  <c r="R671" i="3"/>
  <c r="R671" i="4" s="1"/>
  <c r="I672" i="3"/>
  <c r="I672" i="4" s="1"/>
  <c r="U672" i="3"/>
  <c r="U672" i="4" s="1"/>
  <c r="L673" i="3"/>
  <c r="L673" i="4" s="1"/>
  <c r="X673" i="3"/>
  <c r="X673" i="4" s="1"/>
  <c r="C674" i="3"/>
  <c r="C674" i="4" s="1"/>
  <c r="O674" i="3"/>
  <c r="O674" i="4" s="1"/>
  <c r="AA674" i="3"/>
  <c r="AA674" i="4" s="1"/>
  <c r="F675" i="3"/>
  <c r="F675" i="4" s="1"/>
  <c r="R675" i="3"/>
  <c r="R675" i="4" s="1"/>
  <c r="I676" i="3"/>
  <c r="I676" i="4" s="1"/>
  <c r="U676" i="3"/>
  <c r="U676" i="4" s="1"/>
  <c r="L677" i="3"/>
  <c r="L677" i="4" s="1"/>
  <c r="X677" i="3"/>
  <c r="X677" i="4" s="1"/>
  <c r="C678" i="3"/>
  <c r="C678" i="4" s="1"/>
  <c r="O678" i="3"/>
  <c r="O678" i="4" s="1"/>
  <c r="AA678" i="3"/>
  <c r="AA678" i="4" s="1"/>
  <c r="F679" i="3"/>
  <c r="F679" i="4" s="1"/>
  <c r="R679" i="3"/>
  <c r="R679" i="4" s="1"/>
  <c r="I680" i="3"/>
  <c r="I680" i="4" s="1"/>
  <c r="U680" i="3"/>
  <c r="U680" i="4" s="1"/>
  <c r="L681" i="3"/>
  <c r="L681" i="4" s="1"/>
  <c r="X681" i="3"/>
  <c r="X681" i="4" s="1"/>
  <c r="C682" i="3"/>
  <c r="C682" i="4" s="1"/>
  <c r="O682" i="3"/>
  <c r="O682" i="4" s="1"/>
  <c r="AA682" i="3"/>
  <c r="AA682" i="4" s="1"/>
  <c r="F683" i="3"/>
  <c r="F683" i="4" s="1"/>
  <c r="R683" i="3"/>
  <c r="R683" i="4" s="1"/>
  <c r="I684" i="3"/>
  <c r="I684" i="4" s="1"/>
  <c r="U684" i="3"/>
  <c r="U684" i="4" s="1"/>
  <c r="L685" i="3"/>
  <c r="L685" i="4" s="1"/>
  <c r="X685" i="3"/>
  <c r="X685" i="4" s="1"/>
  <c r="C686" i="3"/>
  <c r="C686" i="4" s="1"/>
  <c r="O686" i="3"/>
  <c r="O686" i="4" s="1"/>
  <c r="AA686" i="3"/>
  <c r="AA686" i="4" s="1"/>
  <c r="F687" i="3"/>
  <c r="F687" i="4" s="1"/>
  <c r="R687" i="3"/>
  <c r="R687" i="4" s="1"/>
  <c r="I688" i="3"/>
  <c r="I688" i="4" s="1"/>
  <c r="U688" i="3"/>
  <c r="U688" i="4" s="1"/>
  <c r="L689" i="3"/>
  <c r="L689" i="4" s="1"/>
  <c r="X689" i="3"/>
  <c r="X689" i="4" s="1"/>
  <c r="C690" i="3"/>
  <c r="C690" i="4" s="1"/>
  <c r="O690" i="3"/>
  <c r="O690" i="4" s="1"/>
  <c r="AA690" i="3"/>
  <c r="AA690" i="4" s="1"/>
  <c r="F691" i="3"/>
  <c r="F691" i="4" s="1"/>
  <c r="R691" i="3"/>
  <c r="R691" i="4" s="1"/>
  <c r="I692" i="3"/>
  <c r="I692" i="4" s="1"/>
  <c r="U692" i="3"/>
  <c r="U692" i="4" s="1"/>
  <c r="L693" i="3"/>
  <c r="L693" i="4" s="1"/>
  <c r="X693" i="3"/>
  <c r="X693" i="4" s="1"/>
  <c r="C694" i="3"/>
  <c r="C694" i="4" s="1"/>
  <c r="O694" i="3"/>
  <c r="O694" i="4" s="1"/>
  <c r="AA694" i="3"/>
  <c r="AA694" i="4" s="1"/>
  <c r="F695" i="3"/>
  <c r="F695" i="4" s="1"/>
  <c r="R695" i="3"/>
  <c r="R695" i="4" s="1"/>
  <c r="I696" i="3"/>
  <c r="I696" i="4" s="1"/>
  <c r="U696" i="3"/>
  <c r="U696" i="4" s="1"/>
  <c r="L697" i="3"/>
  <c r="L697" i="4" s="1"/>
  <c r="X697" i="3"/>
  <c r="X697" i="4" s="1"/>
  <c r="C698" i="3"/>
  <c r="C698" i="4" s="1"/>
  <c r="O698" i="3"/>
  <c r="O698" i="4" s="1"/>
  <c r="AA698" i="3"/>
  <c r="AA698" i="4" s="1"/>
  <c r="F699" i="3"/>
  <c r="F699" i="4" s="1"/>
  <c r="R699" i="3"/>
  <c r="R699" i="4" s="1"/>
  <c r="I700" i="3"/>
  <c r="I700" i="4" s="1"/>
  <c r="U700" i="3"/>
  <c r="U700" i="4" s="1"/>
  <c r="L701" i="3"/>
  <c r="L701" i="4" s="1"/>
  <c r="X701" i="3"/>
  <c r="X701" i="4" s="1"/>
  <c r="C702" i="3"/>
  <c r="C702" i="4" s="1"/>
  <c r="O702" i="3"/>
  <c r="O702" i="4" s="1"/>
  <c r="AA702" i="3"/>
  <c r="AA702" i="4" s="1"/>
  <c r="F703" i="3"/>
  <c r="F703" i="4" s="1"/>
  <c r="R703" i="3"/>
  <c r="R703" i="4" s="1"/>
  <c r="I704" i="3"/>
  <c r="I704" i="4" s="1"/>
  <c r="U704" i="3"/>
  <c r="U704" i="4" s="1"/>
  <c r="L705" i="3"/>
  <c r="L705" i="4" s="1"/>
  <c r="X705" i="3"/>
  <c r="X705" i="4" s="1"/>
  <c r="C706" i="3"/>
  <c r="C706" i="4" s="1"/>
  <c r="O706" i="3"/>
  <c r="O706" i="4" s="1"/>
  <c r="AA706" i="3"/>
  <c r="AA706" i="4" s="1"/>
  <c r="F707" i="3"/>
  <c r="F707" i="4" s="1"/>
  <c r="R707" i="3"/>
  <c r="R707" i="4" s="1"/>
  <c r="I708" i="3"/>
  <c r="I708" i="4" s="1"/>
  <c r="U708" i="3"/>
  <c r="U708" i="4" s="1"/>
  <c r="L709" i="3"/>
  <c r="L709" i="4" s="1"/>
  <c r="X709" i="3"/>
  <c r="X709" i="4" s="1"/>
  <c r="C710" i="3"/>
  <c r="C710" i="4" s="1"/>
  <c r="O710" i="3"/>
  <c r="O710" i="4" s="1"/>
  <c r="AA710" i="3"/>
  <c r="AA710" i="4" s="1"/>
  <c r="F711" i="3"/>
  <c r="F711" i="4" s="1"/>
  <c r="R711" i="3"/>
  <c r="R711" i="4" s="1"/>
  <c r="I712" i="3"/>
  <c r="I712" i="4" s="1"/>
  <c r="U712" i="3"/>
  <c r="U712" i="4" s="1"/>
  <c r="L713" i="3"/>
  <c r="L713" i="4" s="1"/>
  <c r="X713" i="3"/>
  <c r="X713" i="4" s="1"/>
  <c r="C714" i="3"/>
  <c r="C714" i="4" s="1"/>
  <c r="O714" i="3"/>
  <c r="O714" i="4" s="1"/>
  <c r="AA714" i="3"/>
  <c r="AA714" i="4" s="1"/>
  <c r="F715" i="3"/>
  <c r="F715" i="4" s="1"/>
  <c r="R715" i="3"/>
  <c r="R715" i="4" s="1"/>
  <c r="I716" i="3"/>
  <c r="I716" i="4" s="1"/>
  <c r="U716" i="3"/>
  <c r="U716" i="4" s="1"/>
  <c r="L717" i="3"/>
  <c r="L717" i="4" s="1"/>
  <c r="X717" i="3"/>
  <c r="X717" i="4" s="1"/>
  <c r="C718" i="3"/>
  <c r="C718" i="4" s="1"/>
  <c r="O718" i="3"/>
  <c r="O718" i="4" s="1"/>
  <c r="AA718" i="3"/>
  <c r="AA718" i="4" s="1"/>
  <c r="F719" i="3"/>
  <c r="F719" i="4" s="1"/>
  <c r="R719" i="3"/>
  <c r="R719" i="4" s="1"/>
  <c r="I720" i="3"/>
  <c r="I720" i="4" s="1"/>
  <c r="U720" i="3"/>
  <c r="U720" i="4" s="1"/>
  <c r="L721" i="3"/>
  <c r="L721" i="4" s="1"/>
  <c r="X721" i="3"/>
  <c r="X721" i="4" s="1"/>
  <c r="C722" i="3"/>
  <c r="C722" i="4" s="1"/>
  <c r="O722" i="3"/>
  <c r="O722" i="4" s="1"/>
  <c r="AA722" i="3"/>
  <c r="AA722" i="4" s="1"/>
  <c r="F723" i="3"/>
  <c r="F723" i="4" s="1"/>
  <c r="R723" i="3"/>
  <c r="R723" i="4" s="1"/>
  <c r="I724" i="3"/>
  <c r="I724" i="4" s="1"/>
  <c r="U724" i="3"/>
  <c r="U724" i="4" s="1"/>
  <c r="L725" i="3"/>
  <c r="L725" i="4" s="1"/>
  <c r="X725" i="3"/>
  <c r="X725" i="4" s="1"/>
  <c r="C726" i="3"/>
  <c r="C726" i="4" s="1"/>
  <c r="O726" i="3"/>
  <c r="O726" i="4" s="1"/>
  <c r="AA726" i="3"/>
  <c r="AA726" i="4" s="1"/>
  <c r="F727" i="3"/>
  <c r="F727" i="4" s="1"/>
  <c r="R727" i="3"/>
  <c r="R727" i="4" s="1"/>
  <c r="I728" i="3"/>
  <c r="I728" i="4" s="1"/>
  <c r="U728" i="3"/>
  <c r="U728" i="4" s="1"/>
  <c r="L729" i="3"/>
  <c r="L729" i="4" s="1"/>
  <c r="X729" i="3"/>
  <c r="X729" i="4" s="1"/>
  <c r="C730" i="3"/>
  <c r="C730" i="4" s="1"/>
  <c r="O730" i="3"/>
  <c r="O730" i="4" s="1"/>
  <c r="AA730" i="3"/>
  <c r="AA730" i="4" s="1"/>
  <c r="F731" i="3"/>
  <c r="F731" i="4" s="1"/>
  <c r="R731" i="3"/>
  <c r="R731" i="4" s="1"/>
  <c r="I732" i="3"/>
  <c r="I732" i="4" s="1"/>
  <c r="U732" i="3"/>
  <c r="U732" i="4" s="1"/>
  <c r="L733" i="3"/>
  <c r="L733" i="4" s="1"/>
  <c r="X733" i="3"/>
  <c r="X733" i="4" s="1"/>
  <c r="C734" i="3"/>
  <c r="C734" i="4" s="1"/>
  <c r="O734" i="3"/>
  <c r="O734" i="4" s="1"/>
  <c r="AA734" i="3"/>
  <c r="AA734" i="4" s="1"/>
  <c r="F735" i="3"/>
  <c r="F735" i="4" s="1"/>
  <c r="R735" i="3"/>
  <c r="R735" i="4" s="1"/>
  <c r="I736" i="3"/>
  <c r="I736" i="4" s="1"/>
  <c r="U736" i="3"/>
  <c r="U736" i="4" s="1"/>
  <c r="L737" i="3"/>
  <c r="L737" i="4" s="1"/>
  <c r="X737" i="3"/>
  <c r="X737" i="4" s="1"/>
  <c r="C738" i="3"/>
  <c r="C738" i="4" s="1"/>
  <c r="O738" i="3"/>
  <c r="O738" i="4" s="1"/>
  <c r="AA738" i="3"/>
  <c r="AA738" i="4" s="1"/>
  <c r="F739" i="3"/>
  <c r="F739" i="4" s="1"/>
  <c r="R739" i="3"/>
  <c r="R739" i="4" s="1"/>
  <c r="I740" i="3"/>
  <c r="I740" i="4" s="1"/>
  <c r="U740" i="3"/>
  <c r="U740" i="4" s="1"/>
  <c r="L741" i="3"/>
  <c r="L741" i="4" s="1"/>
  <c r="X741" i="3"/>
  <c r="X741" i="4" s="1"/>
  <c r="C742" i="3"/>
  <c r="C742" i="4" s="1"/>
  <c r="O742" i="3"/>
  <c r="O742" i="4" s="1"/>
  <c r="AA742" i="3"/>
  <c r="AA742" i="4" s="1"/>
  <c r="F743" i="3"/>
  <c r="F743" i="4" s="1"/>
  <c r="R743" i="3"/>
  <c r="R743" i="4" s="1"/>
  <c r="I744" i="3"/>
  <c r="I744" i="4" s="1"/>
  <c r="U744" i="3"/>
  <c r="U744" i="4" s="1"/>
  <c r="L745" i="3"/>
  <c r="L745" i="4" s="1"/>
  <c r="X745" i="3"/>
  <c r="X745" i="4" s="1"/>
  <c r="C746" i="3"/>
  <c r="C746" i="4" s="1"/>
  <c r="O746" i="3"/>
  <c r="O746" i="4" s="1"/>
  <c r="AA746" i="3"/>
  <c r="AA746" i="4" s="1"/>
  <c r="F747" i="3"/>
  <c r="F747" i="4" s="1"/>
  <c r="R747" i="3"/>
  <c r="R747" i="4" s="1"/>
  <c r="I748" i="3"/>
  <c r="I748" i="4" s="1"/>
  <c r="U748" i="3"/>
  <c r="U748" i="4" s="1"/>
  <c r="L749" i="3"/>
  <c r="L749" i="4" s="1"/>
  <c r="X749" i="3"/>
  <c r="X749" i="4" s="1"/>
  <c r="C751" i="3"/>
  <c r="C751" i="4" s="1"/>
  <c r="C750" i="3"/>
  <c r="C750" i="4" s="1"/>
  <c r="O750" i="3"/>
  <c r="O750" i="4" s="1"/>
  <c r="AA750" i="3"/>
  <c r="AA750" i="4" s="1"/>
  <c r="G751" i="3"/>
  <c r="G751" i="4" s="1"/>
  <c r="S751" i="3"/>
  <c r="S751" i="4" s="1"/>
  <c r="J700" i="3"/>
  <c r="J700" i="4" s="1"/>
  <c r="V700" i="3"/>
  <c r="V700" i="4" s="1"/>
  <c r="A701" i="3"/>
  <c r="A701" i="4" s="1"/>
  <c r="M701" i="3"/>
  <c r="M701" i="4" s="1"/>
  <c r="Y701" i="3"/>
  <c r="Y701" i="4" s="1"/>
  <c r="D702" i="3"/>
  <c r="D702" i="4" s="1"/>
  <c r="P702" i="3"/>
  <c r="P702" i="4" s="1"/>
  <c r="AB702" i="3"/>
  <c r="AB702" i="4" s="1"/>
  <c r="G703" i="3"/>
  <c r="G703" i="4" s="1"/>
  <c r="S703" i="3"/>
  <c r="S703" i="4" s="1"/>
  <c r="J704" i="3"/>
  <c r="J704" i="4" s="1"/>
  <c r="V704" i="3"/>
  <c r="V704" i="4" s="1"/>
  <c r="A705" i="3"/>
  <c r="A705" i="4" s="1"/>
  <c r="M705" i="3"/>
  <c r="M705" i="4" s="1"/>
  <c r="Y705" i="3"/>
  <c r="Y705" i="4" s="1"/>
  <c r="D706" i="3"/>
  <c r="D706" i="4" s="1"/>
  <c r="P706" i="3"/>
  <c r="P706" i="4" s="1"/>
  <c r="AB706" i="3"/>
  <c r="AB706" i="4" s="1"/>
  <c r="G707" i="3"/>
  <c r="G707" i="4" s="1"/>
  <c r="S707" i="3"/>
  <c r="S707" i="4" s="1"/>
  <c r="J708" i="3"/>
  <c r="J708" i="4" s="1"/>
  <c r="V708" i="3"/>
  <c r="V708" i="4" s="1"/>
  <c r="A709" i="3"/>
  <c r="A709" i="4" s="1"/>
  <c r="M709" i="3"/>
  <c r="M709" i="4" s="1"/>
  <c r="Y709" i="3"/>
  <c r="Y709" i="4" s="1"/>
  <c r="D710" i="3"/>
  <c r="D710" i="4" s="1"/>
  <c r="P710" i="3"/>
  <c r="P710" i="4" s="1"/>
  <c r="AB710" i="3"/>
  <c r="AB710" i="4" s="1"/>
  <c r="G711" i="3"/>
  <c r="G711" i="4" s="1"/>
  <c r="S711" i="3"/>
  <c r="S711" i="4" s="1"/>
  <c r="J712" i="3"/>
  <c r="J712" i="4" s="1"/>
  <c r="V712" i="3"/>
  <c r="V712" i="4" s="1"/>
  <c r="A713" i="3"/>
  <c r="A713" i="4" s="1"/>
  <c r="M713" i="3"/>
  <c r="M713" i="4" s="1"/>
  <c r="Y713" i="3"/>
  <c r="Y713" i="4" s="1"/>
  <c r="D714" i="3"/>
  <c r="D714" i="4" s="1"/>
  <c r="P714" i="3"/>
  <c r="P714" i="4" s="1"/>
  <c r="AB714" i="3"/>
  <c r="AB714" i="4" s="1"/>
  <c r="G715" i="3"/>
  <c r="G715" i="4" s="1"/>
  <c r="S715" i="3"/>
  <c r="S715" i="4" s="1"/>
  <c r="J716" i="3"/>
  <c r="J716" i="4" s="1"/>
  <c r="V716" i="3"/>
  <c r="V716" i="4" s="1"/>
  <c r="A717" i="3"/>
  <c r="A717" i="4" s="1"/>
  <c r="M717" i="3"/>
  <c r="M717" i="4" s="1"/>
  <c r="Y717" i="3"/>
  <c r="Y717" i="4" s="1"/>
  <c r="D718" i="3"/>
  <c r="D718" i="4" s="1"/>
  <c r="P718" i="3"/>
  <c r="P718" i="4" s="1"/>
  <c r="AB718" i="3"/>
  <c r="AB718" i="4" s="1"/>
  <c r="G719" i="3"/>
  <c r="G719" i="4" s="1"/>
  <c r="S719" i="3"/>
  <c r="S719" i="4" s="1"/>
  <c r="J720" i="3"/>
  <c r="J720" i="4" s="1"/>
  <c r="V720" i="3"/>
  <c r="V720" i="4" s="1"/>
  <c r="A721" i="3"/>
  <c r="A721" i="4" s="1"/>
  <c r="M721" i="3"/>
  <c r="M721" i="4" s="1"/>
  <c r="Y721" i="3"/>
  <c r="Y721" i="4" s="1"/>
  <c r="D722" i="3"/>
  <c r="D722" i="4" s="1"/>
  <c r="P722" i="3"/>
  <c r="P722" i="4" s="1"/>
  <c r="AB722" i="3"/>
  <c r="AB722" i="4" s="1"/>
  <c r="G723" i="3"/>
  <c r="G723" i="4" s="1"/>
  <c r="S723" i="3"/>
  <c r="S723" i="4" s="1"/>
  <c r="J724" i="3"/>
  <c r="J724" i="4" s="1"/>
  <c r="V724" i="3"/>
  <c r="V724" i="4" s="1"/>
  <c r="A725" i="3"/>
  <c r="A725" i="4" s="1"/>
  <c r="M725" i="3"/>
  <c r="M725" i="4" s="1"/>
  <c r="Y725" i="3"/>
  <c r="Y725" i="4" s="1"/>
  <c r="D726" i="3"/>
  <c r="D726" i="4" s="1"/>
  <c r="P726" i="3"/>
  <c r="P726" i="4" s="1"/>
  <c r="AB726" i="3"/>
  <c r="AB726" i="4" s="1"/>
  <c r="G727" i="3"/>
  <c r="G727" i="4" s="1"/>
  <c r="S727" i="3"/>
  <c r="S727" i="4" s="1"/>
  <c r="J728" i="3"/>
  <c r="J728" i="4" s="1"/>
  <c r="V728" i="3"/>
  <c r="V728" i="4" s="1"/>
  <c r="A729" i="3"/>
  <c r="A729" i="4" s="1"/>
  <c r="M729" i="3"/>
  <c r="M729" i="4" s="1"/>
  <c r="Y729" i="3"/>
  <c r="Y729" i="4" s="1"/>
  <c r="D730" i="3"/>
  <c r="D730" i="4" s="1"/>
  <c r="P730" i="3"/>
  <c r="P730" i="4" s="1"/>
  <c r="AB730" i="3"/>
  <c r="AB730" i="4" s="1"/>
  <c r="G731" i="3"/>
  <c r="G731" i="4" s="1"/>
  <c r="S731" i="3"/>
  <c r="S731" i="4" s="1"/>
  <c r="J732" i="3"/>
  <c r="J732" i="4" s="1"/>
  <c r="V732" i="3"/>
  <c r="V732" i="4" s="1"/>
  <c r="A733" i="3"/>
  <c r="A733" i="4" s="1"/>
  <c r="M733" i="3"/>
  <c r="M733" i="4" s="1"/>
  <c r="Y733" i="3"/>
  <c r="Y733" i="4" s="1"/>
  <c r="D734" i="3"/>
  <c r="D734" i="4" s="1"/>
  <c r="P734" i="3"/>
  <c r="P734" i="4" s="1"/>
  <c r="AB734" i="3"/>
  <c r="AB734" i="4" s="1"/>
  <c r="G735" i="3"/>
  <c r="G735" i="4" s="1"/>
  <c r="S735" i="3"/>
  <c r="S735" i="4" s="1"/>
  <c r="J736" i="3"/>
  <c r="J736" i="4" s="1"/>
  <c r="V736" i="3"/>
  <c r="V736" i="4" s="1"/>
  <c r="A737" i="3"/>
  <c r="A737" i="4" s="1"/>
  <c r="M737" i="3"/>
  <c r="M737" i="4" s="1"/>
  <c r="Y737" i="3"/>
  <c r="Y737" i="4" s="1"/>
  <c r="D738" i="3"/>
  <c r="D738" i="4" s="1"/>
  <c r="P738" i="3"/>
  <c r="P738" i="4" s="1"/>
  <c r="AB738" i="3"/>
  <c r="AB738" i="4" s="1"/>
  <c r="G739" i="3"/>
  <c r="G739" i="4" s="1"/>
  <c r="S739" i="3"/>
  <c r="S739" i="4" s="1"/>
  <c r="J740" i="3"/>
  <c r="J740" i="4" s="1"/>
  <c r="V740" i="3"/>
  <c r="V740" i="4" s="1"/>
  <c r="A741" i="3"/>
  <c r="A741" i="4" s="1"/>
  <c r="M741" i="3"/>
  <c r="M741" i="4" s="1"/>
  <c r="Y741" i="3"/>
  <c r="Y741" i="4" s="1"/>
  <c r="D742" i="3"/>
  <c r="D742" i="4" s="1"/>
  <c r="P742" i="3"/>
  <c r="P742" i="4" s="1"/>
  <c r="AB742" i="3"/>
  <c r="AB742" i="4" s="1"/>
  <c r="G743" i="3"/>
  <c r="G743" i="4" s="1"/>
  <c r="S743" i="3"/>
  <c r="S743" i="4" s="1"/>
  <c r="J744" i="3"/>
  <c r="J744" i="4" s="1"/>
  <c r="V744" i="3"/>
  <c r="V744" i="4" s="1"/>
  <c r="A745" i="3"/>
  <c r="A745" i="4" s="1"/>
  <c r="M745" i="3"/>
  <c r="M745" i="4" s="1"/>
  <c r="Y745" i="3"/>
  <c r="Y745" i="4" s="1"/>
  <c r="D746" i="3"/>
  <c r="D746" i="4" s="1"/>
  <c r="P746" i="3"/>
  <c r="P746" i="4" s="1"/>
  <c r="AB746" i="3"/>
  <c r="AB746" i="4" s="1"/>
  <c r="G747" i="3"/>
  <c r="G747" i="4" s="1"/>
  <c r="S747" i="3"/>
  <c r="S747" i="4" s="1"/>
  <c r="J748" i="3"/>
  <c r="J748" i="4" s="1"/>
  <c r="V748" i="3"/>
  <c r="V748" i="4" s="1"/>
  <c r="A749" i="3"/>
  <c r="A749" i="4" s="1"/>
  <c r="M749" i="3"/>
  <c r="M749" i="4" s="1"/>
  <c r="Y749" i="3"/>
  <c r="Y749" i="4" s="1"/>
  <c r="D750" i="3"/>
  <c r="D750" i="4" s="1"/>
  <c r="P750" i="3"/>
  <c r="P750" i="4" s="1"/>
  <c r="AB750" i="3"/>
  <c r="AB750" i="4" s="1"/>
  <c r="AB751" i="3"/>
  <c r="AB751" i="4" s="1"/>
  <c r="Y752" i="3"/>
  <c r="Y752" i="4" s="1"/>
  <c r="Y753" i="3"/>
  <c r="Y753" i="4" s="1"/>
  <c r="S753" i="3"/>
  <c r="S753" i="4" s="1"/>
  <c r="N692" i="3"/>
  <c r="N692" i="4" s="1"/>
  <c r="Z692" i="3"/>
  <c r="Z692" i="4" s="1"/>
  <c r="E693" i="3"/>
  <c r="E693" i="4" s="1"/>
  <c r="Q693" i="3"/>
  <c r="Q693" i="4" s="1"/>
  <c r="H694" i="3"/>
  <c r="H694" i="4" s="1"/>
  <c r="T694" i="3"/>
  <c r="T694" i="4" s="1"/>
  <c r="K695" i="3"/>
  <c r="K695" i="4" s="1"/>
  <c r="W695" i="3"/>
  <c r="W695" i="4" s="1"/>
  <c r="B696" i="3"/>
  <c r="B696" i="4" s="1"/>
  <c r="N696" i="3"/>
  <c r="N696" i="4" s="1"/>
  <c r="Z696" i="3"/>
  <c r="Z696" i="4" s="1"/>
  <c r="E697" i="3"/>
  <c r="E697" i="4" s="1"/>
  <c r="Q697" i="3"/>
  <c r="Q697" i="4" s="1"/>
  <c r="H698" i="3"/>
  <c r="H698" i="4" s="1"/>
  <c r="T698" i="3"/>
  <c r="T698" i="4" s="1"/>
  <c r="K699" i="3"/>
  <c r="K699" i="4" s="1"/>
  <c r="W699" i="3"/>
  <c r="W699" i="4" s="1"/>
  <c r="B700" i="3"/>
  <c r="B700" i="4" s="1"/>
  <c r="N700" i="3"/>
  <c r="N700" i="4" s="1"/>
  <c r="Z700" i="3"/>
  <c r="Z700" i="4" s="1"/>
  <c r="E701" i="3"/>
  <c r="E701" i="4" s="1"/>
  <c r="Q701" i="3"/>
  <c r="Q701" i="4" s="1"/>
  <c r="H702" i="3"/>
  <c r="H702" i="4" s="1"/>
  <c r="T702" i="3"/>
  <c r="T702" i="4" s="1"/>
  <c r="K703" i="3"/>
  <c r="K703" i="4" s="1"/>
  <c r="W703" i="3"/>
  <c r="W703" i="4" s="1"/>
  <c r="B704" i="3"/>
  <c r="B704" i="4" s="1"/>
  <c r="N704" i="3"/>
  <c r="N704" i="4" s="1"/>
  <c r="Z704" i="3"/>
  <c r="Z704" i="4" s="1"/>
  <c r="E705" i="3"/>
  <c r="E705" i="4" s="1"/>
  <c r="Q705" i="3"/>
  <c r="Q705" i="4" s="1"/>
  <c r="H706" i="3"/>
  <c r="H706" i="4" s="1"/>
  <c r="T706" i="3"/>
  <c r="T706" i="4" s="1"/>
  <c r="K707" i="3"/>
  <c r="K707" i="4" s="1"/>
  <c r="W707" i="3"/>
  <c r="W707" i="4" s="1"/>
  <c r="B708" i="3"/>
  <c r="B708" i="4" s="1"/>
  <c r="N708" i="3"/>
  <c r="N708" i="4" s="1"/>
  <c r="Z708" i="3"/>
  <c r="Z708" i="4" s="1"/>
  <c r="E709" i="3"/>
  <c r="E709" i="4" s="1"/>
  <c r="Q709" i="3"/>
  <c r="Q709" i="4" s="1"/>
  <c r="H710" i="3"/>
  <c r="H710" i="4" s="1"/>
  <c r="T710" i="3"/>
  <c r="T710" i="4" s="1"/>
  <c r="K711" i="3"/>
  <c r="K711" i="4" s="1"/>
  <c r="W711" i="3"/>
  <c r="W711" i="4" s="1"/>
  <c r="B712" i="3"/>
  <c r="B712" i="4" s="1"/>
  <c r="N712" i="3"/>
  <c r="N712" i="4" s="1"/>
  <c r="Z712" i="3"/>
  <c r="Z712" i="4" s="1"/>
  <c r="E713" i="3"/>
  <c r="E713" i="4" s="1"/>
  <c r="Q713" i="3"/>
  <c r="Q713" i="4" s="1"/>
  <c r="H714" i="3"/>
  <c r="H714" i="4" s="1"/>
  <c r="T714" i="3"/>
  <c r="T714" i="4" s="1"/>
  <c r="K715" i="3"/>
  <c r="K715" i="4" s="1"/>
  <c r="W715" i="3"/>
  <c r="W715" i="4" s="1"/>
  <c r="B716" i="3"/>
  <c r="B716" i="4" s="1"/>
  <c r="N716" i="3"/>
  <c r="N716" i="4" s="1"/>
  <c r="Z716" i="3"/>
  <c r="Z716" i="4" s="1"/>
  <c r="E717" i="3"/>
  <c r="E717" i="4" s="1"/>
  <c r="Q717" i="3"/>
  <c r="Q717" i="4" s="1"/>
  <c r="H718" i="3"/>
  <c r="H718" i="4" s="1"/>
  <c r="T718" i="3"/>
  <c r="T718" i="4" s="1"/>
  <c r="K719" i="3"/>
  <c r="K719" i="4" s="1"/>
  <c r="W719" i="3"/>
  <c r="W719" i="4" s="1"/>
  <c r="B720" i="3"/>
  <c r="B720" i="4" s="1"/>
  <c r="N720" i="3"/>
  <c r="N720" i="4" s="1"/>
  <c r="Z720" i="3"/>
  <c r="Z720" i="4" s="1"/>
  <c r="E721" i="3"/>
  <c r="E721" i="4" s="1"/>
  <c r="Q721" i="3"/>
  <c r="Q721" i="4" s="1"/>
  <c r="H722" i="3"/>
  <c r="H722" i="4" s="1"/>
  <c r="T722" i="3"/>
  <c r="T722" i="4" s="1"/>
  <c r="K723" i="3"/>
  <c r="K723" i="4" s="1"/>
  <c r="W723" i="3"/>
  <c r="W723" i="4" s="1"/>
  <c r="B724" i="3"/>
  <c r="B724" i="4" s="1"/>
  <c r="N724" i="3"/>
  <c r="N724" i="4" s="1"/>
  <c r="Z724" i="3"/>
  <c r="Z724" i="4" s="1"/>
  <c r="E725" i="3"/>
  <c r="E725" i="4" s="1"/>
  <c r="Q725" i="3"/>
  <c r="Q725" i="4" s="1"/>
  <c r="H726" i="3"/>
  <c r="H726" i="4" s="1"/>
  <c r="T726" i="3"/>
  <c r="T726" i="4" s="1"/>
  <c r="K727" i="3"/>
  <c r="K727" i="4" s="1"/>
  <c r="W727" i="3"/>
  <c r="W727" i="4" s="1"/>
  <c r="B728" i="3"/>
  <c r="B728" i="4" s="1"/>
  <c r="N728" i="3"/>
  <c r="N728" i="4" s="1"/>
  <c r="Z728" i="3"/>
  <c r="Z728" i="4" s="1"/>
  <c r="E729" i="3"/>
  <c r="E729" i="4" s="1"/>
  <c r="Q729" i="3"/>
  <c r="Q729" i="4" s="1"/>
  <c r="H730" i="3"/>
  <c r="H730" i="4" s="1"/>
  <c r="T730" i="3"/>
  <c r="T730" i="4" s="1"/>
  <c r="K731" i="3"/>
  <c r="K731" i="4" s="1"/>
  <c r="W731" i="3"/>
  <c r="W731" i="4" s="1"/>
  <c r="B732" i="3"/>
  <c r="B732" i="4" s="1"/>
  <c r="N732" i="3"/>
  <c r="N732" i="4" s="1"/>
  <c r="Z732" i="3"/>
  <c r="Z732" i="4" s="1"/>
  <c r="E733" i="3"/>
  <c r="E733" i="4" s="1"/>
  <c r="Q733" i="3"/>
  <c r="Q733" i="4" s="1"/>
  <c r="H734" i="3"/>
  <c r="H734" i="4" s="1"/>
  <c r="T734" i="3"/>
  <c r="T734" i="4" s="1"/>
  <c r="K735" i="3"/>
  <c r="K735" i="4" s="1"/>
  <c r="W735" i="3"/>
  <c r="W735" i="4" s="1"/>
  <c r="B736" i="3"/>
  <c r="B736" i="4" s="1"/>
  <c r="N736" i="3"/>
  <c r="N736" i="4" s="1"/>
  <c r="Z736" i="3"/>
  <c r="Z736" i="4" s="1"/>
  <c r="E737" i="3"/>
  <c r="E737" i="4" s="1"/>
  <c r="Q737" i="3"/>
  <c r="Q737" i="4" s="1"/>
  <c r="H738" i="3"/>
  <c r="H738" i="4" s="1"/>
  <c r="T738" i="3"/>
  <c r="T738" i="4" s="1"/>
  <c r="K739" i="3"/>
  <c r="K739" i="4" s="1"/>
  <c r="W739" i="3"/>
  <c r="W739" i="4" s="1"/>
  <c r="B740" i="3"/>
  <c r="B740" i="4" s="1"/>
  <c r="N740" i="3"/>
  <c r="N740" i="4" s="1"/>
  <c r="Z740" i="3"/>
  <c r="Z740" i="4" s="1"/>
  <c r="E741" i="3"/>
  <c r="E741" i="4" s="1"/>
  <c r="Q741" i="3"/>
  <c r="Q741" i="4" s="1"/>
  <c r="H742" i="3"/>
  <c r="H742" i="4" s="1"/>
  <c r="T742" i="3"/>
  <c r="T742" i="4" s="1"/>
  <c r="K743" i="3"/>
  <c r="K743" i="4" s="1"/>
  <c r="W743" i="3"/>
  <c r="W743" i="4" s="1"/>
  <c r="B744" i="3"/>
  <c r="B744" i="4" s="1"/>
  <c r="N744" i="3"/>
  <c r="N744" i="4" s="1"/>
  <c r="Z744" i="3"/>
  <c r="Z744" i="4" s="1"/>
  <c r="E745" i="3"/>
  <c r="E745" i="4" s="1"/>
  <c r="Q745" i="3"/>
  <c r="Q745" i="4" s="1"/>
  <c r="H746" i="3"/>
  <c r="H746" i="4" s="1"/>
  <c r="T746" i="3"/>
  <c r="T746" i="4" s="1"/>
  <c r="K747" i="3"/>
  <c r="K747" i="4" s="1"/>
  <c r="W747" i="3"/>
  <c r="W747" i="4" s="1"/>
  <c r="B748" i="3"/>
  <c r="B748" i="4" s="1"/>
  <c r="N748" i="3"/>
  <c r="N748" i="4" s="1"/>
  <c r="Z748" i="3"/>
  <c r="Z748" i="4" s="1"/>
  <c r="E749" i="3"/>
  <c r="E749" i="4" s="1"/>
  <c r="Q749" i="3"/>
  <c r="Q749" i="4" s="1"/>
  <c r="H750" i="3"/>
  <c r="H750" i="4" s="1"/>
  <c r="T750" i="3"/>
  <c r="T750" i="4" s="1"/>
  <c r="E752" i="3"/>
  <c r="E752" i="4" s="1"/>
  <c r="Q752" i="3"/>
  <c r="Q752" i="4" s="1"/>
  <c r="J753" i="3"/>
  <c r="J753" i="4" s="1"/>
  <c r="W753" i="3"/>
  <c r="W753" i="4" s="1"/>
  <c r="C692" i="3"/>
  <c r="C692" i="4" s="1"/>
  <c r="O692" i="3"/>
  <c r="O692" i="4" s="1"/>
  <c r="AA692" i="3"/>
  <c r="AA692" i="4" s="1"/>
  <c r="F693" i="3"/>
  <c r="F693" i="4" s="1"/>
  <c r="R693" i="3"/>
  <c r="R693" i="4" s="1"/>
  <c r="I694" i="3"/>
  <c r="I694" i="4" s="1"/>
  <c r="U694" i="3"/>
  <c r="U694" i="4" s="1"/>
  <c r="L695" i="3"/>
  <c r="L695" i="4" s="1"/>
  <c r="X695" i="3"/>
  <c r="X695" i="4" s="1"/>
  <c r="C696" i="3"/>
  <c r="C696" i="4" s="1"/>
  <c r="O696" i="3"/>
  <c r="O696" i="4" s="1"/>
  <c r="AA696" i="3"/>
  <c r="AA696" i="4" s="1"/>
  <c r="F697" i="3"/>
  <c r="F697" i="4" s="1"/>
  <c r="R697" i="3"/>
  <c r="R697" i="4" s="1"/>
  <c r="I698" i="3"/>
  <c r="I698" i="4" s="1"/>
  <c r="U698" i="3"/>
  <c r="U698" i="4" s="1"/>
  <c r="L699" i="3"/>
  <c r="L699" i="4" s="1"/>
  <c r="X699" i="3"/>
  <c r="X699" i="4" s="1"/>
  <c r="C700" i="3"/>
  <c r="C700" i="4" s="1"/>
  <c r="O700" i="3"/>
  <c r="O700" i="4" s="1"/>
  <c r="AA700" i="3"/>
  <c r="AA700" i="4" s="1"/>
  <c r="F701" i="3"/>
  <c r="F701" i="4" s="1"/>
  <c r="R701" i="3"/>
  <c r="R701" i="4" s="1"/>
  <c r="I702" i="3"/>
  <c r="I702" i="4" s="1"/>
  <c r="U702" i="3"/>
  <c r="U702" i="4" s="1"/>
  <c r="L703" i="3"/>
  <c r="L703" i="4" s="1"/>
  <c r="X703" i="3"/>
  <c r="X703" i="4" s="1"/>
  <c r="C704" i="3"/>
  <c r="C704" i="4" s="1"/>
  <c r="O704" i="3"/>
  <c r="O704" i="4" s="1"/>
  <c r="AA704" i="3"/>
  <c r="AA704" i="4" s="1"/>
  <c r="F705" i="3"/>
  <c r="F705" i="4" s="1"/>
  <c r="R705" i="3"/>
  <c r="R705" i="4" s="1"/>
  <c r="I706" i="3"/>
  <c r="I706" i="4" s="1"/>
  <c r="U706" i="3"/>
  <c r="U706" i="4" s="1"/>
  <c r="L707" i="3"/>
  <c r="L707" i="4" s="1"/>
  <c r="X707" i="3"/>
  <c r="X707" i="4" s="1"/>
  <c r="C708" i="3"/>
  <c r="C708" i="4" s="1"/>
  <c r="O708" i="3"/>
  <c r="O708" i="4" s="1"/>
  <c r="AA708" i="3"/>
  <c r="AA708" i="4" s="1"/>
  <c r="F709" i="3"/>
  <c r="F709" i="4" s="1"/>
  <c r="R709" i="3"/>
  <c r="R709" i="4" s="1"/>
  <c r="I710" i="3"/>
  <c r="I710" i="4" s="1"/>
  <c r="U710" i="3"/>
  <c r="U710" i="4" s="1"/>
  <c r="L711" i="3"/>
  <c r="L711" i="4" s="1"/>
  <c r="X711" i="3"/>
  <c r="X711" i="4" s="1"/>
  <c r="C712" i="3"/>
  <c r="C712" i="4" s="1"/>
  <c r="O712" i="3"/>
  <c r="O712" i="4" s="1"/>
  <c r="AA712" i="3"/>
  <c r="AA712" i="4" s="1"/>
  <c r="F713" i="3"/>
  <c r="F713" i="4" s="1"/>
  <c r="R713" i="3"/>
  <c r="R713" i="4" s="1"/>
  <c r="I714" i="3"/>
  <c r="I714" i="4" s="1"/>
  <c r="U714" i="3"/>
  <c r="U714" i="4" s="1"/>
  <c r="L715" i="3"/>
  <c r="L715" i="4" s="1"/>
  <c r="X715" i="3"/>
  <c r="X715" i="4" s="1"/>
  <c r="C716" i="3"/>
  <c r="C716" i="4" s="1"/>
  <c r="O716" i="3"/>
  <c r="O716" i="4" s="1"/>
  <c r="AA716" i="3"/>
  <c r="AA716" i="4" s="1"/>
  <c r="F717" i="3"/>
  <c r="F717" i="4" s="1"/>
  <c r="R717" i="3"/>
  <c r="R717" i="4" s="1"/>
  <c r="I718" i="3"/>
  <c r="I718" i="4" s="1"/>
  <c r="U718" i="3"/>
  <c r="U718" i="4" s="1"/>
  <c r="L719" i="3"/>
  <c r="L719" i="4" s="1"/>
  <c r="X719" i="3"/>
  <c r="X719" i="4" s="1"/>
  <c r="C720" i="3"/>
  <c r="C720" i="4" s="1"/>
  <c r="O720" i="3"/>
  <c r="O720" i="4" s="1"/>
  <c r="AA720" i="3"/>
  <c r="AA720" i="4" s="1"/>
  <c r="F721" i="3"/>
  <c r="F721" i="4" s="1"/>
  <c r="R721" i="3"/>
  <c r="R721" i="4" s="1"/>
  <c r="I722" i="3"/>
  <c r="I722" i="4" s="1"/>
  <c r="U722" i="3"/>
  <c r="U722" i="4" s="1"/>
  <c r="L723" i="3"/>
  <c r="L723" i="4" s="1"/>
  <c r="X723" i="3"/>
  <c r="X723" i="4" s="1"/>
  <c r="C724" i="3"/>
  <c r="C724" i="4" s="1"/>
  <c r="O724" i="3"/>
  <c r="O724" i="4" s="1"/>
  <c r="AA724" i="3"/>
  <c r="AA724" i="4" s="1"/>
  <c r="F725" i="3"/>
  <c r="F725" i="4" s="1"/>
  <c r="R725" i="3"/>
  <c r="R725" i="4" s="1"/>
  <c r="I726" i="3"/>
  <c r="I726" i="4" s="1"/>
  <c r="U726" i="3"/>
  <c r="U726" i="4" s="1"/>
  <c r="L727" i="3"/>
  <c r="L727" i="4" s="1"/>
  <c r="X727" i="3"/>
  <c r="X727" i="4" s="1"/>
  <c r="C728" i="3"/>
  <c r="C728" i="4" s="1"/>
  <c r="O728" i="3"/>
  <c r="O728" i="4" s="1"/>
  <c r="AA728" i="3"/>
  <c r="AA728" i="4" s="1"/>
  <c r="F729" i="3"/>
  <c r="F729" i="4" s="1"/>
  <c r="R729" i="3"/>
  <c r="R729" i="4" s="1"/>
  <c r="I730" i="3"/>
  <c r="I730" i="4" s="1"/>
  <c r="U730" i="3"/>
  <c r="U730" i="4" s="1"/>
  <c r="L731" i="3"/>
  <c r="L731" i="4" s="1"/>
  <c r="X731" i="3"/>
  <c r="X731" i="4" s="1"/>
  <c r="C732" i="3"/>
  <c r="C732" i="4" s="1"/>
  <c r="O732" i="3"/>
  <c r="O732" i="4" s="1"/>
  <c r="AA732" i="3"/>
  <c r="AA732" i="4" s="1"/>
  <c r="F733" i="3"/>
  <c r="F733" i="4" s="1"/>
  <c r="R733" i="3"/>
  <c r="R733" i="4" s="1"/>
  <c r="I734" i="3"/>
  <c r="I734" i="4" s="1"/>
  <c r="U734" i="3"/>
  <c r="U734" i="4" s="1"/>
  <c r="L735" i="3"/>
  <c r="L735" i="4" s="1"/>
  <c r="X735" i="3"/>
  <c r="X735" i="4" s="1"/>
  <c r="C736" i="3"/>
  <c r="C736" i="4" s="1"/>
  <c r="O736" i="3"/>
  <c r="O736" i="4" s="1"/>
  <c r="AA736" i="3"/>
  <c r="AA736" i="4" s="1"/>
  <c r="F737" i="3"/>
  <c r="F737" i="4" s="1"/>
  <c r="R737" i="3"/>
  <c r="R737" i="4" s="1"/>
  <c r="I738" i="3"/>
  <c r="I738" i="4" s="1"/>
  <c r="U738" i="3"/>
  <c r="U738" i="4" s="1"/>
  <c r="L739" i="3"/>
  <c r="L739" i="4" s="1"/>
  <c r="X739" i="3"/>
  <c r="X739" i="4" s="1"/>
  <c r="C740" i="3"/>
  <c r="C740" i="4" s="1"/>
  <c r="O740" i="3"/>
  <c r="O740" i="4" s="1"/>
  <c r="AA740" i="3"/>
  <c r="AA740" i="4" s="1"/>
  <c r="F741" i="3"/>
  <c r="F741" i="4" s="1"/>
  <c r="R741" i="3"/>
  <c r="R741" i="4" s="1"/>
  <c r="I742" i="3"/>
  <c r="I742" i="4" s="1"/>
  <c r="U742" i="3"/>
  <c r="U742" i="4" s="1"/>
  <c r="L743" i="3"/>
  <c r="L743" i="4" s="1"/>
  <c r="X743" i="3"/>
  <c r="X743" i="4" s="1"/>
  <c r="C744" i="3"/>
  <c r="C744" i="4" s="1"/>
  <c r="O744" i="3"/>
  <c r="O744" i="4" s="1"/>
  <c r="AA744" i="3"/>
  <c r="AA744" i="4" s="1"/>
  <c r="F745" i="3"/>
  <c r="F745" i="4" s="1"/>
  <c r="R745" i="3"/>
  <c r="R745" i="4" s="1"/>
  <c r="I746" i="3"/>
  <c r="I746" i="4" s="1"/>
  <c r="U746" i="3"/>
  <c r="U746" i="4" s="1"/>
  <c r="L747" i="3"/>
  <c r="L747" i="4" s="1"/>
  <c r="X747" i="3"/>
  <c r="X747" i="4" s="1"/>
  <c r="C748" i="3"/>
  <c r="C748" i="4" s="1"/>
  <c r="O748" i="3"/>
  <c r="O748" i="4" s="1"/>
  <c r="AA748" i="3"/>
  <c r="AA748" i="4" s="1"/>
  <c r="F749" i="3"/>
  <c r="F749" i="4" s="1"/>
  <c r="R749" i="3"/>
  <c r="R749" i="4" s="1"/>
  <c r="I750" i="3"/>
  <c r="I750" i="4" s="1"/>
  <c r="U750" i="3"/>
  <c r="U750" i="4" s="1"/>
  <c r="M751" i="3"/>
  <c r="M751" i="4" s="1"/>
  <c r="Y751" i="3"/>
  <c r="Y751" i="4" s="1"/>
  <c r="F752" i="3"/>
  <c r="F752" i="4" s="1"/>
  <c r="R752" i="3"/>
  <c r="R752" i="4" s="1"/>
  <c r="K753" i="3"/>
  <c r="K753" i="4" s="1"/>
  <c r="X753" i="3"/>
  <c r="X753" i="4" s="1"/>
  <c r="T697" i="3"/>
  <c r="T697" i="4" s="1"/>
  <c r="K698" i="3"/>
  <c r="K698" i="4" s="1"/>
  <c r="W698" i="3"/>
  <c r="W698" i="4" s="1"/>
  <c r="B699" i="3"/>
  <c r="B699" i="4" s="1"/>
  <c r="N699" i="3"/>
  <c r="N699" i="4" s="1"/>
  <c r="Z699" i="3"/>
  <c r="Z699" i="4" s="1"/>
  <c r="E700" i="3"/>
  <c r="E700" i="4" s="1"/>
  <c r="Q700" i="3"/>
  <c r="Q700" i="4" s="1"/>
  <c r="H701" i="3"/>
  <c r="H701" i="4" s="1"/>
  <c r="T701" i="3"/>
  <c r="T701" i="4" s="1"/>
  <c r="K702" i="3"/>
  <c r="K702" i="4" s="1"/>
  <c r="W702" i="3"/>
  <c r="W702" i="4" s="1"/>
  <c r="B703" i="3"/>
  <c r="B703" i="4" s="1"/>
  <c r="N703" i="3"/>
  <c r="N703" i="4" s="1"/>
  <c r="Z703" i="3"/>
  <c r="Z703" i="4" s="1"/>
  <c r="E704" i="3"/>
  <c r="E704" i="4" s="1"/>
  <c r="Q704" i="3"/>
  <c r="Q704" i="4" s="1"/>
  <c r="H705" i="3"/>
  <c r="H705" i="4" s="1"/>
  <c r="T705" i="3"/>
  <c r="T705" i="4" s="1"/>
  <c r="K706" i="3"/>
  <c r="K706" i="4" s="1"/>
  <c r="W706" i="3"/>
  <c r="W706" i="4" s="1"/>
  <c r="B707" i="3"/>
  <c r="B707" i="4" s="1"/>
  <c r="N707" i="3"/>
  <c r="N707" i="4" s="1"/>
  <c r="Z707" i="3"/>
  <c r="Z707" i="4" s="1"/>
  <c r="E708" i="3"/>
  <c r="E708" i="4" s="1"/>
  <c r="Q708" i="3"/>
  <c r="Q708" i="4" s="1"/>
  <c r="H709" i="3"/>
  <c r="H709" i="4" s="1"/>
  <c r="T709" i="3"/>
  <c r="T709" i="4" s="1"/>
  <c r="K710" i="3"/>
  <c r="K710" i="4" s="1"/>
  <c r="W710" i="3"/>
  <c r="W710" i="4" s="1"/>
  <c r="B711" i="3"/>
  <c r="B711" i="4" s="1"/>
  <c r="N711" i="3"/>
  <c r="N711" i="4" s="1"/>
  <c r="Z711" i="3"/>
  <c r="Z711" i="4" s="1"/>
  <c r="E712" i="3"/>
  <c r="E712" i="4" s="1"/>
  <c r="Q712" i="3"/>
  <c r="Q712" i="4" s="1"/>
  <c r="H713" i="3"/>
  <c r="H713" i="4" s="1"/>
  <c r="T713" i="3"/>
  <c r="T713" i="4" s="1"/>
  <c r="K714" i="3"/>
  <c r="K714" i="4" s="1"/>
  <c r="W714" i="3"/>
  <c r="W714" i="4" s="1"/>
  <c r="B715" i="3"/>
  <c r="B715" i="4" s="1"/>
  <c r="N715" i="3"/>
  <c r="N715" i="4" s="1"/>
  <c r="Z715" i="3"/>
  <c r="Z715" i="4" s="1"/>
  <c r="E716" i="3"/>
  <c r="E716" i="4" s="1"/>
  <c r="Q716" i="3"/>
  <c r="Q716" i="4" s="1"/>
  <c r="H717" i="3"/>
  <c r="H717" i="4" s="1"/>
  <c r="T717" i="3"/>
  <c r="T717" i="4" s="1"/>
  <c r="K718" i="3"/>
  <c r="K718" i="4" s="1"/>
  <c r="W718" i="3"/>
  <c r="W718" i="4" s="1"/>
  <c r="B719" i="3"/>
  <c r="B719" i="4" s="1"/>
  <c r="N719" i="3"/>
  <c r="N719" i="4" s="1"/>
  <c r="Z719" i="3"/>
  <c r="Z719" i="4" s="1"/>
  <c r="E720" i="3"/>
  <c r="E720" i="4" s="1"/>
  <c r="Q720" i="3"/>
  <c r="Q720" i="4" s="1"/>
  <c r="H721" i="3"/>
  <c r="H721" i="4" s="1"/>
  <c r="T721" i="3"/>
  <c r="T721" i="4" s="1"/>
  <c r="K722" i="3"/>
  <c r="K722" i="4" s="1"/>
  <c r="W722" i="3"/>
  <c r="W722" i="4" s="1"/>
  <c r="B723" i="3"/>
  <c r="B723" i="4" s="1"/>
  <c r="N723" i="3"/>
  <c r="N723" i="4" s="1"/>
  <c r="Z723" i="3"/>
  <c r="Z723" i="4" s="1"/>
  <c r="E724" i="3"/>
  <c r="E724" i="4" s="1"/>
  <c r="Q724" i="3"/>
  <c r="Q724" i="4" s="1"/>
  <c r="H725" i="3"/>
  <c r="H725" i="4" s="1"/>
  <c r="T725" i="3"/>
  <c r="T725" i="4" s="1"/>
  <c r="K726" i="3"/>
  <c r="K726" i="4" s="1"/>
  <c r="W726" i="3"/>
  <c r="W726" i="4" s="1"/>
  <c r="B727" i="3"/>
  <c r="B727" i="4" s="1"/>
  <c r="N727" i="3"/>
  <c r="N727" i="4" s="1"/>
  <c r="Z727" i="3"/>
  <c r="Z727" i="4" s="1"/>
  <c r="E728" i="3"/>
  <c r="E728" i="4" s="1"/>
  <c r="Q728" i="3"/>
  <c r="Q728" i="4" s="1"/>
  <c r="H729" i="3"/>
  <c r="H729" i="4" s="1"/>
  <c r="T729" i="3"/>
  <c r="T729" i="4" s="1"/>
  <c r="K730" i="3"/>
  <c r="K730" i="4" s="1"/>
  <c r="W730" i="3"/>
  <c r="W730" i="4" s="1"/>
  <c r="B731" i="3"/>
  <c r="B731" i="4" s="1"/>
  <c r="N731" i="3"/>
  <c r="N731" i="4" s="1"/>
  <c r="Z731" i="3"/>
  <c r="Z731" i="4" s="1"/>
  <c r="E732" i="3"/>
  <c r="E732" i="4" s="1"/>
  <c r="Q732" i="3"/>
  <c r="Q732" i="4" s="1"/>
  <c r="H733" i="3"/>
  <c r="H733" i="4" s="1"/>
  <c r="T733" i="3"/>
  <c r="T733" i="4" s="1"/>
  <c r="K734" i="3"/>
  <c r="K734" i="4" s="1"/>
  <c r="W734" i="3"/>
  <c r="W734" i="4" s="1"/>
  <c r="B735" i="3"/>
  <c r="B735" i="4" s="1"/>
  <c r="N735" i="3"/>
  <c r="N735" i="4" s="1"/>
  <c r="Z735" i="3"/>
  <c r="Z735" i="4" s="1"/>
  <c r="E736" i="3"/>
  <c r="E736" i="4" s="1"/>
  <c r="Q736" i="3"/>
  <c r="Q736" i="4" s="1"/>
  <c r="H737" i="3"/>
  <c r="H737" i="4" s="1"/>
  <c r="T737" i="3"/>
  <c r="T737" i="4" s="1"/>
  <c r="K738" i="3"/>
  <c r="K738" i="4" s="1"/>
  <c r="W738" i="3"/>
  <c r="W738" i="4" s="1"/>
  <c r="B739" i="3"/>
  <c r="B739" i="4" s="1"/>
  <c r="N739" i="3"/>
  <c r="N739" i="4" s="1"/>
  <c r="Z739" i="3"/>
  <c r="Z739" i="4" s="1"/>
  <c r="E740" i="3"/>
  <c r="E740" i="4" s="1"/>
  <c r="Q740" i="3"/>
  <c r="Q740" i="4" s="1"/>
  <c r="H741" i="3"/>
  <c r="H741" i="4" s="1"/>
  <c r="T741" i="3"/>
  <c r="T741" i="4" s="1"/>
  <c r="K742" i="3"/>
  <c r="K742" i="4" s="1"/>
  <c r="W742" i="3"/>
  <c r="W742" i="4" s="1"/>
  <c r="B743" i="3"/>
  <c r="B743" i="4" s="1"/>
  <c r="N743" i="3"/>
  <c r="N743" i="4" s="1"/>
  <c r="Z743" i="3"/>
  <c r="Z743" i="4" s="1"/>
  <c r="E744" i="3"/>
  <c r="E744" i="4" s="1"/>
  <c r="Q744" i="3"/>
  <c r="Q744" i="4" s="1"/>
  <c r="H745" i="3"/>
  <c r="H745" i="4" s="1"/>
  <c r="T745" i="3"/>
  <c r="T745" i="4" s="1"/>
  <c r="K746" i="3"/>
  <c r="K746" i="4" s="1"/>
  <c r="W746" i="3"/>
  <c r="W746" i="4" s="1"/>
  <c r="B747" i="3"/>
  <c r="B747" i="4" s="1"/>
  <c r="N747" i="3"/>
  <c r="N747" i="4" s="1"/>
  <c r="Z747" i="3"/>
  <c r="Z747" i="4" s="1"/>
  <c r="E748" i="3"/>
  <c r="E748" i="4" s="1"/>
  <c r="Q748" i="3"/>
  <c r="Q748" i="4" s="1"/>
  <c r="H749" i="3"/>
  <c r="H749" i="4" s="1"/>
  <c r="T749" i="3"/>
  <c r="T749" i="4" s="1"/>
  <c r="K750" i="3"/>
  <c r="K750" i="4" s="1"/>
  <c r="W750" i="3"/>
  <c r="W750" i="4" s="1"/>
  <c r="B751" i="3"/>
  <c r="B751" i="4" s="1"/>
  <c r="O751" i="3"/>
  <c r="O751" i="4" s="1"/>
  <c r="AA751" i="3"/>
  <c r="AA751" i="4" s="1"/>
  <c r="H752" i="3"/>
  <c r="H752" i="4" s="1"/>
  <c r="T752" i="3"/>
  <c r="T752" i="4" s="1"/>
  <c r="M753" i="3"/>
  <c r="M753" i="4" s="1"/>
  <c r="AA753" i="3"/>
  <c r="AA753" i="4" s="1"/>
  <c r="AA691" i="3"/>
  <c r="AA691" i="4" s="1"/>
  <c r="F692" i="3"/>
  <c r="F692" i="4" s="1"/>
  <c r="R692" i="3"/>
  <c r="R692" i="4" s="1"/>
  <c r="I693" i="3"/>
  <c r="I693" i="4" s="1"/>
  <c r="U693" i="3"/>
  <c r="U693" i="4" s="1"/>
  <c r="L694" i="3"/>
  <c r="L694" i="4" s="1"/>
  <c r="X694" i="3"/>
  <c r="X694" i="4" s="1"/>
  <c r="C695" i="3"/>
  <c r="C695" i="4" s="1"/>
  <c r="O695" i="3"/>
  <c r="O695" i="4" s="1"/>
  <c r="AA695" i="3"/>
  <c r="AA695" i="4" s="1"/>
  <c r="F696" i="3"/>
  <c r="F696" i="4" s="1"/>
  <c r="R696" i="3"/>
  <c r="R696" i="4" s="1"/>
  <c r="I697" i="3"/>
  <c r="I697" i="4" s="1"/>
  <c r="U697" i="3"/>
  <c r="U697" i="4" s="1"/>
  <c r="L698" i="3"/>
  <c r="L698" i="4" s="1"/>
  <c r="X698" i="3"/>
  <c r="X698" i="4" s="1"/>
  <c r="C699" i="3"/>
  <c r="C699" i="4" s="1"/>
  <c r="O699" i="3"/>
  <c r="O699" i="4" s="1"/>
  <c r="AA699" i="3"/>
  <c r="AA699" i="4" s="1"/>
  <c r="F700" i="3"/>
  <c r="F700" i="4" s="1"/>
  <c r="R700" i="3"/>
  <c r="R700" i="4" s="1"/>
  <c r="I701" i="3"/>
  <c r="I701" i="4" s="1"/>
  <c r="U701" i="3"/>
  <c r="U701" i="4" s="1"/>
  <c r="L702" i="3"/>
  <c r="L702" i="4" s="1"/>
  <c r="X702" i="3"/>
  <c r="X702" i="4" s="1"/>
  <c r="C703" i="3"/>
  <c r="C703" i="4" s="1"/>
  <c r="O703" i="3"/>
  <c r="O703" i="4" s="1"/>
  <c r="AA703" i="3"/>
  <c r="AA703" i="4" s="1"/>
  <c r="F704" i="3"/>
  <c r="F704" i="4" s="1"/>
  <c r="R704" i="3"/>
  <c r="R704" i="4" s="1"/>
  <c r="I705" i="3"/>
  <c r="I705" i="4" s="1"/>
  <c r="U705" i="3"/>
  <c r="U705" i="4" s="1"/>
  <c r="L706" i="3"/>
  <c r="L706" i="4" s="1"/>
  <c r="X706" i="3"/>
  <c r="X706" i="4" s="1"/>
  <c r="C707" i="3"/>
  <c r="C707" i="4" s="1"/>
  <c r="O707" i="3"/>
  <c r="O707" i="4" s="1"/>
  <c r="AA707" i="3"/>
  <c r="AA707" i="4" s="1"/>
  <c r="F708" i="3"/>
  <c r="F708" i="4" s="1"/>
  <c r="R708" i="3"/>
  <c r="R708" i="4" s="1"/>
  <c r="I709" i="3"/>
  <c r="I709" i="4" s="1"/>
  <c r="U709" i="3"/>
  <c r="U709" i="4" s="1"/>
  <c r="L710" i="3"/>
  <c r="L710" i="4" s="1"/>
  <c r="X710" i="3"/>
  <c r="X710" i="4" s="1"/>
  <c r="C711" i="3"/>
  <c r="C711" i="4" s="1"/>
  <c r="O711" i="3"/>
  <c r="O711" i="4" s="1"/>
  <c r="AA711" i="3"/>
  <c r="AA711" i="4" s="1"/>
  <c r="F712" i="3"/>
  <c r="F712" i="4" s="1"/>
  <c r="R712" i="3"/>
  <c r="R712" i="4" s="1"/>
  <c r="I713" i="3"/>
  <c r="I713" i="4" s="1"/>
  <c r="U713" i="3"/>
  <c r="U713" i="4" s="1"/>
  <c r="L714" i="3"/>
  <c r="L714" i="4" s="1"/>
  <c r="X714" i="3"/>
  <c r="X714" i="4" s="1"/>
  <c r="C715" i="3"/>
  <c r="C715" i="4" s="1"/>
  <c r="O715" i="3"/>
  <c r="O715" i="4" s="1"/>
  <c r="AA715" i="3"/>
  <c r="AA715" i="4" s="1"/>
  <c r="F716" i="3"/>
  <c r="F716" i="4" s="1"/>
  <c r="R716" i="3"/>
  <c r="R716" i="4" s="1"/>
  <c r="I717" i="3"/>
  <c r="I717" i="4" s="1"/>
  <c r="U717" i="3"/>
  <c r="U717" i="4" s="1"/>
  <c r="L718" i="3"/>
  <c r="L718" i="4" s="1"/>
  <c r="X718" i="3"/>
  <c r="X718" i="4" s="1"/>
  <c r="C719" i="3"/>
  <c r="C719" i="4" s="1"/>
  <c r="O719" i="3"/>
  <c r="O719" i="4" s="1"/>
  <c r="AA719" i="3"/>
  <c r="AA719" i="4" s="1"/>
  <c r="F720" i="3"/>
  <c r="F720" i="4" s="1"/>
  <c r="R720" i="3"/>
  <c r="R720" i="4" s="1"/>
  <c r="I721" i="3"/>
  <c r="I721" i="4" s="1"/>
  <c r="U721" i="3"/>
  <c r="U721" i="4" s="1"/>
  <c r="L722" i="3"/>
  <c r="L722" i="4" s="1"/>
  <c r="X722" i="3"/>
  <c r="X722" i="4" s="1"/>
  <c r="C723" i="3"/>
  <c r="C723" i="4" s="1"/>
  <c r="O723" i="3"/>
  <c r="O723" i="4" s="1"/>
  <c r="AA723" i="3"/>
  <c r="AA723" i="4" s="1"/>
  <c r="F724" i="3"/>
  <c r="F724" i="4" s="1"/>
  <c r="R724" i="3"/>
  <c r="R724" i="4" s="1"/>
  <c r="I725" i="3"/>
  <c r="I725" i="4" s="1"/>
  <c r="U725" i="3"/>
  <c r="U725" i="4" s="1"/>
  <c r="L726" i="3"/>
  <c r="L726" i="4" s="1"/>
  <c r="X726" i="3"/>
  <c r="X726" i="4" s="1"/>
  <c r="C727" i="3"/>
  <c r="C727" i="4" s="1"/>
  <c r="O727" i="3"/>
  <c r="O727" i="4" s="1"/>
  <c r="AA727" i="3"/>
  <c r="AA727" i="4" s="1"/>
  <c r="F728" i="3"/>
  <c r="F728" i="4" s="1"/>
  <c r="R728" i="3"/>
  <c r="R728" i="4" s="1"/>
  <c r="I729" i="3"/>
  <c r="I729" i="4" s="1"/>
  <c r="U729" i="3"/>
  <c r="U729" i="4" s="1"/>
  <c r="L730" i="3"/>
  <c r="L730" i="4" s="1"/>
  <c r="X730" i="3"/>
  <c r="X730" i="4" s="1"/>
  <c r="C731" i="3"/>
  <c r="C731" i="4" s="1"/>
  <c r="O731" i="3"/>
  <c r="O731" i="4" s="1"/>
  <c r="AA731" i="3"/>
  <c r="AA731" i="4" s="1"/>
  <c r="F732" i="3"/>
  <c r="F732" i="4" s="1"/>
  <c r="R732" i="3"/>
  <c r="R732" i="4" s="1"/>
  <c r="I733" i="3"/>
  <c r="I733" i="4" s="1"/>
  <c r="U733" i="3"/>
  <c r="U733" i="4" s="1"/>
  <c r="L734" i="3"/>
  <c r="L734" i="4" s="1"/>
  <c r="X734" i="3"/>
  <c r="X734" i="4" s="1"/>
  <c r="C735" i="3"/>
  <c r="C735" i="4" s="1"/>
  <c r="O735" i="3"/>
  <c r="O735" i="4" s="1"/>
  <c r="AA735" i="3"/>
  <c r="AA735" i="4" s="1"/>
  <c r="F736" i="3"/>
  <c r="F736" i="4" s="1"/>
  <c r="R736" i="3"/>
  <c r="R736" i="4" s="1"/>
  <c r="I737" i="3"/>
  <c r="I737" i="4" s="1"/>
  <c r="U737" i="3"/>
  <c r="U737" i="4" s="1"/>
  <c r="L738" i="3"/>
  <c r="L738" i="4" s="1"/>
  <c r="X738" i="3"/>
  <c r="X738" i="4" s="1"/>
  <c r="C739" i="3"/>
  <c r="C739" i="4" s="1"/>
  <c r="O739" i="3"/>
  <c r="O739" i="4" s="1"/>
  <c r="AA739" i="3"/>
  <c r="AA739" i="4" s="1"/>
  <c r="F740" i="3"/>
  <c r="F740" i="4" s="1"/>
  <c r="R740" i="3"/>
  <c r="R740" i="4" s="1"/>
  <c r="I741" i="3"/>
  <c r="I741" i="4" s="1"/>
  <c r="U741" i="3"/>
  <c r="U741" i="4" s="1"/>
  <c r="L742" i="3"/>
  <c r="L742" i="4" s="1"/>
  <c r="X742" i="3"/>
  <c r="X742" i="4" s="1"/>
  <c r="C743" i="3"/>
  <c r="C743" i="4" s="1"/>
  <c r="O743" i="3"/>
  <c r="O743" i="4" s="1"/>
  <c r="AA743" i="3"/>
  <c r="AA743" i="4" s="1"/>
  <c r="F744" i="3"/>
  <c r="F744" i="4" s="1"/>
  <c r="R744" i="3"/>
  <c r="R744" i="4" s="1"/>
  <c r="I745" i="3"/>
  <c r="I745" i="4" s="1"/>
  <c r="U745" i="3"/>
  <c r="U745" i="4" s="1"/>
  <c r="L746" i="3"/>
  <c r="L746" i="4" s="1"/>
  <c r="X746" i="3"/>
  <c r="X746" i="4" s="1"/>
  <c r="C747" i="3"/>
  <c r="C747" i="4" s="1"/>
  <c r="O747" i="3"/>
  <c r="O747" i="4" s="1"/>
  <c r="AA747" i="3"/>
  <c r="AA747" i="4" s="1"/>
  <c r="F748" i="3"/>
  <c r="F748" i="4" s="1"/>
  <c r="R748" i="3"/>
  <c r="R748" i="4" s="1"/>
  <c r="I749" i="3"/>
  <c r="I749" i="4" s="1"/>
  <c r="U749" i="3"/>
  <c r="U749" i="4" s="1"/>
  <c r="L750" i="3"/>
  <c r="L750" i="4" s="1"/>
  <c r="X750" i="3"/>
  <c r="X750" i="4" s="1"/>
  <c r="D751" i="3"/>
  <c r="D751" i="4" s="1"/>
  <c r="P751" i="3"/>
  <c r="P751" i="4" s="1"/>
  <c r="I752" i="3"/>
  <c r="I752" i="4" s="1"/>
  <c r="U752" i="3"/>
  <c r="U752" i="4" s="1"/>
  <c r="A753" i="3"/>
  <c r="A753" i="4" s="1"/>
  <c r="N753" i="3"/>
  <c r="N753" i="4" s="1"/>
</calcChain>
</file>

<file path=xl/sharedStrings.xml><?xml version="1.0" encoding="utf-8"?>
<sst xmlns="http://schemas.openxmlformats.org/spreadsheetml/2006/main" count="195" uniqueCount="72">
  <si>
    <t>Sector</t>
  </si>
  <si>
    <t>Ticker</t>
  </si>
  <si>
    <t>ETF Name</t>
  </si>
  <si>
    <t>Technology</t>
  </si>
  <si>
    <t>XLK</t>
  </si>
  <si>
    <t>Technology Select Sector SPDR Fund</t>
  </si>
  <si>
    <t>VGT</t>
  </si>
  <si>
    <t>Vanguard Information Technology ETF</t>
  </si>
  <si>
    <t>IYW</t>
  </si>
  <si>
    <t>iShares U.S. Technology ETF</t>
  </si>
  <si>
    <t>SOXX</t>
  </si>
  <si>
    <t>iShares Semiconductor ETF</t>
  </si>
  <si>
    <t>HACK</t>
  </si>
  <si>
    <t>ETFMG Prime Cyber Security ETF</t>
  </si>
  <si>
    <t>BOTZ</t>
  </si>
  <si>
    <t>Global X Robotics &amp; Artificial Intelligence ETF</t>
  </si>
  <si>
    <t>QQQJ</t>
  </si>
  <si>
    <t>Invesco NASDAQ Next Gen 100 ETF</t>
  </si>
  <si>
    <t>Healthcare</t>
  </si>
  <si>
    <t>XLV</t>
  </si>
  <si>
    <t>Health Care Select Sector SPDR Fund</t>
  </si>
  <si>
    <t>VHT</t>
  </si>
  <si>
    <t>Vanguard Health Care ETF</t>
  </si>
  <si>
    <t>IBB</t>
  </si>
  <si>
    <t>iShares Nasdaq Biotechnology ETF</t>
  </si>
  <si>
    <t>XBI</t>
  </si>
  <si>
    <t>SPDR S&amp;P Biotech ETF</t>
  </si>
  <si>
    <t>PBE</t>
  </si>
  <si>
    <t>Invesco Dynamic Biotechnology &amp; Genome ETF</t>
  </si>
  <si>
    <t>FHLC</t>
  </si>
  <si>
    <t>Fidelity MSCI Health Care Index ETF</t>
  </si>
  <si>
    <t>GNOM</t>
  </si>
  <si>
    <t>Global X Genomics &amp; Biotechnology ETF</t>
  </si>
  <si>
    <t>Energy/Materials</t>
  </si>
  <si>
    <t>XLE</t>
  </si>
  <si>
    <t>Energy Select Sector SPDR Fund</t>
  </si>
  <si>
    <t>VDE</t>
  </si>
  <si>
    <t>Vanguard Energy ETF</t>
  </si>
  <si>
    <t>XLB</t>
  </si>
  <si>
    <t>Materials Select Sector SPDR Fund</t>
  </si>
  <si>
    <t>XME</t>
  </si>
  <si>
    <t>SPDR S&amp;P Metals &amp; Mining ETF</t>
  </si>
  <si>
    <t>DBC</t>
  </si>
  <si>
    <t>Invesco DB Commodity Index Tracking Fund</t>
  </si>
  <si>
    <t>USO</t>
  </si>
  <si>
    <t>United States Oil Fund LP</t>
  </si>
  <si>
    <t>TAN</t>
  </si>
  <si>
    <t>Invesco Solar ETF</t>
  </si>
  <si>
    <t>Financials</t>
  </si>
  <si>
    <t>XLF</t>
  </si>
  <si>
    <t>Financial Select Sector SPDR Fund</t>
  </si>
  <si>
    <t>VFH</t>
  </si>
  <si>
    <t>Vanguard Financials ETF</t>
  </si>
  <si>
    <t>KBE</t>
  </si>
  <si>
    <t>SPDR S&amp;P Bank ETF</t>
  </si>
  <si>
    <t>IYF</t>
  </si>
  <si>
    <t>iShares U.S. Financials ETF</t>
  </si>
  <si>
    <t>XLRE</t>
  </si>
  <si>
    <t>Real Estate Select Sector SPDR Fund</t>
  </si>
  <si>
    <t>KRE</t>
  </si>
  <si>
    <t>SPDR S&amp;P Regional Banking ETF</t>
  </si>
  <si>
    <t>IYG</t>
  </si>
  <si>
    <t>iShares U.S. Financial Services ETF</t>
  </si>
  <si>
    <t>Crypto</t>
  </si>
  <si>
    <t>BTF</t>
  </si>
  <si>
    <t>Valkyrie Bitcoin Strategy ETF</t>
  </si>
  <si>
    <t>BITO</t>
  </si>
  <si>
    <t>ProShares Bitcoin Strategy ETF</t>
  </si>
  <si>
    <t>CRYP</t>
  </si>
  <si>
    <t>Global X Crypto Industry and Blockchain ETF</t>
  </si>
  <si>
    <t>BKCH</t>
  </si>
  <si>
    <t>Global X Blockchain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</si>
</sst>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3"/>
  <sheetViews>
    <sheetView topLeftCell="A11" zoomScale="85" zoomScaleNormal="85" workbookViewId="0">
      <selection activeCell="C41" sqref="C41"/>
    </sheetView>
  </sheetViews>
  <sheetFormatPr defaultColWidth="12.5703125" defaultRowHeight="15.75" customHeight="1" x14ac:dyDescent="0.2"/>
  <cols>
    <col min="3" max="3" width="36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2" t="s">
        <v>4</v>
      </c>
      <c r="C2" s="2" t="s">
        <v>5</v>
      </c>
    </row>
    <row r="3" spans="1:3" ht="15.75" customHeight="1" x14ac:dyDescent="0.25">
      <c r="A3" s="2" t="s">
        <v>3</v>
      </c>
      <c r="B3" s="2" t="s">
        <v>6</v>
      </c>
      <c r="C3" s="2" t="s">
        <v>7</v>
      </c>
    </row>
    <row r="4" spans="1:3" ht="15.75" customHeight="1" x14ac:dyDescent="0.25">
      <c r="A4" s="2" t="s">
        <v>3</v>
      </c>
      <c r="B4" s="2" t="s">
        <v>8</v>
      </c>
      <c r="C4" s="2" t="s">
        <v>9</v>
      </c>
    </row>
    <row r="5" spans="1:3" ht="15.75" customHeight="1" x14ac:dyDescent="0.25">
      <c r="A5" s="2" t="s">
        <v>3</v>
      </c>
      <c r="B5" s="2" t="s">
        <v>10</v>
      </c>
      <c r="C5" s="2" t="s">
        <v>11</v>
      </c>
    </row>
    <row r="6" spans="1:3" ht="15.75" customHeight="1" x14ac:dyDescent="0.25">
      <c r="A6" s="2" t="s">
        <v>3</v>
      </c>
      <c r="B6" s="2" t="s">
        <v>12</v>
      </c>
      <c r="C6" s="2" t="s">
        <v>13</v>
      </c>
    </row>
    <row r="7" spans="1:3" ht="15.75" customHeight="1" x14ac:dyDescent="0.25">
      <c r="A7" s="2" t="s">
        <v>3</v>
      </c>
      <c r="B7" s="2" t="s">
        <v>14</v>
      </c>
      <c r="C7" s="2" t="s">
        <v>15</v>
      </c>
    </row>
    <row r="8" spans="1:3" ht="15.75" customHeight="1" x14ac:dyDescent="0.25">
      <c r="A8" s="2" t="s">
        <v>3</v>
      </c>
      <c r="B8" s="2" t="s">
        <v>16</v>
      </c>
      <c r="C8" s="2" t="s">
        <v>17</v>
      </c>
    </row>
    <row r="9" spans="1:3" ht="15.75" customHeight="1" x14ac:dyDescent="0.25">
      <c r="A9" s="2" t="s">
        <v>18</v>
      </c>
      <c r="B9" s="2" t="s">
        <v>19</v>
      </c>
      <c r="C9" s="2" t="s">
        <v>20</v>
      </c>
    </row>
    <row r="10" spans="1:3" ht="15.75" customHeight="1" x14ac:dyDescent="0.25">
      <c r="A10" s="2" t="s">
        <v>18</v>
      </c>
      <c r="B10" s="2" t="s">
        <v>21</v>
      </c>
      <c r="C10" s="2" t="s">
        <v>22</v>
      </c>
    </row>
    <row r="11" spans="1:3" ht="15.75" customHeight="1" x14ac:dyDescent="0.25">
      <c r="A11" s="2" t="s">
        <v>18</v>
      </c>
      <c r="B11" s="2" t="s">
        <v>23</v>
      </c>
      <c r="C11" s="2" t="s">
        <v>24</v>
      </c>
    </row>
    <row r="12" spans="1:3" ht="15.75" customHeight="1" x14ac:dyDescent="0.25">
      <c r="A12" s="2" t="s">
        <v>18</v>
      </c>
      <c r="B12" s="2" t="s">
        <v>25</v>
      </c>
      <c r="C12" s="2" t="s">
        <v>26</v>
      </c>
    </row>
    <row r="13" spans="1:3" ht="15.75" customHeight="1" x14ac:dyDescent="0.25">
      <c r="A13" s="2" t="s">
        <v>18</v>
      </c>
      <c r="B13" s="2" t="s">
        <v>27</v>
      </c>
      <c r="C13" s="2" t="s">
        <v>28</v>
      </c>
    </row>
    <row r="14" spans="1:3" ht="15.75" customHeight="1" x14ac:dyDescent="0.25">
      <c r="A14" s="2" t="s">
        <v>18</v>
      </c>
      <c r="B14" s="2" t="s">
        <v>29</v>
      </c>
      <c r="C14" s="2" t="s">
        <v>30</v>
      </c>
    </row>
    <row r="15" spans="1:3" ht="15.75" customHeight="1" x14ac:dyDescent="0.25">
      <c r="A15" s="2" t="s">
        <v>18</v>
      </c>
      <c r="B15" s="2" t="s">
        <v>31</v>
      </c>
      <c r="C15" s="2" t="s">
        <v>32</v>
      </c>
    </row>
    <row r="16" spans="1:3" ht="15.75" customHeight="1" x14ac:dyDescent="0.25">
      <c r="A16" s="2" t="s">
        <v>33</v>
      </c>
      <c r="B16" s="2" t="s">
        <v>34</v>
      </c>
      <c r="C16" s="2" t="s">
        <v>35</v>
      </c>
    </row>
    <row r="17" spans="1:3" ht="15.75" customHeight="1" x14ac:dyDescent="0.25">
      <c r="A17" s="2" t="s">
        <v>33</v>
      </c>
      <c r="B17" s="2" t="s">
        <v>36</v>
      </c>
      <c r="C17" s="2" t="s">
        <v>37</v>
      </c>
    </row>
    <row r="18" spans="1:3" ht="15.75" customHeight="1" x14ac:dyDescent="0.25">
      <c r="A18" s="2" t="s">
        <v>33</v>
      </c>
      <c r="B18" s="2" t="s">
        <v>38</v>
      </c>
      <c r="C18" s="2" t="s">
        <v>39</v>
      </c>
    </row>
    <row r="19" spans="1:3" ht="15.75" customHeight="1" x14ac:dyDescent="0.25">
      <c r="A19" s="2" t="s">
        <v>33</v>
      </c>
      <c r="B19" s="2" t="s">
        <v>40</v>
      </c>
      <c r="C19" s="2" t="s">
        <v>41</v>
      </c>
    </row>
    <row r="20" spans="1:3" ht="15.75" customHeight="1" x14ac:dyDescent="0.25">
      <c r="A20" s="2" t="s">
        <v>33</v>
      </c>
      <c r="B20" s="2" t="s">
        <v>42</v>
      </c>
      <c r="C20" s="2" t="s">
        <v>43</v>
      </c>
    </row>
    <row r="21" spans="1:3" ht="15.75" customHeight="1" x14ac:dyDescent="0.25">
      <c r="A21" s="2" t="s">
        <v>33</v>
      </c>
      <c r="B21" s="2" t="s">
        <v>44</v>
      </c>
      <c r="C21" s="2" t="s">
        <v>45</v>
      </c>
    </row>
    <row r="22" spans="1:3" ht="15.75" customHeight="1" x14ac:dyDescent="0.25">
      <c r="A22" s="2" t="s">
        <v>33</v>
      </c>
      <c r="B22" s="2" t="s">
        <v>46</v>
      </c>
      <c r="C22" s="2" t="s">
        <v>47</v>
      </c>
    </row>
    <row r="23" spans="1:3" ht="15.75" customHeight="1" x14ac:dyDescent="0.25">
      <c r="A23" s="2" t="s">
        <v>48</v>
      </c>
      <c r="B23" s="2" t="s">
        <v>49</v>
      </c>
      <c r="C23" s="2" t="s">
        <v>50</v>
      </c>
    </row>
    <row r="24" spans="1:3" ht="15.75" customHeight="1" x14ac:dyDescent="0.25">
      <c r="A24" s="2" t="s">
        <v>48</v>
      </c>
      <c r="B24" s="2" t="s">
        <v>51</v>
      </c>
      <c r="C24" s="2" t="s">
        <v>52</v>
      </c>
    </row>
    <row r="25" spans="1:3" ht="15" x14ac:dyDescent="0.25">
      <c r="A25" s="2" t="s">
        <v>48</v>
      </c>
      <c r="B25" s="2" t="s">
        <v>53</v>
      </c>
      <c r="C25" s="2" t="s">
        <v>54</v>
      </c>
    </row>
    <row r="26" spans="1:3" ht="15" x14ac:dyDescent="0.25">
      <c r="A26" s="2" t="s">
        <v>48</v>
      </c>
      <c r="B26" s="2" t="s">
        <v>55</v>
      </c>
      <c r="C26" s="2" t="s">
        <v>56</v>
      </c>
    </row>
    <row r="27" spans="1:3" ht="15" x14ac:dyDescent="0.25">
      <c r="A27" s="2" t="s">
        <v>48</v>
      </c>
      <c r="B27" s="2" t="s">
        <v>57</v>
      </c>
      <c r="C27" s="2" t="s">
        <v>58</v>
      </c>
    </row>
    <row r="28" spans="1:3" ht="15" x14ac:dyDescent="0.25">
      <c r="A28" s="2" t="s">
        <v>48</v>
      </c>
      <c r="B28" s="2" t="s">
        <v>59</v>
      </c>
      <c r="C28" s="2" t="s">
        <v>60</v>
      </c>
    </row>
    <row r="29" spans="1:3" ht="15" x14ac:dyDescent="0.25">
      <c r="A29" s="2" t="s">
        <v>48</v>
      </c>
      <c r="B29" s="2" t="s">
        <v>61</v>
      </c>
      <c r="C29" s="2" t="s">
        <v>62</v>
      </c>
    </row>
    <row r="30" spans="1:3" ht="12.75" x14ac:dyDescent="0.2">
      <c r="A30" s="3" t="s">
        <v>63</v>
      </c>
      <c r="B30" s="3" t="s">
        <v>64</v>
      </c>
      <c r="C30" s="3" t="s">
        <v>65</v>
      </c>
    </row>
    <row r="31" spans="1:3" ht="12.75" x14ac:dyDescent="0.2">
      <c r="A31" s="3" t="s">
        <v>63</v>
      </c>
      <c r="B31" s="3" t="s">
        <v>66</v>
      </c>
      <c r="C31" s="3" t="s">
        <v>67</v>
      </c>
    </row>
    <row r="32" spans="1:3" ht="12.75" x14ac:dyDescent="0.2">
      <c r="A32" s="3" t="s">
        <v>63</v>
      </c>
      <c r="B32" s="3" t="s">
        <v>68</v>
      </c>
      <c r="C32" s="3" t="s">
        <v>69</v>
      </c>
    </row>
    <row r="33" spans="1:3" ht="12.75" x14ac:dyDescent="0.2">
      <c r="A33" s="3" t="s">
        <v>63</v>
      </c>
      <c r="B33" s="3" t="s">
        <v>70</v>
      </c>
      <c r="C33" s="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workbookViewId="0"/>
  </sheetViews>
  <sheetFormatPr defaultColWidth="12.5703125" defaultRowHeight="15.75" customHeight="1" x14ac:dyDescent="0.2"/>
  <cols>
    <col min="1" max="1" width="20.28515625" customWidth="1"/>
    <col min="2" max="3" width="6.140625" customWidth="1"/>
    <col min="4" max="4" width="4" customWidth="1"/>
    <col min="5" max="5" width="4.85546875" customWidth="1"/>
    <col min="6" max="6" width="5.140625" customWidth="1"/>
    <col min="7" max="7" width="4.85546875" customWidth="1"/>
    <col min="8" max="8" width="5.42578125" customWidth="1"/>
    <col min="9" max="9" width="3.5703125" customWidth="1"/>
    <col min="10" max="10" width="4.140625" customWidth="1"/>
    <col min="11" max="12" width="3.42578125" customWidth="1"/>
    <col min="13" max="13" width="3.85546875" customWidth="1"/>
    <col min="14" max="14" width="4.7109375" customWidth="1"/>
    <col min="15" max="15" width="6.140625" customWidth="1"/>
    <col min="16" max="16" width="3.5703125" customWidth="1"/>
    <col min="17" max="17" width="4" customWidth="1"/>
    <col min="18" max="18" width="3.7109375" customWidth="1"/>
    <col min="19" max="19" width="4.42578125" customWidth="1"/>
    <col min="20" max="20" width="4.140625" customWidth="1"/>
    <col min="21" max="21" width="4.28515625" customWidth="1"/>
    <col min="22" max="22" width="4" customWidth="1"/>
    <col min="23" max="23" width="3.5703125" customWidth="1"/>
    <col min="24" max="24" width="4" customWidth="1"/>
    <col min="25" max="25" width="3.85546875" customWidth="1"/>
    <col min="26" max="26" width="3.28515625" customWidth="1"/>
    <col min="27" max="27" width="4.5703125" customWidth="1"/>
    <col min="28" max="28" width="3.85546875" customWidth="1"/>
    <col min="29" max="33" width="3.42578125" customWidth="1"/>
  </cols>
  <sheetData>
    <row r="1" spans="1:33" ht="15.75" customHeight="1" x14ac:dyDescent="0.25">
      <c r="A1" s="4"/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19</v>
      </c>
      <c r="J1" s="2" t="s">
        <v>21</v>
      </c>
      <c r="K1" s="2" t="s">
        <v>23</v>
      </c>
      <c r="L1" s="2" t="s">
        <v>25</v>
      </c>
      <c r="M1" s="2" t="s">
        <v>27</v>
      </c>
      <c r="N1" s="2" t="s">
        <v>29</v>
      </c>
      <c r="O1" s="2" t="s">
        <v>31</v>
      </c>
      <c r="P1" s="2" t="s">
        <v>34</v>
      </c>
      <c r="Q1" s="2" t="s">
        <v>36</v>
      </c>
      <c r="R1" s="2" t="s">
        <v>38</v>
      </c>
      <c r="S1" s="2" t="s">
        <v>40</v>
      </c>
      <c r="T1" s="2" t="s">
        <v>42</v>
      </c>
      <c r="U1" s="2" t="s">
        <v>44</v>
      </c>
      <c r="V1" s="2" t="s">
        <v>46</v>
      </c>
      <c r="W1" s="2" t="s">
        <v>49</v>
      </c>
      <c r="X1" s="2" t="s">
        <v>51</v>
      </c>
      <c r="Y1" s="2" t="s">
        <v>53</v>
      </c>
      <c r="Z1" s="2" t="s">
        <v>55</v>
      </c>
      <c r="AA1" s="2" t="s">
        <v>57</v>
      </c>
      <c r="AB1" s="2" t="s">
        <v>59</v>
      </c>
      <c r="AC1" s="2" t="s">
        <v>61</v>
      </c>
      <c r="AD1" s="3" t="s">
        <v>64</v>
      </c>
      <c r="AE1" s="3" t="s">
        <v>66</v>
      </c>
      <c r="AF1" s="3" t="s">
        <v>68</v>
      </c>
      <c r="AG1" s="3" t="s">
        <v>70</v>
      </c>
    </row>
    <row r="2" spans="1:33" ht="15.75" customHeight="1" x14ac:dyDescent="0.2">
      <c r="A2" s="4" t="str">
        <f ca="1">IFERROR(__xludf.DUMMYFUNCTION("INDEX(GOOGLEFINANCE(B1,""close"",DATE(2022,1,1),DATE(2024,12,31),""DAILY""),,1)"),"Date")</f>
        <v>Date</v>
      </c>
      <c r="B2" s="3" t="str">
        <f ca="1">IFERROR(__xludf.DUMMYFUNCTION("INDEX(GOOGLEFINANCE(B1,""close"",DATE(2022,1,1),DATE(2024,12,31),""DAILY""),,2)"),"Close")</f>
        <v>Close</v>
      </c>
      <c r="C2" s="3" t="str">
        <f ca="1">IFERROR(__xludf.DUMMYFUNCTION("INDEX(GOOGLEFINANCE(C1,""close"",DATE(2022,1,1),DATE(2024,12,31),""DAILY""),,2)"),"Close")</f>
        <v>Close</v>
      </c>
      <c r="D2" s="3" t="str">
        <f ca="1">IFERROR(__xludf.DUMMYFUNCTION("INDEX(GOOGLEFINANCE(D1,""close"",DATE(2022,1,1),DATE(2024,12,31),""DAILY""),,2)"),"Close")</f>
        <v>Close</v>
      </c>
      <c r="E2" s="3" t="str">
        <f ca="1">IFERROR(__xludf.DUMMYFUNCTION("INDEX(GOOGLEFINANCE(E1,""close"",DATE(2022,1,1),DATE(2024,12,31),""DAILY""),,2)"),"Close")</f>
        <v>Close</v>
      </c>
      <c r="F2" s="3" t="str">
        <f ca="1">IFERROR(__xludf.DUMMYFUNCTION("INDEX(GOOGLEFINANCE(F1,""close"",DATE(2022,1,1),DATE(2024,12,31),""DAILY""),,2)"),"Close")</f>
        <v>Close</v>
      </c>
      <c r="G2" s="3" t="str">
        <f ca="1">IFERROR(__xludf.DUMMYFUNCTION("INDEX(GOOGLEFINANCE(G1,""close"",DATE(2022,1,1),DATE(2024,12,31),""DAILY""),,2)"),"Close")</f>
        <v>Close</v>
      </c>
      <c r="H2" s="3" t="str">
        <f ca="1">IFERROR(__xludf.DUMMYFUNCTION("INDEX(GOOGLEFINANCE(H1,""close"",DATE(2022,1,1),DATE(2024,12,31),""DAILY""),,2)"),"Close")</f>
        <v>Close</v>
      </c>
      <c r="I2" s="3" t="str">
        <f ca="1">IFERROR(__xludf.DUMMYFUNCTION("INDEX(GOOGLEFINANCE(I1,""close"",DATE(2022,1,1),DATE(2024,12,31),""DAILY""),,2)"),"Close")</f>
        <v>Close</v>
      </c>
      <c r="J2" s="3" t="str">
        <f ca="1">IFERROR(__xludf.DUMMYFUNCTION("INDEX(GOOGLEFINANCE(J1,""close"",DATE(2022,1,1),DATE(2024,12,31),""DAILY""),,2)"),"Close")</f>
        <v>Close</v>
      </c>
      <c r="K2" s="3" t="str">
        <f ca="1">IFERROR(__xludf.DUMMYFUNCTION("INDEX(GOOGLEFINANCE(K1,""close"",DATE(2022,1,1),DATE(2024,12,31),""DAILY""),,2)"),"Close")</f>
        <v>Close</v>
      </c>
      <c r="L2" s="3" t="str">
        <f ca="1">IFERROR(__xludf.DUMMYFUNCTION("INDEX(GOOGLEFINANCE(L1,""close"",DATE(2022,1,1),DATE(2024,12,31),""DAILY""),,2)"),"Close")</f>
        <v>Close</v>
      </c>
      <c r="M2" s="3" t="str">
        <f ca="1">IFERROR(__xludf.DUMMYFUNCTION("INDEX(GOOGLEFINANCE(M1,""close"",DATE(2022,1,1),DATE(2024,12,31),""DAILY""),,2)"),"Close")</f>
        <v>Close</v>
      </c>
      <c r="N2" s="3" t="str">
        <f ca="1">IFERROR(__xludf.DUMMYFUNCTION("INDEX(GOOGLEFINANCE(N1,""close"",DATE(2022,1,1),DATE(2024,12,31),""DAILY""),,2)"),"Close")</f>
        <v>Close</v>
      </c>
      <c r="O2" s="3" t="str">
        <f ca="1">IFERROR(__xludf.DUMMYFUNCTION("INDEX(GOOGLEFINANCE(O1,""close"",DATE(2022,1,1),DATE(2024,12,31),""DAILY""),,2)"),"Close")</f>
        <v>Close</v>
      </c>
      <c r="P2" s="3" t="str">
        <f ca="1">IFERROR(__xludf.DUMMYFUNCTION("INDEX(GOOGLEFINANCE(P1,""close"",DATE(2022,1,1),DATE(2024,12,31),""DAILY""),,2)"),"Close")</f>
        <v>Close</v>
      </c>
      <c r="Q2" s="3" t="str">
        <f ca="1">IFERROR(__xludf.DUMMYFUNCTION("INDEX(GOOGLEFINANCE(Q1,""close"",DATE(2022,1,1),DATE(2024,12,31),""DAILY""),,2)"),"Close")</f>
        <v>Close</v>
      </c>
      <c r="R2" s="3" t="str">
        <f ca="1">IFERROR(__xludf.DUMMYFUNCTION("INDEX(GOOGLEFINANCE(R1,""close"",DATE(2022,1,1),DATE(2024,12,31),""DAILY""),,2)"),"Close")</f>
        <v>Close</v>
      </c>
      <c r="S2" s="3" t="str">
        <f ca="1">IFERROR(__xludf.DUMMYFUNCTION("INDEX(GOOGLEFINANCE(S1,""close"",DATE(2022,1,1),DATE(2024,12,31),""DAILY""),,2)"),"Close")</f>
        <v>Close</v>
      </c>
      <c r="T2" s="3" t="str">
        <f ca="1">IFERROR(__xludf.DUMMYFUNCTION("INDEX(GOOGLEFINANCE(T1,""close"",DATE(2022,1,1),DATE(2024,12,31),""DAILY""),,2)"),"Close")</f>
        <v>Close</v>
      </c>
      <c r="U2" s="3" t="str">
        <f ca="1">IFERROR(__xludf.DUMMYFUNCTION("INDEX(GOOGLEFINANCE(U1,""close"",DATE(2022,1,1),DATE(2024,12,31),""DAILY""),,2)"),"Close")</f>
        <v>Close</v>
      </c>
      <c r="V2" s="3" t="str">
        <f ca="1">IFERROR(__xludf.DUMMYFUNCTION("INDEX(GOOGLEFINANCE(V1,""close"",DATE(2022,1,1),DATE(2024,12,31),""DAILY""),,2)"),"Close")</f>
        <v>Close</v>
      </c>
      <c r="W2" s="3" t="str">
        <f ca="1">IFERROR(__xludf.DUMMYFUNCTION("INDEX(GOOGLEFINANCE(W1,""close"",DATE(2022,1,1),DATE(2024,12,31),""DAILY""),,2)"),"Close")</f>
        <v>Close</v>
      </c>
      <c r="X2" s="3" t="str">
        <f ca="1">IFERROR(__xludf.DUMMYFUNCTION("INDEX(GOOGLEFINANCE(X1,""close"",DATE(2022,1,1),DATE(2024,12,31),""DAILY""),,2)"),"Close")</f>
        <v>Close</v>
      </c>
      <c r="Y2" s="3" t="str">
        <f ca="1">IFERROR(__xludf.DUMMYFUNCTION("INDEX(GOOGLEFINANCE(Y1,""close"",DATE(2022,1,1),DATE(2024,12,31),""DAILY""),,2)"),"Close")</f>
        <v>Close</v>
      </c>
      <c r="Z2" s="3" t="str">
        <f ca="1">IFERROR(__xludf.DUMMYFUNCTION("INDEX(GOOGLEFINANCE(Z1,""close"",DATE(2022,1,1),DATE(2024,12,31),""DAILY""),,2)"),"Close")</f>
        <v>Close</v>
      </c>
      <c r="AA2" s="3" t="str">
        <f ca="1">IFERROR(__xludf.DUMMYFUNCTION("INDEX(GOOGLEFINANCE(AA1,""close"",DATE(2022,1,1),DATE(2024,12,31),""DAILY""),,2)"),"Close")</f>
        <v>Close</v>
      </c>
      <c r="AB2" s="3" t="str">
        <f ca="1">IFERROR(__xludf.DUMMYFUNCTION("INDEX(GOOGLEFINANCE(AB1,""close"",DATE(2022,1,1),DATE(2024,12,31),""DAILY""),,2)"),"Close")</f>
        <v>Close</v>
      </c>
      <c r="AC2" s="3" t="str">
        <f ca="1">IFERROR(__xludf.DUMMYFUNCTION("INDEX(GOOGLEFINANCE(AC1,""close"",DATE(2022,1,1),DATE(2024,12,31),""DAILY""),,2)"),"Close")</f>
        <v>Close</v>
      </c>
      <c r="AD2" s="3" t="str">
        <f ca="1">IFERROR(__xludf.DUMMYFUNCTION("INDEX(GOOGLEFINANCE(AD1,""close"",DATE(2022,1,1),DATE(2024,12,31),""DAILY""),,2)"),"Close")</f>
        <v>Close</v>
      </c>
      <c r="AE2" s="3" t="str">
        <f ca="1">IFERROR(__xludf.DUMMYFUNCTION("INDEX(GOOGLEFINANCE(AE1,""close"",DATE(2022,1,1),DATE(2024,12,31),""DAILY""),,2)"),"Close")</f>
        <v>Close</v>
      </c>
      <c r="AF2" s="3" t="str">
        <f ca="1">IFERROR(__xludf.DUMMYFUNCTION("INDEX(GOOGLEFINANCE(AF1,""close"",DATE(2022,1,1),DATE(2024,12,31),""DAILY""),,2)"),"Close")</f>
        <v>Close</v>
      </c>
      <c r="AG2" s="3" t="str">
        <f ca="1">IFERROR(__xludf.DUMMYFUNCTION("INDEX(GOOGLEFINANCE(AG1,""close"",DATE(2022,1,1),DATE(2024,12,31),""DAILY""),,2)"),"Close")</f>
        <v>Close</v>
      </c>
    </row>
    <row r="3" spans="1:33" ht="15.75" customHeight="1" x14ac:dyDescent="0.2">
      <c r="A3" s="4">
        <f ca="1">IFERROR(__xludf.DUMMYFUNCTION("""COMPUTED_VALUE"""),44564.6666666666)</f>
        <v>44564.666666666599</v>
      </c>
      <c r="B3" s="3">
        <f ca="1">IFERROR(__xludf.DUMMYFUNCTION("""COMPUTED_VALUE"""),175.52)</f>
        <v>175.52</v>
      </c>
      <c r="C3" s="3">
        <f ca="1">IFERROR(__xludf.DUMMYFUNCTION("""COMPUTED_VALUE"""),462)</f>
        <v>462</v>
      </c>
      <c r="D3" s="3">
        <f ca="1">IFERROR(__xludf.DUMMYFUNCTION("""COMPUTED_VALUE"""),115.41)</f>
        <v>115.41</v>
      </c>
      <c r="E3" s="3">
        <f ca="1">IFERROR(__xludf.DUMMYFUNCTION("""COMPUTED_VALUE"""),184.37)</f>
        <v>184.37</v>
      </c>
      <c r="F3" s="3">
        <f ca="1">IFERROR(__xludf.DUMMYFUNCTION("""COMPUTED_VALUE"""),61.26)</f>
        <v>61.26</v>
      </c>
      <c r="G3" s="3">
        <f ca="1">IFERROR(__xludf.DUMMYFUNCTION("""COMPUTED_VALUE"""),36.09)</f>
        <v>36.090000000000003</v>
      </c>
      <c r="H3" s="3">
        <f ca="1">IFERROR(__xludf.DUMMYFUNCTION("""COMPUTED_VALUE"""),33.45)</f>
        <v>33.450000000000003</v>
      </c>
      <c r="I3" s="3">
        <f ca="1">IFERROR(__xludf.DUMMYFUNCTION("""COMPUTED_VALUE"""),139.44)</f>
        <v>139.44</v>
      </c>
      <c r="J3" s="3">
        <f ca="1">IFERROR(__xludf.DUMMYFUNCTION("""COMPUTED_VALUE"""),264.71)</f>
        <v>264.70999999999998</v>
      </c>
      <c r="K3" s="3">
        <f ca="1">IFERROR(__xludf.DUMMYFUNCTION("""COMPUTED_VALUE"""),152.37)</f>
        <v>152.37</v>
      </c>
      <c r="L3" s="3">
        <f ca="1">IFERROR(__xludf.DUMMYFUNCTION("""COMPUTED_VALUE"""),115.44)</f>
        <v>115.44</v>
      </c>
      <c r="M3" s="3">
        <f ca="1">IFERROR(__xludf.DUMMYFUNCTION("""COMPUTED_VALUE"""),71.43)</f>
        <v>71.430000000000007</v>
      </c>
      <c r="N3" s="3">
        <f ca="1">IFERROR(__xludf.DUMMYFUNCTION("""COMPUTED_VALUE"""),68.16)</f>
        <v>68.16</v>
      </c>
      <c r="O3" s="3">
        <f ca="1">IFERROR(__xludf.DUMMYFUNCTION("""COMPUTED_VALUE"""),79.92)</f>
        <v>79.92</v>
      </c>
      <c r="P3" s="3">
        <f ca="1">IFERROR(__xludf.DUMMYFUNCTION("""COMPUTED_VALUE"""),57.22)</f>
        <v>57.22</v>
      </c>
      <c r="Q3" s="3">
        <f ca="1">IFERROR(__xludf.DUMMYFUNCTION("""COMPUTED_VALUE"""),80.1)</f>
        <v>80.099999999999994</v>
      </c>
      <c r="R3" s="3">
        <f ca="1">IFERROR(__xludf.DUMMYFUNCTION("""COMPUTED_VALUE"""),89.43)</f>
        <v>89.43</v>
      </c>
      <c r="S3" s="3">
        <f ca="1">IFERROR(__xludf.DUMMYFUNCTION("""COMPUTED_VALUE"""),45.54)</f>
        <v>45.54</v>
      </c>
      <c r="T3" s="3">
        <f ca="1">IFERROR(__xludf.DUMMYFUNCTION("""COMPUTED_VALUE"""),20.86)</f>
        <v>20.86</v>
      </c>
      <c r="U3" s="3">
        <f ca="1">IFERROR(__xludf.DUMMYFUNCTION("""COMPUTED_VALUE"""),54.83)</f>
        <v>54.83</v>
      </c>
      <c r="V3" s="3">
        <f ca="1">IFERROR(__xludf.DUMMYFUNCTION("""COMPUTED_VALUE"""),78.49)</f>
        <v>78.489999999999995</v>
      </c>
      <c r="W3" s="3">
        <f ca="1">IFERROR(__xludf.DUMMYFUNCTION("""COMPUTED_VALUE"""),39.53)</f>
        <v>39.53</v>
      </c>
      <c r="X3" s="3">
        <f ca="1">IFERROR(__xludf.DUMMYFUNCTION("""COMPUTED_VALUE"""),97.67)</f>
        <v>97.67</v>
      </c>
      <c r="Y3" s="3">
        <f ca="1">IFERROR(__xludf.DUMMYFUNCTION("""COMPUTED_VALUE"""),55.64)</f>
        <v>55.64</v>
      </c>
      <c r="Z3" s="3">
        <f ca="1">IFERROR(__xludf.DUMMYFUNCTION("""COMPUTED_VALUE"""),87.57)</f>
        <v>87.57</v>
      </c>
      <c r="AA3" s="3">
        <f ca="1">IFERROR(__xludf.DUMMYFUNCTION("""COMPUTED_VALUE"""),51.33)</f>
        <v>51.33</v>
      </c>
      <c r="AB3" s="3">
        <f ca="1">IFERROR(__xludf.DUMMYFUNCTION("""COMPUTED_VALUE"""),72.17)</f>
        <v>72.17</v>
      </c>
      <c r="AC3" s="3">
        <f ca="1">IFERROR(__xludf.DUMMYFUNCTION("""COMPUTED_VALUE"""),65.45)</f>
        <v>65.45</v>
      </c>
      <c r="AD3" s="3">
        <f ca="1">IFERROR(__xludf.DUMMYFUNCTION("""COMPUTED_VALUE"""),17.9)</f>
        <v>17.899999999999999</v>
      </c>
      <c r="AE3" s="3">
        <f ca="1">IFERROR(__xludf.DUMMYFUNCTION("""COMPUTED_VALUE"""),28.95)</f>
        <v>28.95</v>
      </c>
      <c r="AF3" s="3">
        <f ca="1">IFERROR(__xludf.DUMMYFUNCTION("""COMPUTED_VALUE"""),7.81)</f>
        <v>7.81</v>
      </c>
      <c r="AG3" s="3">
        <f ca="1">IFERROR(__xludf.DUMMYFUNCTION("""COMPUTED_VALUE"""),88.52)</f>
        <v>88.52</v>
      </c>
    </row>
    <row r="4" spans="1:33" ht="15.75" customHeight="1" x14ac:dyDescent="0.2">
      <c r="A4" s="4">
        <f ca="1">IFERROR(__xludf.DUMMYFUNCTION("""COMPUTED_VALUE"""),44565.6666666666)</f>
        <v>44565.666666666599</v>
      </c>
      <c r="B4" s="3">
        <f ca="1">IFERROR(__xludf.DUMMYFUNCTION("""COMPUTED_VALUE"""),173.66)</f>
        <v>173.66</v>
      </c>
      <c r="C4" s="3">
        <f ca="1">IFERROR(__xludf.DUMMYFUNCTION("""COMPUTED_VALUE"""),456.16)</f>
        <v>456.16</v>
      </c>
      <c r="D4" s="3">
        <f ca="1">IFERROR(__xludf.DUMMYFUNCTION("""COMPUTED_VALUE"""),113.91)</f>
        <v>113.91</v>
      </c>
      <c r="E4" s="3">
        <f ca="1">IFERROR(__xludf.DUMMYFUNCTION("""COMPUTED_VALUE"""),183.8)</f>
        <v>183.8</v>
      </c>
      <c r="F4" s="3">
        <f ca="1">IFERROR(__xludf.DUMMYFUNCTION("""COMPUTED_VALUE"""),60.03)</f>
        <v>60.03</v>
      </c>
      <c r="G4" s="3">
        <f ca="1">IFERROR(__xludf.DUMMYFUNCTION("""COMPUTED_VALUE"""),35.87)</f>
        <v>35.869999999999997</v>
      </c>
      <c r="H4" s="3">
        <f ca="1">IFERROR(__xludf.DUMMYFUNCTION("""COMPUTED_VALUE"""),33.04)</f>
        <v>33.04</v>
      </c>
      <c r="I4" s="3">
        <f ca="1">IFERROR(__xludf.DUMMYFUNCTION("""COMPUTED_VALUE"""),137.6)</f>
        <v>137.6</v>
      </c>
      <c r="J4" s="3">
        <f ca="1">IFERROR(__xludf.DUMMYFUNCTION("""COMPUTED_VALUE"""),260.46)</f>
        <v>260.45999999999998</v>
      </c>
      <c r="K4" s="3">
        <f ca="1">IFERROR(__xludf.DUMMYFUNCTION("""COMPUTED_VALUE"""),148.29)</f>
        <v>148.29</v>
      </c>
      <c r="L4" s="3">
        <f ca="1">IFERROR(__xludf.DUMMYFUNCTION("""COMPUTED_VALUE"""),111.36)</f>
        <v>111.36</v>
      </c>
      <c r="M4" s="3">
        <f ca="1">IFERROR(__xludf.DUMMYFUNCTION("""COMPUTED_VALUE"""),68.74)</f>
        <v>68.739999999999995</v>
      </c>
      <c r="N4" s="3">
        <f ca="1">IFERROR(__xludf.DUMMYFUNCTION("""COMPUTED_VALUE"""),67.15)</f>
        <v>67.150000000000006</v>
      </c>
      <c r="O4" s="3">
        <f ca="1">IFERROR(__xludf.DUMMYFUNCTION("""COMPUTED_VALUE"""),76.52)</f>
        <v>76.52</v>
      </c>
      <c r="P4" s="3">
        <f ca="1">IFERROR(__xludf.DUMMYFUNCTION("""COMPUTED_VALUE"""),59.2)</f>
        <v>59.2</v>
      </c>
      <c r="Q4" s="3">
        <f ca="1">IFERROR(__xludf.DUMMYFUNCTION("""COMPUTED_VALUE"""),82.9)</f>
        <v>82.9</v>
      </c>
      <c r="R4" s="3">
        <f ca="1">IFERROR(__xludf.DUMMYFUNCTION("""COMPUTED_VALUE"""),90.53)</f>
        <v>90.53</v>
      </c>
      <c r="S4" s="3">
        <f ca="1">IFERROR(__xludf.DUMMYFUNCTION("""COMPUTED_VALUE"""),46.19)</f>
        <v>46.19</v>
      </c>
      <c r="T4" s="3">
        <f ca="1">IFERROR(__xludf.DUMMYFUNCTION("""COMPUTED_VALUE"""),21.11)</f>
        <v>21.11</v>
      </c>
      <c r="U4" s="3">
        <f ca="1">IFERROR(__xludf.DUMMYFUNCTION("""COMPUTED_VALUE"""),55.59)</f>
        <v>55.59</v>
      </c>
      <c r="V4" s="3">
        <f ca="1">IFERROR(__xludf.DUMMYFUNCTION("""COMPUTED_VALUE"""),76.32)</f>
        <v>76.319999999999993</v>
      </c>
      <c r="W4" s="3">
        <f ca="1">IFERROR(__xludf.DUMMYFUNCTION("""COMPUTED_VALUE"""),40.57)</f>
        <v>40.57</v>
      </c>
      <c r="X4" s="3">
        <f ca="1">IFERROR(__xludf.DUMMYFUNCTION("""COMPUTED_VALUE"""),99.9)</f>
        <v>99.9</v>
      </c>
      <c r="Y4" s="3">
        <f ca="1">IFERROR(__xludf.DUMMYFUNCTION("""COMPUTED_VALUE"""),57.14)</f>
        <v>57.14</v>
      </c>
      <c r="Z4" s="3">
        <f ca="1">IFERROR(__xludf.DUMMYFUNCTION("""COMPUTED_VALUE"""),89.6)</f>
        <v>89.6</v>
      </c>
      <c r="AA4" s="3">
        <f ca="1">IFERROR(__xludf.DUMMYFUNCTION("""COMPUTED_VALUE"""),51.13)</f>
        <v>51.13</v>
      </c>
      <c r="AB4" s="3">
        <f ca="1">IFERROR(__xludf.DUMMYFUNCTION("""COMPUTED_VALUE"""),74.21)</f>
        <v>74.209999999999994</v>
      </c>
      <c r="AC4" s="3">
        <f ca="1">IFERROR(__xludf.DUMMYFUNCTION("""COMPUTED_VALUE"""),66.85)</f>
        <v>66.849999999999994</v>
      </c>
      <c r="AD4" s="3">
        <f ca="1">IFERROR(__xludf.DUMMYFUNCTION("""COMPUTED_VALUE"""),18.06)</f>
        <v>18.059999999999999</v>
      </c>
      <c r="AE4" s="3">
        <f ca="1">IFERROR(__xludf.DUMMYFUNCTION("""COMPUTED_VALUE"""),29.22)</f>
        <v>29.22</v>
      </c>
      <c r="AF4" s="3">
        <f ca="1">IFERROR(__xludf.DUMMYFUNCTION("""COMPUTED_VALUE"""),7.66)</f>
        <v>7.66</v>
      </c>
      <c r="AG4" s="3">
        <f ca="1">IFERROR(__xludf.DUMMYFUNCTION("""COMPUTED_VALUE"""),88.36)</f>
        <v>88.36</v>
      </c>
    </row>
    <row r="5" spans="1:33" ht="15.75" customHeight="1" x14ac:dyDescent="0.2">
      <c r="A5" s="4">
        <f ca="1">IFERROR(__xludf.DUMMYFUNCTION("""COMPUTED_VALUE"""),44566.6666666666)</f>
        <v>44566.666666666599</v>
      </c>
      <c r="B5" s="3">
        <f ca="1">IFERROR(__xludf.DUMMYFUNCTION("""COMPUTED_VALUE"""),168.32)</f>
        <v>168.32</v>
      </c>
      <c r="C5" s="3">
        <f ca="1">IFERROR(__xludf.DUMMYFUNCTION("""COMPUTED_VALUE"""),441.02)</f>
        <v>441.02</v>
      </c>
      <c r="D5" s="3">
        <f ca="1">IFERROR(__xludf.DUMMYFUNCTION("""COMPUTED_VALUE"""),109.66)</f>
        <v>109.66</v>
      </c>
      <c r="E5" s="3">
        <f ca="1">IFERROR(__xludf.DUMMYFUNCTION("""COMPUTED_VALUE"""),177.56)</f>
        <v>177.56</v>
      </c>
      <c r="F5" s="3">
        <f ca="1">IFERROR(__xludf.DUMMYFUNCTION("""COMPUTED_VALUE"""),58.16)</f>
        <v>58.16</v>
      </c>
      <c r="G5" s="3">
        <f ca="1">IFERROR(__xludf.DUMMYFUNCTION("""COMPUTED_VALUE"""),34.8)</f>
        <v>34.799999999999997</v>
      </c>
      <c r="H5" s="3">
        <f ca="1">IFERROR(__xludf.DUMMYFUNCTION("""COMPUTED_VALUE"""),31.79)</f>
        <v>31.79</v>
      </c>
      <c r="I5" s="3">
        <f ca="1">IFERROR(__xludf.DUMMYFUNCTION("""COMPUTED_VALUE"""),136.62)</f>
        <v>136.62</v>
      </c>
      <c r="J5" s="3">
        <f ca="1">IFERROR(__xludf.DUMMYFUNCTION("""COMPUTED_VALUE"""),257.28)</f>
        <v>257.27999999999997</v>
      </c>
      <c r="K5" s="3">
        <f ca="1">IFERROR(__xludf.DUMMYFUNCTION("""COMPUTED_VALUE"""),142.5)</f>
        <v>142.5</v>
      </c>
      <c r="L5" s="3">
        <f ca="1">IFERROR(__xludf.DUMMYFUNCTION("""COMPUTED_VALUE"""),105.23)</f>
        <v>105.23</v>
      </c>
      <c r="M5" s="3">
        <f ca="1">IFERROR(__xludf.DUMMYFUNCTION("""COMPUTED_VALUE"""),65.84)</f>
        <v>65.84</v>
      </c>
      <c r="N5" s="3">
        <f ca="1">IFERROR(__xludf.DUMMYFUNCTION("""COMPUTED_VALUE"""),66.29)</f>
        <v>66.290000000000006</v>
      </c>
      <c r="O5" s="3">
        <f ca="1">IFERROR(__xludf.DUMMYFUNCTION("""COMPUTED_VALUE"""),72.48)</f>
        <v>72.48</v>
      </c>
      <c r="P5" s="3">
        <f ca="1">IFERROR(__xludf.DUMMYFUNCTION("""COMPUTED_VALUE"""),59.19)</f>
        <v>59.19</v>
      </c>
      <c r="Q5" s="3">
        <f ca="1">IFERROR(__xludf.DUMMYFUNCTION("""COMPUTED_VALUE"""),82.53)</f>
        <v>82.53</v>
      </c>
      <c r="R5" s="3">
        <f ca="1">IFERROR(__xludf.DUMMYFUNCTION("""COMPUTED_VALUE"""),90.52)</f>
        <v>90.52</v>
      </c>
      <c r="S5" s="3">
        <f ca="1">IFERROR(__xludf.DUMMYFUNCTION("""COMPUTED_VALUE"""),46.25)</f>
        <v>46.25</v>
      </c>
      <c r="T5" s="3">
        <f ca="1">IFERROR(__xludf.DUMMYFUNCTION("""COMPUTED_VALUE"""),21.02)</f>
        <v>21.02</v>
      </c>
      <c r="U5" s="3">
        <f ca="1">IFERROR(__xludf.DUMMYFUNCTION("""COMPUTED_VALUE"""),55.43)</f>
        <v>55.43</v>
      </c>
      <c r="V5" s="3">
        <f ca="1">IFERROR(__xludf.DUMMYFUNCTION("""COMPUTED_VALUE"""),71.21)</f>
        <v>71.209999999999994</v>
      </c>
      <c r="W5" s="3">
        <f ca="1">IFERROR(__xludf.DUMMYFUNCTION("""COMPUTED_VALUE"""),40.1)</f>
        <v>40.1</v>
      </c>
      <c r="X5" s="3">
        <f ca="1">IFERROR(__xludf.DUMMYFUNCTION("""COMPUTED_VALUE"""),98.48)</f>
        <v>98.48</v>
      </c>
      <c r="Y5" s="3">
        <f ca="1">IFERROR(__xludf.DUMMYFUNCTION("""COMPUTED_VALUE"""),56.71)</f>
        <v>56.71</v>
      </c>
      <c r="Z5" s="3">
        <f ca="1">IFERROR(__xludf.DUMMYFUNCTION("""COMPUTED_VALUE"""),88.38)</f>
        <v>88.38</v>
      </c>
      <c r="AA5" s="3">
        <f ca="1">IFERROR(__xludf.DUMMYFUNCTION("""COMPUTED_VALUE"""),49.47)</f>
        <v>49.47</v>
      </c>
      <c r="AB5" s="3">
        <f ca="1">IFERROR(__xludf.DUMMYFUNCTION("""COMPUTED_VALUE"""),73.73)</f>
        <v>73.73</v>
      </c>
      <c r="AC5" s="3">
        <f ca="1">IFERROR(__xludf.DUMMYFUNCTION("""COMPUTED_VALUE"""),65.91)</f>
        <v>65.91</v>
      </c>
      <c r="AD5" s="3">
        <f ca="1">IFERROR(__xludf.DUMMYFUNCTION("""COMPUTED_VALUE"""),17.07)</f>
        <v>17.07</v>
      </c>
      <c r="AE5" s="3">
        <f ca="1">IFERROR(__xludf.DUMMYFUNCTION("""COMPUTED_VALUE"""),27.64)</f>
        <v>27.64</v>
      </c>
      <c r="AF5" s="3">
        <f ca="1">IFERROR(__xludf.DUMMYFUNCTION("""COMPUTED_VALUE"""),7.01)</f>
        <v>7.01</v>
      </c>
      <c r="AG5" s="3">
        <f ca="1">IFERROR(__xludf.DUMMYFUNCTION("""COMPUTED_VALUE"""),81.22)</f>
        <v>81.22</v>
      </c>
    </row>
    <row r="6" spans="1:33" ht="15.75" customHeight="1" x14ac:dyDescent="0.2">
      <c r="A6" s="4">
        <f ca="1">IFERROR(__xludf.DUMMYFUNCTION("""COMPUTED_VALUE"""),44567.6666666666)</f>
        <v>44567.666666666599</v>
      </c>
      <c r="B6" s="3">
        <f ca="1">IFERROR(__xludf.DUMMYFUNCTION("""COMPUTED_VALUE"""),167.47)</f>
        <v>167.47</v>
      </c>
      <c r="C6" s="3">
        <f ca="1">IFERROR(__xludf.DUMMYFUNCTION("""COMPUTED_VALUE"""),439.35)</f>
        <v>439.35</v>
      </c>
      <c r="D6" s="3">
        <f ca="1">IFERROR(__xludf.DUMMYFUNCTION("""COMPUTED_VALUE"""),109.53)</f>
        <v>109.53</v>
      </c>
      <c r="E6" s="3">
        <f ca="1">IFERROR(__xludf.DUMMYFUNCTION("""COMPUTED_VALUE"""),178.94)</f>
        <v>178.94</v>
      </c>
      <c r="F6" s="3">
        <f ca="1">IFERROR(__xludf.DUMMYFUNCTION("""COMPUTED_VALUE"""),58.18)</f>
        <v>58.18</v>
      </c>
      <c r="G6" s="3">
        <f ca="1">IFERROR(__xludf.DUMMYFUNCTION("""COMPUTED_VALUE"""),34.47)</f>
        <v>34.47</v>
      </c>
      <c r="H6" s="3">
        <f ca="1">IFERROR(__xludf.DUMMYFUNCTION("""COMPUTED_VALUE"""),31.8)</f>
        <v>31.8</v>
      </c>
      <c r="I6" s="3">
        <f ca="1">IFERROR(__xludf.DUMMYFUNCTION("""COMPUTED_VALUE"""),135.04)</f>
        <v>135.04</v>
      </c>
      <c r="J6" s="3">
        <f ca="1">IFERROR(__xludf.DUMMYFUNCTION("""COMPUTED_VALUE"""),254.04)</f>
        <v>254.04</v>
      </c>
      <c r="K6" s="3">
        <f ca="1">IFERROR(__xludf.DUMMYFUNCTION("""COMPUTED_VALUE"""),142.42)</f>
        <v>142.41999999999999</v>
      </c>
      <c r="L6" s="3">
        <f ca="1">IFERROR(__xludf.DUMMYFUNCTION("""COMPUTED_VALUE"""),105.2)</f>
        <v>105.2</v>
      </c>
      <c r="M6" s="3">
        <f ca="1">IFERROR(__xludf.DUMMYFUNCTION("""COMPUTED_VALUE"""),66.08)</f>
        <v>66.08</v>
      </c>
      <c r="N6" s="3">
        <f ca="1">IFERROR(__xludf.DUMMYFUNCTION("""COMPUTED_VALUE"""),65.56)</f>
        <v>65.56</v>
      </c>
      <c r="O6" s="3">
        <f ca="1">IFERROR(__xludf.DUMMYFUNCTION("""COMPUTED_VALUE"""),72.44)</f>
        <v>72.44</v>
      </c>
      <c r="P6" s="3">
        <f ca="1">IFERROR(__xludf.DUMMYFUNCTION("""COMPUTED_VALUE"""),60.51)</f>
        <v>60.51</v>
      </c>
      <c r="Q6" s="3">
        <f ca="1">IFERROR(__xludf.DUMMYFUNCTION("""COMPUTED_VALUE"""),84.48)</f>
        <v>84.48</v>
      </c>
      <c r="R6" s="3">
        <f ca="1">IFERROR(__xludf.DUMMYFUNCTION("""COMPUTED_VALUE"""),89.38)</f>
        <v>89.38</v>
      </c>
      <c r="S6" s="3">
        <f ca="1">IFERROR(__xludf.DUMMYFUNCTION("""COMPUTED_VALUE"""),45.57)</f>
        <v>45.57</v>
      </c>
      <c r="T6" s="3">
        <f ca="1">IFERROR(__xludf.DUMMYFUNCTION("""COMPUTED_VALUE"""),21.2)</f>
        <v>21.2</v>
      </c>
      <c r="U6" s="3">
        <f ca="1">IFERROR(__xludf.DUMMYFUNCTION("""COMPUTED_VALUE"""),56.89)</f>
        <v>56.89</v>
      </c>
      <c r="V6" s="3">
        <f ca="1">IFERROR(__xludf.DUMMYFUNCTION("""COMPUTED_VALUE"""),70.63)</f>
        <v>70.63</v>
      </c>
      <c r="W6" s="3">
        <f ca="1">IFERROR(__xludf.DUMMYFUNCTION("""COMPUTED_VALUE"""),40.69)</f>
        <v>40.69</v>
      </c>
      <c r="X6" s="3">
        <f ca="1">IFERROR(__xludf.DUMMYFUNCTION("""COMPUTED_VALUE"""),100.1)</f>
        <v>100.1</v>
      </c>
      <c r="Y6" s="3">
        <f ca="1">IFERROR(__xludf.DUMMYFUNCTION("""COMPUTED_VALUE"""),58.64)</f>
        <v>58.64</v>
      </c>
      <c r="Z6" s="3">
        <f ca="1">IFERROR(__xludf.DUMMYFUNCTION("""COMPUTED_VALUE"""),89.79)</f>
        <v>89.79</v>
      </c>
      <c r="AA6" s="3">
        <f ca="1">IFERROR(__xludf.DUMMYFUNCTION("""COMPUTED_VALUE"""),49.53)</f>
        <v>49.53</v>
      </c>
      <c r="AB6" s="3">
        <f ca="1">IFERROR(__xludf.DUMMYFUNCTION("""COMPUTED_VALUE"""),76.52)</f>
        <v>76.52</v>
      </c>
      <c r="AC6" s="3">
        <f ca="1">IFERROR(__xludf.DUMMYFUNCTION("""COMPUTED_VALUE"""),66.76)</f>
        <v>66.760000000000005</v>
      </c>
      <c r="AD6" s="3">
        <f ca="1">IFERROR(__xludf.DUMMYFUNCTION("""COMPUTED_VALUE"""),16.86)</f>
        <v>16.86</v>
      </c>
      <c r="AE6" s="3">
        <f ca="1">IFERROR(__xludf.DUMMYFUNCTION("""COMPUTED_VALUE"""),27.28)</f>
        <v>27.28</v>
      </c>
      <c r="AF6" s="3">
        <f ca="1">IFERROR(__xludf.DUMMYFUNCTION("""COMPUTED_VALUE"""),6.91)</f>
        <v>6.91</v>
      </c>
      <c r="AG6" s="3">
        <f ca="1">IFERROR(__xludf.DUMMYFUNCTION("""COMPUTED_VALUE"""),79.72)</f>
        <v>79.72</v>
      </c>
    </row>
    <row r="7" spans="1:33" ht="15.75" customHeight="1" x14ac:dyDescent="0.2">
      <c r="A7" s="4">
        <f ca="1">IFERROR(__xludf.DUMMYFUNCTION("""COMPUTED_VALUE"""),44568.6666666666)</f>
        <v>44568.666666666599</v>
      </c>
      <c r="B7" s="3">
        <f ca="1">IFERROR(__xludf.DUMMYFUNCTION("""COMPUTED_VALUE"""),165.93)</f>
        <v>165.93</v>
      </c>
      <c r="C7" s="3">
        <f ca="1">IFERROR(__xludf.DUMMYFUNCTION("""COMPUTED_VALUE"""),434.86)</f>
        <v>434.86</v>
      </c>
      <c r="D7" s="3">
        <f ca="1">IFERROR(__xludf.DUMMYFUNCTION("""COMPUTED_VALUE"""),108.42)</f>
        <v>108.42</v>
      </c>
      <c r="E7" s="3">
        <f ca="1">IFERROR(__xludf.DUMMYFUNCTION("""COMPUTED_VALUE"""),173.75)</f>
        <v>173.75</v>
      </c>
      <c r="F7" s="3">
        <f ca="1">IFERROR(__xludf.DUMMYFUNCTION("""COMPUTED_VALUE"""),57.94)</f>
        <v>57.94</v>
      </c>
      <c r="G7" s="3">
        <f ca="1">IFERROR(__xludf.DUMMYFUNCTION("""COMPUTED_VALUE"""),33.9)</f>
        <v>33.9</v>
      </c>
      <c r="H7" s="3">
        <f ca="1">IFERROR(__xludf.DUMMYFUNCTION("""COMPUTED_VALUE"""),31.52)</f>
        <v>31.52</v>
      </c>
      <c r="I7" s="3">
        <f ca="1">IFERROR(__xludf.DUMMYFUNCTION("""COMPUTED_VALUE"""),134.35)</f>
        <v>134.35</v>
      </c>
      <c r="J7" s="3">
        <f ca="1">IFERROR(__xludf.DUMMYFUNCTION("""COMPUTED_VALUE"""),252.48)</f>
        <v>252.48</v>
      </c>
      <c r="K7" s="3">
        <f ca="1">IFERROR(__xludf.DUMMYFUNCTION("""COMPUTED_VALUE"""),140.55)</f>
        <v>140.55000000000001</v>
      </c>
      <c r="L7" s="3">
        <f ca="1">IFERROR(__xludf.DUMMYFUNCTION("""COMPUTED_VALUE"""),102.99)</f>
        <v>102.99</v>
      </c>
      <c r="M7" s="3">
        <f ca="1">IFERROR(__xludf.DUMMYFUNCTION("""COMPUTED_VALUE"""),65.28)</f>
        <v>65.28</v>
      </c>
      <c r="N7" s="3">
        <f ca="1">IFERROR(__xludf.DUMMYFUNCTION("""COMPUTED_VALUE"""),65.06)</f>
        <v>65.06</v>
      </c>
      <c r="O7" s="3">
        <f ca="1">IFERROR(__xludf.DUMMYFUNCTION("""COMPUTED_VALUE"""),71.24)</f>
        <v>71.239999999999995</v>
      </c>
      <c r="P7" s="3">
        <f ca="1">IFERROR(__xludf.DUMMYFUNCTION("""COMPUTED_VALUE"""),61.34)</f>
        <v>61.34</v>
      </c>
      <c r="Q7" s="3">
        <f ca="1">IFERROR(__xludf.DUMMYFUNCTION("""COMPUTED_VALUE"""),85.52)</f>
        <v>85.52</v>
      </c>
      <c r="R7" s="3">
        <f ca="1">IFERROR(__xludf.DUMMYFUNCTION("""COMPUTED_VALUE"""),89.3)</f>
        <v>89.3</v>
      </c>
      <c r="S7" s="3">
        <f ca="1">IFERROR(__xludf.DUMMYFUNCTION("""COMPUTED_VALUE"""),46.07)</f>
        <v>46.07</v>
      </c>
      <c r="T7" s="3">
        <f ca="1">IFERROR(__xludf.DUMMYFUNCTION("""COMPUTED_VALUE"""),21.24)</f>
        <v>21.24</v>
      </c>
      <c r="U7" s="3">
        <f ca="1">IFERROR(__xludf.DUMMYFUNCTION("""COMPUTED_VALUE"""),56.67)</f>
        <v>56.67</v>
      </c>
      <c r="V7" s="3">
        <f ca="1">IFERROR(__xludf.DUMMYFUNCTION("""COMPUTED_VALUE"""),70.75)</f>
        <v>70.75</v>
      </c>
      <c r="W7" s="3">
        <f ca="1">IFERROR(__xludf.DUMMYFUNCTION("""COMPUTED_VALUE"""),41.17)</f>
        <v>41.17</v>
      </c>
      <c r="X7" s="3">
        <f ca="1">IFERROR(__xludf.DUMMYFUNCTION("""COMPUTED_VALUE"""),101.06)</f>
        <v>101.06</v>
      </c>
      <c r="Y7" s="3">
        <f ca="1">IFERROR(__xludf.DUMMYFUNCTION("""COMPUTED_VALUE"""),59.28)</f>
        <v>59.28</v>
      </c>
      <c r="Z7" s="3">
        <f ca="1">IFERROR(__xludf.DUMMYFUNCTION("""COMPUTED_VALUE"""),90.64)</f>
        <v>90.64</v>
      </c>
      <c r="AA7" s="3">
        <f ca="1">IFERROR(__xludf.DUMMYFUNCTION("""COMPUTED_VALUE"""),49.27)</f>
        <v>49.27</v>
      </c>
      <c r="AB7" s="3">
        <f ca="1">IFERROR(__xludf.DUMMYFUNCTION("""COMPUTED_VALUE"""),77.27)</f>
        <v>77.27</v>
      </c>
      <c r="AC7" s="3">
        <f ca="1">IFERROR(__xludf.DUMMYFUNCTION("""COMPUTED_VALUE"""),67.16)</f>
        <v>67.16</v>
      </c>
      <c r="AD7" s="3">
        <f ca="1">IFERROR(__xludf.DUMMYFUNCTION("""COMPUTED_VALUE"""),16.32)</f>
        <v>16.32</v>
      </c>
      <c r="AE7" s="3">
        <f ca="1">IFERROR(__xludf.DUMMYFUNCTION("""COMPUTED_VALUE"""),26.41)</f>
        <v>26.41</v>
      </c>
      <c r="AF7" s="3">
        <f ca="1">IFERROR(__xludf.DUMMYFUNCTION("""COMPUTED_VALUE"""),6.96)</f>
        <v>6.96</v>
      </c>
      <c r="AG7" s="3">
        <f ca="1">IFERROR(__xludf.DUMMYFUNCTION("""COMPUTED_VALUE"""),78.76)</f>
        <v>78.760000000000005</v>
      </c>
    </row>
    <row r="8" spans="1:33" ht="15.75" customHeight="1" x14ac:dyDescent="0.2">
      <c r="A8" s="4">
        <f ca="1">IFERROR(__xludf.DUMMYFUNCTION("""COMPUTED_VALUE"""),44571.6666666666)</f>
        <v>44571.666666666599</v>
      </c>
      <c r="B8" s="3">
        <f ca="1">IFERROR(__xludf.DUMMYFUNCTION("""COMPUTED_VALUE"""),165.96)</f>
        <v>165.96</v>
      </c>
      <c r="C8" s="3">
        <f ca="1">IFERROR(__xludf.DUMMYFUNCTION("""COMPUTED_VALUE"""),435.32)</f>
        <v>435.32</v>
      </c>
      <c r="D8" s="3">
        <f ca="1">IFERROR(__xludf.DUMMYFUNCTION("""COMPUTED_VALUE"""),108.83)</f>
        <v>108.83</v>
      </c>
      <c r="E8" s="3">
        <f ca="1">IFERROR(__xludf.DUMMYFUNCTION("""COMPUTED_VALUE"""),173.81)</f>
        <v>173.81</v>
      </c>
      <c r="F8" s="3">
        <f ca="1">IFERROR(__xludf.DUMMYFUNCTION("""COMPUTED_VALUE"""),58.39)</f>
        <v>58.39</v>
      </c>
      <c r="G8" s="3">
        <f ca="1">IFERROR(__xludf.DUMMYFUNCTION("""COMPUTED_VALUE"""),33.43)</f>
        <v>33.43</v>
      </c>
      <c r="H8" s="3">
        <f ca="1">IFERROR(__xludf.DUMMYFUNCTION("""COMPUTED_VALUE"""),31.58)</f>
        <v>31.58</v>
      </c>
      <c r="I8" s="3">
        <f ca="1">IFERROR(__xludf.DUMMYFUNCTION("""COMPUTED_VALUE"""),135.73)</f>
        <v>135.72999999999999</v>
      </c>
      <c r="J8" s="3">
        <f ca="1">IFERROR(__xludf.DUMMYFUNCTION("""COMPUTED_VALUE"""),255.19)</f>
        <v>255.19</v>
      </c>
      <c r="K8" s="3">
        <f ca="1">IFERROR(__xludf.DUMMYFUNCTION("""COMPUTED_VALUE"""),142.16)</f>
        <v>142.16</v>
      </c>
      <c r="L8" s="3">
        <f ca="1">IFERROR(__xludf.DUMMYFUNCTION("""COMPUTED_VALUE"""),103.14)</f>
        <v>103.14</v>
      </c>
      <c r="M8" s="3">
        <f ca="1">IFERROR(__xludf.DUMMYFUNCTION("""COMPUTED_VALUE"""),66)</f>
        <v>66</v>
      </c>
      <c r="N8" s="3">
        <f ca="1">IFERROR(__xludf.DUMMYFUNCTION("""COMPUTED_VALUE"""),65.69)</f>
        <v>65.69</v>
      </c>
      <c r="O8" s="3">
        <f ca="1">IFERROR(__xludf.DUMMYFUNCTION("""COMPUTED_VALUE"""),71.48)</f>
        <v>71.48</v>
      </c>
      <c r="P8" s="3">
        <f ca="1">IFERROR(__xludf.DUMMYFUNCTION("""COMPUTED_VALUE"""),61.15)</f>
        <v>61.15</v>
      </c>
      <c r="Q8" s="3">
        <f ca="1">IFERROR(__xludf.DUMMYFUNCTION("""COMPUTED_VALUE"""),85.24)</f>
        <v>85.24</v>
      </c>
      <c r="R8" s="3">
        <f ca="1">IFERROR(__xludf.DUMMYFUNCTION("""COMPUTED_VALUE"""),88.39)</f>
        <v>88.39</v>
      </c>
      <c r="S8" s="3">
        <f ca="1">IFERROR(__xludf.DUMMYFUNCTION("""COMPUTED_VALUE"""),45.69)</f>
        <v>45.69</v>
      </c>
      <c r="T8" s="3">
        <f ca="1">IFERROR(__xludf.DUMMYFUNCTION("""COMPUTED_VALUE"""),21.15)</f>
        <v>21.15</v>
      </c>
      <c r="U8" s="3">
        <f ca="1">IFERROR(__xludf.DUMMYFUNCTION("""COMPUTED_VALUE"""),56.16)</f>
        <v>56.16</v>
      </c>
      <c r="V8" s="3">
        <f ca="1">IFERROR(__xludf.DUMMYFUNCTION("""COMPUTED_VALUE"""),70.7)</f>
        <v>70.7</v>
      </c>
      <c r="W8" s="3">
        <f ca="1">IFERROR(__xludf.DUMMYFUNCTION("""COMPUTED_VALUE"""),41.03)</f>
        <v>41.03</v>
      </c>
      <c r="X8" s="3">
        <f ca="1">IFERROR(__xludf.DUMMYFUNCTION("""COMPUTED_VALUE"""),100.77)</f>
        <v>100.77</v>
      </c>
      <c r="Y8" s="3">
        <f ca="1">IFERROR(__xludf.DUMMYFUNCTION("""COMPUTED_VALUE"""),59.28)</f>
        <v>59.28</v>
      </c>
      <c r="Z8" s="3">
        <f ca="1">IFERROR(__xludf.DUMMYFUNCTION("""COMPUTED_VALUE"""),90.37)</f>
        <v>90.37</v>
      </c>
      <c r="AA8" s="3">
        <f ca="1">IFERROR(__xludf.DUMMYFUNCTION("""COMPUTED_VALUE"""),48.98)</f>
        <v>48.98</v>
      </c>
      <c r="AB8" s="3">
        <f ca="1">IFERROR(__xludf.DUMMYFUNCTION("""COMPUTED_VALUE"""),77.15)</f>
        <v>77.150000000000006</v>
      </c>
      <c r="AC8" s="3">
        <f ca="1">IFERROR(__xludf.DUMMYFUNCTION("""COMPUTED_VALUE"""),66.78)</f>
        <v>66.78</v>
      </c>
      <c r="AD8" s="3">
        <f ca="1">IFERROR(__xludf.DUMMYFUNCTION("""COMPUTED_VALUE"""),16.25)</f>
        <v>16.25</v>
      </c>
      <c r="AE8" s="3">
        <f ca="1">IFERROR(__xludf.DUMMYFUNCTION("""COMPUTED_VALUE"""),26.31)</f>
        <v>26.31</v>
      </c>
      <c r="AF8" s="3">
        <f ca="1">IFERROR(__xludf.DUMMYFUNCTION("""COMPUTED_VALUE"""),6.8)</f>
        <v>6.8</v>
      </c>
      <c r="AG8" s="3">
        <f ca="1">IFERROR(__xludf.DUMMYFUNCTION("""COMPUTED_VALUE"""),77.36)</f>
        <v>77.36</v>
      </c>
    </row>
    <row r="9" spans="1:33" ht="15.75" customHeight="1" x14ac:dyDescent="0.2">
      <c r="A9" s="4">
        <f ca="1">IFERROR(__xludf.DUMMYFUNCTION("""COMPUTED_VALUE"""),44572.6666666666)</f>
        <v>44572.666666666599</v>
      </c>
      <c r="B9" s="3">
        <f ca="1">IFERROR(__xludf.DUMMYFUNCTION("""COMPUTED_VALUE"""),167.95)</f>
        <v>167.95</v>
      </c>
      <c r="C9" s="3">
        <f ca="1">IFERROR(__xludf.DUMMYFUNCTION("""COMPUTED_VALUE"""),441.07)</f>
        <v>441.07</v>
      </c>
      <c r="D9" s="3">
        <f ca="1">IFERROR(__xludf.DUMMYFUNCTION("""COMPUTED_VALUE"""),110.26)</f>
        <v>110.26</v>
      </c>
      <c r="E9" s="3">
        <f ca="1">IFERROR(__xludf.DUMMYFUNCTION("""COMPUTED_VALUE"""),177.08)</f>
        <v>177.08</v>
      </c>
      <c r="F9" s="3">
        <f ca="1">IFERROR(__xludf.DUMMYFUNCTION("""COMPUTED_VALUE"""),59.11)</f>
        <v>59.11</v>
      </c>
      <c r="G9" s="3">
        <f ca="1">IFERROR(__xludf.DUMMYFUNCTION("""COMPUTED_VALUE"""),33.63)</f>
        <v>33.630000000000003</v>
      </c>
      <c r="H9" s="3">
        <f ca="1">IFERROR(__xludf.DUMMYFUNCTION("""COMPUTED_VALUE"""),31.95)</f>
        <v>31.95</v>
      </c>
      <c r="I9" s="3">
        <f ca="1">IFERROR(__xludf.DUMMYFUNCTION("""COMPUTED_VALUE"""),136.81)</f>
        <v>136.81</v>
      </c>
      <c r="J9" s="3">
        <f ca="1">IFERROR(__xludf.DUMMYFUNCTION("""COMPUTED_VALUE"""),257.29)</f>
        <v>257.29000000000002</v>
      </c>
      <c r="K9" s="3">
        <f ca="1">IFERROR(__xludf.DUMMYFUNCTION("""COMPUTED_VALUE"""),143.52)</f>
        <v>143.52000000000001</v>
      </c>
      <c r="L9" s="3">
        <f ca="1">IFERROR(__xludf.DUMMYFUNCTION("""COMPUTED_VALUE"""),103.89)</f>
        <v>103.89</v>
      </c>
      <c r="M9" s="3">
        <f ca="1">IFERROR(__xludf.DUMMYFUNCTION("""COMPUTED_VALUE"""),66.16)</f>
        <v>66.16</v>
      </c>
      <c r="N9" s="3">
        <f ca="1">IFERROR(__xludf.DUMMYFUNCTION("""COMPUTED_VALUE"""),66.22)</f>
        <v>66.22</v>
      </c>
      <c r="O9" s="3">
        <f ca="1">IFERROR(__xludf.DUMMYFUNCTION("""COMPUTED_VALUE"""),72)</f>
        <v>72</v>
      </c>
      <c r="P9" s="3">
        <f ca="1">IFERROR(__xludf.DUMMYFUNCTION("""COMPUTED_VALUE"""),63.23)</f>
        <v>63.23</v>
      </c>
      <c r="Q9" s="3">
        <f ca="1">IFERROR(__xludf.DUMMYFUNCTION("""COMPUTED_VALUE"""),88.22)</f>
        <v>88.22</v>
      </c>
      <c r="R9" s="3">
        <f ca="1">IFERROR(__xludf.DUMMYFUNCTION("""COMPUTED_VALUE"""),89.36)</f>
        <v>89.36</v>
      </c>
      <c r="S9" s="3">
        <f ca="1">IFERROR(__xludf.DUMMYFUNCTION("""COMPUTED_VALUE"""),46.49)</f>
        <v>46.49</v>
      </c>
      <c r="T9" s="3">
        <f ca="1">IFERROR(__xludf.DUMMYFUNCTION("""COMPUTED_VALUE"""),21.56)</f>
        <v>21.56</v>
      </c>
      <c r="U9" s="3">
        <f ca="1">IFERROR(__xludf.DUMMYFUNCTION("""COMPUTED_VALUE"""),58.16)</f>
        <v>58.16</v>
      </c>
      <c r="V9" s="3">
        <f ca="1">IFERROR(__xludf.DUMMYFUNCTION("""COMPUTED_VALUE"""),71.91)</f>
        <v>71.91</v>
      </c>
      <c r="W9" s="3">
        <f ca="1">IFERROR(__xludf.DUMMYFUNCTION("""COMPUTED_VALUE"""),41.39)</f>
        <v>41.39</v>
      </c>
      <c r="X9" s="3">
        <f ca="1">IFERROR(__xludf.DUMMYFUNCTION("""COMPUTED_VALUE"""),101.74)</f>
        <v>101.74</v>
      </c>
      <c r="Y9" s="3">
        <f ca="1">IFERROR(__xludf.DUMMYFUNCTION("""COMPUTED_VALUE"""),59.63)</f>
        <v>59.63</v>
      </c>
      <c r="Z9" s="3">
        <f ca="1">IFERROR(__xludf.DUMMYFUNCTION("""COMPUTED_VALUE"""),91.28)</f>
        <v>91.28</v>
      </c>
      <c r="AA9" s="3">
        <f ca="1">IFERROR(__xludf.DUMMYFUNCTION("""COMPUTED_VALUE"""),48.9)</f>
        <v>48.9</v>
      </c>
      <c r="AB9" s="3">
        <f ca="1">IFERROR(__xludf.DUMMYFUNCTION("""COMPUTED_VALUE"""),77.42)</f>
        <v>77.42</v>
      </c>
      <c r="AC9" s="3">
        <f ca="1">IFERROR(__xludf.DUMMYFUNCTION("""COMPUTED_VALUE"""),67.56)</f>
        <v>67.56</v>
      </c>
      <c r="AD9" s="3">
        <f ca="1">IFERROR(__xludf.DUMMYFUNCTION("""COMPUTED_VALUE"""),16.71)</f>
        <v>16.71</v>
      </c>
      <c r="AE9" s="3">
        <f ca="1">IFERROR(__xludf.DUMMYFUNCTION("""COMPUTED_VALUE"""),27.01)</f>
        <v>27.01</v>
      </c>
      <c r="AF9" s="3">
        <f ca="1">IFERROR(__xludf.DUMMYFUNCTION("""COMPUTED_VALUE"""),7.07)</f>
        <v>7.07</v>
      </c>
      <c r="AG9" s="3">
        <f ca="1">IFERROR(__xludf.DUMMYFUNCTION("""COMPUTED_VALUE"""),82.56)</f>
        <v>82.56</v>
      </c>
    </row>
    <row r="10" spans="1:33" ht="15.75" customHeight="1" x14ac:dyDescent="0.2">
      <c r="A10" s="4">
        <f ca="1">IFERROR(__xludf.DUMMYFUNCTION("""COMPUTED_VALUE"""),44573.6666666666)</f>
        <v>44573.666666666599</v>
      </c>
      <c r="B10" s="3">
        <f ca="1">IFERROR(__xludf.DUMMYFUNCTION("""COMPUTED_VALUE"""),168.74)</f>
        <v>168.74</v>
      </c>
      <c r="C10" s="3">
        <f ca="1">IFERROR(__xludf.DUMMYFUNCTION("""COMPUTED_VALUE"""),442.51)</f>
        <v>442.51</v>
      </c>
      <c r="D10" s="3">
        <f ca="1">IFERROR(__xludf.DUMMYFUNCTION("""COMPUTED_VALUE"""),110.79)</f>
        <v>110.79</v>
      </c>
      <c r="E10" s="3">
        <f ca="1">IFERROR(__xludf.DUMMYFUNCTION("""COMPUTED_VALUE"""),178.38)</f>
        <v>178.38</v>
      </c>
      <c r="F10" s="3">
        <f ca="1">IFERROR(__xludf.DUMMYFUNCTION("""COMPUTED_VALUE"""),58.71)</f>
        <v>58.71</v>
      </c>
      <c r="G10" s="3">
        <f ca="1">IFERROR(__xludf.DUMMYFUNCTION("""COMPUTED_VALUE"""),33.98)</f>
        <v>33.979999999999997</v>
      </c>
      <c r="H10" s="3">
        <f ca="1">IFERROR(__xludf.DUMMYFUNCTION("""COMPUTED_VALUE"""),31.85)</f>
        <v>31.85</v>
      </c>
      <c r="I10" s="3">
        <f ca="1">IFERROR(__xludf.DUMMYFUNCTION("""COMPUTED_VALUE"""),136.42)</f>
        <v>136.41999999999999</v>
      </c>
      <c r="J10" s="3">
        <f ca="1">IFERROR(__xludf.DUMMYFUNCTION("""COMPUTED_VALUE"""),255.83)</f>
        <v>255.83</v>
      </c>
      <c r="K10" s="3">
        <f ca="1">IFERROR(__xludf.DUMMYFUNCTION("""COMPUTED_VALUE"""),141.93)</f>
        <v>141.93</v>
      </c>
      <c r="L10" s="3">
        <f ca="1">IFERROR(__xludf.DUMMYFUNCTION("""COMPUTED_VALUE"""),100.6)</f>
        <v>100.6</v>
      </c>
      <c r="M10" s="3">
        <f ca="1">IFERROR(__xludf.DUMMYFUNCTION("""COMPUTED_VALUE"""),64.64)</f>
        <v>64.64</v>
      </c>
      <c r="N10" s="3">
        <f ca="1">IFERROR(__xludf.DUMMYFUNCTION("""COMPUTED_VALUE"""),65.94)</f>
        <v>65.94</v>
      </c>
      <c r="O10" s="3">
        <f ca="1">IFERROR(__xludf.DUMMYFUNCTION("""COMPUTED_VALUE"""),70.52)</f>
        <v>70.52</v>
      </c>
      <c r="P10" s="3">
        <f ca="1">IFERROR(__xludf.DUMMYFUNCTION("""COMPUTED_VALUE"""),63.35)</f>
        <v>63.35</v>
      </c>
      <c r="Q10" s="3">
        <f ca="1">IFERROR(__xludf.DUMMYFUNCTION("""COMPUTED_VALUE"""),88.55)</f>
        <v>88.55</v>
      </c>
      <c r="R10" s="3">
        <f ca="1">IFERROR(__xludf.DUMMYFUNCTION("""COMPUTED_VALUE"""),90.26)</f>
        <v>90.26</v>
      </c>
      <c r="S10" s="3">
        <f ca="1">IFERROR(__xludf.DUMMYFUNCTION("""COMPUTED_VALUE"""),47.54)</f>
        <v>47.54</v>
      </c>
      <c r="T10" s="3">
        <f ca="1">IFERROR(__xludf.DUMMYFUNCTION("""COMPUTED_VALUE"""),21.73)</f>
        <v>21.73</v>
      </c>
      <c r="U10" s="3">
        <f ca="1">IFERROR(__xludf.DUMMYFUNCTION("""COMPUTED_VALUE"""),58.91)</f>
        <v>58.91</v>
      </c>
      <c r="V10" s="3">
        <f ca="1">IFERROR(__xludf.DUMMYFUNCTION("""COMPUTED_VALUE"""),72.23)</f>
        <v>72.23</v>
      </c>
      <c r="W10" s="3">
        <f ca="1">IFERROR(__xludf.DUMMYFUNCTION("""COMPUTED_VALUE"""),41.42)</f>
        <v>41.42</v>
      </c>
      <c r="X10" s="3">
        <f ca="1">IFERROR(__xludf.DUMMYFUNCTION("""COMPUTED_VALUE"""),101.75)</f>
        <v>101.75</v>
      </c>
      <c r="Y10" s="3">
        <f ca="1">IFERROR(__xludf.DUMMYFUNCTION("""COMPUTED_VALUE"""),59.79)</f>
        <v>59.79</v>
      </c>
      <c r="Z10" s="3">
        <f ca="1">IFERROR(__xludf.DUMMYFUNCTION("""COMPUTED_VALUE"""),91.32)</f>
        <v>91.32</v>
      </c>
      <c r="AA10" s="3">
        <f ca="1">IFERROR(__xludf.DUMMYFUNCTION("""COMPUTED_VALUE"""),49.03)</f>
        <v>49.03</v>
      </c>
      <c r="AB10" s="3">
        <f ca="1">IFERROR(__xludf.DUMMYFUNCTION("""COMPUTED_VALUE"""),77.63)</f>
        <v>77.63</v>
      </c>
      <c r="AC10" s="3">
        <f ca="1">IFERROR(__xludf.DUMMYFUNCTION("""COMPUTED_VALUE"""),67.65)</f>
        <v>67.650000000000006</v>
      </c>
      <c r="AD10" s="3">
        <f ca="1">IFERROR(__xludf.DUMMYFUNCTION("""COMPUTED_VALUE"""),17.08)</f>
        <v>17.079999999999998</v>
      </c>
      <c r="AE10" s="3">
        <f ca="1">IFERROR(__xludf.DUMMYFUNCTION("""COMPUTED_VALUE"""),27.62)</f>
        <v>27.62</v>
      </c>
      <c r="AF10" s="3">
        <f ca="1">IFERROR(__xludf.DUMMYFUNCTION("""COMPUTED_VALUE"""),7.13)</f>
        <v>7.13</v>
      </c>
      <c r="AG10" s="3">
        <f ca="1">IFERROR(__xludf.DUMMYFUNCTION("""COMPUTED_VALUE"""),83.76)</f>
        <v>83.76</v>
      </c>
    </row>
    <row r="11" spans="1:33" ht="15.75" customHeight="1" x14ac:dyDescent="0.2">
      <c r="A11" s="4">
        <f ca="1">IFERROR(__xludf.DUMMYFUNCTION("""COMPUTED_VALUE"""),44574.6666666666)</f>
        <v>44574.666666666599</v>
      </c>
      <c r="B11" s="3">
        <f ca="1">IFERROR(__xludf.DUMMYFUNCTION("""COMPUTED_VALUE"""),164.37)</f>
        <v>164.37</v>
      </c>
      <c r="C11" s="3">
        <f ca="1">IFERROR(__xludf.DUMMYFUNCTION("""COMPUTED_VALUE"""),430)</f>
        <v>430</v>
      </c>
      <c r="D11" s="3">
        <f ca="1">IFERROR(__xludf.DUMMYFUNCTION("""COMPUTED_VALUE"""),107.58)</f>
        <v>107.58</v>
      </c>
      <c r="E11" s="3">
        <f ca="1">IFERROR(__xludf.DUMMYFUNCTION("""COMPUTED_VALUE"""),174.22)</f>
        <v>174.22</v>
      </c>
      <c r="F11" s="3">
        <f ca="1">IFERROR(__xludf.DUMMYFUNCTION("""COMPUTED_VALUE"""),57.13)</f>
        <v>57.13</v>
      </c>
      <c r="G11" s="3">
        <f ca="1">IFERROR(__xludf.DUMMYFUNCTION("""COMPUTED_VALUE"""),32.74)</f>
        <v>32.74</v>
      </c>
      <c r="H11" s="3">
        <f ca="1">IFERROR(__xludf.DUMMYFUNCTION("""COMPUTED_VALUE"""),31.12)</f>
        <v>31.12</v>
      </c>
      <c r="I11" s="3">
        <f ca="1">IFERROR(__xludf.DUMMYFUNCTION("""COMPUTED_VALUE"""),134.3)</f>
        <v>134.30000000000001</v>
      </c>
      <c r="J11" s="3">
        <f ca="1">IFERROR(__xludf.DUMMYFUNCTION("""COMPUTED_VALUE"""),251.4)</f>
        <v>251.4</v>
      </c>
      <c r="K11" s="3">
        <f ca="1">IFERROR(__xludf.DUMMYFUNCTION("""COMPUTED_VALUE"""),138.05)</f>
        <v>138.05000000000001</v>
      </c>
      <c r="L11" s="3">
        <f ca="1">IFERROR(__xludf.DUMMYFUNCTION("""COMPUTED_VALUE"""),98.1)</f>
        <v>98.1</v>
      </c>
      <c r="M11" s="3">
        <f ca="1">IFERROR(__xludf.DUMMYFUNCTION("""COMPUTED_VALUE"""),63)</f>
        <v>63</v>
      </c>
      <c r="N11" s="3">
        <f ca="1">IFERROR(__xludf.DUMMYFUNCTION("""COMPUTED_VALUE"""),64.78)</f>
        <v>64.78</v>
      </c>
      <c r="O11" s="3">
        <f ca="1">IFERROR(__xludf.DUMMYFUNCTION("""COMPUTED_VALUE"""),68.12)</f>
        <v>68.12</v>
      </c>
      <c r="P11" s="3">
        <f ca="1">IFERROR(__xludf.DUMMYFUNCTION("""COMPUTED_VALUE"""),63.03)</f>
        <v>63.03</v>
      </c>
      <c r="Q11" s="3">
        <f ca="1">IFERROR(__xludf.DUMMYFUNCTION("""COMPUTED_VALUE"""),87.83)</f>
        <v>87.83</v>
      </c>
      <c r="R11" s="3">
        <f ca="1">IFERROR(__xludf.DUMMYFUNCTION("""COMPUTED_VALUE"""),89.56)</f>
        <v>89.56</v>
      </c>
      <c r="S11" s="3">
        <f ca="1">IFERROR(__xludf.DUMMYFUNCTION("""COMPUTED_VALUE"""),46.77)</f>
        <v>46.77</v>
      </c>
      <c r="T11" s="3">
        <f ca="1">IFERROR(__xludf.DUMMYFUNCTION("""COMPUTED_VALUE"""),21.5)</f>
        <v>21.5</v>
      </c>
      <c r="U11" s="3">
        <f ca="1">IFERROR(__xludf.DUMMYFUNCTION("""COMPUTED_VALUE"""),58.27)</f>
        <v>58.27</v>
      </c>
      <c r="V11" s="3">
        <f ca="1">IFERROR(__xludf.DUMMYFUNCTION("""COMPUTED_VALUE"""),70.63)</f>
        <v>70.63</v>
      </c>
      <c r="W11" s="3">
        <f ca="1">IFERROR(__xludf.DUMMYFUNCTION("""COMPUTED_VALUE"""),41.26)</f>
        <v>41.26</v>
      </c>
      <c r="X11" s="3">
        <f ca="1">IFERROR(__xludf.DUMMYFUNCTION("""COMPUTED_VALUE"""),101.35)</f>
        <v>101.35</v>
      </c>
      <c r="Y11" s="3">
        <f ca="1">IFERROR(__xludf.DUMMYFUNCTION("""COMPUTED_VALUE"""),60.04)</f>
        <v>60.04</v>
      </c>
      <c r="Z11" s="3">
        <f ca="1">IFERROR(__xludf.DUMMYFUNCTION("""COMPUTED_VALUE"""),90.89)</f>
        <v>90.89</v>
      </c>
      <c r="AA11" s="3">
        <f ca="1">IFERROR(__xludf.DUMMYFUNCTION("""COMPUTED_VALUE"""),48.86)</f>
        <v>48.86</v>
      </c>
      <c r="AB11" s="3">
        <f ca="1">IFERROR(__xludf.DUMMYFUNCTION("""COMPUTED_VALUE"""),78.09)</f>
        <v>78.09</v>
      </c>
      <c r="AC11" s="3">
        <f ca="1">IFERROR(__xludf.DUMMYFUNCTION("""COMPUTED_VALUE"""),67.27)</f>
        <v>67.27</v>
      </c>
      <c r="AD11" s="3">
        <f ca="1">IFERROR(__xludf.DUMMYFUNCTION("""COMPUTED_VALUE"""),16.65)</f>
        <v>16.649999999999999</v>
      </c>
      <c r="AE11" s="3">
        <f ca="1">IFERROR(__xludf.DUMMYFUNCTION("""COMPUTED_VALUE"""),26.96)</f>
        <v>26.96</v>
      </c>
      <c r="AF11" s="3">
        <f ca="1">IFERROR(__xludf.DUMMYFUNCTION("""COMPUTED_VALUE"""),6.83)</f>
        <v>6.83</v>
      </c>
      <c r="AG11" s="3">
        <f ca="1">IFERROR(__xludf.DUMMYFUNCTION("""COMPUTED_VALUE"""),79.36)</f>
        <v>79.36</v>
      </c>
    </row>
    <row r="12" spans="1:33" ht="15.75" customHeight="1" x14ac:dyDescent="0.2">
      <c r="A12" s="4">
        <f ca="1">IFERROR(__xludf.DUMMYFUNCTION("""COMPUTED_VALUE"""),44575.6666666666)</f>
        <v>44575.666666666599</v>
      </c>
      <c r="B12" s="3">
        <f ca="1">IFERROR(__xludf.DUMMYFUNCTION("""COMPUTED_VALUE"""),165.76)</f>
        <v>165.76</v>
      </c>
      <c r="C12" s="3">
        <f ca="1">IFERROR(__xludf.DUMMYFUNCTION("""COMPUTED_VALUE"""),433.47)</f>
        <v>433.47</v>
      </c>
      <c r="D12" s="3">
        <f ca="1">IFERROR(__xludf.DUMMYFUNCTION("""COMPUTED_VALUE"""),108.66)</f>
        <v>108.66</v>
      </c>
      <c r="E12" s="3">
        <f ca="1">IFERROR(__xludf.DUMMYFUNCTION("""COMPUTED_VALUE"""),178.39)</f>
        <v>178.39</v>
      </c>
      <c r="F12" s="3">
        <f ca="1">IFERROR(__xludf.DUMMYFUNCTION("""COMPUTED_VALUE"""),57.29)</f>
        <v>57.29</v>
      </c>
      <c r="G12" s="3">
        <f ca="1">IFERROR(__xludf.DUMMYFUNCTION("""COMPUTED_VALUE"""),32.18)</f>
        <v>32.18</v>
      </c>
      <c r="H12" s="3">
        <f ca="1">IFERROR(__xludf.DUMMYFUNCTION("""COMPUTED_VALUE"""),31.02)</f>
        <v>31.02</v>
      </c>
      <c r="I12" s="3">
        <f ca="1">IFERROR(__xludf.DUMMYFUNCTION("""COMPUTED_VALUE"""),134.07)</f>
        <v>134.07</v>
      </c>
      <c r="J12" s="3">
        <f ca="1">IFERROR(__xludf.DUMMYFUNCTION("""COMPUTED_VALUE"""),251.22)</f>
        <v>251.22</v>
      </c>
      <c r="K12" s="3">
        <f ca="1">IFERROR(__xludf.DUMMYFUNCTION("""COMPUTED_VALUE"""),138.95)</f>
        <v>138.94999999999999</v>
      </c>
      <c r="L12" s="3">
        <f ca="1">IFERROR(__xludf.DUMMYFUNCTION("""COMPUTED_VALUE"""),100.49)</f>
        <v>100.49</v>
      </c>
      <c r="M12" s="3">
        <f ca="1">IFERROR(__xludf.DUMMYFUNCTION("""COMPUTED_VALUE"""),63.94)</f>
        <v>63.94</v>
      </c>
      <c r="N12" s="3">
        <f ca="1">IFERROR(__xludf.DUMMYFUNCTION("""COMPUTED_VALUE"""),64.72)</f>
        <v>64.72</v>
      </c>
      <c r="O12" s="3">
        <f ca="1">IFERROR(__xludf.DUMMYFUNCTION("""COMPUTED_VALUE"""),68.88)</f>
        <v>68.88</v>
      </c>
      <c r="P12" s="3">
        <f ca="1">IFERROR(__xludf.DUMMYFUNCTION("""COMPUTED_VALUE"""),64.51)</f>
        <v>64.510000000000005</v>
      </c>
      <c r="Q12" s="3">
        <f ca="1">IFERROR(__xludf.DUMMYFUNCTION("""COMPUTED_VALUE"""),90.05)</f>
        <v>90.05</v>
      </c>
      <c r="R12" s="3">
        <f ca="1">IFERROR(__xludf.DUMMYFUNCTION("""COMPUTED_VALUE"""),88.8)</f>
        <v>88.8</v>
      </c>
      <c r="S12" s="3">
        <f ca="1">IFERROR(__xludf.DUMMYFUNCTION("""COMPUTED_VALUE"""),46.98)</f>
        <v>46.98</v>
      </c>
      <c r="T12" s="3">
        <f ca="1">IFERROR(__xludf.DUMMYFUNCTION("""COMPUTED_VALUE"""),21.78)</f>
        <v>21.78</v>
      </c>
      <c r="U12" s="3">
        <f ca="1">IFERROR(__xludf.DUMMYFUNCTION("""COMPUTED_VALUE"""),59.97)</f>
        <v>59.97</v>
      </c>
      <c r="V12" s="3">
        <f ca="1">IFERROR(__xludf.DUMMYFUNCTION("""COMPUTED_VALUE"""),70.45)</f>
        <v>70.45</v>
      </c>
      <c r="W12" s="3">
        <f ca="1">IFERROR(__xludf.DUMMYFUNCTION("""COMPUTED_VALUE"""),40.83)</f>
        <v>40.83</v>
      </c>
      <c r="X12" s="3">
        <f ca="1">IFERROR(__xludf.DUMMYFUNCTION("""COMPUTED_VALUE"""),100.46)</f>
        <v>100.46</v>
      </c>
      <c r="Y12" s="3">
        <f ca="1">IFERROR(__xludf.DUMMYFUNCTION("""COMPUTED_VALUE"""),60.41)</f>
        <v>60.41</v>
      </c>
      <c r="Z12" s="3">
        <f ca="1">IFERROR(__xludf.DUMMYFUNCTION("""COMPUTED_VALUE"""),90.16)</f>
        <v>90.16</v>
      </c>
      <c r="AA12" s="3">
        <f ca="1">IFERROR(__xludf.DUMMYFUNCTION("""COMPUTED_VALUE"""),48.29)</f>
        <v>48.29</v>
      </c>
      <c r="AB12" s="3">
        <f ca="1">IFERROR(__xludf.DUMMYFUNCTION("""COMPUTED_VALUE"""),78.78)</f>
        <v>78.78</v>
      </c>
      <c r="AC12" s="3">
        <f ca="1">IFERROR(__xludf.DUMMYFUNCTION("""COMPUTED_VALUE"""),66.53)</f>
        <v>66.53</v>
      </c>
      <c r="AD12" s="3">
        <f ca="1">IFERROR(__xludf.DUMMYFUNCTION("""COMPUTED_VALUE"""),16.81)</f>
        <v>16.809999999999999</v>
      </c>
      <c r="AE12" s="3">
        <f ca="1">IFERROR(__xludf.DUMMYFUNCTION("""COMPUTED_VALUE"""),27.17)</f>
        <v>27.17</v>
      </c>
      <c r="AF12" s="3">
        <f ca="1">IFERROR(__xludf.DUMMYFUNCTION("""COMPUTED_VALUE"""),6.9)</f>
        <v>6.9</v>
      </c>
      <c r="AG12" s="3">
        <f ca="1">IFERROR(__xludf.DUMMYFUNCTION("""COMPUTED_VALUE"""),80.44)</f>
        <v>80.44</v>
      </c>
    </row>
    <row r="13" spans="1:33" ht="15.75" customHeight="1" x14ac:dyDescent="0.2">
      <c r="A13" s="4">
        <f ca="1">IFERROR(__xludf.DUMMYFUNCTION("""COMPUTED_VALUE"""),44579.6666666666)</f>
        <v>44579.666666666599</v>
      </c>
      <c r="B13" s="3">
        <f ca="1">IFERROR(__xludf.DUMMYFUNCTION("""COMPUTED_VALUE"""),161.78)</f>
        <v>161.78</v>
      </c>
      <c r="C13" s="3">
        <f ca="1">IFERROR(__xludf.DUMMYFUNCTION("""COMPUTED_VALUE"""),422.41)</f>
        <v>422.41</v>
      </c>
      <c r="D13" s="3">
        <f ca="1">IFERROR(__xludf.DUMMYFUNCTION("""COMPUTED_VALUE"""),105.67)</f>
        <v>105.67</v>
      </c>
      <c r="E13" s="3">
        <f ca="1">IFERROR(__xludf.DUMMYFUNCTION("""COMPUTED_VALUE"""),170.41)</f>
        <v>170.41</v>
      </c>
      <c r="F13" s="3">
        <f ca="1">IFERROR(__xludf.DUMMYFUNCTION("""COMPUTED_VALUE"""),56.1)</f>
        <v>56.1</v>
      </c>
      <c r="G13" s="3">
        <f ca="1">IFERROR(__xludf.DUMMYFUNCTION("""COMPUTED_VALUE"""),31.23)</f>
        <v>31.23</v>
      </c>
      <c r="H13" s="3">
        <f ca="1">IFERROR(__xludf.DUMMYFUNCTION("""COMPUTED_VALUE"""),30.19)</f>
        <v>30.19</v>
      </c>
      <c r="I13" s="3">
        <f ca="1">IFERROR(__xludf.DUMMYFUNCTION("""COMPUTED_VALUE"""),132.19)</f>
        <v>132.19</v>
      </c>
      <c r="J13" s="3">
        <f ca="1">IFERROR(__xludf.DUMMYFUNCTION("""COMPUTED_VALUE"""),246.47)</f>
        <v>246.47</v>
      </c>
      <c r="K13" s="3">
        <f ca="1">IFERROR(__xludf.DUMMYFUNCTION("""COMPUTED_VALUE"""),133.46)</f>
        <v>133.46</v>
      </c>
      <c r="L13" s="3">
        <f ca="1">IFERROR(__xludf.DUMMYFUNCTION("""COMPUTED_VALUE"""),94.52)</f>
        <v>94.52</v>
      </c>
      <c r="M13" s="3">
        <f ca="1">IFERROR(__xludf.DUMMYFUNCTION("""COMPUTED_VALUE"""),61.43)</f>
        <v>61.43</v>
      </c>
      <c r="N13" s="3">
        <f ca="1">IFERROR(__xludf.DUMMYFUNCTION("""COMPUTED_VALUE"""),63.56)</f>
        <v>63.56</v>
      </c>
      <c r="O13" s="3">
        <f ca="1">IFERROR(__xludf.DUMMYFUNCTION("""COMPUTED_VALUE"""),64.96)</f>
        <v>64.959999999999994</v>
      </c>
      <c r="P13" s="3">
        <f ca="1">IFERROR(__xludf.DUMMYFUNCTION("""COMPUTED_VALUE"""),64.77)</f>
        <v>64.77</v>
      </c>
      <c r="Q13" s="3">
        <f ca="1">IFERROR(__xludf.DUMMYFUNCTION("""COMPUTED_VALUE"""),90.15)</f>
        <v>90.15</v>
      </c>
      <c r="R13" s="3">
        <f ca="1">IFERROR(__xludf.DUMMYFUNCTION("""COMPUTED_VALUE"""),87.63)</f>
        <v>87.63</v>
      </c>
      <c r="S13" s="3">
        <f ca="1">IFERROR(__xludf.DUMMYFUNCTION("""COMPUTED_VALUE"""),46.21)</f>
        <v>46.21</v>
      </c>
      <c r="T13" s="3">
        <f ca="1">IFERROR(__xludf.DUMMYFUNCTION("""COMPUTED_VALUE"""),21.95)</f>
        <v>21.95</v>
      </c>
      <c r="U13" s="3">
        <f ca="1">IFERROR(__xludf.DUMMYFUNCTION("""COMPUTED_VALUE"""),60.97)</f>
        <v>60.97</v>
      </c>
      <c r="V13" s="3">
        <f ca="1">IFERROR(__xludf.DUMMYFUNCTION("""COMPUTED_VALUE"""),67.43)</f>
        <v>67.430000000000007</v>
      </c>
      <c r="W13" s="3">
        <f ca="1">IFERROR(__xludf.DUMMYFUNCTION("""COMPUTED_VALUE"""),39.92)</f>
        <v>39.92</v>
      </c>
      <c r="X13" s="3">
        <f ca="1">IFERROR(__xludf.DUMMYFUNCTION("""COMPUTED_VALUE"""),98.22)</f>
        <v>98.22</v>
      </c>
      <c r="Y13" s="3">
        <f ca="1">IFERROR(__xludf.DUMMYFUNCTION("""COMPUTED_VALUE"""),59.22)</f>
        <v>59.22</v>
      </c>
      <c r="Z13" s="3">
        <f ca="1">IFERROR(__xludf.DUMMYFUNCTION("""COMPUTED_VALUE"""),88.23)</f>
        <v>88.23</v>
      </c>
      <c r="AA13" s="3">
        <f ca="1">IFERROR(__xludf.DUMMYFUNCTION("""COMPUTED_VALUE"""),47.96)</f>
        <v>47.96</v>
      </c>
      <c r="AB13" s="3">
        <f ca="1">IFERROR(__xludf.DUMMYFUNCTION("""COMPUTED_VALUE"""),77.11)</f>
        <v>77.11</v>
      </c>
      <c r="AC13" s="3">
        <f ca="1">IFERROR(__xludf.DUMMYFUNCTION("""COMPUTED_VALUE"""),64.97)</f>
        <v>64.97</v>
      </c>
      <c r="AD13" s="3">
        <f ca="1">IFERROR(__xludf.DUMMYFUNCTION("""COMPUTED_VALUE"""),16.25)</f>
        <v>16.25</v>
      </c>
      <c r="AE13" s="3">
        <f ca="1">IFERROR(__xludf.DUMMYFUNCTION("""COMPUTED_VALUE"""),26.28)</f>
        <v>26.28</v>
      </c>
      <c r="AF13" s="3">
        <f ca="1">IFERROR(__xludf.DUMMYFUNCTION("""COMPUTED_VALUE"""),6.84)</f>
        <v>6.84</v>
      </c>
      <c r="AG13" s="3">
        <f ca="1">IFERROR(__xludf.DUMMYFUNCTION("""COMPUTED_VALUE"""),75.32)</f>
        <v>75.319999999999993</v>
      </c>
    </row>
    <row r="14" spans="1:33" ht="15.75" customHeight="1" x14ac:dyDescent="0.2">
      <c r="A14" s="4">
        <f ca="1">IFERROR(__xludf.DUMMYFUNCTION("""COMPUTED_VALUE"""),44580.6666666666)</f>
        <v>44580.666666666599</v>
      </c>
      <c r="B14" s="3">
        <f ca="1">IFERROR(__xludf.DUMMYFUNCTION("""COMPUTED_VALUE"""),159.52)</f>
        <v>159.52000000000001</v>
      </c>
      <c r="C14" s="3">
        <f ca="1">IFERROR(__xludf.DUMMYFUNCTION("""COMPUTED_VALUE"""),416.52)</f>
        <v>416.52</v>
      </c>
      <c r="D14" s="3">
        <f ca="1">IFERROR(__xludf.DUMMYFUNCTION("""COMPUTED_VALUE"""),104.37)</f>
        <v>104.37</v>
      </c>
      <c r="E14" s="3">
        <f ca="1">IFERROR(__xludf.DUMMYFUNCTION("""COMPUTED_VALUE"""),165.4)</f>
        <v>165.4</v>
      </c>
      <c r="F14" s="3">
        <f ca="1">IFERROR(__xludf.DUMMYFUNCTION("""COMPUTED_VALUE"""),55.89)</f>
        <v>55.89</v>
      </c>
      <c r="G14" s="3">
        <f ca="1">IFERROR(__xludf.DUMMYFUNCTION("""COMPUTED_VALUE"""),30.8)</f>
        <v>30.8</v>
      </c>
      <c r="H14" s="3">
        <f ca="1">IFERROR(__xludf.DUMMYFUNCTION("""COMPUTED_VALUE"""),29.93)</f>
        <v>29.93</v>
      </c>
      <c r="I14" s="3">
        <f ca="1">IFERROR(__xludf.DUMMYFUNCTION("""COMPUTED_VALUE"""),131.65)</f>
        <v>131.65</v>
      </c>
      <c r="J14" s="3">
        <f ca="1">IFERROR(__xludf.DUMMYFUNCTION("""COMPUTED_VALUE"""),245.42)</f>
        <v>245.42</v>
      </c>
      <c r="K14" s="3">
        <f ca="1">IFERROR(__xludf.DUMMYFUNCTION("""COMPUTED_VALUE"""),131.83)</f>
        <v>131.83000000000001</v>
      </c>
      <c r="L14" s="3">
        <f ca="1">IFERROR(__xludf.DUMMYFUNCTION("""COMPUTED_VALUE"""),93.5)</f>
        <v>93.5</v>
      </c>
      <c r="M14" s="3">
        <f ca="1">IFERROR(__xludf.DUMMYFUNCTION("""COMPUTED_VALUE"""),60.65)</f>
        <v>60.65</v>
      </c>
      <c r="N14" s="3">
        <f ca="1">IFERROR(__xludf.DUMMYFUNCTION("""COMPUTED_VALUE"""),63.28)</f>
        <v>63.28</v>
      </c>
      <c r="O14" s="3">
        <f ca="1">IFERROR(__xludf.DUMMYFUNCTION("""COMPUTED_VALUE"""),64.24)</f>
        <v>64.239999999999995</v>
      </c>
      <c r="P14" s="3">
        <f ca="1">IFERROR(__xludf.DUMMYFUNCTION("""COMPUTED_VALUE"""),64.3)</f>
        <v>64.3</v>
      </c>
      <c r="Q14" s="3">
        <f ca="1">IFERROR(__xludf.DUMMYFUNCTION("""COMPUTED_VALUE"""),89.39)</f>
        <v>89.39</v>
      </c>
      <c r="R14" s="3">
        <f ca="1">IFERROR(__xludf.DUMMYFUNCTION("""COMPUTED_VALUE"""),87.41)</f>
        <v>87.41</v>
      </c>
      <c r="S14" s="3">
        <f ca="1">IFERROR(__xludf.DUMMYFUNCTION("""COMPUTED_VALUE"""),46.18)</f>
        <v>46.18</v>
      </c>
      <c r="T14" s="3">
        <f ca="1">IFERROR(__xludf.DUMMYFUNCTION("""COMPUTED_VALUE"""),22.07)</f>
        <v>22.07</v>
      </c>
      <c r="U14" s="3">
        <f ca="1">IFERROR(__xludf.DUMMYFUNCTION("""COMPUTED_VALUE"""),61.05)</f>
        <v>61.05</v>
      </c>
      <c r="V14" s="3">
        <f ca="1">IFERROR(__xludf.DUMMYFUNCTION("""COMPUTED_VALUE"""),66.94)</f>
        <v>66.94</v>
      </c>
      <c r="W14" s="3">
        <f ca="1">IFERROR(__xludf.DUMMYFUNCTION("""COMPUTED_VALUE"""),39.25)</f>
        <v>39.25</v>
      </c>
      <c r="X14" s="3">
        <f ca="1">IFERROR(__xludf.DUMMYFUNCTION("""COMPUTED_VALUE"""),96.46)</f>
        <v>96.46</v>
      </c>
      <c r="Y14" s="3">
        <f ca="1">IFERROR(__xludf.DUMMYFUNCTION("""COMPUTED_VALUE"""),57.57)</f>
        <v>57.57</v>
      </c>
      <c r="Z14" s="3">
        <f ca="1">IFERROR(__xludf.DUMMYFUNCTION("""COMPUTED_VALUE"""),86.69)</f>
        <v>86.69</v>
      </c>
      <c r="AA14" s="3">
        <f ca="1">IFERROR(__xludf.DUMMYFUNCTION("""COMPUTED_VALUE"""),47.34)</f>
        <v>47.34</v>
      </c>
      <c r="AB14" s="3">
        <f ca="1">IFERROR(__xludf.DUMMYFUNCTION("""COMPUTED_VALUE"""),75.01)</f>
        <v>75.010000000000005</v>
      </c>
      <c r="AC14" s="3">
        <f ca="1">IFERROR(__xludf.DUMMYFUNCTION("""COMPUTED_VALUE"""),63.92)</f>
        <v>63.92</v>
      </c>
      <c r="AD14" s="3">
        <f ca="1">IFERROR(__xludf.DUMMYFUNCTION("""COMPUTED_VALUE"""),16.2)</f>
        <v>16.2</v>
      </c>
      <c r="AE14" s="3">
        <f ca="1">IFERROR(__xludf.DUMMYFUNCTION("""COMPUTED_VALUE"""),26.2)</f>
        <v>26.2</v>
      </c>
      <c r="AF14" s="3">
        <f ca="1">IFERROR(__xludf.DUMMYFUNCTION("""COMPUTED_VALUE"""),6.41)</f>
        <v>6.41</v>
      </c>
      <c r="AG14" s="3">
        <f ca="1">IFERROR(__xludf.DUMMYFUNCTION("""COMPUTED_VALUE"""),72.84)</f>
        <v>72.84</v>
      </c>
    </row>
    <row r="15" spans="1:33" ht="15.75" customHeight="1" x14ac:dyDescent="0.2">
      <c r="A15" s="4">
        <f ca="1">IFERROR(__xludf.DUMMYFUNCTION("""COMPUTED_VALUE"""),44581.6666666666)</f>
        <v>44581.666666666599</v>
      </c>
      <c r="B15" s="3">
        <f ca="1">IFERROR(__xludf.DUMMYFUNCTION("""COMPUTED_VALUE"""),157.46)</f>
        <v>157.46</v>
      </c>
      <c r="C15" s="3">
        <f ca="1">IFERROR(__xludf.DUMMYFUNCTION("""COMPUTED_VALUE"""),411.34)</f>
        <v>411.34</v>
      </c>
      <c r="D15" s="3">
        <f ca="1">IFERROR(__xludf.DUMMYFUNCTION("""COMPUTED_VALUE"""),102.91)</f>
        <v>102.91</v>
      </c>
      <c r="E15" s="3">
        <f ca="1">IFERROR(__xludf.DUMMYFUNCTION("""COMPUTED_VALUE"""),160.21)</f>
        <v>160.21</v>
      </c>
      <c r="F15" s="3">
        <f ca="1">IFERROR(__xludf.DUMMYFUNCTION("""COMPUTED_VALUE"""),55.74)</f>
        <v>55.74</v>
      </c>
      <c r="G15" s="3">
        <f ca="1">IFERROR(__xludf.DUMMYFUNCTION("""COMPUTED_VALUE"""),30.55)</f>
        <v>30.55</v>
      </c>
      <c r="H15" s="3">
        <f ca="1">IFERROR(__xludf.DUMMYFUNCTION("""COMPUTED_VALUE"""),29.58)</f>
        <v>29.58</v>
      </c>
      <c r="I15" s="3">
        <f ca="1">IFERROR(__xludf.DUMMYFUNCTION("""COMPUTED_VALUE"""),130.79)</f>
        <v>130.79</v>
      </c>
      <c r="J15" s="3">
        <f ca="1">IFERROR(__xludf.DUMMYFUNCTION("""COMPUTED_VALUE"""),243.97)</f>
        <v>243.97</v>
      </c>
      <c r="K15" s="3">
        <f ca="1">IFERROR(__xludf.DUMMYFUNCTION("""COMPUTED_VALUE"""),130.65)</f>
        <v>130.65</v>
      </c>
      <c r="L15" s="3">
        <f ca="1">IFERROR(__xludf.DUMMYFUNCTION("""COMPUTED_VALUE"""),91.97)</f>
        <v>91.97</v>
      </c>
      <c r="M15" s="3">
        <f ca="1">IFERROR(__xludf.DUMMYFUNCTION("""COMPUTED_VALUE"""),59.7)</f>
        <v>59.7</v>
      </c>
      <c r="N15" s="3">
        <f ca="1">IFERROR(__xludf.DUMMYFUNCTION("""COMPUTED_VALUE"""),62.85)</f>
        <v>62.85</v>
      </c>
      <c r="O15" s="3">
        <f ca="1">IFERROR(__xludf.DUMMYFUNCTION("""COMPUTED_VALUE"""),63.84)</f>
        <v>63.84</v>
      </c>
      <c r="P15" s="3">
        <f ca="1">IFERROR(__xludf.DUMMYFUNCTION("""COMPUTED_VALUE"""),63.71)</f>
        <v>63.71</v>
      </c>
      <c r="Q15" s="3">
        <f ca="1">IFERROR(__xludf.DUMMYFUNCTION("""COMPUTED_VALUE"""),88.29)</f>
        <v>88.29</v>
      </c>
      <c r="R15" s="3">
        <f ca="1">IFERROR(__xludf.DUMMYFUNCTION("""COMPUTED_VALUE"""),86.14)</f>
        <v>86.14</v>
      </c>
      <c r="S15" s="3">
        <f ca="1">IFERROR(__xludf.DUMMYFUNCTION("""COMPUTED_VALUE"""),44.5)</f>
        <v>44.5</v>
      </c>
      <c r="T15" s="3">
        <f ca="1">IFERROR(__xludf.DUMMYFUNCTION("""COMPUTED_VALUE"""),21.99)</f>
        <v>21.99</v>
      </c>
      <c r="U15" s="3">
        <f ca="1">IFERROR(__xludf.DUMMYFUNCTION("""COMPUTED_VALUE"""),60.66)</f>
        <v>60.66</v>
      </c>
      <c r="V15" s="3">
        <f ca="1">IFERROR(__xludf.DUMMYFUNCTION("""COMPUTED_VALUE"""),66.99)</f>
        <v>66.989999999999995</v>
      </c>
      <c r="W15" s="3">
        <f ca="1">IFERROR(__xludf.DUMMYFUNCTION("""COMPUTED_VALUE"""),39)</f>
        <v>39</v>
      </c>
      <c r="X15" s="3">
        <f ca="1">IFERROR(__xludf.DUMMYFUNCTION("""COMPUTED_VALUE"""),95.68)</f>
        <v>95.68</v>
      </c>
      <c r="Y15" s="3">
        <f ca="1">IFERROR(__xludf.DUMMYFUNCTION("""COMPUTED_VALUE"""),56.24)</f>
        <v>56.24</v>
      </c>
      <c r="Z15" s="3">
        <f ca="1">IFERROR(__xludf.DUMMYFUNCTION("""COMPUTED_VALUE"""),86.13)</f>
        <v>86.13</v>
      </c>
      <c r="AA15" s="3">
        <f ca="1">IFERROR(__xludf.DUMMYFUNCTION("""COMPUTED_VALUE"""),46.92)</f>
        <v>46.92</v>
      </c>
      <c r="AB15" s="3">
        <f ca="1">IFERROR(__xludf.DUMMYFUNCTION("""COMPUTED_VALUE"""),73.04)</f>
        <v>73.040000000000006</v>
      </c>
      <c r="AC15" s="3">
        <f ca="1">IFERROR(__xludf.DUMMYFUNCTION("""COMPUTED_VALUE"""),63.55)</f>
        <v>63.55</v>
      </c>
      <c r="AD15" s="3">
        <f ca="1">IFERROR(__xludf.DUMMYFUNCTION("""COMPUTED_VALUE"""),16.63)</f>
        <v>16.63</v>
      </c>
      <c r="AE15" s="3">
        <f ca="1">IFERROR(__xludf.DUMMYFUNCTION("""COMPUTED_VALUE"""),26.9)</f>
        <v>26.9</v>
      </c>
      <c r="AF15" s="3">
        <f ca="1">IFERROR(__xludf.DUMMYFUNCTION("""COMPUTED_VALUE"""),6.32)</f>
        <v>6.32</v>
      </c>
      <c r="AG15" s="3">
        <f ca="1">IFERROR(__xludf.DUMMYFUNCTION("""COMPUTED_VALUE"""),73.56)</f>
        <v>73.56</v>
      </c>
    </row>
    <row r="16" spans="1:33" ht="15.75" customHeight="1" x14ac:dyDescent="0.2">
      <c r="A16" s="4">
        <f ca="1">IFERROR(__xludf.DUMMYFUNCTION("""COMPUTED_VALUE"""),44582.6666666666)</f>
        <v>44582.666666666599</v>
      </c>
      <c r="B16" s="3">
        <f ca="1">IFERROR(__xludf.DUMMYFUNCTION("""COMPUTED_VALUE"""),154.33)</f>
        <v>154.33000000000001</v>
      </c>
      <c r="C16" s="3">
        <f ca="1">IFERROR(__xludf.DUMMYFUNCTION("""COMPUTED_VALUE"""),402.43)</f>
        <v>402.43</v>
      </c>
      <c r="D16" s="3">
        <f ca="1">IFERROR(__xludf.DUMMYFUNCTION("""COMPUTED_VALUE"""),100.62)</f>
        <v>100.62</v>
      </c>
      <c r="E16" s="3">
        <f ca="1">IFERROR(__xludf.DUMMYFUNCTION("""COMPUTED_VALUE"""),157.55)</f>
        <v>157.55000000000001</v>
      </c>
      <c r="F16" s="3">
        <f ca="1">IFERROR(__xludf.DUMMYFUNCTION("""COMPUTED_VALUE"""),54.63)</f>
        <v>54.63</v>
      </c>
      <c r="G16" s="3">
        <f ca="1">IFERROR(__xludf.DUMMYFUNCTION("""COMPUTED_VALUE"""),29.49)</f>
        <v>29.49</v>
      </c>
      <c r="H16" s="3">
        <f ca="1">IFERROR(__xludf.DUMMYFUNCTION("""COMPUTED_VALUE"""),28.78)</f>
        <v>28.78</v>
      </c>
      <c r="I16" s="3">
        <f ca="1">IFERROR(__xludf.DUMMYFUNCTION("""COMPUTED_VALUE"""),129.47)</f>
        <v>129.47</v>
      </c>
      <c r="J16" s="3">
        <f ca="1">IFERROR(__xludf.DUMMYFUNCTION("""COMPUTED_VALUE"""),241.39)</f>
        <v>241.39</v>
      </c>
      <c r="K16" s="3">
        <f ca="1">IFERROR(__xludf.DUMMYFUNCTION("""COMPUTED_VALUE"""),128.68)</f>
        <v>128.68</v>
      </c>
      <c r="L16" s="3">
        <f ca="1">IFERROR(__xludf.DUMMYFUNCTION("""COMPUTED_VALUE"""),90.03)</f>
        <v>90.03</v>
      </c>
      <c r="M16" s="3">
        <f ca="1">IFERROR(__xludf.DUMMYFUNCTION("""COMPUTED_VALUE"""),58.98)</f>
        <v>58.98</v>
      </c>
      <c r="N16" s="3">
        <f ca="1">IFERROR(__xludf.DUMMYFUNCTION("""COMPUTED_VALUE"""),62.14)</f>
        <v>62.14</v>
      </c>
      <c r="O16" s="3">
        <f ca="1">IFERROR(__xludf.DUMMYFUNCTION("""COMPUTED_VALUE"""),62.56)</f>
        <v>62.56</v>
      </c>
      <c r="P16" s="3">
        <f ca="1">IFERROR(__xludf.DUMMYFUNCTION("""COMPUTED_VALUE"""),62.45)</f>
        <v>62.45</v>
      </c>
      <c r="Q16" s="3">
        <f ca="1">IFERROR(__xludf.DUMMYFUNCTION("""COMPUTED_VALUE"""),86.41)</f>
        <v>86.41</v>
      </c>
      <c r="R16" s="3">
        <f ca="1">IFERROR(__xludf.DUMMYFUNCTION("""COMPUTED_VALUE"""),84.04)</f>
        <v>84.04</v>
      </c>
      <c r="S16" s="3">
        <f ca="1">IFERROR(__xludf.DUMMYFUNCTION("""COMPUTED_VALUE"""),42.27)</f>
        <v>42.27</v>
      </c>
      <c r="T16" s="3">
        <f ca="1">IFERROR(__xludf.DUMMYFUNCTION("""COMPUTED_VALUE"""),22.01)</f>
        <v>22.01</v>
      </c>
      <c r="U16" s="3">
        <f ca="1">IFERROR(__xludf.DUMMYFUNCTION("""COMPUTED_VALUE"""),60.78)</f>
        <v>60.78</v>
      </c>
      <c r="V16" s="3">
        <f ca="1">IFERROR(__xludf.DUMMYFUNCTION("""COMPUTED_VALUE"""),63.74)</f>
        <v>63.74</v>
      </c>
      <c r="W16" s="3">
        <f ca="1">IFERROR(__xludf.DUMMYFUNCTION("""COMPUTED_VALUE"""),38.2)</f>
        <v>38.200000000000003</v>
      </c>
      <c r="X16" s="3">
        <f ca="1">IFERROR(__xludf.DUMMYFUNCTION("""COMPUTED_VALUE"""),93.85)</f>
        <v>93.85</v>
      </c>
      <c r="Y16" s="3">
        <f ca="1">IFERROR(__xludf.DUMMYFUNCTION("""COMPUTED_VALUE"""),55.12)</f>
        <v>55.12</v>
      </c>
      <c r="Z16" s="3">
        <f ca="1">IFERROR(__xludf.DUMMYFUNCTION("""COMPUTED_VALUE"""),84.38)</f>
        <v>84.38</v>
      </c>
      <c r="AA16" s="3">
        <f ca="1">IFERROR(__xludf.DUMMYFUNCTION("""COMPUTED_VALUE"""),46.89)</f>
        <v>46.89</v>
      </c>
      <c r="AB16" s="3">
        <f ca="1">IFERROR(__xludf.DUMMYFUNCTION("""COMPUTED_VALUE"""),71.61)</f>
        <v>71.61</v>
      </c>
      <c r="AC16" s="3">
        <f ca="1">IFERROR(__xludf.DUMMYFUNCTION("""COMPUTED_VALUE"""),62.07)</f>
        <v>62.07</v>
      </c>
      <c r="AD16" s="3">
        <f ca="1">IFERROR(__xludf.DUMMYFUNCTION("""COMPUTED_VALUE"""),14.91)</f>
        <v>14.91</v>
      </c>
      <c r="AE16" s="3">
        <f ca="1">IFERROR(__xludf.DUMMYFUNCTION("""COMPUTED_VALUE"""),24.1)</f>
        <v>24.1</v>
      </c>
      <c r="AF16" s="3">
        <f ca="1">IFERROR(__xludf.DUMMYFUNCTION("""COMPUTED_VALUE"""),5.95)</f>
        <v>5.95</v>
      </c>
      <c r="AG16" s="3">
        <f ca="1">IFERROR(__xludf.DUMMYFUNCTION("""COMPUTED_VALUE"""),64.52)</f>
        <v>64.52</v>
      </c>
    </row>
    <row r="17" spans="1:33" ht="15.75" customHeight="1" x14ac:dyDescent="0.2">
      <c r="A17" s="4">
        <f ca="1">IFERROR(__xludf.DUMMYFUNCTION("""COMPUTED_VALUE"""),44585.6666666666)</f>
        <v>44585.666666666599</v>
      </c>
      <c r="B17" s="3">
        <f ca="1">IFERROR(__xludf.DUMMYFUNCTION("""COMPUTED_VALUE"""),155.13)</f>
        <v>155.13</v>
      </c>
      <c r="C17" s="3">
        <f ca="1">IFERROR(__xludf.DUMMYFUNCTION("""COMPUTED_VALUE"""),405.03)</f>
        <v>405.03</v>
      </c>
      <c r="D17" s="3">
        <f ca="1">IFERROR(__xludf.DUMMYFUNCTION("""COMPUTED_VALUE"""),101.63)</f>
        <v>101.63</v>
      </c>
      <c r="E17" s="3">
        <f ca="1">IFERROR(__xludf.DUMMYFUNCTION("""COMPUTED_VALUE"""),159.35)</f>
        <v>159.35</v>
      </c>
      <c r="F17" s="3">
        <f ca="1">IFERROR(__xludf.DUMMYFUNCTION("""COMPUTED_VALUE"""),55.16)</f>
        <v>55.16</v>
      </c>
      <c r="G17" s="3">
        <f ca="1">IFERROR(__xludf.DUMMYFUNCTION("""COMPUTED_VALUE"""),29.3)</f>
        <v>29.3</v>
      </c>
      <c r="H17" s="3">
        <f ca="1">IFERROR(__xludf.DUMMYFUNCTION("""COMPUTED_VALUE"""),29.13)</f>
        <v>29.13</v>
      </c>
      <c r="I17" s="3">
        <f ca="1">IFERROR(__xludf.DUMMYFUNCTION("""COMPUTED_VALUE"""),129.04)</f>
        <v>129.04</v>
      </c>
      <c r="J17" s="3">
        <f ca="1">IFERROR(__xludf.DUMMYFUNCTION("""COMPUTED_VALUE"""),241.11)</f>
        <v>241.11</v>
      </c>
      <c r="K17" s="3">
        <f ca="1">IFERROR(__xludf.DUMMYFUNCTION("""COMPUTED_VALUE"""),129.86)</f>
        <v>129.86000000000001</v>
      </c>
      <c r="L17" s="3">
        <f ca="1">IFERROR(__xludf.DUMMYFUNCTION("""COMPUTED_VALUE"""),92.11)</f>
        <v>92.11</v>
      </c>
      <c r="M17" s="3">
        <f ca="1">IFERROR(__xludf.DUMMYFUNCTION("""COMPUTED_VALUE"""),59.88)</f>
        <v>59.88</v>
      </c>
      <c r="N17" s="3">
        <f ca="1">IFERROR(__xludf.DUMMYFUNCTION("""COMPUTED_VALUE"""),62.11)</f>
        <v>62.11</v>
      </c>
      <c r="O17" s="3">
        <f ca="1">IFERROR(__xludf.DUMMYFUNCTION("""COMPUTED_VALUE"""),63.6)</f>
        <v>63.6</v>
      </c>
      <c r="P17" s="3">
        <f ca="1">IFERROR(__xludf.DUMMYFUNCTION("""COMPUTED_VALUE"""),62.87)</f>
        <v>62.87</v>
      </c>
      <c r="Q17" s="3">
        <f ca="1">IFERROR(__xludf.DUMMYFUNCTION("""COMPUTED_VALUE"""),87.06)</f>
        <v>87.06</v>
      </c>
      <c r="R17" s="3">
        <f ca="1">IFERROR(__xludf.DUMMYFUNCTION("""COMPUTED_VALUE"""),84.09)</f>
        <v>84.09</v>
      </c>
      <c r="S17" s="3">
        <f ca="1">IFERROR(__xludf.DUMMYFUNCTION("""COMPUTED_VALUE"""),42.66)</f>
        <v>42.66</v>
      </c>
      <c r="T17" s="3">
        <f ca="1">IFERROR(__xludf.DUMMYFUNCTION("""COMPUTED_VALUE"""),21.96)</f>
        <v>21.96</v>
      </c>
      <c r="U17" s="3">
        <f ca="1">IFERROR(__xludf.DUMMYFUNCTION("""COMPUTED_VALUE"""),60.11)</f>
        <v>60.11</v>
      </c>
      <c r="V17" s="3">
        <f ca="1">IFERROR(__xludf.DUMMYFUNCTION("""COMPUTED_VALUE"""),64.42)</f>
        <v>64.42</v>
      </c>
      <c r="W17" s="3">
        <f ca="1">IFERROR(__xludf.DUMMYFUNCTION("""COMPUTED_VALUE"""),38.31)</f>
        <v>38.31</v>
      </c>
      <c r="X17" s="3">
        <f ca="1">IFERROR(__xludf.DUMMYFUNCTION("""COMPUTED_VALUE"""),94.19)</f>
        <v>94.19</v>
      </c>
      <c r="Y17" s="3">
        <f ca="1">IFERROR(__xludf.DUMMYFUNCTION("""COMPUTED_VALUE"""),55.7)</f>
        <v>55.7</v>
      </c>
      <c r="Z17" s="3">
        <f ca="1">IFERROR(__xludf.DUMMYFUNCTION("""COMPUTED_VALUE"""),84.66)</f>
        <v>84.66</v>
      </c>
      <c r="AA17" s="3">
        <f ca="1">IFERROR(__xludf.DUMMYFUNCTION("""COMPUTED_VALUE"""),46.99)</f>
        <v>46.99</v>
      </c>
      <c r="AB17" s="3">
        <f ca="1">IFERROR(__xludf.DUMMYFUNCTION("""COMPUTED_VALUE"""),72.61)</f>
        <v>72.61</v>
      </c>
      <c r="AC17" s="3">
        <f ca="1">IFERROR(__xludf.DUMMYFUNCTION("""COMPUTED_VALUE"""),61.94)</f>
        <v>61.94</v>
      </c>
      <c r="AD17" s="3">
        <f ca="1">IFERROR(__xludf.DUMMYFUNCTION("""COMPUTED_VALUE"""),14.49)</f>
        <v>14.49</v>
      </c>
      <c r="AE17" s="3">
        <f ca="1">IFERROR(__xludf.DUMMYFUNCTION("""COMPUTED_VALUE"""),23.48)</f>
        <v>23.48</v>
      </c>
      <c r="AF17" s="3">
        <f ca="1">IFERROR(__xludf.DUMMYFUNCTION("""COMPUTED_VALUE"""),5.37)</f>
        <v>5.37</v>
      </c>
      <c r="AG17" s="3">
        <f ca="1">IFERROR(__xludf.DUMMYFUNCTION("""COMPUTED_VALUE"""),63.32)</f>
        <v>63.32</v>
      </c>
    </row>
    <row r="18" spans="1:33" ht="15.75" customHeight="1" x14ac:dyDescent="0.2">
      <c r="A18" s="4">
        <f ca="1">IFERROR(__xludf.DUMMYFUNCTION("""COMPUTED_VALUE"""),44586.6666666666)</f>
        <v>44586.666666666599</v>
      </c>
      <c r="B18" s="3">
        <f ca="1">IFERROR(__xludf.DUMMYFUNCTION("""COMPUTED_VALUE"""),151.54)</f>
        <v>151.54</v>
      </c>
      <c r="C18" s="3">
        <f ca="1">IFERROR(__xludf.DUMMYFUNCTION("""COMPUTED_VALUE"""),395.08)</f>
        <v>395.08</v>
      </c>
      <c r="D18" s="3">
        <f ca="1">IFERROR(__xludf.DUMMYFUNCTION("""COMPUTED_VALUE"""),98.76)</f>
        <v>98.76</v>
      </c>
      <c r="E18" s="3">
        <f ca="1">IFERROR(__xludf.DUMMYFUNCTION("""COMPUTED_VALUE"""),153.4)</f>
        <v>153.4</v>
      </c>
      <c r="F18" s="3">
        <f ca="1">IFERROR(__xludf.DUMMYFUNCTION("""COMPUTED_VALUE"""),53.43)</f>
        <v>53.43</v>
      </c>
      <c r="G18" s="3">
        <f ca="1">IFERROR(__xludf.DUMMYFUNCTION("""COMPUTED_VALUE"""),28.81)</f>
        <v>28.81</v>
      </c>
      <c r="H18" s="3">
        <f ca="1">IFERROR(__xludf.DUMMYFUNCTION("""COMPUTED_VALUE"""),28.47)</f>
        <v>28.47</v>
      </c>
      <c r="I18" s="3">
        <f ca="1">IFERROR(__xludf.DUMMYFUNCTION("""COMPUTED_VALUE"""),128.21)</f>
        <v>128.21</v>
      </c>
      <c r="J18" s="3">
        <f ca="1">IFERROR(__xludf.DUMMYFUNCTION("""COMPUTED_VALUE"""),238.85)</f>
        <v>238.85</v>
      </c>
      <c r="K18" s="3">
        <f ca="1">IFERROR(__xludf.DUMMYFUNCTION("""COMPUTED_VALUE"""),127.59)</f>
        <v>127.59</v>
      </c>
      <c r="L18" s="3">
        <f ca="1">IFERROR(__xludf.DUMMYFUNCTION("""COMPUTED_VALUE"""),91.38)</f>
        <v>91.38</v>
      </c>
      <c r="M18" s="3">
        <f ca="1">IFERROR(__xludf.DUMMYFUNCTION("""COMPUTED_VALUE"""),58.99)</f>
        <v>58.99</v>
      </c>
      <c r="N18" s="3">
        <f ca="1">IFERROR(__xludf.DUMMYFUNCTION("""COMPUTED_VALUE"""),61.56)</f>
        <v>61.56</v>
      </c>
      <c r="O18" s="3">
        <f ca="1">IFERROR(__xludf.DUMMYFUNCTION("""COMPUTED_VALUE"""),62.48)</f>
        <v>62.48</v>
      </c>
      <c r="P18" s="3">
        <f ca="1">IFERROR(__xludf.DUMMYFUNCTION("""COMPUTED_VALUE"""),65.31)</f>
        <v>65.31</v>
      </c>
      <c r="Q18" s="3">
        <f ca="1">IFERROR(__xludf.DUMMYFUNCTION("""COMPUTED_VALUE"""),90.29)</f>
        <v>90.29</v>
      </c>
      <c r="R18" s="3">
        <f ca="1">IFERROR(__xludf.DUMMYFUNCTION("""COMPUTED_VALUE"""),83.33)</f>
        <v>83.33</v>
      </c>
      <c r="S18" s="3">
        <f ca="1">IFERROR(__xludf.DUMMYFUNCTION("""COMPUTED_VALUE"""),42.8)</f>
        <v>42.8</v>
      </c>
      <c r="T18" s="3">
        <f ca="1">IFERROR(__xludf.DUMMYFUNCTION("""COMPUTED_VALUE"""),22.16)</f>
        <v>22.16</v>
      </c>
      <c r="U18" s="3">
        <f ca="1">IFERROR(__xludf.DUMMYFUNCTION("""COMPUTED_VALUE"""),60.97)</f>
        <v>60.97</v>
      </c>
      <c r="V18" s="3">
        <f ca="1">IFERROR(__xludf.DUMMYFUNCTION("""COMPUTED_VALUE"""),62.37)</f>
        <v>62.37</v>
      </c>
      <c r="W18" s="3">
        <f ca="1">IFERROR(__xludf.DUMMYFUNCTION("""COMPUTED_VALUE"""),38.47)</f>
        <v>38.47</v>
      </c>
      <c r="X18" s="3">
        <f ca="1">IFERROR(__xludf.DUMMYFUNCTION("""COMPUTED_VALUE"""),94.49)</f>
        <v>94.49</v>
      </c>
      <c r="Y18" s="3">
        <f ca="1">IFERROR(__xludf.DUMMYFUNCTION("""COMPUTED_VALUE"""),55.82)</f>
        <v>55.82</v>
      </c>
      <c r="Z18" s="3">
        <f ca="1">IFERROR(__xludf.DUMMYFUNCTION("""COMPUTED_VALUE"""),84.58)</f>
        <v>84.58</v>
      </c>
      <c r="AA18" s="3">
        <f ca="1">IFERROR(__xludf.DUMMYFUNCTION("""COMPUTED_VALUE"""),46.86)</f>
        <v>46.86</v>
      </c>
      <c r="AB18" s="3">
        <f ca="1">IFERROR(__xludf.DUMMYFUNCTION("""COMPUTED_VALUE"""),72.55)</f>
        <v>72.55</v>
      </c>
      <c r="AC18" s="3">
        <f ca="1">IFERROR(__xludf.DUMMYFUNCTION("""COMPUTED_VALUE"""),62.04)</f>
        <v>62.04</v>
      </c>
      <c r="AD18" s="3">
        <f ca="1">IFERROR(__xludf.DUMMYFUNCTION("""COMPUTED_VALUE"""),14.38)</f>
        <v>14.38</v>
      </c>
      <c r="AE18" s="3">
        <f ca="1">IFERROR(__xludf.DUMMYFUNCTION("""COMPUTED_VALUE"""),23.22)</f>
        <v>23.22</v>
      </c>
      <c r="AF18" s="3">
        <f ca="1">IFERROR(__xludf.DUMMYFUNCTION("""COMPUTED_VALUE"""),5.38)</f>
        <v>5.38</v>
      </c>
      <c r="AG18" s="3">
        <f ca="1">IFERROR(__xludf.DUMMYFUNCTION("""COMPUTED_VALUE"""),62.64)</f>
        <v>62.64</v>
      </c>
    </row>
    <row r="19" spans="1:33" ht="15.75" customHeight="1" x14ac:dyDescent="0.2">
      <c r="A19" s="4">
        <f ca="1">IFERROR(__xludf.DUMMYFUNCTION("""COMPUTED_VALUE"""),44587.6666666666)</f>
        <v>44587.666666666599</v>
      </c>
      <c r="B19" s="3">
        <f ca="1">IFERROR(__xludf.DUMMYFUNCTION("""COMPUTED_VALUE"""),152.43)</f>
        <v>152.43</v>
      </c>
      <c r="C19" s="3">
        <f ca="1">IFERROR(__xludf.DUMMYFUNCTION("""COMPUTED_VALUE"""),396.45)</f>
        <v>396.45</v>
      </c>
      <c r="D19" s="3">
        <f ca="1">IFERROR(__xludf.DUMMYFUNCTION("""COMPUTED_VALUE"""),99.24)</f>
        <v>99.24</v>
      </c>
      <c r="E19" s="3">
        <f ca="1">IFERROR(__xludf.DUMMYFUNCTION("""COMPUTED_VALUE"""),155.76)</f>
        <v>155.76</v>
      </c>
      <c r="F19" s="3">
        <f ca="1">IFERROR(__xludf.DUMMYFUNCTION("""COMPUTED_VALUE"""),53)</f>
        <v>53</v>
      </c>
      <c r="G19" s="3">
        <f ca="1">IFERROR(__xludf.DUMMYFUNCTION("""COMPUTED_VALUE"""),28.75)</f>
        <v>28.75</v>
      </c>
      <c r="H19" s="3">
        <f ca="1">IFERROR(__xludf.DUMMYFUNCTION("""COMPUTED_VALUE"""),28.18)</f>
        <v>28.18</v>
      </c>
      <c r="I19" s="3">
        <f ca="1">IFERROR(__xludf.DUMMYFUNCTION("""COMPUTED_VALUE"""),127.54)</f>
        <v>127.54</v>
      </c>
      <c r="J19" s="3">
        <f ca="1">IFERROR(__xludf.DUMMYFUNCTION("""COMPUTED_VALUE"""),237.56)</f>
        <v>237.56</v>
      </c>
      <c r="K19" s="3">
        <f ca="1">IFERROR(__xludf.DUMMYFUNCTION("""COMPUTED_VALUE"""),126.22)</f>
        <v>126.22</v>
      </c>
      <c r="L19" s="3">
        <f ca="1">IFERROR(__xludf.DUMMYFUNCTION("""COMPUTED_VALUE"""),89.59)</f>
        <v>89.59</v>
      </c>
      <c r="M19" s="3">
        <f ca="1">IFERROR(__xludf.DUMMYFUNCTION("""COMPUTED_VALUE"""),58.18)</f>
        <v>58.18</v>
      </c>
      <c r="N19" s="3">
        <f ca="1">IFERROR(__xludf.DUMMYFUNCTION("""COMPUTED_VALUE"""),61.11)</f>
        <v>61.11</v>
      </c>
      <c r="O19" s="3">
        <f ca="1">IFERROR(__xludf.DUMMYFUNCTION("""COMPUTED_VALUE"""),61.2)</f>
        <v>61.2</v>
      </c>
      <c r="P19" s="3">
        <f ca="1">IFERROR(__xludf.DUMMYFUNCTION("""COMPUTED_VALUE"""),65.2)</f>
        <v>65.2</v>
      </c>
      <c r="Q19" s="3">
        <f ca="1">IFERROR(__xludf.DUMMYFUNCTION("""COMPUTED_VALUE"""),90.06)</f>
        <v>90.06</v>
      </c>
      <c r="R19" s="3">
        <f ca="1">IFERROR(__xludf.DUMMYFUNCTION("""COMPUTED_VALUE"""),82.46)</f>
        <v>82.46</v>
      </c>
      <c r="S19" s="3">
        <f ca="1">IFERROR(__xludf.DUMMYFUNCTION("""COMPUTED_VALUE"""),41.67)</f>
        <v>41.67</v>
      </c>
      <c r="T19" s="3">
        <f ca="1">IFERROR(__xludf.DUMMYFUNCTION("""COMPUTED_VALUE"""),22.21)</f>
        <v>22.21</v>
      </c>
      <c r="U19" s="3">
        <f ca="1">IFERROR(__xludf.DUMMYFUNCTION("""COMPUTED_VALUE"""),61.68)</f>
        <v>61.68</v>
      </c>
      <c r="V19" s="3">
        <f ca="1">IFERROR(__xludf.DUMMYFUNCTION("""COMPUTED_VALUE"""),62.49)</f>
        <v>62.49</v>
      </c>
      <c r="W19" s="3">
        <f ca="1">IFERROR(__xludf.DUMMYFUNCTION("""COMPUTED_VALUE"""),38.57)</f>
        <v>38.57</v>
      </c>
      <c r="X19" s="3">
        <f ca="1">IFERROR(__xludf.DUMMYFUNCTION("""COMPUTED_VALUE"""),94.45)</f>
        <v>94.45</v>
      </c>
      <c r="Y19" s="3">
        <f ca="1">IFERROR(__xludf.DUMMYFUNCTION("""COMPUTED_VALUE"""),55.45)</f>
        <v>55.45</v>
      </c>
      <c r="Z19" s="3">
        <f ca="1">IFERROR(__xludf.DUMMYFUNCTION("""COMPUTED_VALUE"""),84.82)</f>
        <v>84.82</v>
      </c>
      <c r="AA19" s="3">
        <f ca="1">IFERROR(__xludf.DUMMYFUNCTION("""COMPUTED_VALUE"""),46.08)</f>
        <v>46.08</v>
      </c>
      <c r="AB19" s="3">
        <f ca="1">IFERROR(__xludf.DUMMYFUNCTION("""COMPUTED_VALUE"""),72.15)</f>
        <v>72.150000000000006</v>
      </c>
      <c r="AC19" s="3">
        <f ca="1">IFERROR(__xludf.DUMMYFUNCTION("""COMPUTED_VALUE"""),62.3)</f>
        <v>62.3</v>
      </c>
      <c r="AD19" s="3">
        <f ca="1">IFERROR(__xludf.DUMMYFUNCTION("""COMPUTED_VALUE"""),14.42)</f>
        <v>14.42</v>
      </c>
      <c r="AE19" s="3">
        <f ca="1">IFERROR(__xludf.DUMMYFUNCTION("""COMPUTED_VALUE"""),23.25)</f>
        <v>23.25</v>
      </c>
      <c r="AF19" s="3">
        <f ca="1">IFERROR(__xludf.DUMMYFUNCTION("""COMPUTED_VALUE"""),5.32)</f>
        <v>5.32</v>
      </c>
      <c r="AG19" s="3">
        <f ca="1">IFERROR(__xludf.DUMMYFUNCTION("""COMPUTED_VALUE"""),62.48)</f>
        <v>62.48</v>
      </c>
    </row>
    <row r="20" spans="1:33" ht="15.75" customHeight="1" x14ac:dyDescent="0.2">
      <c r="A20" s="4">
        <f ca="1">IFERROR(__xludf.DUMMYFUNCTION("""COMPUTED_VALUE"""),44588.6666666666)</f>
        <v>44588.666666666599</v>
      </c>
      <c r="B20" s="3">
        <f ca="1">IFERROR(__xludf.DUMMYFUNCTION("""COMPUTED_VALUE"""),151.38)</f>
        <v>151.38</v>
      </c>
      <c r="C20" s="3">
        <f ca="1">IFERROR(__xludf.DUMMYFUNCTION("""COMPUTED_VALUE"""),393.09)</f>
        <v>393.09</v>
      </c>
      <c r="D20" s="3">
        <f ca="1">IFERROR(__xludf.DUMMYFUNCTION("""COMPUTED_VALUE"""),98.38)</f>
        <v>98.38</v>
      </c>
      <c r="E20" s="3">
        <f ca="1">IFERROR(__xludf.DUMMYFUNCTION("""COMPUTED_VALUE"""),148.82)</f>
        <v>148.82</v>
      </c>
      <c r="F20" s="3">
        <f ca="1">IFERROR(__xludf.DUMMYFUNCTION("""COMPUTED_VALUE"""),52.39)</f>
        <v>52.39</v>
      </c>
      <c r="G20" s="3">
        <f ca="1">IFERROR(__xludf.DUMMYFUNCTION("""COMPUTED_VALUE"""),28.08)</f>
        <v>28.08</v>
      </c>
      <c r="H20" s="3">
        <f ca="1">IFERROR(__xludf.DUMMYFUNCTION("""COMPUTED_VALUE"""),27.74)</f>
        <v>27.74</v>
      </c>
      <c r="I20" s="3">
        <f ca="1">IFERROR(__xludf.DUMMYFUNCTION("""COMPUTED_VALUE"""),127.87)</f>
        <v>127.87</v>
      </c>
      <c r="J20" s="3">
        <f ca="1">IFERROR(__xludf.DUMMYFUNCTION("""COMPUTED_VALUE"""),236.85)</f>
        <v>236.85</v>
      </c>
      <c r="K20" s="3">
        <f ca="1">IFERROR(__xludf.DUMMYFUNCTION("""COMPUTED_VALUE"""),123.68)</f>
        <v>123.68</v>
      </c>
      <c r="L20" s="3">
        <f ca="1">IFERROR(__xludf.DUMMYFUNCTION("""COMPUTED_VALUE"""),85.51)</f>
        <v>85.51</v>
      </c>
      <c r="M20" s="3">
        <f ca="1">IFERROR(__xludf.DUMMYFUNCTION("""COMPUTED_VALUE"""),56.78)</f>
        <v>56.78</v>
      </c>
      <c r="N20" s="3">
        <f ca="1">IFERROR(__xludf.DUMMYFUNCTION("""COMPUTED_VALUE"""),61.05)</f>
        <v>61.05</v>
      </c>
      <c r="O20" s="3">
        <f ca="1">IFERROR(__xludf.DUMMYFUNCTION("""COMPUTED_VALUE"""),59.36)</f>
        <v>59.36</v>
      </c>
      <c r="P20" s="3">
        <f ca="1">IFERROR(__xludf.DUMMYFUNCTION("""COMPUTED_VALUE"""),65.91)</f>
        <v>65.91</v>
      </c>
      <c r="Q20" s="3">
        <f ca="1">IFERROR(__xludf.DUMMYFUNCTION("""COMPUTED_VALUE"""),90.98)</f>
        <v>90.98</v>
      </c>
      <c r="R20" s="3">
        <f ca="1">IFERROR(__xludf.DUMMYFUNCTION("""COMPUTED_VALUE"""),82.74)</f>
        <v>82.74</v>
      </c>
      <c r="S20" s="3">
        <f ca="1">IFERROR(__xludf.DUMMYFUNCTION("""COMPUTED_VALUE"""),41.02)</f>
        <v>41.02</v>
      </c>
      <c r="T20" s="3">
        <f ca="1">IFERROR(__xludf.DUMMYFUNCTION("""COMPUTED_VALUE"""),22.32)</f>
        <v>22.32</v>
      </c>
      <c r="U20" s="3">
        <f ca="1">IFERROR(__xludf.DUMMYFUNCTION("""COMPUTED_VALUE"""),61.86)</f>
        <v>61.86</v>
      </c>
      <c r="V20" s="3">
        <f ca="1">IFERROR(__xludf.DUMMYFUNCTION("""COMPUTED_VALUE"""),60.14)</f>
        <v>60.14</v>
      </c>
      <c r="W20" s="3">
        <f ca="1">IFERROR(__xludf.DUMMYFUNCTION("""COMPUTED_VALUE"""),38.22)</f>
        <v>38.22</v>
      </c>
      <c r="X20" s="3">
        <f ca="1">IFERROR(__xludf.DUMMYFUNCTION("""COMPUTED_VALUE"""),93.63)</f>
        <v>93.63</v>
      </c>
      <c r="Y20" s="3">
        <f ca="1">IFERROR(__xludf.DUMMYFUNCTION("""COMPUTED_VALUE"""),54.28)</f>
        <v>54.28</v>
      </c>
      <c r="Z20" s="3">
        <f ca="1">IFERROR(__xludf.DUMMYFUNCTION("""COMPUTED_VALUE"""),84.18)</f>
        <v>84.18</v>
      </c>
      <c r="AA20" s="3">
        <f ca="1">IFERROR(__xludf.DUMMYFUNCTION("""COMPUTED_VALUE"""),45.25)</f>
        <v>45.25</v>
      </c>
      <c r="AB20" s="3">
        <f ca="1">IFERROR(__xludf.DUMMYFUNCTION("""COMPUTED_VALUE"""),70.63)</f>
        <v>70.63</v>
      </c>
      <c r="AC20" s="3">
        <f ca="1">IFERROR(__xludf.DUMMYFUNCTION("""COMPUTED_VALUE"""),62.01)</f>
        <v>62.01</v>
      </c>
      <c r="AD20" s="3">
        <f ca="1">IFERROR(__xludf.DUMMYFUNCTION("""COMPUTED_VALUE"""),13.85)</f>
        <v>13.85</v>
      </c>
      <c r="AE20" s="3">
        <f ca="1">IFERROR(__xludf.DUMMYFUNCTION("""COMPUTED_VALUE"""),22.31)</f>
        <v>22.31</v>
      </c>
      <c r="AF20" s="3">
        <f ca="1">IFERROR(__xludf.DUMMYFUNCTION("""COMPUTED_VALUE"""),5.3)</f>
        <v>5.3</v>
      </c>
      <c r="AG20" s="3">
        <f ca="1">IFERROR(__xludf.DUMMYFUNCTION("""COMPUTED_VALUE"""),58.32)</f>
        <v>58.32</v>
      </c>
    </row>
    <row r="21" spans="1:33" ht="15.75" customHeight="1" x14ac:dyDescent="0.2">
      <c r="A21" s="4">
        <f ca="1">IFERROR(__xludf.DUMMYFUNCTION("""COMPUTED_VALUE"""),44589.6666666666)</f>
        <v>44589.666666666599</v>
      </c>
      <c r="B21" s="3">
        <f ca="1">IFERROR(__xludf.DUMMYFUNCTION("""COMPUTED_VALUE"""),158)</f>
        <v>158</v>
      </c>
      <c r="C21" s="3">
        <f ca="1">IFERROR(__xludf.DUMMYFUNCTION("""COMPUTED_VALUE"""),409.84)</f>
        <v>409.84</v>
      </c>
      <c r="D21" s="3">
        <f ca="1">IFERROR(__xludf.DUMMYFUNCTION("""COMPUTED_VALUE"""),102.04)</f>
        <v>102.04</v>
      </c>
      <c r="E21" s="3">
        <f ca="1">IFERROR(__xludf.DUMMYFUNCTION("""COMPUTED_VALUE"""),151.68)</f>
        <v>151.68</v>
      </c>
      <c r="F21" s="3">
        <f ca="1">IFERROR(__xludf.DUMMYFUNCTION("""COMPUTED_VALUE"""),53.29)</f>
        <v>53.29</v>
      </c>
      <c r="G21" s="3">
        <f ca="1">IFERROR(__xludf.DUMMYFUNCTION("""COMPUTED_VALUE"""),28.39)</f>
        <v>28.39</v>
      </c>
      <c r="H21" s="3">
        <f ca="1">IFERROR(__xludf.DUMMYFUNCTION("""COMPUTED_VALUE"""),28.49)</f>
        <v>28.49</v>
      </c>
      <c r="I21" s="3">
        <f ca="1">IFERROR(__xludf.DUMMYFUNCTION("""COMPUTED_VALUE"""),130.48)</f>
        <v>130.47999999999999</v>
      </c>
      <c r="J21" s="3">
        <f ca="1">IFERROR(__xludf.DUMMYFUNCTION("""COMPUTED_VALUE"""),242.28)</f>
        <v>242.28</v>
      </c>
      <c r="K21" s="3">
        <f ca="1">IFERROR(__xludf.DUMMYFUNCTION("""COMPUTED_VALUE"""),127.97)</f>
        <v>127.97</v>
      </c>
      <c r="L21" s="3">
        <f ca="1">IFERROR(__xludf.DUMMYFUNCTION("""COMPUTED_VALUE"""),88.58)</f>
        <v>88.58</v>
      </c>
      <c r="M21" s="3">
        <f ca="1">IFERROR(__xludf.DUMMYFUNCTION("""COMPUTED_VALUE"""),59.05)</f>
        <v>59.05</v>
      </c>
      <c r="N21" s="3">
        <f ca="1">IFERROR(__xludf.DUMMYFUNCTION("""COMPUTED_VALUE"""),62.45)</f>
        <v>62.45</v>
      </c>
      <c r="O21" s="3">
        <f ca="1">IFERROR(__xludf.DUMMYFUNCTION("""COMPUTED_VALUE"""),61.12)</f>
        <v>61.12</v>
      </c>
      <c r="P21" s="3">
        <f ca="1">IFERROR(__xludf.DUMMYFUNCTION("""COMPUTED_VALUE"""),65.63)</f>
        <v>65.63</v>
      </c>
      <c r="Q21" s="3">
        <f ca="1">IFERROR(__xludf.DUMMYFUNCTION("""COMPUTED_VALUE"""),90.79)</f>
        <v>90.79</v>
      </c>
      <c r="R21" s="3">
        <f ca="1">IFERROR(__xludf.DUMMYFUNCTION("""COMPUTED_VALUE"""),83.22)</f>
        <v>83.22</v>
      </c>
      <c r="S21" s="3">
        <f ca="1">IFERROR(__xludf.DUMMYFUNCTION("""COMPUTED_VALUE"""),41.37)</f>
        <v>41.37</v>
      </c>
      <c r="T21" s="3">
        <f ca="1">IFERROR(__xludf.DUMMYFUNCTION("""COMPUTED_VALUE"""),22.34)</f>
        <v>22.34</v>
      </c>
      <c r="U21" s="3">
        <f ca="1">IFERROR(__xludf.DUMMYFUNCTION("""COMPUTED_VALUE"""),61.97)</f>
        <v>61.97</v>
      </c>
      <c r="V21" s="3">
        <f ca="1">IFERROR(__xludf.DUMMYFUNCTION("""COMPUTED_VALUE"""),60.51)</f>
        <v>60.51</v>
      </c>
      <c r="W21" s="3">
        <f ca="1">IFERROR(__xludf.DUMMYFUNCTION("""COMPUTED_VALUE"""),38.72)</f>
        <v>38.72</v>
      </c>
      <c r="X21" s="3">
        <f ca="1">IFERROR(__xludf.DUMMYFUNCTION("""COMPUTED_VALUE"""),94.87)</f>
        <v>94.87</v>
      </c>
      <c r="Y21" s="3">
        <f ca="1">IFERROR(__xludf.DUMMYFUNCTION("""COMPUTED_VALUE"""),54.58)</f>
        <v>54.58</v>
      </c>
      <c r="Z21" s="3">
        <f ca="1">IFERROR(__xludf.DUMMYFUNCTION("""COMPUTED_VALUE"""),85.41)</f>
        <v>85.41</v>
      </c>
      <c r="AA21" s="3">
        <f ca="1">IFERROR(__xludf.DUMMYFUNCTION("""COMPUTED_VALUE"""),46.82)</f>
        <v>46.82</v>
      </c>
      <c r="AB21" s="3">
        <f ca="1">IFERROR(__xludf.DUMMYFUNCTION("""COMPUTED_VALUE"""),71.01)</f>
        <v>71.010000000000005</v>
      </c>
      <c r="AC21" s="3">
        <f ca="1">IFERROR(__xludf.DUMMYFUNCTION("""COMPUTED_VALUE"""),63.58)</f>
        <v>63.58</v>
      </c>
      <c r="AD21" s="3">
        <f ca="1">IFERROR(__xludf.DUMMYFUNCTION("""COMPUTED_VALUE"""),14.71)</f>
        <v>14.71</v>
      </c>
      <c r="AE21" s="3">
        <f ca="1">IFERROR(__xludf.DUMMYFUNCTION("""COMPUTED_VALUE"""),23.77)</f>
        <v>23.77</v>
      </c>
      <c r="AF21" s="3">
        <f ca="1">IFERROR(__xludf.DUMMYFUNCTION("""COMPUTED_VALUE"""),5.42)</f>
        <v>5.42</v>
      </c>
      <c r="AG21" s="3">
        <f ca="1">IFERROR(__xludf.DUMMYFUNCTION("""COMPUTED_VALUE"""),61.44)</f>
        <v>61.44</v>
      </c>
    </row>
    <row r="22" spans="1:33" ht="15.75" customHeight="1" x14ac:dyDescent="0.2">
      <c r="A22" s="4">
        <f ca="1">IFERROR(__xludf.DUMMYFUNCTION("""COMPUTED_VALUE"""),44592.6666666666)</f>
        <v>44592.666666666599</v>
      </c>
      <c r="B22" s="3">
        <f ca="1">IFERROR(__xludf.DUMMYFUNCTION("""COMPUTED_VALUE"""),161.97)</f>
        <v>161.97</v>
      </c>
      <c r="C22" s="3">
        <f ca="1">IFERROR(__xludf.DUMMYFUNCTION("""COMPUTED_VALUE"""),422.26)</f>
        <v>422.26</v>
      </c>
      <c r="D22" s="3">
        <f ca="1">IFERROR(__xludf.DUMMYFUNCTION("""COMPUTED_VALUE"""),105.26)</f>
        <v>105.26</v>
      </c>
      <c r="E22" s="3">
        <f ca="1">IFERROR(__xludf.DUMMYFUNCTION("""COMPUTED_VALUE"""),159.82)</f>
        <v>159.82</v>
      </c>
      <c r="F22" s="3">
        <f ca="1">IFERROR(__xludf.DUMMYFUNCTION("""COMPUTED_VALUE"""),55.19)</f>
        <v>55.19</v>
      </c>
      <c r="G22" s="3">
        <f ca="1">IFERROR(__xludf.DUMMYFUNCTION("""COMPUTED_VALUE"""),29.7)</f>
        <v>29.7</v>
      </c>
      <c r="H22" s="3">
        <f ca="1">IFERROR(__xludf.DUMMYFUNCTION("""COMPUTED_VALUE"""),29.59)</f>
        <v>29.59</v>
      </c>
      <c r="I22" s="3">
        <f ca="1">IFERROR(__xludf.DUMMYFUNCTION("""COMPUTED_VALUE"""),131.23)</f>
        <v>131.22999999999999</v>
      </c>
      <c r="J22" s="3">
        <f ca="1">IFERROR(__xludf.DUMMYFUNCTION("""COMPUTED_VALUE"""),245.34)</f>
        <v>245.34</v>
      </c>
      <c r="K22" s="3">
        <f ca="1">IFERROR(__xludf.DUMMYFUNCTION("""COMPUTED_VALUE"""),131.86)</f>
        <v>131.86000000000001</v>
      </c>
      <c r="L22" s="3">
        <f ca="1">IFERROR(__xludf.DUMMYFUNCTION("""COMPUTED_VALUE"""),93.43)</f>
        <v>93.43</v>
      </c>
      <c r="M22" s="3">
        <f ca="1">IFERROR(__xludf.DUMMYFUNCTION("""COMPUTED_VALUE"""),60.73)</f>
        <v>60.73</v>
      </c>
      <c r="N22" s="3">
        <f ca="1">IFERROR(__xludf.DUMMYFUNCTION("""COMPUTED_VALUE"""),63.22)</f>
        <v>63.22</v>
      </c>
      <c r="O22" s="3">
        <f ca="1">IFERROR(__xludf.DUMMYFUNCTION("""COMPUTED_VALUE"""),64.56)</f>
        <v>64.56</v>
      </c>
      <c r="P22" s="3">
        <f ca="1">IFERROR(__xludf.DUMMYFUNCTION("""COMPUTED_VALUE"""),65.92)</f>
        <v>65.92</v>
      </c>
      <c r="Q22" s="3">
        <f ca="1">IFERROR(__xludf.DUMMYFUNCTION("""COMPUTED_VALUE"""),91.18)</f>
        <v>91.18</v>
      </c>
      <c r="R22" s="3">
        <f ca="1">IFERROR(__xludf.DUMMYFUNCTION("""COMPUTED_VALUE"""),84.45)</f>
        <v>84.45</v>
      </c>
      <c r="S22" s="3">
        <f ca="1">IFERROR(__xludf.DUMMYFUNCTION("""COMPUTED_VALUE"""),41.72)</f>
        <v>41.72</v>
      </c>
      <c r="T22" s="3">
        <f ca="1">IFERROR(__xludf.DUMMYFUNCTION("""COMPUTED_VALUE"""),22.42)</f>
        <v>22.42</v>
      </c>
      <c r="U22" s="3">
        <f ca="1">IFERROR(__xludf.DUMMYFUNCTION("""COMPUTED_VALUE"""),62.48)</f>
        <v>62.48</v>
      </c>
      <c r="V22" s="3">
        <f ca="1">IFERROR(__xludf.DUMMYFUNCTION("""COMPUTED_VALUE"""),65.48)</f>
        <v>65.48</v>
      </c>
      <c r="W22" s="3">
        <f ca="1">IFERROR(__xludf.DUMMYFUNCTION("""COMPUTED_VALUE"""),39.06)</f>
        <v>39.06</v>
      </c>
      <c r="X22" s="3">
        <f ca="1">IFERROR(__xludf.DUMMYFUNCTION("""COMPUTED_VALUE"""),96.02)</f>
        <v>96.02</v>
      </c>
      <c r="Y22" s="3">
        <f ca="1">IFERROR(__xludf.DUMMYFUNCTION("""COMPUTED_VALUE"""),55.03)</f>
        <v>55.03</v>
      </c>
      <c r="Z22" s="3">
        <f ca="1">IFERROR(__xludf.DUMMYFUNCTION("""COMPUTED_VALUE"""),86.36)</f>
        <v>86.36</v>
      </c>
      <c r="AA22" s="3">
        <f ca="1">IFERROR(__xludf.DUMMYFUNCTION("""COMPUTED_VALUE"""),47.34)</f>
        <v>47.34</v>
      </c>
      <c r="AB22" s="3">
        <f ca="1">IFERROR(__xludf.DUMMYFUNCTION("""COMPUTED_VALUE"""),71.6)</f>
        <v>71.599999999999994</v>
      </c>
      <c r="AC22" s="3">
        <f ca="1">IFERROR(__xludf.DUMMYFUNCTION("""COMPUTED_VALUE"""),64.3)</f>
        <v>64.3</v>
      </c>
      <c r="AD22" s="3">
        <f ca="1">IFERROR(__xludf.DUMMYFUNCTION("""COMPUTED_VALUE"""),14.99)</f>
        <v>14.99</v>
      </c>
      <c r="AE22" s="3">
        <f ca="1">IFERROR(__xludf.DUMMYFUNCTION("""COMPUTED_VALUE"""),24.16)</f>
        <v>24.16</v>
      </c>
      <c r="AF22" s="3">
        <f ca="1">IFERROR(__xludf.DUMMYFUNCTION("""COMPUTED_VALUE"""),5.86)</f>
        <v>5.86</v>
      </c>
      <c r="AG22" s="3">
        <f ca="1">IFERROR(__xludf.DUMMYFUNCTION("""COMPUTED_VALUE"""),66.12)</f>
        <v>66.12</v>
      </c>
    </row>
    <row r="23" spans="1:33" ht="15.75" customHeight="1" x14ac:dyDescent="0.2">
      <c r="A23" s="4">
        <f ca="1">IFERROR(__xludf.DUMMYFUNCTION("""COMPUTED_VALUE"""),44593.6666666666)</f>
        <v>44593.666666666599</v>
      </c>
      <c r="B23" s="3">
        <f ca="1">IFERROR(__xludf.DUMMYFUNCTION("""COMPUTED_VALUE"""),162.39)</f>
        <v>162.38999999999999</v>
      </c>
      <c r="C23" s="3">
        <f ca="1">IFERROR(__xludf.DUMMYFUNCTION("""COMPUTED_VALUE"""),424.01)</f>
        <v>424.01</v>
      </c>
      <c r="D23" s="3">
        <f ca="1">IFERROR(__xludf.DUMMYFUNCTION("""COMPUTED_VALUE"""),105.84)</f>
        <v>105.84</v>
      </c>
      <c r="E23" s="3">
        <f ca="1">IFERROR(__xludf.DUMMYFUNCTION("""COMPUTED_VALUE"""),161.15)</f>
        <v>161.15</v>
      </c>
      <c r="F23" s="3">
        <f ca="1">IFERROR(__xludf.DUMMYFUNCTION("""COMPUTED_VALUE"""),55.72)</f>
        <v>55.72</v>
      </c>
      <c r="G23" s="3">
        <f ca="1">IFERROR(__xludf.DUMMYFUNCTION("""COMPUTED_VALUE"""),30.15)</f>
        <v>30.15</v>
      </c>
      <c r="H23" s="3">
        <f ca="1">IFERROR(__xludf.DUMMYFUNCTION("""COMPUTED_VALUE"""),29.99)</f>
        <v>29.99</v>
      </c>
      <c r="I23" s="3">
        <f ca="1">IFERROR(__xludf.DUMMYFUNCTION("""COMPUTED_VALUE"""),131.58)</f>
        <v>131.58000000000001</v>
      </c>
      <c r="J23" s="3">
        <f ca="1">IFERROR(__xludf.DUMMYFUNCTION("""COMPUTED_VALUE"""),246.28)</f>
        <v>246.28</v>
      </c>
      <c r="K23" s="3">
        <f ca="1">IFERROR(__xludf.DUMMYFUNCTION("""COMPUTED_VALUE"""),134.25)</f>
        <v>134.25</v>
      </c>
      <c r="L23" s="3">
        <f ca="1">IFERROR(__xludf.DUMMYFUNCTION("""COMPUTED_VALUE"""),94.94)</f>
        <v>94.94</v>
      </c>
      <c r="M23" s="3">
        <f ca="1">IFERROR(__xludf.DUMMYFUNCTION("""COMPUTED_VALUE"""),61.64)</f>
        <v>61.64</v>
      </c>
      <c r="N23" s="3">
        <f ca="1">IFERROR(__xludf.DUMMYFUNCTION("""COMPUTED_VALUE"""),63.41)</f>
        <v>63.41</v>
      </c>
      <c r="O23" s="3">
        <f ca="1">IFERROR(__xludf.DUMMYFUNCTION("""COMPUTED_VALUE"""),66.12)</f>
        <v>66.12</v>
      </c>
      <c r="P23" s="3">
        <f ca="1">IFERROR(__xludf.DUMMYFUNCTION("""COMPUTED_VALUE"""),68.27)</f>
        <v>68.27</v>
      </c>
      <c r="Q23" s="3">
        <f ca="1">IFERROR(__xludf.DUMMYFUNCTION("""COMPUTED_VALUE"""),94.53)</f>
        <v>94.53</v>
      </c>
      <c r="R23" s="3">
        <f ca="1">IFERROR(__xludf.DUMMYFUNCTION("""COMPUTED_VALUE"""),85.75)</f>
        <v>85.75</v>
      </c>
      <c r="S23" s="3">
        <f ca="1">IFERROR(__xludf.DUMMYFUNCTION("""COMPUTED_VALUE"""),43.63)</f>
        <v>43.63</v>
      </c>
      <c r="T23" s="3">
        <f ca="1">IFERROR(__xludf.DUMMYFUNCTION("""COMPUTED_VALUE"""),22.51)</f>
        <v>22.51</v>
      </c>
      <c r="U23" s="3">
        <f ca="1">IFERROR(__xludf.DUMMYFUNCTION("""COMPUTED_VALUE"""),62.53)</f>
        <v>62.53</v>
      </c>
      <c r="V23" s="3">
        <f ca="1">IFERROR(__xludf.DUMMYFUNCTION("""COMPUTED_VALUE"""),65.21)</f>
        <v>65.209999999999994</v>
      </c>
      <c r="W23" s="3">
        <f ca="1">IFERROR(__xludf.DUMMYFUNCTION("""COMPUTED_VALUE"""),39.6)</f>
        <v>39.6</v>
      </c>
      <c r="X23" s="3">
        <f ca="1">IFERROR(__xludf.DUMMYFUNCTION("""COMPUTED_VALUE"""),97.32)</f>
        <v>97.32</v>
      </c>
      <c r="Y23" s="3">
        <f ca="1">IFERROR(__xludf.DUMMYFUNCTION("""COMPUTED_VALUE"""),55.87)</f>
        <v>55.87</v>
      </c>
      <c r="Z23" s="3">
        <f ca="1">IFERROR(__xludf.DUMMYFUNCTION("""COMPUTED_VALUE"""),87.57)</f>
        <v>87.57</v>
      </c>
      <c r="AA23" s="3">
        <f ca="1">IFERROR(__xludf.DUMMYFUNCTION("""COMPUTED_VALUE"""),47.02)</f>
        <v>47.02</v>
      </c>
      <c r="AB23" s="3">
        <f ca="1">IFERROR(__xludf.DUMMYFUNCTION("""COMPUTED_VALUE"""),72.68)</f>
        <v>72.680000000000007</v>
      </c>
      <c r="AC23" s="3">
        <f ca="1">IFERROR(__xludf.DUMMYFUNCTION("""COMPUTED_VALUE"""),65.54)</f>
        <v>65.540000000000006</v>
      </c>
      <c r="AD23" s="3">
        <f ca="1">IFERROR(__xludf.DUMMYFUNCTION("""COMPUTED_VALUE"""),15.01)</f>
        <v>15.01</v>
      </c>
      <c r="AE23" s="3">
        <f ca="1">IFERROR(__xludf.DUMMYFUNCTION("""COMPUTED_VALUE"""),24.2)</f>
        <v>24.2</v>
      </c>
      <c r="AF23" s="3">
        <f ca="1">IFERROR(__xludf.DUMMYFUNCTION("""COMPUTED_VALUE"""),6.02)</f>
        <v>6.02</v>
      </c>
      <c r="AG23" s="3">
        <f ca="1">IFERROR(__xludf.DUMMYFUNCTION("""COMPUTED_VALUE"""),69.24)</f>
        <v>69.239999999999995</v>
      </c>
    </row>
    <row r="24" spans="1:33" ht="15.75" customHeight="1" x14ac:dyDescent="0.2">
      <c r="A24" s="4">
        <f ca="1">IFERROR(__xludf.DUMMYFUNCTION("""COMPUTED_VALUE"""),44594.6666666666)</f>
        <v>44594.666666666599</v>
      </c>
      <c r="B24" s="3">
        <f ca="1">IFERROR(__xludf.DUMMYFUNCTION("""COMPUTED_VALUE"""),163.71)</f>
        <v>163.71</v>
      </c>
      <c r="C24" s="3">
        <f ca="1">IFERROR(__xludf.DUMMYFUNCTION("""COMPUTED_VALUE"""),426.21)</f>
        <v>426.21</v>
      </c>
      <c r="D24" s="3">
        <f ca="1">IFERROR(__xludf.DUMMYFUNCTION("""COMPUTED_VALUE"""),107.6)</f>
        <v>107.6</v>
      </c>
      <c r="E24" s="3">
        <f ca="1">IFERROR(__xludf.DUMMYFUNCTION("""COMPUTED_VALUE"""),165.22)</f>
        <v>165.22</v>
      </c>
      <c r="F24" s="3">
        <f ca="1">IFERROR(__xludf.DUMMYFUNCTION("""COMPUTED_VALUE"""),55.1)</f>
        <v>55.1</v>
      </c>
      <c r="G24" s="3">
        <f ca="1">IFERROR(__xludf.DUMMYFUNCTION("""COMPUTED_VALUE"""),30.32)</f>
        <v>30.32</v>
      </c>
      <c r="H24" s="3">
        <f ca="1">IFERROR(__xludf.DUMMYFUNCTION("""COMPUTED_VALUE"""),29.88)</f>
        <v>29.88</v>
      </c>
      <c r="I24" s="3">
        <f ca="1">IFERROR(__xludf.DUMMYFUNCTION("""COMPUTED_VALUE"""),133.35)</f>
        <v>133.35</v>
      </c>
      <c r="J24" s="3">
        <f ca="1">IFERROR(__xludf.DUMMYFUNCTION("""COMPUTED_VALUE"""),248.57)</f>
        <v>248.57</v>
      </c>
      <c r="K24" s="3">
        <f ca="1">IFERROR(__xludf.DUMMYFUNCTION("""COMPUTED_VALUE"""),132.98)</f>
        <v>132.97999999999999</v>
      </c>
      <c r="L24" s="3">
        <f ca="1">IFERROR(__xludf.DUMMYFUNCTION("""COMPUTED_VALUE"""),91.85)</f>
        <v>91.85</v>
      </c>
      <c r="M24" s="3">
        <f ca="1">IFERROR(__xludf.DUMMYFUNCTION("""COMPUTED_VALUE"""),60.68)</f>
        <v>60.68</v>
      </c>
      <c r="N24" s="3">
        <f ca="1">IFERROR(__xludf.DUMMYFUNCTION("""COMPUTED_VALUE"""),64.04)</f>
        <v>64.040000000000006</v>
      </c>
      <c r="O24" s="3">
        <f ca="1">IFERROR(__xludf.DUMMYFUNCTION("""COMPUTED_VALUE"""),64.44)</f>
        <v>64.44</v>
      </c>
      <c r="P24" s="3">
        <f ca="1">IFERROR(__xludf.DUMMYFUNCTION("""COMPUTED_VALUE"""),68.49)</f>
        <v>68.489999999999995</v>
      </c>
      <c r="Q24" s="3">
        <f ca="1">IFERROR(__xludf.DUMMYFUNCTION("""COMPUTED_VALUE"""),94.84)</f>
        <v>94.84</v>
      </c>
      <c r="R24" s="3">
        <f ca="1">IFERROR(__xludf.DUMMYFUNCTION("""COMPUTED_VALUE"""),86.02)</f>
        <v>86.02</v>
      </c>
      <c r="S24" s="3">
        <f ca="1">IFERROR(__xludf.DUMMYFUNCTION("""COMPUTED_VALUE"""),44.19)</f>
        <v>44.19</v>
      </c>
      <c r="T24" s="3">
        <f ca="1">IFERROR(__xludf.DUMMYFUNCTION("""COMPUTED_VALUE"""),22.6)</f>
        <v>22.6</v>
      </c>
      <c r="U24" s="3">
        <f ca="1">IFERROR(__xludf.DUMMYFUNCTION("""COMPUTED_VALUE"""),62.52)</f>
        <v>62.52</v>
      </c>
      <c r="V24" s="3">
        <f ca="1">IFERROR(__xludf.DUMMYFUNCTION("""COMPUTED_VALUE"""),64)</f>
        <v>64</v>
      </c>
      <c r="W24" s="3">
        <f ca="1">IFERROR(__xludf.DUMMYFUNCTION("""COMPUTED_VALUE"""),39.87)</f>
        <v>39.869999999999997</v>
      </c>
      <c r="X24" s="3">
        <f ca="1">IFERROR(__xludf.DUMMYFUNCTION("""COMPUTED_VALUE"""),97.78)</f>
        <v>97.78</v>
      </c>
      <c r="Y24" s="3">
        <f ca="1">IFERROR(__xludf.DUMMYFUNCTION("""COMPUTED_VALUE"""),55.73)</f>
        <v>55.73</v>
      </c>
      <c r="Z24" s="3">
        <f ca="1">IFERROR(__xludf.DUMMYFUNCTION("""COMPUTED_VALUE"""),88.14)</f>
        <v>88.14</v>
      </c>
      <c r="AA24" s="3">
        <f ca="1">IFERROR(__xludf.DUMMYFUNCTION("""COMPUTED_VALUE"""),47.83)</f>
        <v>47.83</v>
      </c>
      <c r="AB24" s="3">
        <f ca="1">IFERROR(__xludf.DUMMYFUNCTION("""COMPUTED_VALUE"""),72.49)</f>
        <v>72.489999999999995</v>
      </c>
      <c r="AC24" s="3">
        <f ca="1">IFERROR(__xludf.DUMMYFUNCTION("""COMPUTED_VALUE"""),65.8)</f>
        <v>65.8</v>
      </c>
      <c r="AD24" s="3">
        <f ca="1">IFERROR(__xludf.DUMMYFUNCTION("""COMPUTED_VALUE"""),14.63)</f>
        <v>14.63</v>
      </c>
      <c r="AE24" s="3">
        <f ca="1">IFERROR(__xludf.DUMMYFUNCTION("""COMPUTED_VALUE"""),23.58)</f>
        <v>23.58</v>
      </c>
      <c r="AF24" s="3">
        <f ca="1">IFERROR(__xludf.DUMMYFUNCTION("""COMPUTED_VALUE"""),5.53)</f>
        <v>5.53</v>
      </c>
      <c r="AG24" s="3">
        <f ca="1">IFERROR(__xludf.DUMMYFUNCTION("""COMPUTED_VALUE"""),65.48)</f>
        <v>65.48</v>
      </c>
    </row>
    <row r="25" spans="1:33" ht="12.75" x14ac:dyDescent="0.2">
      <c r="A25" s="4">
        <f ca="1">IFERROR(__xludf.DUMMYFUNCTION("""COMPUTED_VALUE"""),44595.6666666666)</f>
        <v>44595.666666666599</v>
      </c>
      <c r="B25" s="3">
        <f ca="1">IFERROR(__xludf.DUMMYFUNCTION("""COMPUTED_VALUE"""),158.96)</f>
        <v>158.96</v>
      </c>
      <c r="C25" s="3">
        <f ca="1">IFERROR(__xludf.DUMMYFUNCTION("""COMPUTED_VALUE"""),412.93)</f>
        <v>412.93</v>
      </c>
      <c r="D25" s="3">
        <f ca="1">IFERROR(__xludf.DUMMYFUNCTION("""COMPUTED_VALUE"""),102.81)</f>
        <v>102.81</v>
      </c>
      <c r="E25" s="3">
        <f ca="1">IFERROR(__xludf.DUMMYFUNCTION("""COMPUTED_VALUE"""),158.03)</f>
        <v>158.03</v>
      </c>
      <c r="F25" s="3">
        <f ca="1">IFERROR(__xludf.DUMMYFUNCTION("""COMPUTED_VALUE"""),53.84)</f>
        <v>53.84</v>
      </c>
      <c r="G25" s="3">
        <f ca="1">IFERROR(__xludf.DUMMYFUNCTION("""COMPUTED_VALUE"""),28.97)</f>
        <v>28.97</v>
      </c>
      <c r="H25" s="3">
        <f ca="1">IFERROR(__xludf.DUMMYFUNCTION("""COMPUTED_VALUE"""),29.12)</f>
        <v>29.12</v>
      </c>
      <c r="I25" s="3">
        <f ca="1">IFERROR(__xludf.DUMMYFUNCTION("""COMPUTED_VALUE"""),132.78)</f>
        <v>132.78</v>
      </c>
      <c r="J25" s="3">
        <f ca="1">IFERROR(__xludf.DUMMYFUNCTION("""COMPUTED_VALUE"""),246.89)</f>
        <v>246.89</v>
      </c>
      <c r="K25" s="3">
        <f ca="1">IFERROR(__xludf.DUMMYFUNCTION("""COMPUTED_VALUE"""),130.21)</f>
        <v>130.21</v>
      </c>
      <c r="L25" s="3">
        <f ca="1">IFERROR(__xludf.DUMMYFUNCTION("""COMPUTED_VALUE"""),89.44)</f>
        <v>89.44</v>
      </c>
      <c r="M25" s="3">
        <f ca="1">IFERROR(__xludf.DUMMYFUNCTION("""COMPUTED_VALUE"""),59.66)</f>
        <v>59.66</v>
      </c>
      <c r="N25" s="3">
        <f ca="1">IFERROR(__xludf.DUMMYFUNCTION("""COMPUTED_VALUE"""),63.64)</f>
        <v>63.64</v>
      </c>
      <c r="O25" s="3">
        <f ca="1">IFERROR(__xludf.DUMMYFUNCTION("""COMPUTED_VALUE"""),62.6)</f>
        <v>62.6</v>
      </c>
      <c r="P25" s="3">
        <f ca="1">IFERROR(__xludf.DUMMYFUNCTION("""COMPUTED_VALUE"""),67.84)</f>
        <v>67.84</v>
      </c>
      <c r="Q25" s="3">
        <f ca="1">IFERROR(__xludf.DUMMYFUNCTION("""COMPUTED_VALUE"""),93.75)</f>
        <v>93.75</v>
      </c>
      <c r="R25" s="3">
        <f ca="1">IFERROR(__xludf.DUMMYFUNCTION("""COMPUTED_VALUE"""),84.52)</f>
        <v>84.52</v>
      </c>
      <c r="S25" s="3">
        <f ca="1">IFERROR(__xludf.DUMMYFUNCTION("""COMPUTED_VALUE"""),43.82)</f>
        <v>43.82</v>
      </c>
      <c r="T25" s="3">
        <f ca="1">IFERROR(__xludf.DUMMYFUNCTION("""COMPUTED_VALUE"""),22.65)</f>
        <v>22.65</v>
      </c>
      <c r="U25" s="3">
        <f ca="1">IFERROR(__xludf.DUMMYFUNCTION("""COMPUTED_VALUE"""),63.51)</f>
        <v>63.51</v>
      </c>
      <c r="V25" s="3">
        <f ca="1">IFERROR(__xludf.DUMMYFUNCTION("""COMPUTED_VALUE"""),61.44)</f>
        <v>61.44</v>
      </c>
      <c r="W25" s="3">
        <f ca="1">IFERROR(__xludf.DUMMYFUNCTION("""COMPUTED_VALUE"""),39.43)</f>
        <v>39.43</v>
      </c>
      <c r="X25" s="3">
        <f ca="1">IFERROR(__xludf.DUMMYFUNCTION("""COMPUTED_VALUE"""),96.65)</f>
        <v>96.65</v>
      </c>
      <c r="Y25" s="3">
        <f ca="1">IFERROR(__xludf.DUMMYFUNCTION("""COMPUTED_VALUE"""),55.38)</f>
        <v>55.38</v>
      </c>
      <c r="Z25" s="3">
        <f ca="1">IFERROR(__xludf.DUMMYFUNCTION("""COMPUTED_VALUE"""),87.03)</f>
        <v>87.03</v>
      </c>
      <c r="AA25" s="3">
        <f ca="1">IFERROR(__xludf.DUMMYFUNCTION("""COMPUTED_VALUE"""),47.34)</f>
        <v>47.34</v>
      </c>
      <c r="AB25" s="3">
        <f ca="1">IFERROR(__xludf.DUMMYFUNCTION("""COMPUTED_VALUE"""),72.07)</f>
        <v>72.069999999999993</v>
      </c>
      <c r="AC25" s="3">
        <f ca="1">IFERROR(__xludf.DUMMYFUNCTION("""COMPUTED_VALUE"""),64.9)</f>
        <v>64.900000000000006</v>
      </c>
      <c r="AD25" s="3">
        <f ca="1">IFERROR(__xludf.DUMMYFUNCTION("""COMPUTED_VALUE"""),14.12)</f>
        <v>14.12</v>
      </c>
      <c r="AE25" s="3">
        <f ca="1">IFERROR(__xludf.DUMMYFUNCTION("""COMPUTED_VALUE"""),22.84)</f>
        <v>22.84</v>
      </c>
      <c r="AF25" s="3">
        <f ca="1">IFERROR(__xludf.DUMMYFUNCTION("""COMPUTED_VALUE"""),5.62)</f>
        <v>5.62</v>
      </c>
      <c r="AG25" s="3">
        <f ca="1">IFERROR(__xludf.DUMMYFUNCTION("""COMPUTED_VALUE"""),62.32)</f>
        <v>62.32</v>
      </c>
    </row>
    <row r="26" spans="1:33" ht="12.75" x14ac:dyDescent="0.2">
      <c r="A26" s="4">
        <f ca="1">IFERROR(__xludf.DUMMYFUNCTION("""COMPUTED_VALUE"""),44596.6666666666)</f>
        <v>44596.666666666599</v>
      </c>
      <c r="B26" s="3">
        <f ca="1">IFERROR(__xludf.DUMMYFUNCTION("""COMPUTED_VALUE"""),159.6)</f>
        <v>159.6</v>
      </c>
      <c r="C26" s="3">
        <f ca="1">IFERROR(__xludf.DUMMYFUNCTION("""COMPUTED_VALUE"""),416.08)</f>
        <v>416.08</v>
      </c>
      <c r="D26" s="3">
        <f ca="1">IFERROR(__xludf.DUMMYFUNCTION("""COMPUTED_VALUE"""),103.8)</f>
        <v>103.8</v>
      </c>
      <c r="E26" s="3">
        <f ca="1">IFERROR(__xludf.DUMMYFUNCTION("""COMPUTED_VALUE"""),158.94)</f>
        <v>158.94</v>
      </c>
      <c r="F26" s="3">
        <f ca="1">IFERROR(__xludf.DUMMYFUNCTION("""COMPUTED_VALUE"""),54.85)</f>
        <v>54.85</v>
      </c>
      <c r="G26" s="3">
        <f ca="1">IFERROR(__xludf.DUMMYFUNCTION("""COMPUTED_VALUE"""),29.16)</f>
        <v>29.16</v>
      </c>
      <c r="H26" s="3">
        <f ca="1">IFERROR(__xludf.DUMMYFUNCTION("""COMPUTED_VALUE"""),29.57)</f>
        <v>29.57</v>
      </c>
      <c r="I26" s="3">
        <f ca="1">IFERROR(__xludf.DUMMYFUNCTION("""COMPUTED_VALUE"""),132.3)</f>
        <v>132.30000000000001</v>
      </c>
      <c r="J26" s="3">
        <f ca="1">IFERROR(__xludf.DUMMYFUNCTION("""COMPUTED_VALUE"""),246.44)</f>
        <v>246.44</v>
      </c>
      <c r="K26" s="3">
        <f ca="1">IFERROR(__xludf.DUMMYFUNCTION("""COMPUTED_VALUE"""),130.63)</f>
        <v>130.63</v>
      </c>
      <c r="L26" s="3">
        <f ca="1">IFERROR(__xludf.DUMMYFUNCTION("""COMPUTED_VALUE"""),90.79)</f>
        <v>90.79</v>
      </c>
      <c r="M26" s="3">
        <f ca="1">IFERROR(__xludf.DUMMYFUNCTION("""COMPUTED_VALUE"""),60.02)</f>
        <v>60.02</v>
      </c>
      <c r="N26" s="3">
        <f ca="1">IFERROR(__xludf.DUMMYFUNCTION("""COMPUTED_VALUE"""),63.51)</f>
        <v>63.51</v>
      </c>
      <c r="O26" s="3">
        <f ca="1">IFERROR(__xludf.DUMMYFUNCTION("""COMPUTED_VALUE"""),63.52)</f>
        <v>63.52</v>
      </c>
      <c r="P26" s="3">
        <f ca="1">IFERROR(__xludf.DUMMYFUNCTION("""COMPUTED_VALUE"""),68.9)</f>
        <v>68.900000000000006</v>
      </c>
      <c r="Q26" s="3">
        <f ca="1">IFERROR(__xludf.DUMMYFUNCTION("""COMPUTED_VALUE"""),95.18)</f>
        <v>95.18</v>
      </c>
      <c r="R26" s="3">
        <f ca="1">IFERROR(__xludf.DUMMYFUNCTION("""COMPUTED_VALUE"""),83.12)</f>
        <v>83.12</v>
      </c>
      <c r="S26" s="3">
        <f ca="1">IFERROR(__xludf.DUMMYFUNCTION("""COMPUTED_VALUE"""),44.26)</f>
        <v>44.26</v>
      </c>
      <c r="T26" s="3">
        <f ca="1">IFERROR(__xludf.DUMMYFUNCTION("""COMPUTED_VALUE"""),22.83)</f>
        <v>22.83</v>
      </c>
      <c r="U26" s="3">
        <f ca="1">IFERROR(__xludf.DUMMYFUNCTION("""COMPUTED_VALUE"""),64.91)</f>
        <v>64.91</v>
      </c>
      <c r="V26" s="3">
        <f ca="1">IFERROR(__xludf.DUMMYFUNCTION("""COMPUTED_VALUE"""),63.41)</f>
        <v>63.41</v>
      </c>
      <c r="W26" s="3">
        <f ca="1">IFERROR(__xludf.DUMMYFUNCTION("""COMPUTED_VALUE"""),40.1)</f>
        <v>40.1</v>
      </c>
      <c r="X26" s="3">
        <f ca="1">IFERROR(__xludf.DUMMYFUNCTION("""COMPUTED_VALUE"""),98.23)</f>
        <v>98.23</v>
      </c>
      <c r="Y26" s="3">
        <f ca="1">IFERROR(__xludf.DUMMYFUNCTION("""COMPUTED_VALUE"""),56.37)</f>
        <v>56.37</v>
      </c>
      <c r="Z26" s="3">
        <f ca="1">IFERROR(__xludf.DUMMYFUNCTION("""COMPUTED_VALUE"""),88.47)</f>
        <v>88.47</v>
      </c>
      <c r="AA26" s="3">
        <f ca="1">IFERROR(__xludf.DUMMYFUNCTION("""COMPUTED_VALUE"""),46.69)</f>
        <v>46.69</v>
      </c>
      <c r="AB26" s="3">
        <f ca="1">IFERROR(__xludf.DUMMYFUNCTION("""COMPUTED_VALUE"""),73.45)</f>
        <v>73.45</v>
      </c>
      <c r="AC26" s="3">
        <f ca="1">IFERROR(__xludf.DUMMYFUNCTION("""COMPUTED_VALUE"""),65.84)</f>
        <v>65.84</v>
      </c>
      <c r="AD26" s="3">
        <f ca="1">IFERROR(__xludf.DUMMYFUNCTION("""COMPUTED_VALUE"""),15.83)</f>
        <v>15.83</v>
      </c>
      <c r="AE26" s="3">
        <f ca="1">IFERROR(__xludf.DUMMYFUNCTION("""COMPUTED_VALUE"""),25.56)</f>
        <v>25.56</v>
      </c>
      <c r="AF26" s="3">
        <f ca="1">IFERROR(__xludf.DUMMYFUNCTION("""COMPUTED_VALUE"""),6.2)</f>
        <v>6.2</v>
      </c>
      <c r="AG26" s="3">
        <f ca="1">IFERROR(__xludf.DUMMYFUNCTION("""COMPUTED_VALUE"""),67.92)</f>
        <v>67.92</v>
      </c>
    </row>
    <row r="27" spans="1:33" ht="12.75" x14ac:dyDescent="0.2">
      <c r="A27" s="4">
        <f ca="1">IFERROR(__xludf.DUMMYFUNCTION("""COMPUTED_VALUE"""),44599.6666666666)</f>
        <v>44599.666666666599</v>
      </c>
      <c r="B27" s="3">
        <f ca="1">IFERROR(__xludf.DUMMYFUNCTION("""COMPUTED_VALUE"""),158.54)</f>
        <v>158.54</v>
      </c>
      <c r="C27" s="3">
        <f ca="1">IFERROR(__xludf.DUMMYFUNCTION("""COMPUTED_VALUE"""),414.04)</f>
        <v>414.04</v>
      </c>
      <c r="D27" s="3">
        <f ca="1">IFERROR(__xludf.DUMMYFUNCTION("""COMPUTED_VALUE"""),102.86)</f>
        <v>102.86</v>
      </c>
      <c r="E27" s="3">
        <f ca="1">IFERROR(__xludf.DUMMYFUNCTION("""COMPUTED_VALUE"""),158.85)</f>
        <v>158.85</v>
      </c>
      <c r="F27" s="3">
        <f ca="1">IFERROR(__xludf.DUMMYFUNCTION("""COMPUTED_VALUE"""),55.06)</f>
        <v>55.06</v>
      </c>
      <c r="G27" s="3">
        <f ca="1">IFERROR(__xludf.DUMMYFUNCTION("""COMPUTED_VALUE"""),29.16)</f>
        <v>29.16</v>
      </c>
      <c r="H27" s="3">
        <f ca="1">IFERROR(__xludf.DUMMYFUNCTION("""COMPUTED_VALUE"""),29.62)</f>
        <v>29.62</v>
      </c>
      <c r="I27" s="3">
        <f ca="1">IFERROR(__xludf.DUMMYFUNCTION("""COMPUTED_VALUE"""),132.07)</f>
        <v>132.07</v>
      </c>
      <c r="J27" s="3">
        <f ca="1">IFERROR(__xludf.DUMMYFUNCTION("""COMPUTED_VALUE"""),246.28)</f>
        <v>246.28</v>
      </c>
      <c r="K27" s="3">
        <f ca="1">IFERROR(__xludf.DUMMYFUNCTION("""COMPUTED_VALUE"""),131.64)</f>
        <v>131.63999999999999</v>
      </c>
      <c r="L27" s="3">
        <f ca="1">IFERROR(__xludf.DUMMYFUNCTION("""COMPUTED_VALUE"""),93.25)</f>
        <v>93.25</v>
      </c>
      <c r="M27" s="3">
        <f ca="1">IFERROR(__xludf.DUMMYFUNCTION("""COMPUTED_VALUE"""),60.74)</f>
        <v>60.74</v>
      </c>
      <c r="N27" s="3">
        <f ca="1">IFERROR(__xludf.DUMMYFUNCTION("""COMPUTED_VALUE"""),63.46)</f>
        <v>63.46</v>
      </c>
      <c r="O27" s="3">
        <f ca="1">IFERROR(__xludf.DUMMYFUNCTION("""COMPUTED_VALUE"""),64.88)</f>
        <v>64.88</v>
      </c>
      <c r="P27" s="3">
        <f ca="1">IFERROR(__xludf.DUMMYFUNCTION("""COMPUTED_VALUE"""),69.78)</f>
        <v>69.78</v>
      </c>
      <c r="Q27" s="3">
        <f ca="1">IFERROR(__xludf.DUMMYFUNCTION("""COMPUTED_VALUE"""),96.21)</f>
        <v>96.21</v>
      </c>
      <c r="R27" s="3">
        <f ca="1">IFERROR(__xludf.DUMMYFUNCTION("""COMPUTED_VALUE"""),82.71)</f>
        <v>82.71</v>
      </c>
      <c r="S27" s="3">
        <f ca="1">IFERROR(__xludf.DUMMYFUNCTION("""COMPUTED_VALUE"""),44.57)</f>
        <v>44.57</v>
      </c>
      <c r="T27" s="3">
        <f ca="1">IFERROR(__xludf.DUMMYFUNCTION("""COMPUTED_VALUE"""),22.88)</f>
        <v>22.88</v>
      </c>
      <c r="U27" s="3">
        <f ca="1">IFERROR(__xludf.DUMMYFUNCTION("""COMPUTED_VALUE"""),64.68)</f>
        <v>64.680000000000007</v>
      </c>
      <c r="V27" s="3">
        <f ca="1">IFERROR(__xludf.DUMMYFUNCTION("""COMPUTED_VALUE"""),62.89)</f>
        <v>62.89</v>
      </c>
      <c r="W27" s="3">
        <f ca="1">IFERROR(__xludf.DUMMYFUNCTION("""COMPUTED_VALUE"""),40.22)</f>
        <v>40.22</v>
      </c>
      <c r="X27" s="3">
        <f ca="1">IFERROR(__xludf.DUMMYFUNCTION("""COMPUTED_VALUE"""),98.6)</f>
        <v>98.6</v>
      </c>
      <c r="Y27" s="3">
        <f ca="1">IFERROR(__xludf.DUMMYFUNCTION("""COMPUTED_VALUE"""),56.7)</f>
        <v>56.7</v>
      </c>
      <c r="Z27" s="3">
        <f ca="1">IFERROR(__xludf.DUMMYFUNCTION("""COMPUTED_VALUE"""),88.68)</f>
        <v>88.68</v>
      </c>
      <c r="AA27" s="3">
        <f ca="1">IFERROR(__xludf.DUMMYFUNCTION("""COMPUTED_VALUE"""),46.7)</f>
        <v>46.7</v>
      </c>
      <c r="AB27" s="3">
        <f ca="1">IFERROR(__xludf.DUMMYFUNCTION("""COMPUTED_VALUE"""),73.8)</f>
        <v>73.8</v>
      </c>
      <c r="AC27" s="3">
        <f ca="1">IFERROR(__xludf.DUMMYFUNCTION("""COMPUTED_VALUE"""),65.88)</f>
        <v>65.88</v>
      </c>
      <c r="AD27" s="3">
        <f ca="1">IFERROR(__xludf.DUMMYFUNCTION("""COMPUTED_VALUE"""),17.22)</f>
        <v>17.22</v>
      </c>
      <c r="AE27" s="3">
        <f ca="1">IFERROR(__xludf.DUMMYFUNCTION("""COMPUTED_VALUE"""),27.83)</f>
        <v>27.83</v>
      </c>
      <c r="AF27" s="3">
        <f ca="1">IFERROR(__xludf.DUMMYFUNCTION("""COMPUTED_VALUE"""),6.31)</f>
        <v>6.31</v>
      </c>
      <c r="AG27" s="3">
        <f ca="1">IFERROR(__xludf.DUMMYFUNCTION("""COMPUTED_VALUE"""),72.52)</f>
        <v>72.52</v>
      </c>
    </row>
    <row r="28" spans="1:33" ht="12.75" x14ac:dyDescent="0.2">
      <c r="A28" s="4">
        <f ca="1">IFERROR(__xludf.DUMMYFUNCTION("""COMPUTED_VALUE"""),44600.6666666666)</f>
        <v>44600.666666666599</v>
      </c>
      <c r="B28" s="3">
        <f ca="1">IFERROR(__xludf.DUMMYFUNCTION("""COMPUTED_VALUE"""),160.5)</f>
        <v>160.5</v>
      </c>
      <c r="C28" s="3">
        <f ca="1">IFERROR(__xludf.DUMMYFUNCTION("""COMPUTED_VALUE"""),419.38)</f>
        <v>419.38</v>
      </c>
      <c r="D28" s="3">
        <f ca="1">IFERROR(__xludf.DUMMYFUNCTION("""COMPUTED_VALUE"""),104.08)</f>
        <v>104.08</v>
      </c>
      <c r="E28" s="3">
        <f ca="1">IFERROR(__xludf.DUMMYFUNCTION("""COMPUTED_VALUE"""),162.87)</f>
        <v>162.87</v>
      </c>
      <c r="F28" s="3">
        <f ca="1">IFERROR(__xludf.DUMMYFUNCTION("""COMPUTED_VALUE"""),55.73)</f>
        <v>55.73</v>
      </c>
      <c r="G28" s="3">
        <f ca="1">IFERROR(__xludf.DUMMYFUNCTION("""COMPUTED_VALUE"""),29.47)</f>
        <v>29.47</v>
      </c>
      <c r="H28" s="3">
        <f ca="1">IFERROR(__xludf.DUMMYFUNCTION("""COMPUTED_VALUE"""),29.97)</f>
        <v>29.97</v>
      </c>
      <c r="I28" s="3">
        <f ca="1">IFERROR(__xludf.DUMMYFUNCTION("""COMPUTED_VALUE"""),133.15)</f>
        <v>133.15</v>
      </c>
      <c r="J28" s="3">
        <f ca="1">IFERROR(__xludf.DUMMYFUNCTION("""COMPUTED_VALUE"""),248.31)</f>
        <v>248.31</v>
      </c>
      <c r="K28" s="3">
        <f ca="1">IFERROR(__xludf.DUMMYFUNCTION("""COMPUTED_VALUE"""),131.55)</f>
        <v>131.55000000000001</v>
      </c>
      <c r="L28" s="3">
        <f ca="1">IFERROR(__xludf.DUMMYFUNCTION("""COMPUTED_VALUE"""),92.94)</f>
        <v>92.94</v>
      </c>
      <c r="M28" s="3">
        <f ca="1">IFERROR(__xludf.DUMMYFUNCTION("""COMPUTED_VALUE"""),60.81)</f>
        <v>60.81</v>
      </c>
      <c r="N28" s="3">
        <f ca="1">IFERROR(__xludf.DUMMYFUNCTION("""COMPUTED_VALUE"""),64.01)</f>
        <v>64.010000000000005</v>
      </c>
      <c r="O28" s="3">
        <f ca="1">IFERROR(__xludf.DUMMYFUNCTION("""COMPUTED_VALUE"""),64.28)</f>
        <v>64.28</v>
      </c>
      <c r="P28" s="3">
        <f ca="1">IFERROR(__xludf.DUMMYFUNCTION("""COMPUTED_VALUE"""),68.28)</f>
        <v>68.28</v>
      </c>
      <c r="Q28" s="3">
        <f ca="1">IFERROR(__xludf.DUMMYFUNCTION("""COMPUTED_VALUE"""),94.18)</f>
        <v>94.18</v>
      </c>
      <c r="R28" s="3">
        <f ca="1">IFERROR(__xludf.DUMMYFUNCTION("""COMPUTED_VALUE"""),83.99)</f>
        <v>83.99</v>
      </c>
      <c r="S28" s="3">
        <f ca="1">IFERROR(__xludf.DUMMYFUNCTION("""COMPUTED_VALUE"""),46.31)</f>
        <v>46.31</v>
      </c>
      <c r="T28" s="3">
        <f ca="1">IFERROR(__xludf.DUMMYFUNCTION("""COMPUTED_VALUE"""),22.68)</f>
        <v>22.68</v>
      </c>
      <c r="U28" s="3">
        <f ca="1">IFERROR(__xludf.DUMMYFUNCTION("""COMPUTED_VALUE"""),63.62)</f>
        <v>63.62</v>
      </c>
      <c r="V28" s="3">
        <f ca="1">IFERROR(__xludf.DUMMYFUNCTION("""COMPUTED_VALUE"""),63.8)</f>
        <v>63.8</v>
      </c>
      <c r="W28" s="3">
        <f ca="1">IFERROR(__xludf.DUMMYFUNCTION("""COMPUTED_VALUE"""),40.78)</f>
        <v>40.78</v>
      </c>
      <c r="X28" s="3">
        <f ca="1">IFERROR(__xludf.DUMMYFUNCTION("""COMPUTED_VALUE"""),99.87)</f>
        <v>99.87</v>
      </c>
      <c r="Y28" s="3">
        <f ca="1">IFERROR(__xludf.DUMMYFUNCTION("""COMPUTED_VALUE"""),58.15)</f>
        <v>58.15</v>
      </c>
      <c r="Z28" s="3">
        <f ca="1">IFERROR(__xludf.DUMMYFUNCTION("""COMPUTED_VALUE"""),89.71)</f>
        <v>89.71</v>
      </c>
      <c r="AA28" s="3">
        <f ca="1">IFERROR(__xludf.DUMMYFUNCTION("""COMPUTED_VALUE"""),46.28)</f>
        <v>46.28</v>
      </c>
      <c r="AB28" s="3">
        <f ca="1">IFERROR(__xludf.DUMMYFUNCTION("""COMPUTED_VALUE"""),75.63)</f>
        <v>75.63</v>
      </c>
      <c r="AC28" s="3">
        <f ca="1">IFERROR(__xludf.DUMMYFUNCTION("""COMPUTED_VALUE"""),66.58)</f>
        <v>66.58</v>
      </c>
      <c r="AD28" s="3">
        <f ca="1">IFERROR(__xludf.DUMMYFUNCTION("""COMPUTED_VALUE"""),17.27)</f>
        <v>17.27</v>
      </c>
      <c r="AE28" s="3">
        <f ca="1">IFERROR(__xludf.DUMMYFUNCTION("""COMPUTED_VALUE"""),27.92)</f>
        <v>27.92</v>
      </c>
      <c r="AF28" s="3">
        <f ca="1">IFERROR(__xludf.DUMMYFUNCTION("""COMPUTED_VALUE"""),6.29)</f>
        <v>6.29</v>
      </c>
      <c r="AG28" s="3">
        <f ca="1">IFERROR(__xludf.DUMMYFUNCTION("""COMPUTED_VALUE"""),72.96)</f>
        <v>72.959999999999994</v>
      </c>
    </row>
    <row r="29" spans="1:33" ht="12.75" x14ac:dyDescent="0.2">
      <c r="A29" s="4">
        <f ca="1">IFERROR(__xludf.DUMMYFUNCTION("""COMPUTED_VALUE"""),44601.6666666666)</f>
        <v>44601.666666666599</v>
      </c>
      <c r="B29" s="3">
        <f ca="1">IFERROR(__xludf.DUMMYFUNCTION("""COMPUTED_VALUE"""),164.06)</f>
        <v>164.06</v>
      </c>
      <c r="C29" s="3">
        <f ca="1">IFERROR(__xludf.DUMMYFUNCTION("""COMPUTED_VALUE"""),429.68)</f>
        <v>429.68</v>
      </c>
      <c r="D29" s="3">
        <f ca="1">IFERROR(__xludf.DUMMYFUNCTION("""COMPUTED_VALUE"""),106.68)</f>
        <v>106.68</v>
      </c>
      <c r="E29" s="3">
        <f ca="1">IFERROR(__xludf.DUMMYFUNCTION("""COMPUTED_VALUE"""),168.21)</f>
        <v>168.21</v>
      </c>
      <c r="F29" s="3">
        <f ca="1">IFERROR(__xludf.DUMMYFUNCTION("""COMPUTED_VALUE"""),56.9)</f>
        <v>56.9</v>
      </c>
      <c r="G29" s="3">
        <f ca="1">IFERROR(__xludf.DUMMYFUNCTION("""COMPUTED_VALUE"""),30.48)</f>
        <v>30.48</v>
      </c>
      <c r="H29" s="3">
        <f ca="1">IFERROR(__xludf.DUMMYFUNCTION("""COMPUTED_VALUE"""),30.91)</f>
        <v>30.91</v>
      </c>
      <c r="I29" s="3">
        <f ca="1">IFERROR(__xludf.DUMMYFUNCTION("""COMPUTED_VALUE"""),134.18)</f>
        <v>134.18</v>
      </c>
      <c r="J29" s="3">
        <f ca="1">IFERROR(__xludf.DUMMYFUNCTION("""COMPUTED_VALUE"""),251.3)</f>
        <v>251.3</v>
      </c>
      <c r="K29" s="3">
        <f ca="1">IFERROR(__xludf.DUMMYFUNCTION("""COMPUTED_VALUE"""),135.1)</f>
        <v>135.1</v>
      </c>
      <c r="L29" s="3">
        <f ca="1">IFERROR(__xludf.DUMMYFUNCTION("""COMPUTED_VALUE"""),97.26)</f>
        <v>97.26</v>
      </c>
      <c r="M29" s="3">
        <f ca="1">IFERROR(__xludf.DUMMYFUNCTION("""COMPUTED_VALUE"""),62.53)</f>
        <v>62.53</v>
      </c>
      <c r="N29" s="3">
        <f ca="1">IFERROR(__xludf.DUMMYFUNCTION("""COMPUTED_VALUE"""),64.7)</f>
        <v>64.7</v>
      </c>
      <c r="O29" s="3">
        <f ca="1">IFERROR(__xludf.DUMMYFUNCTION("""COMPUTED_VALUE"""),67.04)</f>
        <v>67.040000000000006</v>
      </c>
      <c r="P29" s="3">
        <f ca="1">IFERROR(__xludf.DUMMYFUNCTION("""COMPUTED_VALUE"""),68.85)</f>
        <v>68.849999999999994</v>
      </c>
      <c r="Q29" s="3">
        <f ca="1">IFERROR(__xludf.DUMMYFUNCTION("""COMPUTED_VALUE"""),95.03)</f>
        <v>95.03</v>
      </c>
      <c r="R29" s="3">
        <f ca="1">IFERROR(__xludf.DUMMYFUNCTION("""COMPUTED_VALUE"""),85.82)</f>
        <v>85.82</v>
      </c>
      <c r="S29" s="3">
        <f ca="1">IFERROR(__xludf.DUMMYFUNCTION("""COMPUTED_VALUE"""),47.35)</f>
        <v>47.35</v>
      </c>
      <c r="T29" s="3">
        <f ca="1">IFERROR(__xludf.DUMMYFUNCTION("""COMPUTED_VALUE"""),22.91)</f>
        <v>22.91</v>
      </c>
      <c r="U29" s="3">
        <f ca="1">IFERROR(__xludf.DUMMYFUNCTION("""COMPUTED_VALUE"""),64.17)</f>
        <v>64.17</v>
      </c>
      <c r="V29" s="3">
        <f ca="1">IFERROR(__xludf.DUMMYFUNCTION("""COMPUTED_VALUE"""),66.83)</f>
        <v>66.83</v>
      </c>
      <c r="W29" s="3">
        <f ca="1">IFERROR(__xludf.DUMMYFUNCTION("""COMPUTED_VALUE"""),41.04)</f>
        <v>41.04</v>
      </c>
      <c r="X29" s="3">
        <f ca="1">IFERROR(__xludf.DUMMYFUNCTION("""COMPUTED_VALUE"""),100.39)</f>
        <v>100.39</v>
      </c>
      <c r="Y29" s="3">
        <f ca="1">IFERROR(__xludf.DUMMYFUNCTION("""COMPUTED_VALUE"""),57.76)</f>
        <v>57.76</v>
      </c>
      <c r="Z29" s="3">
        <f ca="1">IFERROR(__xludf.DUMMYFUNCTION("""COMPUTED_VALUE"""),90.3)</f>
        <v>90.3</v>
      </c>
      <c r="AA29" s="3">
        <f ca="1">IFERROR(__xludf.DUMMYFUNCTION("""COMPUTED_VALUE"""),47.4)</f>
        <v>47.4</v>
      </c>
      <c r="AB29" s="3">
        <f ca="1">IFERROR(__xludf.DUMMYFUNCTION("""COMPUTED_VALUE"""),74.99)</f>
        <v>74.989999999999995</v>
      </c>
      <c r="AC29" s="3">
        <f ca="1">IFERROR(__xludf.DUMMYFUNCTION("""COMPUTED_VALUE"""),67.2)</f>
        <v>67.2</v>
      </c>
      <c r="AD29" s="3">
        <f ca="1">IFERROR(__xludf.DUMMYFUNCTION("""COMPUTED_VALUE"""),17.48)</f>
        <v>17.48</v>
      </c>
      <c r="AE29" s="3">
        <f ca="1">IFERROR(__xludf.DUMMYFUNCTION("""COMPUTED_VALUE"""),28.23)</f>
        <v>28.23</v>
      </c>
      <c r="AF29" s="3">
        <f ca="1">IFERROR(__xludf.DUMMYFUNCTION("""COMPUTED_VALUE"""),6.59)</f>
        <v>6.59</v>
      </c>
      <c r="AG29" s="3">
        <f ca="1">IFERROR(__xludf.DUMMYFUNCTION("""COMPUTED_VALUE"""),76.92)</f>
        <v>76.92</v>
      </c>
    </row>
    <row r="30" spans="1:33" ht="12.75" x14ac:dyDescent="0.2">
      <c r="A30" s="4">
        <f ca="1">IFERROR(__xludf.DUMMYFUNCTION("""COMPUTED_VALUE"""),44602.6666666666)</f>
        <v>44602.666666666599</v>
      </c>
      <c r="B30" s="3">
        <f ca="1">IFERROR(__xludf.DUMMYFUNCTION("""COMPUTED_VALUE"""),159.77)</f>
        <v>159.77000000000001</v>
      </c>
      <c r="C30" s="3">
        <f ca="1">IFERROR(__xludf.DUMMYFUNCTION("""COMPUTED_VALUE"""),419.19)</f>
        <v>419.19</v>
      </c>
      <c r="D30" s="3">
        <f ca="1">IFERROR(__xludf.DUMMYFUNCTION("""COMPUTED_VALUE"""),104.14)</f>
        <v>104.14</v>
      </c>
      <c r="E30" s="3">
        <f ca="1">IFERROR(__xludf.DUMMYFUNCTION("""COMPUTED_VALUE"""),162.97)</f>
        <v>162.97</v>
      </c>
      <c r="F30" s="3">
        <f ca="1">IFERROR(__xludf.DUMMYFUNCTION("""COMPUTED_VALUE"""),56.51)</f>
        <v>56.51</v>
      </c>
      <c r="G30" s="3">
        <f ca="1">IFERROR(__xludf.DUMMYFUNCTION("""COMPUTED_VALUE"""),29.81)</f>
        <v>29.81</v>
      </c>
      <c r="H30" s="3">
        <f ca="1">IFERROR(__xludf.DUMMYFUNCTION("""COMPUTED_VALUE"""),30.44)</f>
        <v>30.44</v>
      </c>
      <c r="I30" s="3">
        <f ca="1">IFERROR(__xludf.DUMMYFUNCTION("""COMPUTED_VALUE"""),132.08)</f>
        <v>132.08000000000001</v>
      </c>
      <c r="J30" s="3">
        <f ca="1">IFERROR(__xludf.DUMMYFUNCTION("""COMPUTED_VALUE"""),247.37)</f>
        <v>247.37</v>
      </c>
      <c r="K30" s="3">
        <f ca="1">IFERROR(__xludf.DUMMYFUNCTION("""COMPUTED_VALUE"""),131.8)</f>
        <v>131.80000000000001</v>
      </c>
      <c r="L30" s="3">
        <f ca="1">IFERROR(__xludf.DUMMYFUNCTION("""COMPUTED_VALUE"""),94.36)</f>
        <v>94.36</v>
      </c>
      <c r="M30" s="3">
        <f ca="1">IFERROR(__xludf.DUMMYFUNCTION("""COMPUTED_VALUE"""),61.38)</f>
        <v>61.38</v>
      </c>
      <c r="N30" s="3">
        <f ca="1">IFERROR(__xludf.DUMMYFUNCTION("""COMPUTED_VALUE"""),63.68)</f>
        <v>63.68</v>
      </c>
      <c r="O30" s="3">
        <f ca="1">IFERROR(__xludf.DUMMYFUNCTION("""COMPUTED_VALUE"""),65.16)</f>
        <v>65.16</v>
      </c>
      <c r="P30" s="3">
        <f ca="1">IFERROR(__xludf.DUMMYFUNCTION("""COMPUTED_VALUE"""),68.42)</f>
        <v>68.42</v>
      </c>
      <c r="Q30" s="3">
        <f ca="1">IFERROR(__xludf.DUMMYFUNCTION("""COMPUTED_VALUE"""),94.5)</f>
        <v>94.5</v>
      </c>
      <c r="R30" s="3">
        <f ca="1">IFERROR(__xludf.DUMMYFUNCTION("""COMPUTED_VALUE"""),85.32)</f>
        <v>85.32</v>
      </c>
      <c r="S30" s="3">
        <f ca="1">IFERROR(__xludf.DUMMYFUNCTION("""COMPUTED_VALUE"""),47.31)</f>
        <v>47.31</v>
      </c>
      <c r="T30" s="3">
        <f ca="1">IFERROR(__xludf.DUMMYFUNCTION("""COMPUTED_VALUE"""),22.79)</f>
        <v>22.79</v>
      </c>
      <c r="U30" s="3">
        <f ca="1">IFERROR(__xludf.DUMMYFUNCTION("""COMPUTED_VALUE"""),63.96)</f>
        <v>63.96</v>
      </c>
      <c r="V30" s="3">
        <f ca="1">IFERROR(__xludf.DUMMYFUNCTION("""COMPUTED_VALUE"""),65.05)</f>
        <v>65.05</v>
      </c>
      <c r="W30" s="3">
        <f ca="1">IFERROR(__xludf.DUMMYFUNCTION("""COMPUTED_VALUE"""),40.68)</f>
        <v>40.68</v>
      </c>
      <c r="X30" s="3">
        <f ca="1">IFERROR(__xludf.DUMMYFUNCTION("""COMPUTED_VALUE"""),99.59)</f>
        <v>99.59</v>
      </c>
      <c r="Y30" s="3">
        <f ca="1">IFERROR(__xludf.DUMMYFUNCTION("""COMPUTED_VALUE"""),57.65)</f>
        <v>57.65</v>
      </c>
      <c r="Z30" s="3">
        <f ca="1">IFERROR(__xludf.DUMMYFUNCTION("""COMPUTED_VALUE"""),89.49)</f>
        <v>89.49</v>
      </c>
      <c r="AA30" s="3">
        <f ca="1">IFERROR(__xludf.DUMMYFUNCTION("""COMPUTED_VALUE"""),46.05)</f>
        <v>46.05</v>
      </c>
      <c r="AB30" s="3">
        <f ca="1">IFERROR(__xludf.DUMMYFUNCTION("""COMPUTED_VALUE"""),74.81)</f>
        <v>74.81</v>
      </c>
      <c r="AC30" s="3">
        <f ca="1">IFERROR(__xludf.DUMMYFUNCTION("""COMPUTED_VALUE"""),66.5)</f>
        <v>66.5</v>
      </c>
      <c r="AD30" s="3">
        <f ca="1">IFERROR(__xludf.DUMMYFUNCTION("""COMPUTED_VALUE"""),17.21)</f>
        <v>17.21</v>
      </c>
      <c r="AE30" s="3">
        <f ca="1">IFERROR(__xludf.DUMMYFUNCTION("""COMPUTED_VALUE"""),27.74)</f>
        <v>27.74</v>
      </c>
      <c r="AF30" s="3">
        <f ca="1">IFERROR(__xludf.DUMMYFUNCTION("""COMPUTED_VALUE"""),6.4)</f>
        <v>6.4</v>
      </c>
      <c r="AG30" s="3">
        <f ca="1">IFERROR(__xludf.DUMMYFUNCTION("""COMPUTED_VALUE"""),75.08)</f>
        <v>75.08</v>
      </c>
    </row>
    <row r="31" spans="1:33" ht="12.75" x14ac:dyDescent="0.2">
      <c r="A31" s="4">
        <f ca="1">IFERROR(__xludf.DUMMYFUNCTION("""COMPUTED_VALUE"""),44603.6666666666)</f>
        <v>44603.666666666599</v>
      </c>
      <c r="B31" s="3">
        <f ca="1">IFERROR(__xludf.DUMMYFUNCTION("""COMPUTED_VALUE"""),154.89)</f>
        <v>154.88999999999999</v>
      </c>
      <c r="C31" s="3">
        <f ca="1">IFERROR(__xludf.DUMMYFUNCTION("""COMPUTED_VALUE"""),405.96)</f>
        <v>405.96</v>
      </c>
      <c r="D31" s="3">
        <f ca="1">IFERROR(__xludf.DUMMYFUNCTION("""COMPUTED_VALUE"""),100.64)</f>
        <v>100.64</v>
      </c>
      <c r="E31" s="3">
        <f ca="1">IFERROR(__xludf.DUMMYFUNCTION("""COMPUTED_VALUE"""),154.67)</f>
        <v>154.66999999999999</v>
      </c>
      <c r="F31" s="3">
        <f ca="1">IFERROR(__xludf.DUMMYFUNCTION("""COMPUTED_VALUE"""),55.39)</f>
        <v>55.39</v>
      </c>
      <c r="G31" s="3">
        <f ca="1">IFERROR(__xludf.DUMMYFUNCTION("""COMPUTED_VALUE"""),28.94)</f>
        <v>28.94</v>
      </c>
      <c r="H31" s="3">
        <f ca="1">IFERROR(__xludf.DUMMYFUNCTION("""COMPUTED_VALUE"""),29.74)</f>
        <v>29.74</v>
      </c>
      <c r="I31" s="3">
        <f ca="1">IFERROR(__xludf.DUMMYFUNCTION("""COMPUTED_VALUE"""),130.25)</f>
        <v>130.25</v>
      </c>
      <c r="J31" s="3">
        <f ca="1">IFERROR(__xludf.DUMMYFUNCTION("""COMPUTED_VALUE"""),243.78)</f>
        <v>243.78</v>
      </c>
      <c r="K31" s="3">
        <f ca="1">IFERROR(__xludf.DUMMYFUNCTION("""COMPUTED_VALUE"""),130.07)</f>
        <v>130.07</v>
      </c>
      <c r="L31" s="3">
        <f ca="1">IFERROR(__xludf.DUMMYFUNCTION("""COMPUTED_VALUE"""),93.35)</f>
        <v>93.35</v>
      </c>
      <c r="M31" s="3">
        <f ca="1">IFERROR(__xludf.DUMMYFUNCTION("""COMPUTED_VALUE"""),61.22)</f>
        <v>61.22</v>
      </c>
      <c r="N31" s="3">
        <f ca="1">IFERROR(__xludf.DUMMYFUNCTION("""COMPUTED_VALUE"""),62.9)</f>
        <v>62.9</v>
      </c>
      <c r="O31" s="3">
        <f ca="1">IFERROR(__xludf.DUMMYFUNCTION("""COMPUTED_VALUE"""),63.64)</f>
        <v>63.64</v>
      </c>
      <c r="P31" s="3">
        <f ca="1">IFERROR(__xludf.DUMMYFUNCTION("""COMPUTED_VALUE"""),70.41)</f>
        <v>70.41</v>
      </c>
      <c r="Q31" s="3">
        <f ca="1">IFERROR(__xludf.DUMMYFUNCTION("""COMPUTED_VALUE"""),97.22)</f>
        <v>97.22</v>
      </c>
      <c r="R31" s="3">
        <f ca="1">IFERROR(__xludf.DUMMYFUNCTION("""COMPUTED_VALUE"""),84)</f>
        <v>84</v>
      </c>
      <c r="S31" s="3">
        <f ca="1">IFERROR(__xludf.DUMMYFUNCTION("""COMPUTED_VALUE"""),48.4)</f>
        <v>48.4</v>
      </c>
      <c r="T31" s="3">
        <f ca="1">IFERROR(__xludf.DUMMYFUNCTION("""COMPUTED_VALUE"""),23.13)</f>
        <v>23.13</v>
      </c>
      <c r="U31" s="3">
        <f ca="1">IFERROR(__xludf.DUMMYFUNCTION("""COMPUTED_VALUE"""),65.74)</f>
        <v>65.739999999999995</v>
      </c>
      <c r="V31" s="3">
        <f ca="1">IFERROR(__xludf.DUMMYFUNCTION("""COMPUTED_VALUE"""),62.58)</f>
        <v>62.58</v>
      </c>
      <c r="W31" s="3">
        <f ca="1">IFERROR(__xludf.DUMMYFUNCTION("""COMPUTED_VALUE"""),40.11)</f>
        <v>40.11</v>
      </c>
      <c r="X31" s="3">
        <f ca="1">IFERROR(__xludf.DUMMYFUNCTION("""COMPUTED_VALUE"""),98.06)</f>
        <v>98.06</v>
      </c>
      <c r="Y31" s="3">
        <f ca="1">IFERROR(__xludf.DUMMYFUNCTION("""COMPUTED_VALUE"""),57.29)</f>
        <v>57.29</v>
      </c>
      <c r="Z31" s="3">
        <f ca="1">IFERROR(__xludf.DUMMYFUNCTION("""COMPUTED_VALUE"""),87.98)</f>
        <v>87.98</v>
      </c>
      <c r="AA31" s="3">
        <f ca="1">IFERROR(__xludf.DUMMYFUNCTION("""COMPUTED_VALUE"""),45.42)</f>
        <v>45.42</v>
      </c>
      <c r="AB31" s="3">
        <f ca="1">IFERROR(__xludf.DUMMYFUNCTION("""COMPUTED_VALUE"""),74.19)</f>
        <v>74.19</v>
      </c>
      <c r="AC31" s="3">
        <f ca="1">IFERROR(__xludf.DUMMYFUNCTION("""COMPUTED_VALUE"""),65.31)</f>
        <v>65.31</v>
      </c>
      <c r="AD31" s="3">
        <f ca="1">IFERROR(__xludf.DUMMYFUNCTION("""COMPUTED_VALUE"""),16.53)</f>
        <v>16.53</v>
      </c>
      <c r="AE31" s="3">
        <f ca="1">IFERROR(__xludf.DUMMYFUNCTION("""COMPUTED_VALUE"""),26.65)</f>
        <v>26.65</v>
      </c>
      <c r="AF31" s="3">
        <f ca="1">IFERROR(__xludf.DUMMYFUNCTION("""COMPUTED_VALUE"""),6.22)</f>
        <v>6.22</v>
      </c>
      <c r="AG31" s="3">
        <f ca="1">IFERROR(__xludf.DUMMYFUNCTION("""COMPUTED_VALUE"""),70.52)</f>
        <v>70.52</v>
      </c>
    </row>
    <row r="32" spans="1:33" ht="12.75" x14ac:dyDescent="0.2">
      <c r="A32" s="4">
        <f ca="1">IFERROR(__xludf.DUMMYFUNCTION("""COMPUTED_VALUE"""),44606.6666666666)</f>
        <v>44606.666666666599</v>
      </c>
      <c r="B32" s="3">
        <f ca="1">IFERROR(__xludf.DUMMYFUNCTION("""COMPUTED_VALUE"""),154.84)</f>
        <v>154.84</v>
      </c>
      <c r="C32" s="3">
        <f ca="1">IFERROR(__xludf.DUMMYFUNCTION("""COMPUTED_VALUE"""),405.89)</f>
        <v>405.89</v>
      </c>
      <c r="D32" s="3">
        <f ca="1">IFERROR(__xludf.DUMMYFUNCTION("""COMPUTED_VALUE"""),100.66)</f>
        <v>100.66</v>
      </c>
      <c r="E32" s="3">
        <f ca="1">IFERROR(__xludf.DUMMYFUNCTION("""COMPUTED_VALUE"""),154.82)</f>
        <v>154.82</v>
      </c>
      <c r="F32" s="3">
        <f ca="1">IFERROR(__xludf.DUMMYFUNCTION("""COMPUTED_VALUE"""),55.22)</f>
        <v>55.22</v>
      </c>
      <c r="G32" s="3">
        <f ca="1">IFERROR(__xludf.DUMMYFUNCTION("""COMPUTED_VALUE"""),28.86)</f>
        <v>28.86</v>
      </c>
      <c r="H32" s="3">
        <f ca="1">IFERROR(__xludf.DUMMYFUNCTION("""COMPUTED_VALUE"""),29.55)</f>
        <v>29.55</v>
      </c>
      <c r="I32" s="3">
        <f ca="1">IFERROR(__xludf.DUMMYFUNCTION("""COMPUTED_VALUE"""),128.92)</f>
        <v>128.91999999999999</v>
      </c>
      <c r="J32" s="3">
        <f ca="1">IFERROR(__xludf.DUMMYFUNCTION("""COMPUTED_VALUE"""),241.33)</f>
        <v>241.33</v>
      </c>
      <c r="K32" s="3">
        <f ca="1">IFERROR(__xludf.DUMMYFUNCTION("""COMPUTED_VALUE"""),127.68)</f>
        <v>127.68</v>
      </c>
      <c r="L32" s="3">
        <f ca="1">IFERROR(__xludf.DUMMYFUNCTION("""COMPUTED_VALUE"""),91.81)</f>
        <v>91.81</v>
      </c>
      <c r="M32" s="3">
        <f ca="1">IFERROR(__xludf.DUMMYFUNCTION("""COMPUTED_VALUE"""),60.37)</f>
        <v>60.37</v>
      </c>
      <c r="N32" s="3">
        <f ca="1">IFERROR(__xludf.DUMMYFUNCTION("""COMPUTED_VALUE"""),62.16)</f>
        <v>62.16</v>
      </c>
      <c r="O32" s="3">
        <f ca="1">IFERROR(__xludf.DUMMYFUNCTION("""COMPUTED_VALUE"""),62.72)</f>
        <v>62.72</v>
      </c>
      <c r="P32" s="3">
        <f ca="1">IFERROR(__xludf.DUMMYFUNCTION("""COMPUTED_VALUE"""),68.75)</f>
        <v>68.75</v>
      </c>
      <c r="Q32" s="3">
        <f ca="1">IFERROR(__xludf.DUMMYFUNCTION("""COMPUTED_VALUE"""),95.11)</f>
        <v>95.11</v>
      </c>
      <c r="R32" s="3">
        <f ca="1">IFERROR(__xludf.DUMMYFUNCTION("""COMPUTED_VALUE"""),83.31)</f>
        <v>83.31</v>
      </c>
      <c r="S32" s="3">
        <f ca="1">IFERROR(__xludf.DUMMYFUNCTION("""COMPUTED_VALUE"""),48.83)</f>
        <v>48.83</v>
      </c>
      <c r="T32" s="3">
        <f ca="1">IFERROR(__xludf.DUMMYFUNCTION("""COMPUTED_VALUE"""),23.25)</f>
        <v>23.25</v>
      </c>
      <c r="U32" s="3">
        <f ca="1">IFERROR(__xludf.DUMMYFUNCTION("""COMPUTED_VALUE"""),66.36)</f>
        <v>66.36</v>
      </c>
      <c r="V32" s="3">
        <f ca="1">IFERROR(__xludf.DUMMYFUNCTION("""COMPUTED_VALUE"""),61.73)</f>
        <v>61.73</v>
      </c>
      <c r="W32" s="3">
        <f ca="1">IFERROR(__xludf.DUMMYFUNCTION("""COMPUTED_VALUE"""),39.66)</f>
        <v>39.659999999999997</v>
      </c>
      <c r="X32" s="3">
        <f ca="1">IFERROR(__xludf.DUMMYFUNCTION("""COMPUTED_VALUE"""),97.01)</f>
        <v>97.01</v>
      </c>
      <c r="Y32" s="3">
        <f ca="1">IFERROR(__xludf.DUMMYFUNCTION("""COMPUTED_VALUE"""),56.79)</f>
        <v>56.79</v>
      </c>
      <c r="Z32" s="3">
        <f ca="1">IFERROR(__xludf.DUMMYFUNCTION("""COMPUTED_VALUE"""),86.98)</f>
        <v>86.98</v>
      </c>
      <c r="AA32" s="3">
        <f ca="1">IFERROR(__xludf.DUMMYFUNCTION("""COMPUTED_VALUE"""),44.93)</f>
        <v>44.93</v>
      </c>
      <c r="AB32" s="3">
        <f ca="1">IFERROR(__xludf.DUMMYFUNCTION("""COMPUTED_VALUE"""),73.61)</f>
        <v>73.61</v>
      </c>
      <c r="AC32" s="3">
        <f ca="1">IFERROR(__xludf.DUMMYFUNCTION("""COMPUTED_VALUE"""),64.84)</f>
        <v>64.84</v>
      </c>
      <c r="AD32" s="3">
        <f ca="1">IFERROR(__xludf.DUMMYFUNCTION("""COMPUTED_VALUE"""),16.44)</f>
        <v>16.440000000000001</v>
      </c>
      <c r="AE32" s="3">
        <f ca="1">IFERROR(__xludf.DUMMYFUNCTION("""COMPUTED_VALUE"""),26.53)</f>
        <v>26.53</v>
      </c>
      <c r="AF32" s="3">
        <f ca="1">IFERROR(__xludf.DUMMYFUNCTION("""COMPUTED_VALUE"""),6.23)</f>
        <v>6.23</v>
      </c>
      <c r="AG32" s="3">
        <f ca="1">IFERROR(__xludf.DUMMYFUNCTION("""COMPUTED_VALUE"""),69.22)</f>
        <v>69.22</v>
      </c>
    </row>
    <row r="33" spans="1:33" ht="12.75" x14ac:dyDescent="0.2">
      <c r="A33" s="4">
        <f ca="1">IFERROR(__xludf.DUMMYFUNCTION("""COMPUTED_VALUE"""),44607.6666666666)</f>
        <v>44607.666666666599</v>
      </c>
      <c r="B33" s="3">
        <f ca="1">IFERROR(__xludf.DUMMYFUNCTION("""COMPUTED_VALUE"""),158.91)</f>
        <v>158.91</v>
      </c>
      <c r="C33" s="3">
        <f ca="1">IFERROR(__xludf.DUMMYFUNCTION("""COMPUTED_VALUE"""),417.58)</f>
        <v>417.58</v>
      </c>
      <c r="D33" s="3">
        <f ca="1">IFERROR(__xludf.DUMMYFUNCTION("""COMPUTED_VALUE"""),103.43)</f>
        <v>103.43</v>
      </c>
      <c r="E33" s="3">
        <f ca="1">IFERROR(__xludf.DUMMYFUNCTION("""COMPUTED_VALUE"""),163.36)</f>
        <v>163.36000000000001</v>
      </c>
      <c r="F33" s="3">
        <f ca="1">IFERROR(__xludf.DUMMYFUNCTION("""COMPUTED_VALUE"""),56.13)</f>
        <v>56.13</v>
      </c>
      <c r="G33" s="3">
        <f ca="1">IFERROR(__xludf.DUMMYFUNCTION("""COMPUTED_VALUE"""),30.02)</f>
        <v>30.02</v>
      </c>
      <c r="H33" s="3">
        <f ca="1">IFERROR(__xludf.DUMMYFUNCTION("""COMPUTED_VALUE"""),30.53)</f>
        <v>30.53</v>
      </c>
      <c r="I33" s="3">
        <f ca="1">IFERROR(__xludf.DUMMYFUNCTION("""COMPUTED_VALUE"""),130.37)</f>
        <v>130.37</v>
      </c>
      <c r="J33" s="3">
        <f ca="1">IFERROR(__xludf.DUMMYFUNCTION("""COMPUTED_VALUE"""),244.65)</f>
        <v>244.65</v>
      </c>
      <c r="K33" s="3">
        <f ca="1">IFERROR(__xludf.DUMMYFUNCTION("""COMPUTED_VALUE"""),129.98)</f>
        <v>129.97999999999999</v>
      </c>
      <c r="L33" s="3">
        <f ca="1">IFERROR(__xludf.DUMMYFUNCTION("""COMPUTED_VALUE"""),95.64)</f>
        <v>95.64</v>
      </c>
      <c r="M33" s="3">
        <f ca="1">IFERROR(__xludf.DUMMYFUNCTION("""COMPUTED_VALUE"""),61.51)</f>
        <v>61.51</v>
      </c>
      <c r="N33" s="3">
        <f ca="1">IFERROR(__xludf.DUMMYFUNCTION("""COMPUTED_VALUE"""),63.02)</f>
        <v>63.02</v>
      </c>
      <c r="O33" s="3">
        <f ca="1">IFERROR(__xludf.DUMMYFUNCTION("""COMPUTED_VALUE"""),65.24)</f>
        <v>65.239999999999995</v>
      </c>
      <c r="P33" s="3">
        <f ca="1">IFERROR(__xludf.DUMMYFUNCTION("""COMPUTED_VALUE"""),68.03)</f>
        <v>68.03</v>
      </c>
      <c r="Q33" s="3">
        <f ca="1">IFERROR(__xludf.DUMMYFUNCTION("""COMPUTED_VALUE"""),94.06)</f>
        <v>94.06</v>
      </c>
      <c r="R33" s="3">
        <f ca="1">IFERROR(__xludf.DUMMYFUNCTION("""COMPUTED_VALUE"""),84.84)</f>
        <v>84.84</v>
      </c>
      <c r="S33" s="3">
        <f ca="1">IFERROR(__xludf.DUMMYFUNCTION("""COMPUTED_VALUE"""),49.75)</f>
        <v>49.75</v>
      </c>
      <c r="T33" s="3">
        <f ca="1">IFERROR(__xludf.DUMMYFUNCTION("""COMPUTED_VALUE"""),22.87)</f>
        <v>22.87</v>
      </c>
      <c r="U33" s="3">
        <f ca="1">IFERROR(__xludf.DUMMYFUNCTION("""COMPUTED_VALUE"""),64.28)</f>
        <v>64.28</v>
      </c>
      <c r="V33" s="3">
        <f ca="1">IFERROR(__xludf.DUMMYFUNCTION("""COMPUTED_VALUE"""),65.55)</f>
        <v>65.55</v>
      </c>
      <c r="W33" s="3">
        <f ca="1">IFERROR(__xludf.DUMMYFUNCTION("""COMPUTED_VALUE"""),40.2)</f>
        <v>40.200000000000003</v>
      </c>
      <c r="X33" s="3">
        <f ca="1">IFERROR(__xludf.DUMMYFUNCTION("""COMPUTED_VALUE"""),98.62)</f>
        <v>98.62</v>
      </c>
      <c r="Y33" s="3">
        <f ca="1">IFERROR(__xludf.DUMMYFUNCTION("""COMPUTED_VALUE"""),58.2)</f>
        <v>58.2</v>
      </c>
      <c r="Z33" s="3">
        <f ca="1">IFERROR(__xludf.DUMMYFUNCTION("""COMPUTED_VALUE"""),88.29)</f>
        <v>88.29</v>
      </c>
      <c r="AA33" s="3">
        <f ca="1">IFERROR(__xludf.DUMMYFUNCTION("""COMPUTED_VALUE"""),45.15)</f>
        <v>45.15</v>
      </c>
      <c r="AB33" s="3">
        <f ca="1">IFERROR(__xludf.DUMMYFUNCTION("""COMPUTED_VALUE"""),75.58)</f>
        <v>75.58</v>
      </c>
      <c r="AC33" s="3">
        <f ca="1">IFERROR(__xludf.DUMMYFUNCTION("""COMPUTED_VALUE"""),65.94)</f>
        <v>65.94</v>
      </c>
      <c r="AD33" s="3">
        <f ca="1">IFERROR(__xludf.DUMMYFUNCTION("""COMPUTED_VALUE"""),17.21)</f>
        <v>17.21</v>
      </c>
      <c r="AE33" s="3">
        <f ca="1">IFERROR(__xludf.DUMMYFUNCTION("""COMPUTED_VALUE"""),27.8)</f>
        <v>27.8</v>
      </c>
      <c r="AF33" s="3">
        <f ca="1">IFERROR(__xludf.DUMMYFUNCTION("""COMPUTED_VALUE"""),6.53)</f>
        <v>6.53</v>
      </c>
      <c r="AG33" s="3">
        <f ca="1">IFERROR(__xludf.DUMMYFUNCTION("""COMPUTED_VALUE"""),74.16)</f>
        <v>74.16</v>
      </c>
    </row>
    <row r="34" spans="1:33" ht="12.75" x14ac:dyDescent="0.2">
      <c r="A34" s="4">
        <f ca="1">IFERROR(__xludf.DUMMYFUNCTION("""COMPUTED_VALUE"""),44608.6666666666)</f>
        <v>44608.666666666599</v>
      </c>
      <c r="B34" s="3">
        <f ca="1">IFERROR(__xludf.DUMMYFUNCTION("""COMPUTED_VALUE"""),158.75)</f>
        <v>158.75</v>
      </c>
      <c r="C34" s="3">
        <f ca="1">IFERROR(__xludf.DUMMYFUNCTION("""COMPUTED_VALUE"""),416.84)</f>
        <v>416.84</v>
      </c>
      <c r="D34" s="3">
        <f ca="1">IFERROR(__xludf.DUMMYFUNCTION("""COMPUTED_VALUE"""),103.17)</f>
        <v>103.17</v>
      </c>
      <c r="E34" s="3">
        <f ca="1">IFERROR(__xludf.DUMMYFUNCTION("""COMPUTED_VALUE"""),163.42)</f>
        <v>163.41999999999999</v>
      </c>
      <c r="F34" s="3">
        <f ca="1">IFERROR(__xludf.DUMMYFUNCTION("""COMPUTED_VALUE"""),55.82)</f>
        <v>55.82</v>
      </c>
      <c r="G34" s="3">
        <f ca="1">IFERROR(__xludf.DUMMYFUNCTION("""COMPUTED_VALUE"""),30.47)</f>
        <v>30.47</v>
      </c>
      <c r="H34" s="3">
        <f ca="1">IFERROR(__xludf.DUMMYFUNCTION("""COMPUTED_VALUE"""),30.23)</f>
        <v>30.23</v>
      </c>
      <c r="I34" s="3">
        <f ca="1">IFERROR(__xludf.DUMMYFUNCTION("""COMPUTED_VALUE"""),130.57)</f>
        <v>130.57</v>
      </c>
      <c r="J34" s="3">
        <f ca="1">IFERROR(__xludf.DUMMYFUNCTION("""COMPUTED_VALUE"""),244.52)</f>
        <v>244.52</v>
      </c>
      <c r="K34" s="3">
        <f ca="1">IFERROR(__xludf.DUMMYFUNCTION("""COMPUTED_VALUE"""),129.91)</f>
        <v>129.91</v>
      </c>
      <c r="L34" s="3">
        <f ca="1">IFERROR(__xludf.DUMMYFUNCTION("""COMPUTED_VALUE"""),94.65)</f>
        <v>94.65</v>
      </c>
      <c r="M34" s="3">
        <f ca="1">IFERROR(__xludf.DUMMYFUNCTION("""COMPUTED_VALUE"""),61.53)</f>
        <v>61.53</v>
      </c>
      <c r="N34" s="3">
        <f ca="1">IFERROR(__xludf.DUMMYFUNCTION("""COMPUTED_VALUE"""),63.04)</f>
        <v>63.04</v>
      </c>
      <c r="O34" s="3">
        <f ca="1">IFERROR(__xludf.DUMMYFUNCTION("""COMPUTED_VALUE"""),64.6)</f>
        <v>64.599999999999994</v>
      </c>
      <c r="P34" s="3">
        <f ca="1">IFERROR(__xludf.DUMMYFUNCTION("""COMPUTED_VALUE"""),68.58)</f>
        <v>68.58</v>
      </c>
      <c r="Q34" s="3">
        <f ca="1">IFERROR(__xludf.DUMMYFUNCTION("""COMPUTED_VALUE"""),94.69)</f>
        <v>94.69</v>
      </c>
      <c r="R34" s="3">
        <f ca="1">IFERROR(__xludf.DUMMYFUNCTION("""COMPUTED_VALUE"""),85.46)</f>
        <v>85.46</v>
      </c>
      <c r="S34" s="3">
        <f ca="1">IFERROR(__xludf.DUMMYFUNCTION("""COMPUTED_VALUE"""),50.01)</f>
        <v>50.01</v>
      </c>
      <c r="T34" s="3">
        <f ca="1">IFERROR(__xludf.DUMMYFUNCTION("""COMPUTED_VALUE"""),22.9)</f>
        <v>22.9</v>
      </c>
      <c r="U34" s="3">
        <f ca="1">IFERROR(__xludf.DUMMYFUNCTION("""COMPUTED_VALUE"""),63.54)</f>
        <v>63.54</v>
      </c>
      <c r="V34" s="3">
        <f ca="1">IFERROR(__xludf.DUMMYFUNCTION("""COMPUTED_VALUE"""),65.66)</f>
        <v>65.66</v>
      </c>
      <c r="W34" s="3">
        <f ca="1">IFERROR(__xludf.DUMMYFUNCTION("""COMPUTED_VALUE"""),40.23)</f>
        <v>40.229999999999997</v>
      </c>
      <c r="X34" s="3">
        <f ca="1">IFERROR(__xludf.DUMMYFUNCTION("""COMPUTED_VALUE"""),98.7)</f>
        <v>98.7</v>
      </c>
      <c r="Y34" s="3">
        <f ca="1">IFERROR(__xludf.DUMMYFUNCTION("""COMPUTED_VALUE"""),58.35)</f>
        <v>58.35</v>
      </c>
      <c r="Z34" s="3">
        <f ca="1">IFERROR(__xludf.DUMMYFUNCTION("""COMPUTED_VALUE"""),88.41)</f>
        <v>88.41</v>
      </c>
      <c r="AA34" s="3">
        <f ca="1">IFERROR(__xludf.DUMMYFUNCTION("""COMPUTED_VALUE"""),45.27)</f>
        <v>45.27</v>
      </c>
      <c r="AB34" s="3">
        <f ca="1">IFERROR(__xludf.DUMMYFUNCTION("""COMPUTED_VALUE"""),75.72)</f>
        <v>75.72</v>
      </c>
      <c r="AC34" s="3">
        <f ca="1">IFERROR(__xludf.DUMMYFUNCTION("""COMPUTED_VALUE"""),66.08)</f>
        <v>66.08</v>
      </c>
      <c r="AD34" s="3">
        <f ca="1">IFERROR(__xludf.DUMMYFUNCTION("""COMPUTED_VALUE"""),17.21)</f>
        <v>17.21</v>
      </c>
      <c r="AE34" s="3">
        <f ca="1">IFERROR(__xludf.DUMMYFUNCTION("""COMPUTED_VALUE"""),27.76)</f>
        <v>27.76</v>
      </c>
      <c r="AF34" s="3">
        <f ca="1">IFERROR(__xludf.DUMMYFUNCTION("""COMPUTED_VALUE"""),6.41)</f>
        <v>6.41</v>
      </c>
      <c r="AG34" s="3">
        <f ca="1">IFERROR(__xludf.DUMMYFUNCTION("""COMPUTED_VALUE"""),73.4)</f>
        <v>73.400000000000006</v>
      </c>
    </row>
    <row r="35" spans="1:33" ht="12.75" x14ac:dyDescent="0.2">
      <c r="A35" s="4">
        <f ca="1">IFERROR(__xludf.DUMMYFUNCTION("""COMPUTED_VALUE"""),44609.6666666666)</f>
        <v>44609.666666666599</v>
      </c>
      <c r="B35" s="3">
        <f ca="1">IFERROR(__xludf.DUMMYFUNCTION("""COMPUTED_VALUE"""),154)</f>
        <v>154</v>
      </c>
      <c r="C35" s="3">
        <f ca="1">IFERROR(__xludf.DUMMYFUNCTION("""COMPUTED_VALUE"""),403.13)</f>
        <v>403.13</v>
      </c>
      <c r="D35" s="3">
        <f ca="1">IFERROR(__xludf.DUMMYFUNCTION("""COMPUTED_VALUE"""),99.47)</f>
        <v>99.47</v>
      </c>
      <c r="E35" s="3">
        <f ca="1">IFERROR(__xludf.DUMMYFUNCTION("""COMPUTED_VALUE"""),157.28)</f>
        <v>157.28</v>
      </c>
      <c r="F35" s="3">
        <f ca="1">IFERROR(__xludf.DUMMYFUNCTION("""COMPUTED_VALUE"""),54.26)</f>
        <v>54.26</v>
      </c>
      <c r="G35" s="3">
        <f ca="1">IFERROR(__xludf.DUMMYFUNCTION("""COMPUTED_VALUE"""),29.46)</f>
        <v>29.46</v>
      </c>
      <c r="H35" s="3">
        <f ca="1">IFERROR(__xludf.DUMMYFUNCTION("""COMPUTED_VALUE"""),29.37)</f>
        <v>29.37</v>
      </c>
      <c r="I35" s="3">
        <f ca="1">IFERROR(__xludf.DUMMYFUNCTION("""COMPUTED_VALUE"""),128.47)</f>
        <v>128.47</v>
      </c>
      <c r="J35" s="3">
        <f ca="1">IFERROR(__xludf.DUMMYFUNCTION("""COMPUTED_VALUE"""),239.95)</f>
        <v>239.95</v>
      </c>
      <c r="K35" s="3">
        <f ca="1">IFERROR(__xludf.DUMMYFUNCTION("""COMPUTED_VALUE"""),126)</f>
        <v>126</v>
      </c>
      <c r="L35" s="3">
        <f ca="1">IFERROR(__xludf.DUMMYFUNCTION("""COMPUTED_VALUE"""),90.61)</f>
        <v>90.61</v>
      </c>
      <c r="M35" s="3">
        <f ca="1">IFERROR(__xludf.DUMMYFUNCTION("""COMPUTED_VALUE"""),59.49)</f>
        <v>59.49</v>
      </c>
      <c r="N35" s="3">
        <f ca="1">IFERROR(__xludf.DUMMYFUNCTION("""COMPUTED_VALUE"""),61.88)</f>
        <v>61.88</v>
      </c>
      <c r="O35" s="3">
        <f ca="1">IFERROR(__xludf.DUMMYFUNCTION("""COMPUTED_VALUE"""),61.8)</f>
        <v>61.8</v>
      </c>
      <c r="P35" s="3">
        <f ca="1">IFERROR(__xludf.DUMMYFUNCTION("""COMPUTED_VALUE"""),68.47)</f>
        <v>68.47</v>
      </c>
      <c r="Q35" s="3">
        <f ca="1">IFERROR(__xludf.DUMMYFUNCTION("""COMPUTED_VALUE"""),94.5)</f>
        <v>94.5</v>
      </c>
      <c r="R35" s="3">
        <f ca="1">IFERROR(__xludf.DUMMYFUNCTION("""COMPUTED_VALUE"""),84)</f>
        <v>84</v>
      </c>
      <c r="S35" s="3">
        <f ca="1">IFERROR(__xludf.DUMMYFUNCTION("""COMPUTED_VALUE"""),49.75)</f>
        <v>49.75</v>
      </c>
      <c r="T35" s="3">
        <f ca="1">IFERROR(__xludf.DUMMYFUNCTION("""COMPUTED_VALUE"""),23.09)</f>
        <v>23.09</v>
      </c>
      <c r="U35" s="3">
        <f ca="1">IFERROR(__xludf.DUMMYFUNCTION("""COMPUTED_VALUE"""),64.17)</f>
        <v>64.17</v>
      </c>
      <c r="V35" s="3">
        <f ca="1">IFERROR(__xludf.DUMMYFUNCTION("""COMPUTED_VALUE"""),63.96)</f>
        <v>63.96</v>
      </c>
      <c r="W35" s="3">
        <f ca="1">IFERROR(__xludf.DUMMYFUNCTION("""COMPUTED_VALUE"""),39.23)</f>
        <v>39.229999999999997</v>
      </c>
      <c r="X35" s="3">
        <f ca="1">IFERROR(__xludf.DUMMYFUNCTION("""COMPUTED_VALUE"""),96.17)</f>
        <v>96.17</v>
      </c>
      <c r="Y35" s="3">
        <f ca="1">IFERROR(__xludf.DUMMYFUNCTION("""COMPUTED_VALUE"""),56.52)</f>
        <v>56.52</v>
      </c>
      <c r="Z35" s="3">
        <f ca="1">IFERROR(__xludf.DUMMYFUNCTION("""COMPUTED_VALUE"""),86.11)</f>
        <v>86.11</v>
      </c>
      <c r="AA35" s="3">
        <f ca="1">IFERROR(__xludf.DUMMYFUNCTION("""COMPUTED_VALUE"""),44.88)</f>
        <v>44.88</v>
      </c>
      <c r="AB35" s="3">
        <f ca="1">IFERROR(__xludf.DUMMYFUNCTION("""COMPUTED_VALUE"""),73.41)</f>
        <v>73.41</v>
      </c>
      <c r="AC35" s="3">
        <f ca="1">IFERROR(__xludf.DUMMYFUNCTION("""COMPUTED_VALUE"""),64.06)</f>
        <v>64.06</v>
      </c>
      <c r="AD35" s="3">
        <f ca="1">IFERROR(__xludf.DUMMYFUNCTION("""COMPUTED_VALUE"""),15.93)</f>
        <v>15.93</v>
      </c>
      <c r="AE35" s="3">
        <f ca="1">IFERROR(__xludf.DUMMYFUNCTION("""COMPUTED_VALUE"""),25.7)</f>
        <v>25.7</v>
      </c>
      <c r="AF35" s="3">
        <f ca="1">IFERROR(__xludf.DUMMYFUNCTION("""COMPUTED_VALUE"""),6)</f>
        <v>6</v>
      </c>
      <c r="AG35" s="3">
        <f ca="1">IFERROR(__xludf.DUMMYFUNCTION("""COMPUTED_VALUE"""),67.96)</f>
        <v>67.959999999999994</v>
      </c>
    </row>
    <row r="36" spans="1:33" ht="12.75" x14ac:dyDescent="0.2">
      <c r="A36" s="4">
        <f ca="1">IFERROR(__xludf.DUMMYFUNCTION("""COMPUTED_VALUE"""),44610.6666666666)</f>
        <v>44610.666666666599</v>
      </c>
      <c r="B36" s="3">
        <f ca="1">IFERROR(__xludf.DUMMYFUNCTION("""COMPUTED_VALUE"""),152.44)</f>
        <v>152.44</v>
      </c>
      <c r="C36" s="3">
        <f ca="1">IFERROR(__xludf.DUMMYFUNCTION("""COMPUTED_VALUE"""),398.09)</f>
        <v>398.09</v>
      </c>
      <c r="D36" s="3">
        <f ca="1">IFERROR(__xludf.DUMMYFUNCTION("""COMPUTED_VALUE"""),98.11)</f>
        <v>98.11</v>
      </c>
      <c r="E36" s="3">
        <f ca="1">IFERROR(__xludf.DUMMYFUNCTION("""COMPUTED_VALUE"""),155.52)</f>
        <v>155.52000000000001</v>
      </c>
      <c r="F36" s="3">
        <f ca="1">IFERROR(__xludf.DUMMYFUNCTION("""COMPUTED_VALUE"""),53.43)</f>
        <v>53.43</v>
      </c>
      <c r="G36" s="3">
        <f ca="1">IFERROR(__xludf.DUMMYFUNCTION("""COMPUTED_VALUE"""),28.71)</f>
        <v>28.71</v>
      </c>
      <c r="H36" s="3">
        <f ca="1">IFERROR(__xludf.DUMMYFUNCTION("""COMPUTED_VALUE"""),28.93)</f>
        <v>28.93</v>
      </c>
      <c r="I36" s="3">
        <f ca="1">IFERROR(__xludf.DUMMYFUNCTION("""COMPUTED_VALUE"""),127.51)</f>
        <v>127.51</v>
      </c>
      <c r="J36" s="3">
        <f ca="1">IFERROR(__xludf.DUMMYFUNCTION("""COMPUTED_VALUE"""),238.05)</f>
        <v>238.05</v>
      </c>
      <c r="K36" s="3">
        <f ca="1">IFERROR(__xludf.DUMMYFUNCTION("""COMPUTED_VALUE"""),125.04)</f>
        <v>125.04</v>
      </c>
      <c r="L36" s="3">
        <f ca="1">IFERROR(__xludf.DUMMYFUNCTION("""COMPUTED_VALUE"""),89.39)</f>
        <v>89.39</v>
      </c>
      <c r="M36" s="3">
        <f ca="1">IFERROR(__xludf.DUMMYFUNCTION("""COMPUTED_VALUE"""),59.15)</f>
        <v>59.15</v>
      </c>
      <c r="N36" s="3">
        <f ca="1">IFERROR(__xludf.DUMMYFUNCTION("""COMPUTED_VALUE"""),61.36)</f>
        <v>61.36</v>
      </c>
      <c r="O36" s="3">
        <f ca="1">IFERROR(__xludf.DUMMYFUNCTION("""COMPUTED_VALUE"""),60.72)</f>
        <v>60.72</v>
      </c>
      <c r="P36" s="3">
        <f ca="1">IFERROR(__xludf.DUMMYFUNCTION("""COMPUTED_VALUE"""),68.05)</f>
        <v>68.05</v>
      </c>
      <c r="Q36" s="3">
        <f ca="1">IFERROR(__xludf.DUMMYFUNCTION("""COMPUTED_VALUE"""),93.86)</f>
        <v>93.86</v>
      </c>
      <c r="R36" s="3">
        <f ca="1">IFERROR(__xludf.DUMMYFUNCTION("""COMPUTED_VALUE"""),83.86)</f>
        <v>83.86</v>
      </c>
      <c r="S36" s="3">
        <f ca="1">IFERROR(__xludf.DUMMYFUNCTION("""COMPUTED_VALUE"""),49.4)</f>
        <v>49.4</v>
      </c>
      <c r="T36" s="3">
        <f ca="1">IFERROR(__xludf.DUMMYFUNCTION("""COMPUTED_VALUE"""),23.18)</f>
        <v>23.18</v>
      </c>
      <c r="U36" s="3">
        <f ca="1">IFERROR(__xludf.DUMMYFUNCTION("""COMPUTED_VALUE"""),64.74)</f>
        <v>64.739999999999995</v>
      </c>
      <c r="V36" s="3">
        <f ca="1">IFERROR(__xludf.DUMMYFUNCTION("""COMPUTED_VALUE"""),62.48)</f>
        <v>62.48</v>
      </c>
      <c r="W36" s="3">
        <f ca="1">IFERROR(__xludf.DUMMYFUNCTION("""COMPUTED_VALUE"""),39.22)</f>
        <v>39.22</v>
      </c>
      <c r="X36" s="3">
        <f ca="1">IFERROR(__xludf.DUMMYFUNCTION("""COMPUTED_VALUE"""),96.1)</f>
        <v>96.1</v>
      </c>
      <c r="Y36" s="3">
        <f ca="1">IFERROR(__xludf.DUMMYFUNCTION("""COMPUTED_VALUE"""),56.52)</f>
        <v>56.52</v>
      </c>
      <c r="Z36" s="3">
        <f ca="1">IFERROR(__xludf.DUMMYFUNCTION("""COMPUTED_VALUE"""),85.96)</f>
        <v>85.96</v>
      </c>
      <c r="AA36" s="3">
        <f ca="1">IFERROR(__xludf.DUMMYFUNCTION("""COMPUTED_VALUE"""),44.68)</f>
        <v>44.68</v>
      </c>
      <c r="AB36" s="3">
        <f ca="1">IFERROR(__xludf.DUMMYFUNCTION("""COMPUTED_VALUE"""),73.54)</f>
        <v>73.540000000000006</v>
      </c>
      <c r="AC36" s="3">
        <f ca="1">IFERROR(__xludf.DUMMYFUNCTION("""COMPUTED_VALUE"""),63.85)</f>
        <v>63.85</v>
      </c>
      <c r="AD36" s="3">
        <f ca="1">IFERROR(__xludf.DUMMYFUNCTION("""COMPUTED_VALUE"""),15.57)</f>
        <v>15.57</v>
      </c>
      <c r="AE36" s="3">
        <f ca="1">IFERROR(__xludf.DUMMYFUNCTION("""COMPUTED_VALUE"""),25.11)</f>
        <v>25.11</v>
      </c>
      <c r="AF36" s="3">
        <f ca="1">IFERROR(__xludf.DUMMYFUNCTION("""COMPUTED_VALUE"""),5.75)</f>
        <v>5.75</v>
      </c>
      <c r="AG36" s="3">
        <f ca="1">IFERROR(__xludf.DUMMYFUNCTION("""COMPUTED_VALUE"""),66.16)</f>
        <v>66.16</v>
      </c>
    </row>
    <row r="37" spans="1:33" ht="12.75" x14ac:dyDescent="0.2">
      <c r="A37" s="4">
        <f ca="1">IFERROR(__xludf.DUMMYFUNCTION("""COMPUTED_VALUE"""),44614.6666666666)</f>
        <v>44614.666666666599</v>
      </c>
      <c r="B37" s="3">
        <f ca="1">IFERROR(__xludf.DUMMYFUNCTION("""COMPUTED_VALUE"""),151.03)</f>
        <v>151.03</v>
      </c>
      <c r="C37" s="3">
        <f ca="1">IFERROR(__xludf.DUMMYFUNCTION("""COMPUTED_VALUE"""),394.18)</f>
        <v>394.18</v>
      </c>
      <c r="D37" s="3">
        <f ca="1">IFERROR(__xludf.DUMMYFUNCTION("""COMPUTED_VALUE"""),97.19)</f>
        <v>97.19</v>
      </c>
      <c r="E37" s="3">
        <f ca="1">IFERROR(__xludf.DUMMYFUNCTION("""COMPUTED_VALUE"""),154.58)</f>
        <v>154.58000000000001</v>
      </c>
      <c r="F37" s="3">
        <f ca="1">IFERROR(__xludf.DUMMYFUNCTION("""COMPUTED_VALUE"""),52.95)</f>
        <v>52.95</v>
      </c>
      <c r="G37" s="3">
        <f ca="1">IFERROR(__xludf.DUMMYFUNCTION("""COMPUTED_VALUE"""),28.45)</f>
        <v>28.45</v>
      </c>
      <c r="H37" s="3">
        <f ca="1">IFERROR(__xludf.DUMMYFUNCTION("""COMPUTED_VALUE"""),28.34)</f>
        <v>28.34</v>
      </c>
      <c r="I37" s="3">
        <f ca="1">IFERROR(__xludf.DUMMYFUNCTION("""COMPUTED_VALUE"""),127.19)</f>
        <v>127.19</v>
      </c>
      <c r="J37" s="3">
        <f ca="1">IFERROR(__xludf.DUMMYFUNCTION("""COMPUTED_VALUE"""),237.11)</f>
        <v>237.11</v>
      </c>
      <c r="K37" s="3">
        <f ca="1">IFERROR(__xludf.DUMMYFUNCTION("""COMPUTED_VALUE"""),124.16)</f>
        <v>124.16</v>
      </c>
      <c r="L37" s="3">
        <f ca="1">IFERROR(__xludf.DUMMYFUNCTION("""COMPUTED_VALUE"""),88.68)</f>
        <v>88.68</v>
      </c>
      <c r="M37" s="3">
        <f ca="1">IFERROR(__xludf.DUMMYFUNCTION("""COMPUTED_VALUE"""),58.6)</f>
        <v>58.6</v>
      </c>
      <c r="N37" s="3">
        <f ca="1">IFERROR(__xludf.DUMMYFUNCTION("""COMPUTED_VALUE"""),61.11)</f>
        <v>61.11</v>
      </c>
      <c r="O37" s="3">
        <f ca="1">IFERROR(__xludf.DUMMYFUNCTION("""COMPUTED_VALUE"""),59.88)</f>
        <v>59.88</v>
      </c>
      <c r="P37" s="3">
        <f ca="1">IFERROR(__xludf.DUMMYFUNCTION("""COMPUTED_VALUE"""),66.95)</f>
        <v>66.95</v>
      </c>
      <c r="Q37" s="3">
        <f ca="1">IFERROR(__xludf.DUMMYFUNCTION("""COMPUTED_VALUE"""),92.24)</f>
        <v>92.24</v>
      </c>
      <c r="R37" s="3">
        <f ca="1">IFERROR(__xludf.DUMMYFUNCTION("""COMPUTED_VALUE"""),82.67)</f>
        <v>82.67</v>
      </c>
      <c r="S37" s="3">
        <f ca="1">IFERROR(__xludf.DUMMYFUNCTION("""COMPUTED_VALUE"""),48.99)</f>
        <v>48.99</v>
      </c>
      <c r="T37" s="3">
        <f ca="1">IFERROR(__xludf.DUMMYFUNCTION("""COMPUTED_VALUE"""),23.51)</f>
        <v>23.51</v>
      </c>
      <c r="U37" s="3">
        <f ca="1">IFERROR(__xludf.DUMMYFUNCTION("""COMPUTED_VALUE"""),65.54)</f>
        <v>65.540000000000006</v>
      </c>
      <c r="V37" s="3">
        <f ca="1">IFERROR(__xludf.DUMMYFUNCTION("""COMPUTED_VALUE"""),60.15)</f>
        <v>60.15</v>
      </c>
      <c r="W37" s="3">
        <f ca="1">IFERROR(__xludf.DUMMYFUNCTION("""COMPUTED_VALUE"""),39.02)</f>
        <v>39.020000000000003</v>
      </c>
      <c r="X37" s="3">
        <f ca="1">IFERROR(__xludf.DUMMYFUNCTION("""COMPUTED_VALUE"""),95.51)</f>
        <v>95.51</v>
      </c>
      <c r="Y37" s="3">
        <f ca="1">IFERROR(__xludf.DUMMYFUNCTION("""COMPUTED_VALUE"""),56.09)</f>
        <v>56.09</v>
      </c>
      <c r="Z37" s="3">
        <f ca="1">IFERROR(__xludf.DUMMYFUNCTION("""COMPUTED_VALUE"""),85.49)</f>
        <v>85.49</v>
      </c>
      <c r="AA37" s="3">
        <f ca="1">IFERROR(__xludf.DUMMYFUNCTION("""COMPUTED_VALUE"""),44.56)</f>
        <v>44.56</v>
      </c>
      <c r="AB37" s="3">
        <f ca="1">IFERROR(__xludf.DUMMYFUNCTION("""COMPUTED_VALUE"""),73.17)</f>
        <v>73.17</v>
      </c>
      <c r="AC37" s="3">
        <f ca="1">IFERROR(__xludf.DUMMYFUNCTION("""COMPUTED_VALUE"""),63.4)</f>
        <v>63.4</v>
      </c>
      <c r="AD37" s="3">
        <f ca="1">IFERROR(__xludf.DUMMYFUNCTION("""COMPUTED_VALUE"""),14.76)</f>
        <v>14.76</v>
      </c>
      <c r="AE37" s="3">
        <f ca="1">IFERROR(__xludf.DUMMYFUNCTION("""COMPUTED_VALUE"""),23.79)</f>
        <v>23.79</v>
      </c>
      <c r="AF37" s="3">
        <f ca="1">IFERROR(__xludf.DUMMYFUNCTION("""COMPUTED_VALUE"""),5.33)</f>
        <v>5.33</v>
      </c>
      <c r="AG37" s="3">
        <f ca="1">IFERROR(__xludf.DUMMYFUNCTION("""COMPUTED_VALUE"""),62.76)</f>
        <v>62.76</v>
      </c>
    </row>
    <row r="38" spans="1:33" ht="12.75" x14ac:dyDescent="0.2">
      <c r="A38" s="4">
        <f ca="1">IFERROR(__xludf.DUMMYFUNCTION("""COMPUTED_VALUE"""),44615.6666666666)</f>
        <v>44615.666666666599</v>
      </c>
      <c r="B38" s="3">
        <f ca="1">IFERROR(__xludf.DUMMYFUNCTION("""COMPUTED_VALUE"""),147.25)</f>
        <v>147.25</v>
      </c>
      <c r="C38" s="3">
        <f ca="1">IFERROR(__xludf.DUMMYFUNCTION("""COMPUTED_VALUE"""),384.21)</f>
        <v>384.21</v>
      </c>
      <c r="D38" s="3">
        <f ca="1">IFERROR(__xludf.DUMMYFUNCTION("""COMPUTED_VALUE"""),94.8)</f>
        <v>94.8</v>
      </c>
      <c r="E38" s="3">
        <f ca="1">IFERROR(__xludf.DUMMYFUNCTION("""COMPUTED_VALUE"""),150.89)</f>
        <v>150.88999999999999</v>
      </c>
      <c r="F38" s="3">
        <f ca="1">IFERROR(__xludf.DUMMYFUNCTION("""COMPUTED_VALUE"""),51.87)</f>
        <v>51.87</v>
      </c>
      <c r="G38" s="3">
        <f ca="1">IFERROR(__xludf.DUMMYFUNCTION("""COMPUTED_VALUE"""),27.69)</f>
        <v>27.69</v>
      </c>
      <c r="H38" s="3">
        <f ca="1">IFERROR(__xludf.DUMMYFUNCTION("""COMPUTED_VALUE"""),27.6)</f>
        <v>27.6</v>
      </c>
      <c r="I38" s="3">
        <f ca="1">IFERROR(__xludf.DUMMYFUNCTION("""COMPUTED_VALUE"""),126.55)</f>
        <v>126.55</v>
      </c>
      <c r="J38" s="3">
        <f ca="1">IFERROR(__xludf.DUMMYFUNCTION("""COMPUTED_VALUE"""),235.27)</f>
        <v>235.27</v>
      </c>
      <c r="K38" s="3">
        <f ca="1">IFERROR(__xludf.DUMMYFUNCTION("""COMPUTED_VALUE"""),121.5)</f>
        <v>121.5</v>
      </c>
      <c r="L38" s="3">
        <f ca="1">IFERROR(__xludf.DUMMYFUNCTION("""COMPUTED_VALUE"""),85.1)</f>
        <v>85.1</v>
      </c>
      <c r="M38" s="3">
        <f ca="1">IFERROR(__xludf.DUMMYFUNCTION("""COMPUTED_VALUE"""),57.09)</f>
        <v>57.09</v>
      </c>
      <c r="N38" s="3">
        <f ca="1">IFERROR(__xludf.DUMMYFUNCTION("""COMPUTED_VALUE"""),60.62)</f>
        <v>60.62</v>
      </c>
      <c r="O38" s="3">
        <f ca="1">IFERROR(__xludf.DUMMYFUNCTION("""COMPUTED_VALUE"""),58.32)</f>
        <v>58.32</v>
      </c>
      <c r="P38" s="3">
        <f ca="1">IFERROR(__xludf.DUMMYFUNCTION("""COMPUTED_VALUE"""),67.64)</f>
        <v>67.64</v>
      </c>
      <c r="Q38" s="3">
        <f ca="1">IFERROR(__xludf.DUMMYFUNCTION("""COMPUTED_VALUE"""),93.34)</f>
        <v>93.34</v>
      </c>
      <c r="R38" s="3">
        <f ca="1">IFERROR(__xludf.DUMMYFUNCTION("""COMPUTED_VALUE"""),81.61)</f>
        <v>81.61</v>
      </c>
      <c r="S38" s="3">
        <f ca="1">IFERROR(__xludf.DUMMYFUNCTION("""COMPUTED_VALUE"""),49.61)</f>
        <v>49.61</v>
      </c>
      <c r="T38" s="3">
        <f ca="1">IFERROR(__xludf.DUMMYFUNCTION("""COMPUTED_VALUE"""),23.73)</f>
        <v>23.73</v>
      </c>
      <c r="U38" s="3">
        <f ca="1">IFERROR(__xludf.DUMMYFUNCTION("""COMPUTED_VALUE"""),66.24)</f>
        <v>66.239999999999995</v>
      </c>
      <c r="V38" s="3">
        <f ca="1">IFERROR(__xludf.DUMMYFUNCTION("""COMPUTED_VALUE"""),59.66)</f>
        <v>59.66</v>
      </c>
      <c r="W38" s="3">
        <f ca="1">IFERROR(__xludf.DUMMYFUNCTION("""COMPUTED_VALUE"""),38.34)</f>
        <v>38.340000000000003</v>
      </c>
      <c r="X38" s="3">
        <f ca="1">IFERROR(__xludf.DUMMYFUNCTION("""COMPUTED_VALUE"""),93.83)</f>
        <v>93.83</v>
      </c>
      <c r="Y38" s="3">
        <f ca="1">IFERROR(__xludf.DUMMYFUNCTION("""COMPUTED_VALUE"""),55.17)</f>
        <v>55.17</v>
      </c>
      <c r="Z38" s="3">
        <f ca="1">IFERROR(__xludf.DUMMYFUNCTION("""COMPUTED_VALUE"""),84.09)</f>
        <v>84.09</v>
      </c>
      <c r="AA38" s="3">
        <f ca="1">IFERROR(__xludf.DUMMYFUNCTION("""COMPUTED_VALUE"""),43.98)</f>
        <v>43.98</v>
      </c>
      <c r="AB38" s="3">
        <f ca="1">IFERROR(__xludf.DUMMYFUNCTION("""COMPUTED_VALUE"""),71.88)</f>
        <v>71.88</v>
      </c>
      <c r="AC38" s="3">
        <f ca="1">IFERROR(__xludf.DUMMYFUNCTION("""COMPUTED_VALUE"""),62.18)</f>
        <v>62.18</v>
      </c>
      <c r="AD38" s="3">
        <f ca="1">IFERROR(__xludf.DUMMYFUNCTION("""COMPUTED_VALUE"""),14.66)</f>
        <v>14.66</v>
      </c>
      <c r="AE38" s="3">
        <f ca="1">IFERROR(__xludf.DUMMYFUNCTION("""COMPUTED_VALUE"""),23.61)</f>
        <v>23.61</v>
      </c>
      <c r="AF38" s="3">
        <f ca="1">IFERROR(__xludf.DUMMYFUNCTION("""COMPUTED_VALUE"""),5.6)</f>
        <v>5.6</v>
      </c>
      <c r="AG38" s="3">
        <f ca="1">IFERROR(__xludf.DUMMYFUNCTION("""COMPUTED_VALUE"""),60.68)</f>
        <v>60.68</v>
      </c>
    </row>
    <row r="39" spans="1:33" ht="12.75" x14ac:dyDescent="0.2">
      <c r="A39" s="4">
        <f ca="1">IFERROR(__xludf.DUMMYFUNCTION("""COMPUTED_VALUE"""),44616.6666666666)</f>
        <v>44616.666666666599</v>
      </c>
      <c r="B39" s="3">
        <f ca="1">IFERROR(__xludf.DUMMYFUNCTION("""COMPUTED_VALUE"""),152.28)</f>
        <v>152.28</v>
      </c>
      <c r="C39" s="3">
        <f ca="1">IFERROR(__xludf.DUMMYFUNCTION("""COMPUTED_VALUE"""),398.09)</f>
        <v>398.09</v>
      </c>
      <c r="D39" s="3">
        <f ca="1">IFERROR(__xludf.DUMMYFUNCTION("""COMPUTED_VALUE"""),98.75)</f>
        <v>98.75</v>
      </c>
      <c r="E39" s="3">
        <f ca="1">IFERROR(__xludf.DUMMYFUNCTION("""COMPUTED_VALUE"""),156.41)</f>
        <v>156.41</v>
      </c>
      <c r="F39" s="3">
        <f ca="1">IFERROR(__xludf.DUMMYFUNCTION("""COMPUTED_VALUE"""),54.96)</f>
        <v>54.96</v>
      </c>
      <c r="G39" s="3">
        <f ca="1">IFERROR(__xludf.DUMMYFUNCTION("""COMPUTED_VALUE"""),28.4)</f>
        <v>28.4</v>
      </c>
      <c r="H39" s="3">
        <f ca="1">IFERROR(__xludf.DUMMYFUNCTION("""COMPUTED_VALUE"""),28.52)</f>
        <v>28.52</v>
      </c>
      <c r="I39" s="3">
        <f ca="1">IFERROR(__xludf.DUMMYFUNCTION("""COMPUTED_VALUE"""),127.06)</f>
        <v>127.06</v>
      </c>
      <c r="J39" s="3">
        <f ca="1">IFERROR(__xludf.DUMMYFUNCTION("""COMPUTED_VALUE"""),237.55)</f>
        <v>237.55</v>
      </c>
      <c r="K39" s="3">
        <f ca="1">IFERROR(__xludf.DUMMYFUNCTION("""COMPUTED_VALUE"""),124.59)</f>
        <v>124.59</v>
      </c>
      <c r="L39" s="3">
        <f ca="1">IFERROR(__xludf.DUMMYFUNCTION("""COMPUTED_VALUE"""),89)</f>
        <v>89</v>
      </c>
      <c r="M39" s="3">
        <f ca="1">IFERROR(__xludf.DUMMYFUNCTION("""COMPUTED_VALUE"""),58.94)</f>
        <v>58.94</v>
      </c>
      <c r="N39" s="3">
        <f ca="1">IFERROR(__xludf.DUMMYFUNCTION("""COMPUTED_VALUE"""),61.21)</f>
        <v>61.21</v>
      </c>
      <c r="O39" s="3">
        <f ca="1">IFERROR(__xludf.DUMMYFUNCTION("""COMPUTED_VALUE"""),60.68)</f>
        <v>60.68</v>
      </c>
      <c r="P39" s="3">
        <f ca="1">IFERROR(__xludf.DUMMYFUNCTION("""COMPUTED_VALUE"""),67.11)</f>
        <v>67.11</v>
      </c>
      <c r="Q39" s="3">
        <f ca="1">IFERROR(__xludf.DUMMYFUNCTION("""COMPUTED_VALUE"""),93.01)</f>
        <v>93.01</v>
      </c>
      <c r="R39" s="3">
        <f ca="1">IFERROR(__xludf.DUMMYFUNCTION("""COMPUTED_VALUE"""),81.37)</f>
        <v>81.37</v>
      </c>
      <c r="S39" s="3">
        <f ca="1">IFERROR(__xludf.DUMMYFUNCTION("""COMPUTED_VALUE"""),49)</f>
        <v>49</v>
      </c>
      <c r="T39" s="3">
        <f ca="1">IFERROR(__xludf.DUMMYFUNCTION("""COMPUTED_VALUE"""),23.83)</f>
        <v>23.83</v>
      </c>
      <c r="U39" s="3">
        <f ca="1">IFERROR(__xludf.DUMMYFUNCTION("""COMPUTED_VALUE"""),66.34)</f>
        <v>66.34</v>
      </c>
      <c r="V39" s="3">
        <f ca="1">IFERROR(__xludf.DUMMYFUNCTION("""COMPUTED_VALUE"""),64.8)</f>
        <v>64.8</v>
      </c>
      <c r="W39" s="3">
        <f ca="1">IFERROR(__xludf.DUMMYFUNCTION("""COMPUTED_VALUE"""),37.88)</f>
        <v>37.880000000000003</v>
      </c>
      <c r="X39" s="3">
        <f ca="1">IFERROR(__xludf.DUMMYFUNCTION("""COMPUTED_VALUE"""),92.91)</f>
        <v>92.91</v>
      </c>
      <c r="Y39" s="3">
        <f ca="1">IFERROR(__xludf.DUMMYFUNCTION("""COMPUTED_VALUE"""),54.26)</f>
        <v>54.26</v>
      </c>
      <c r="Z39" s="3">
        <f ca="1">IFERROR(__xludf.DUMMYFUNCTION("""COMPUTED_VALUE"""),83.18)</f>
        <v>83.18</v>
      </c>
      <c r="AA39" s="3">
        <f ca="1">IFERROR(__xludf.DUMMYFUNCTION("""COMPUTED_VALUE"""),44.74)</f>
        <v>44.74</v>
      </c>
      <c r="AB39" s="3">
        <f ca="1">IFERROR(__xludf.DUMMYFUNCTION("""COMPUTED_VALUE"""),70.59)</f>
        <v>70.59</v>
      </c>
      <c r="AC39" s="3">
        <f ca="1">IFERROR(__xludf.DUMMYFUNCTION("""COMPUTED_VALUE"""),61.71)</f>
        <v>61.71</v>
      </c>
      <c r="AD39" s="3">
        <f ca="1">IFERROR(__xludf.DUMMYFUNCTION("""COMPUTED_VALUE"""),14.93)</f>
        <v>14.93</v>
      </c>
      <c r="AE39" s="3">
        <f ca="1">IFERROR(__xludf.DUMMYFUNCTION("""COMPUTED_VALUE"""),24.06)</f>
        <v>24.06</v>
      </c>
      <c r="AF39" s="3">
        <f ca="1">IFERROR(__xludf.DUMMYFUNCTION("""COMPUTED_VALUE"""),5)</f>
        <v>5</v>
      </c>
      <c r="AG39" s="3">
        <f ca="1">IFERROR(__xludf.DUMMYFUNCTION("""COMPUTED_VALUE"""),64.2)</f>
        <v>64.2</v>
      </c>
    </row>
    <row r="40" spans="1:33" ht="12.75" x14ac:dyDescent="0.2">
      <c r="A40" s="4">
        <f ca="1">IFERROR(__xludf.DUMMYFUNCTION("""COMPUTED_VALUE"""),44617.6666666666)</f>
        <v>44617.666666666599</v>
      </c>
      <c r="B40" s="3">
        <f ca="1">IFERROR(__xludf.DUMMYFUNCTION("""COMPUTED_VALUE"""),154.35)</f>
        <v>154.35</v>
      </c>
      <c r="C40" s="3">
        <f ca="1">IFERROR(__xludf.DUMMYFUNCTION("""COMPUTED_VALUE"""),403.82)</f>
        <v>403.82</v>
      </c>
      <c r="D40" s="3">
        <f ca="1">IFERROR(__xludf.DUMMYFUNCTION("""COMPUTED_VALUE"""),100.01)</f>
        <v>100.01</v>
      </c>
      <c r="E40" s="3">
        <f ca="1">IFERROR(__xludf.DUMMYFUNCTION("""COMPUTED_VALUE"""),159.02)</f>
        <v>159.02000000000001</v>
      </c>
      <c r="F40" s="3">
        <f ca="1">IFERROR(__xludf.DUMMYFUNCTION("""COMPUTED_VALUE"""),55.73)</f>
        <v>55.73</v>
      </c>
      <c r="G40" s="3">
        <f ca="1">IFERROR(__xludf.DUMMYFUNCTION("""COMPUTED_VALUE"""),29.3)</f>
        <v>29.3</v>
      </c>
      <c r="H40" s="3">
        <f ca="1">IFERROR(__xludf.DUMMYFUNCTION("""COMPUTED_VALUE"""),29.14)</f>
        <v>29.14</v>
      </c>
      <c r="I40" s="3">
        <f ca="1">IFERROR(__xludf.DUMMYFUNCTION("""COMPUTED_VALUE"""),130.95)</f>
        <v>130.94999999999999</v>
      </c>
      <c r="J40" s="3">
        <f ca="1">IFERROR(__xludf.DUMMYFUNCTION("""COMPUTED_VALUE"""),244.47)</f>
        <v>244.47</v>
      </c>
      <c r="K40" s="3">
        <f ca="1">IFERROR(__xludf.DUMMYFUNCTION("""COMPUTED_VALUE"""),126.29)</f>
        <v>126.29</v>
      </c>
      <c r="L40" s="3">
        <f ca="1">IFERROR(__xludf.DUMMYFUNCTION("""COMPUTED_VALUE"""),89.8)</f>
        <v>89.8</v>
      </c>
      <c r="M40" s="3">
        <f ca="1">IFERROR(__xludf.DUMMYFUNCTION("""COMPUTED_VALUE"""),59.93)</f>
        <v>59.93</v>
      </c>
      <c r="N40" s="3">
        <f ca="1">IFERROR(__xludf.DUMMYFUNCTION("""COMPUTED_VALUE"""),63.06)</f>
        <v>63.06</v>
      </c>
      <c r="O40" s="3">
        <f ca="1">IFERROR(__xludf.DUMMYFUNCTION("""COMPUTED_VALUE"""),61.96)</f>
        <v>61.96</v>
      </c>
      <c r="P40" s="3">
        <f ca="1">IFERROR(__xludf.DUMMYFUNCTION("""COMPUTED_VALUE"""),68.88)</f>
        <v>68.88</v>
      </c>
      <c r="Q40" s="3">
        <f ca="1">IFERROR(__xludf.DUMMYFUNCTION("""COMPUTED_VALUE"""),95.38)</f>
        <v>95.38</v>
      </c>
      <c r="R40" s="3">
        <f ca="1">IFERROR(__xludf.DUMMYFUNCTION("""COMPUTED_VALUE"""),84.34)</f>
        <v>84.34</v>
      </c>
      <c r="S40" s="3">
        <f ca="1">IFERROR(__xludf.DUMMYFUNCTION("""COMPUTED_VALUE"""),51.77)</f>
        <v>51.77</v>
      </c>
      <c r="T40" s="3">
        <f ca="1">IFERROR(__xludf.DUMMYFUNCTION("""COMPUTED_VALUE"""),23.47)</f>
        <v>23.47</v>
      </c>
      <c r="U40" s="3">
        <f ca="1">IFERROR(__xludf.DUMMYFUNCTION("""COMPUTED_VALUE"""),65.8)</f>
        <v>65.8</v>
      </c>
      <c r="V40" s="3">
        <f ca="1">IFERROR(__xludf.DUMMYFUNCTION("""COMPUTED_VALUE"""),66.42)</f>
        <v>66.42</v>
      </c>
      <c r="W40" s="3">
        <f ca="1">IFERROR(__xludf.DUMMYFUNCTION("""COMPUTED_VALUE"""),39.1)</f>
        <v>39.1</v>
      </c>
      <c r="X40" s="3">
        <f ca="1">IFERROR(__xludf.DUMMYFUNCTION("""COMPUTED_VALUE"""),95.93)</f>
        <v>95.93</v>
      </c>
      <c r="Y40" s="3">
        <f ca="1">IFERROR(__xludf.DUMMYFUNCTION("""COMPUTED_VALUE"""),56.58)</f>
        <v>56.58</v>
      </c>
      <c r="Z40" s="3">
        <f ca="1">IFERROR(__xludf.DUMMYFUNCTION("""COMPUTED_VALUE"""),86.01)</f>
        <v>86.01</v>
      </c>
      <c r="AA40" s="3">
        <f ca="1">IFERROR(__xludf.DUMMYFUNCTION("""COMPUTED_VALUE"""),45.86)</f>
        <v>45.86</v>
      </c>
      <c r="AB40" s="3">
        <f ca="1">IFERROR(__xludf.DUMMYFUNCTION("""COMPUTED_VALUE"""),73.84)</f>
        <v>73.84</v>
      </c>
      <c r="AC40" s="3">
        <f ca="1">IFERROR(__xludf.DUMMYFUNCTION("""COMPUTED_VALUE"""),63.42)</f>
        <v>63.42</v>
      </c>
      <c r="AD40" s="3">
        <f ca="1">IFERROR(__xludf.DUMMYFUNCTION("""COMPUTED_VALUE"""),15.21)</f>
        <v>15.21</v>
      </c>
      <c r="AE40" s="3">
        <f ca="1">IFERROR(__xludf.DUMMYFUNCTION("""COMPUTED_VALUE"""),24.53)</f>
        <v>24.53</v>
      </c>
      <c r="AF40" s="3">
        <f ca="1">IFERROR(__xludf.DUMMYFUNCTION("""COMPUTED_VALUE"""),5.62)</f>
        <v>5.62</v>
      </c>
      <c r="AG40" s="3">
        <f ca="1">IFERROR(__xludf.DUMMYFUNCTION("""COMPUTED_VALUE"""),64.08)</f>
        <v>64.08</v>
      </c>
    </row>
    <row r="41" spans="1:33" ht="12.75" x14ac:dyDescent="0.2">
      <c r="A41" s="4">
        <f ca="1">IFERROR(__xludf.DUMMYFUNCTION("""COMPUTED_VALUE"""),44620.6666666666)</f>
        <v>44620.666666666599</v>
      </c>
      <c r="B41" s="3">
        <f ca="1">IFERROR(__xludf.DUMMYFUNCTION("""COMPUTED_VALUE"""),154.07)</f>
        <v>154.07</v>
      </c>
      <c r="C41" s="3">
        <f ca="1">IFERROR(__xludf.DUMMYFUNCTION("""COMPUTED_VALUE"""),403.91)</f>
        <v>403.91</v>
      </c>
      <c r="D41" s="3">
        <f ca="1">IFERROR(__xludf.DUMMYFUNCTION("""COMPUTED_VALUE"""),100.14)</f>
        <v>100.14</v>
      </c>
      <c r="E41" s="3">
        <f ca="1">IFERROR(__xludf.DUMMYFUNCTION("""COMPUTED_VALUE"""),158.05)</f>
        <v>158.05000000000001</v>
      </c>
      <c r="F41" s="3">
        <f ca="1">IFERROR(__xludf.DUMMYFUNCTION("""COMPUTED_VALUE"""),57.39)</f>
        <v>57.39</v>
      </c>
      <c r="G41" s="3">
        <f ca="1">IFERROR(__xludf.DUMMYFUNCTION("""COMPUTED_VALUE"""),29.57)</f>
        <v>29.57</v>
      </c>
      <c r="H41" s="3">
        <f ca="1">IFERROR(__xludf.DUMMYFUNCTION("""COMPUTED_VALUE"""),29.16)</f>
        <v>29.16</v>
      </c>
      <c r="I41" s="3">
        <f ca="1">IFERROR(__xludf.DUMMYFUNCTION("""COMPUTED_VALUE"""),129.96)</f>
        <v>129.96</v>
      </c>
      <c r="J41" s="3">
        <f ca="1">IFERROR(__xludf.DUMMYFUNCTION("""COMPUTED_VALUE"""),242.94)</f>
        <v>242.94</v>
      </c>
      <c r="K41" s="3">
        <f ca="1">IFERROR(__xludf.DUMMYFUNCTION("""COMPUTED_VALUE"""),126.07)</f>
        <v>126.07</v>
      </c>
      <c r="L41" s="3">
        <f ca="1">IFERROR(__xludf.DUMMYFUNCTION("""COMPUTED_VALUE"""),89.83)</f>
        <v>89.83</v>
      </c>
      <c r="M41" s="3">
        <f ca="1">IFERROR(__xludf.DUMMYFUNCTION("""COMPUTED_VALUE"""),60.27)</f>
        <v>60.27</v>
      </c>
      <c r="N41" s="3">
        <f ca="1">IFERROR(__xludf.DUMMYFUNCTION("""COMPUTED_VALUE"""),62.6)</f>
        <v>62.6</v>
      </c>
      <c r="O41" s="3">
        <f ca="1">IFERROR(__xludf.DUMMYFUNCTION("""COMPUTED_VALUE"""),61.84)</f>
        <v>61.84</v>
      </c>
      <c r="P41" s="3">
        <f ca="1">IFERROR(__xludf.DUMMYFUNCTION("""COMPUTED_VALUE"""),70.58)</f>
        <v>70.58</v>
      </c>
      <c r="Q41" s="3">
        <f ca="1">IFERROR(__xludf.DUMMYFUNCTION("""COMPUTED_VALUE"""),98.02)</f>
        <v>98.02</v>
      </c>
      <c r="R41" s="3">
        <f ca="1">IFERROR(__xludf.DUMMYFUNCTION("""COMPUTED_VALUE"""),83.38)</f>
        <v>83.38</v>
      </c>
      <c r="S41" s="3">
        <f ca="1">IFERROR(__xludf.DUMMYFUNCTION("""COMPUTED_VALUE"""),52.62)</f>
        <v>52.62</v>
      </c>
      <c r="T41" s="3">
        <f ca="1">IFERROR(__xludf.DUMMYFUNCTION("""COMPUTED_VALUE"""),23.87)</f>
        <v>23.87</v>
      </c>
      <c r="U41" s="3">
        <f ca="1">IFERROR(__xludf.DUMMYFUNCTION("""COMPUTED_VALUE"""),67.48)</f>
        <v>67.48</v>
      </c>
      <c r="V41" s="3">
        <f ca="1">IFERROR(__xludf.DUMMYFUNCTION("""COMPUTED_VALUE"""),71.47)</f>
        <v>71.47</v>
      </c>
      <c r="W41" s="3">
        <f ca="1">IFERROR(__xludf.DUMMYFUNCTION("""COMPUTED_VALUE"""),38.52)</f>
        <v>38.520000000000003</v>
      </c>
      <c r="X41" s="3">
        <f ca="1">IFERROR(__xludf.DUMMYFUNCTION("""COMPUTED_VALUE"""),94.75)</f>
        <v>94.75</v>
      </c>
      <c r="Y41" s="3">
        <f ca="1">IFERROR(__xludf.DUMMYFUNCTION("""COMPUTED_VALUE"""),56.62)</f>
        <v>56.62</v>
      </c>
      <c r="Z41" s="3">
        <f ca="1">IFERROR(__xludf.DUMMYFUNCTION("""COMPUTED_VALUE"""),84.83)</f>
        <v>84.83</v>
      </c>
      <c r="AA41" s="3">
        <f ca="1">IFERROR(__xludf.DUMMYFUNCTION("""COMPUTED_VALUE"""),45.07)</f>
        <v>45.07</v>
      </c>
      <c r="AB41" s="3">
        <f ca="1">IFERROR(__xludf.DUMMYFUNCTION("""COMPUTED_VALUE"""),74.28)</f>
        <v>74.28</v>
      </c>
      <c r="AC41" s="3">
        <f ca="1">IFERROR(__xludf.DUMMYFUNCTION("""COMPUTED_VALUE"""),62.32)</f>
        <v>62.32</v>
      </c>
      <c r="AD41" s="3">
        <f ca="1">IFERROR(__xludf.DUMMYFUNCTION("""COMPUTED_VALUE"""),16.34)</f>
        <v>16.34</v>
      </c>
      <c r="AE41" s="3">
        <f ca="1">IFERROR(__xludf.DUMMYFUNCTION("""COMPUTED_VALUE"""),26.38)</f>
        <v>26.38</v>
      </c>
      <c r="AF41" s="3">
        <f ca="1">IFERROR(__xludf.DUMMYFUNCTION("""COMPUTED_VALUE"""),5.47)</f>
        <v>5.47</v>
      </c>
      <c r="AG41" s="3">
        <f ca="1">IFERROR(__xludf.DUMMYFUNCTION("""COMPUTED_VALUE"""),67.32)</f>
        <v>67.319999999999993</v>
      </c>
    </row>
    <row r="42" spans="1:33" ht="12.75" x14ac:dyDescent="0.2">
      <c r="A42" s="4">
        <f ca="1">IFERROR(__xludf.DUMMYFUNCTION("""COMPUTED_VALUE"""),44621.6666666666)</f>
        <v>44621.666666666599</v>
      </c>
      <c r="B42" s="3">
        <f ca="1">IFERROR(__xludf.DUMMYFUNCTION("""COMPUTED_VALUE"""),150.99)</f>
        <v>150.99</v>
      </c>
      <c r="C42" s="3">
        <f ca="1">IFERROR(__xludf.DUMMYFUNCTION("""COMPUTED_VALUE"""),396.14)</f>
        <v>396.14</v>
      </c>
      <c r="D42" s="3">
        <f ca="1">IFERROR(__xludf.DUMMYFUNCTION("""COMPUTED_VALUE"""),98.46)</f>
        <v>98.46</v>
      </c>
      <c r="E42" s="3">
        <f ca="1">IFERROR(__xludf.DUMMYFUNCTION("""COMPUTED_VALUE"""),152.32)</f>
        <v>152.32</v>
      </c>
      <c r="F42" s="3">
        <f ca="1">IFERROR(__xludf.DUMMYFUNCTION("""COMPUTED_VALUE"""),57.7)</f>
        <v>57.7</v>
      </c>
      <c r="G42" s="3">
        <f ca="1">IFERROR(__xludf.DUMMYFUNCTION("""COMPUTED_VALUE"""),29.02)</f>
        <v>29.02</v>
      </c>
      <c r="H42" s="3">
        <f ca="1">IFERROR(__xludf.DUMMYFUNCTION("""COMPUTED_VALUE"""),28.81)</f>
        <v>28.81</v>
      </c>
      <c r="I42" s="3">
        <f ca="1">IFERROR(__xludf.DUMMYFUNCTION("""COMPUTED_VALUE"""),129.24)</f>
        <v>129.24</v>
      </c>
      <c r="J42" s="3">
        <f ca="1">IFERROR(__xludf.DUMMYFUNCTION("""COMPUTED_VALUE"""),241.63)</f>
        <v>241.63</v>
      </c>
      <c r="K42" s="3">
        <f ca="1">IFERROR(__xludf.DUMMYFUNCTION("""COMPUTED_VALUE"""),125.4)</f>
        <v>125.4</v>
      </c>
      <c r="L42" s="3">
        <f ca="1">IFERROR(__xludf.DUMMYFUNCTION("""COMPUTED_VALUE"""),89.09)</f>
        <v>89.09</v>
      </c>
      <c r="M42" s="3">
        <f ca="1">IFERROR(__xludf.DUMMYFUNCTION("""COMPUTED_VALUE"""),59.75)</f>
        <v>59.75</v>
      </c>
      <c r="N42" s="3">
        <f ca="1">IFERROR(__xludf.DUMMYFUNCTION("""COMPUTED_VALUE"""),62.36)</f>
        <v>62.36</v>
      </c>
      <c r="O42" s="3">
        <f ca="1">IFERROR(__xludf.DUMMYFUNCTION("""COMPUTED_VALUE"""),61.16)</f>
        <v>61.16</v>
      </c>
      <c r="P42" s="3">
        <f ca="1">IFERROR(__xludf.DUMMYFUNCTION("""COMPUTED_VALUE"""),71.29)</f>
        <v>71.290000000000006</v>
      </c>
      <c r="Q42" s="3">
        <f ca="1">IFERROR(__xludf.DUMMYFUNCTION("""COMPUTED_VALUE"""),98.95)</f>
        <v>98.95</v>
      </c>
      <c r="R42" s="3">
        <f ca="1">IFERROR(__xludf.DUMMYFUNCTION("""COMPUTED_VALUE"""),81.46)</f>
        <v>81.459999999999994</v>
      </c>
      <c r="S42" s="3">
        <f ca="1">IFERROR(__xludf.DUMMYFUNCTION("""COMPUTED_VALUE"""),53.93)</f>
        <v>53.93</v>
      </c>
      <c r="T42" s="3">
        <f ca="1">IFERROR(__xludf.DUMMYFUNCTION("""COMPUTED_VALUE"""),24.83)</f>
        <v>24.83</v>
      </c>
      <c r="U42" s="3">
        <f ca="1">IFERROR(__xludf.DUMMYFUNCTION("""COMPUTED_VALUE"""),71.82)</f>
        <v>71.819999999999993</v>
      </c>
      <c r="V42" s="3">
        <f ca="1">IFERROR(__xludf.DUMMYFUNCTION("""COMPUTED_VALUE"""),72.84)</f>
        <v>72.84</v>
      </c>
      <c r="W42" s="3">
        <f ca="1">IFERROR(__xludf.DUMMYFUNCTION("""COMPUTED_VALUE"""),37.1)</f>
        <v>37.1</v>
      </c>
      <c r="X42" s="3">
        <f ca="1">IFERROR(__xludf.DUMMYFUNCTION("""COMPUTED_VALUE"""),91.15)</f>
        <v>91.15</v>
      </c>
      <c r="Y42" s="3">
        <f ca="1">IFERROR(__xludf.DUMMYFUNCTION("""COMPUTED_VALUE"""),53.78)</f>
        <v>53.78</v>
      </c>
      <c r="Z42" s="3">
        <f ca="1">IFERROR(__xludf.DUMMYFUNCTION("""COMPUTED_VALUE"""),81.85)</f>
        <v>81.849999999999994</v>
      </c>
      <c r="AA42" s="3">
        <f ca="1">IFERROR(__xludf.DUMMYFUNCTION("""COMPUTED_VALUE"""),44.98)</f>
        <v>44.98</v>
      </c>
      <c r="AB42" s="3">
        <f ca="1">IFERROR(__xludf.DUMMYFUNCTION("""COMPUTED_VALUE"""),70.22)</f>
        <v>70.22</v>
      </c>
      <c r="AC42" s="3">
        <f ca="1">IFERROR(__xludf.DUMMYFUNCTION("""COMPUTED_VALUE"""),59.7)</f>
        <v>59.7</v>
      </c>
      <c r="AD42" s="3">
        <f ca="1">IFERROR(__xludf.DUMMYFUNCTION("""COMPUTED_VALUE"""),17.2)</f>
        <v>17.2</v>
      </c>
      <c r="AE42" s="3">
        <f ca="1">IFERROR(__xludf.DUMMYFUNCTION("""COMPUTED_VALUE"""),27.78)</f>
        <v>27.78</v>
      </c>
      <c r="AF42" s="3">
        <f ca="1">IFERROR(__xludf.DUMMYFUNCTION("""COMPUTED_VALUE"""),6.1)</f>
        <v>6.1</v>
      </c>
      <c r="AG42" s="3">
        <f ca="1">IFERROR(__xludf.DUMMYFUNCTION("""COMPUTED_VALUE"""),68.24)</f>
        <v>68.239999999999995</v>
      </c>
    </row>
    <row r="43" spans="1:33" ht="12.75" x14ac:dyDescent="0.2">
      <c r="A43" s="4">
        <f ca="1">IFERROR(__xludf.DUMMYFUNCTION("""COMPUTED_VALUE"""),44622.6666666666)</f>
        <v>44622.666666666599</v>
      </c>
      <c r="B43" s="3">
        <f ca="1">IFERROR(__xludf.DUMMYFUNCTION("""COMPUTED_VALUE"""),154.26)</f>
        <v>154.26</v>
      </c>
      <c r="C43" s="3">
        <f ca="1">IFERROR(__xludf.DUMMYFUNCTION("""COMPUTED_VALUE"""),404.39)</f>
        <v>404.39</v>
      </c>
      <c r="D43" s="3">
        <f ca="1">IFERROR(__xludf.DUMMYFUNCTION("""COMPUTED_VALUE"""),100.44)</f>
        <v>100.44</v>
      </c>
      <c r="E43" s="3">
        <f ca="1">IFERROR(__xludf.DUMMYFUNCTION("""COMPUTED_VALUE"""),157.17)</f>
        <v>157.16999999999999</v>
      </c>
      <c r="F43" s="3">
        <f ca="1">IFERROR(__xludf.DUMMYFUNCTION("""COMPUTED_VALUE"""),58.39)</f>
        <v>58.39</v>
      </c>
      <c r="G43" s="3">
        <f ca="1">IFERROR(__xludf.DUMMYFUNCTION("""COMPUTED_VALUE"""),29.74)</f>
        <v>29.74</v>
      </c>
      <c r="H43" s="3">
        <f ca="1">IFERROR(__xludf.DUMMYFUNCTION("""COMPUTED_VALUE"""),29.2)</f>
        <v>29.2</v>
      </c>
      <c r="I43" s="3">
        <f ca="1">IFERROR(__xludf.DUMMYFUNCTION("""COMPUTED_VALUE"""),131.19)</f>
        <v>131.19</v>
      </c>
      <c r="J43" s="3">
        <f ca="1">IFERROR(__xludf.DUMMYFUNCTION("""COMPUTED_VALUE"""),245.32)</f>
        <v>245.32</v>
      </c>
      <c r="K43" s="3">
        <f ca="1">IFERROR(__xludf.DUMMYFUNCTION("""COMPUTED_VALUE"""),126.07)</f>
        <v>126.07</v>
      </c>
      <c r="L43" s="3">
        <f ca="1">IFERROR(__xludf.DUMMYFUNCTION("""COMPUTED_VALUE"""),89.32)</f>
        <v>89.32</v>
      </c>
      <c r="M43" s="3">
        <f ca="1">IFERROR(__xludf.DUMMYFUNCTION("""COMPUTED_VALUE"""),60.1)</f>
        <v>60.1</v>
      </c>
      <c r="N43" s="3">
        <f ca="1">IFERROR(__xludf.DUMMYFUNCTION("""COMPUTED_VALUE"""),63.18)</f>
        <v>63.18</v>
      </c>
      <c r="O43" s="3">
        <f ca="1">IFERROR(__xludf.DUMMYFUNCTION("""COMPUTED_VALUE"""),61.44)</f>
        <v>61.44</v>
      </c>
      <c r="P43" s="3">
        <f ca="1">IFERROR(__xludf.DUMMYFUNCTION("""COMPUTED_VALUE"""),72.92)</f>
        <v>72.92</v>
      </c>
      <c r="Q43" s="3">
        <f ca="1">IFERROR(__xludf.DUMMYFUNCTION("""COMPUTED_VALUE"""),101.35)</f>
        <v>101.35</v>
      </c>
      <c r="R43" s="3">
        <f ca="1">IFERROR(__xludf.DUMMYFUNCTION("""COMPUTED_VALUE"""),83.25)</f>
        <v>83.25</v>
      </c>
      <c r="S43" s="3">
        <f ca="1">IFERROR(__xludf.DUMMYFUNCTION("""COMPUTED_VALUE"""),55.97)</f>
        <v>55.97</v>
      </c>
      <c r="T43" s="3">
        <f ca="1">IFERROR(__xludf.DUMMYFUNCTION("""COMPUTED_VALUE"""),25.64)</f>
        <v>25.64</v>
      </c>
      <c r="U43" s="3">
        <f ca="1">IFERROR(__xludf.DUMMYFUNCTION("""COMPUTED_VALUE"""),75.42)</f>
        <v>75.42</v>
      </c>
      <c r="V43" s="3">
        <f ca="1">IFERROR(__xludf.DUMMYFUNCTION("""COMPUTED_VALUE"""),70.35)</f>
        <v>70.349999999999994</v>
      </c>
      <c r="W43" s="3">
        <f ca="1">IFERROR(__xludf.DUMMYFUNCTION("""COMPUTED_VALUE"""),38.06)</f>
        <v>38.06</v>
      </c>
      <c r="X43" s="3">
        <f ca="1">IFERROR(__xludf.DUMMYFUNCTION("""COMPUTED_VALUE"""),93.61)</f>
        <v>93.61</v>
      </c>
      <c r="Y43" s="3">
        <f ca="1">IFERROR(__xludf.DUMMYFUNCTION("""COMPUTED_VALUE"""),56.03)</f>
        <v>56.03</v>
      </c>
      <c r="Z43" s="3">
        <f ca="1">IFERROR(__xludf.DUMMYFUNCTION("""COMPUTED_VALUE"""),84.2)</f>
        <v>84.2</v>
      </c>
      <c r="AA43" s="3">
        <f ca="1">IFERROR(__xludf.DUMMYFUNCTION("""COMPUTED_VALUE"""),45.78)</f>
        <v>45.78</v>
      </c>
      <c r="AB43" s="3">
        <f ca="1">IFERROR(__xludf.DUMMYFUNCTION("""COMPUTED_VALUE"""),73.35)</f>
        <v>73.349999999999994</v>
      </c>
      <c r="AC43" s="3">
        <f ca="1">IFERROR(__xludf.DUMMYFUNCTION("""COMPUTED_VALUE"""),61.07)</f>
        <v>61.07</v>
      </c>
      <c r="AD43" s="3">
        <f ca="1">IFERROR(__xludf.DUMMYFUNCTION("""COMPUTED_VALUE"""),17.1)</f>
        <v>17.100000000000001</v>
      </c>
      <c r="AE43" s="3">
        <f ca="1">IFERROR(__xludf.DUMMYFUNCTION("""COMPUTED_VALUE"""),27.58)</f>
        <v>27.58</v>
      </c>
      <c r="AF43" s="3">
        <f ca="1">IFERROR(__xludf.DUMMYFUNCTION("""COMPUTED_VALUE"""),6.06)</f>
        <v>6.06</v>
      </c>
      <c r="AG43" s="3">
        <f ca="1">IFERROR(__xludf.DUMMYFUNCTION("""COMPUTED_VALUE"""),69.16)</f>
        <v>69.16</v>
      </c>
    </row>
    <row r="44" spans="1:33" ht="12.75" x14ac:dyDescent="0.2">
      <c r="A44" s="4">
        <f ca="1">IFERROR(__xludf.DUMMYFUNCTION("""COMPUTED_VALUE"""),44623.6666666666)</f>
        <v>44623.666666666599</v>
      </c>
      <c r="B44" s="3">
        <f ca="1">IFERROR(__xludf.DUMMYFUNCTION("""COMPUTED_VALUE"""),152.42)</f>
        <v>152.41999999999999</v>
      </c>
      <c r="C44" s="3">
        <f ca="1">IFERROR(__xludf.DUMMYFUNCTION("""COMPUTED_VALUE"""),398.1)</f>
        <v>398.1</v>
      </c>
      <c r="D44" s="3">
        <f ca="1">IFERROR(__xludf.DUMMYFUNCTION("""COMPUTED_VALUE"""),98.84)</f>
        <v>98.84</v>
      </c>
      <c r="E44" s="3">
        <f ca="1">IFERROR(__xludf.DUMMYFUNCTION("""COMPUTED_VALUE"""),153.87)</f>
        <v>153.87</v>
      </c>
      <c r="F44" s="3">
        <f ca="1">IFERROR(__xludf.DUMMYFUNCTION("""COMPUTED_VALUE"""),57.64)</f>
        <v>57.64</v>
      </c>
      <c r="G44" s="3">
        <f ca="1">IFERROR(__xludf.DUMMYFUNCTION("""COMPUTED_VALUE"""),29.14)</f>
        <v>29.14</v>
      </c>
      <c r="H44" s="3">
        <f ca="1">IFERROR(__xludf.DUMMYFUNCTION("""COMPUTED_VALUE"""),28.48)</f>
        <v>28.48</v>
      </c>
      <c r="I44" s="3">
        <f ca="1">IFERROR(__xludf.DUMMYFUNCTION("""COMPUTED_VALUE"""),131.86)</f>
        <v>131.86000000000001</v>
      </c>
      <c r="J44" s="3">
        <f ca="1">IFERROR(__xludf.DUMMYFUNCTION("""COMPUTED_VALUE"""),245.63)</f>
        <v>245.63</v>
      </c>
      <c r="K44" s="3">
        <f ca="1">IFERROR(__xludf.DUMMYFUNCTION("""COMPUTED_VALUE"""),124.44)</f>
        <v>124.44</v>
      </c>
      <c r="L44" s="3">
        <f ca="1">IFERROR(__xludf.DUMMYFUNCTION("""COMPUTED_VALUE"""),86.65)</f>
        <v>86.65</v>
      </c>
      <c r="M44" s="3">
        <f ca="1">IFERROR(__xludf.DUMMYFUNCTION("""COMPUTED_VALUE"""),59.3)</f>
        <v>59.3</v>
      </c>
      <c r="N44" s="3">
        <f ca="1">IFERROR(__xludf.DUMMYFUNCTION("""COMPUTED_VALUE"""),63.31)</f>
        <v>63.31</v>
      </c>
      <c r="O44" s="3">
        <f ca="1">IFERROR(__xludf.DUMMYFUNCTION("""COMPUTED_VALUE"""),59.36)</f>
        <v>59.36</v>
      </c>
      <c r="P44" s="3">
        <f ca="1">IFERROR(__xludf.DUMMYFUNCTION("""COMPUTED_VALUE"""),73.12)</f>
        <v>73.12</v>
      </c>
      <c r="Q44" s="3">
        <f ca="1">IFERROR(__xludf.DUMMYFUNCTION("""COMPUTED_VALUE"""),101.53)</f>
        <v>101.53</v>
      </c>
      <c r="R44" s="3">
        <f ca="1">IFERROR(__xludf.DUMMYFUNCTION("""COMPUTED_VALUE"""),83.35)</f>
        <v>83.35</v>
      </c>
      <c r="S44" s="3">
        <f ca="1">IFERROR(__xludf.DUMMYFUNCTION("""COMPUTED_VALUE"""),57.78)</f>
        <v>57.78</v>
      </c>
      <c r="T44" s="3">
        <f ca="1">IFERROR(__xludf.DUMMYFUNCTION("""COMPUTED_VALUE"""),25.92)</f>
        <v>25.92</v>
      </c>
      <c r="U44" s="3">
        <f ca="1">IFERROR(__xludf.DUMMYFUNCTION("""COMPUTED_VALUE"""),74.53)</f>
        <v>74.53</v>
      </c>
      <c r="V44" s="3">
        <f ca="1">IFERROR(__xludf.DUMMYFUNCTION("""COMPUTED_VALUE"""),68.33)</f>
        <v>68.33</v>
      </c>
      <c r="W44" s="3">
        <f ca="1">IFERROR(__xludf.DUMMYFUNCTION("""COMPUTED_VALUE"""),37.94)</f>
        <v>37.94</v>
      </c>
      <c r="X44" s="3">
        <f ca="1">IFERROR(__xludf.DUMMYFUNCTION("""COMPUTED_VALUE"""),93.18)</f>
        <v>93.18</v>
      </c>
      <c r="Y44" s="3">
        <f ca="1">IFERROR(__xludf.DUMMYFUNCTION("""COMPUTED_VALUE"""),55.65)</f>
        <v>55.65</v>
      </c>
      <c r="Z44" s="3">
        <f ca="1">IFERROR(__xludf.DUMMYFUNCTION("""COMPUTED_VALUE"""),83.78)</f>
        <v>83.78</v>
      </c>
      <c r="AA44" s="3">
        <f ca="1">IFERROR(__xludf.DUMMYFUNCTION("""COMPUTED_VALUE"""),46.28)</f>
        <v>46.28</v>
      </c>
      <c r="AB44" s="3">
        <f ca="1">IFERROR(__xludf.DUMMYFUNCTION("""COMPUTED_VALUE"""),72.89)</f>
        <v>72.89</v>
      </c>
      <c r="AC44" s="3">
        <f ca="1">IFERROR(__xludf.DUMMYFUNCTION("""COMPUTED_VALUE"""),60.56)</f>
        <v>60.56</v>
      </c>
      <c r="AD44" s="3">
        <f ca="1">IFERROR(__xludf.DUMMYFUNCTION("""COMPUTED_VALUE"""),16.38)</f>
        <v>16.38</v>
      </c>
      <c r="AE44" s="3">
        <f ca="1">IFERROR(__xludf.DUMMYFUNCTION("""COMPUTED_VALUE"""),26.41)</f>
        <v>26.41</v>
      </c>
      <c r="AF44" s="3">
        <f ca="1">IFERROR(__xludf.DUMMYFUNCTION("""COMPUTED_VALUE"""),6.03)</f>
        <v>6.03</v>
      </c>
      <c r="AG44" s="3">
        <f ca="1">IFERROR(__xludf.DUMMYFUNCTION("""COMPUTED_VALUE"""),64.72)</f>
        <v>64.72</v>
      </c>
    </row>
    <row r="45" spans="1:33" ht="12.75" x14ac:dyDescent="0.2">
      <c r="A45" s="4">
        <f ca="1">IFERROR(__xludf.DUMMYFUNCTION("""COMPUTED_VALUE"""),44624.6666666666)</f>
        <v>44624.666666666599</v>
      </c>
      <c r="B45" s="3">
        <f ca="1">IFERROR(__xludf.DUMMYFUNCTION("""COMPUTED_VALUE"""),149.75)</f>
        <v>149.75</v>
      </c>
      <c r="C45" s="3">
        <f ca="1">IFERROR(__xludf.DUMMYFUNCTION("""COMPUTED_VALUE"""),390.16)</f>
        <v>390.16</v>
      </c>
      <c r="D45" s="3">
        <f ca="1">IFERROR(__xludf.DUMMYFUNCTION("""COMPUTED_VALUE"""),96.91)</f>
        <v>96.91</v>
      </c>
      <c r="E45" s="3">
        <f ca="1">IFERROR(__xludf.DUMMYFUNCTION("""COMPUTED_VALUE"""),149.79)</f>
        <v>149.79</v>
      </c>
      <c r="F45" s="3">
        <f ca="1">IFERROR(__xludf.DUMMYFUNCTION("""COMPUTED_VALUE"""),56.81)</f>
        <v>56.81</v>
      </c>
      <c r="G45" s="3">
        <f ca="1">IFERROR(__xludf.DUMMYFUNCTION("""COMPUTED_VALUE"""),28.09)</f>
        <v>28.09</v>
      </c>
      <c r="H45" s="3">
        <f ca="1">IFERROR(__xludf.DUMMYFUNCTION("""COMPUTED_VALUE"""),27.8)</f>
        <v>27.8</v>
      </c>
      <c r="I45" s="3">
        <f ca="1">IFERROR(__xludf.DUMMYFUNCTION("""COMPUTED_VALUE"""),132.52)</f>
        <v>132.52000000000001</v>
      </c>
      <c r="J45" s="3">
        <f ca="1">IFERROR(__xludf.DUMMYFUNCTION("""COMPUTED_VALUE"""),246.05)</f>
        <v>246.05</v>
      </c>
      <c r="K45" s="3">
        <f ca="1">IFERROR(__xludf.DUMMYFUNCTION("""COMPUTED_VALUE"""),122.57)</f>
        <v>122.57</v>
      </c>
      <c r="L45" s="3">
        <f ca="1">IFERROR(__xludf.DUMMYFUNCTION("""COMPUTED_VALUE"""),83.9)</f>
        <v>83.9</v>
      </c>
      <c r="M45" s="3">
        <f ca="1">IFERROR(__xludf.DUMMYFUNCTION("""COMPUTED_VALUE"""),58.31)</f>
        <v>58.31</v>
      </c>
      <c r="N45" s="3">
        <f ca="1">IFERROR(__xludf.DUMMYFUNCTION("""COMPUTED_VALUE"""),63.36)</f>
        <v>63.36</v>
      </c>
      <c r="O45" s="3">
        <f ca="1">IFERROR(__xludf.DUMMYFUNCTION("""COMPUTED_VALUE"""),57.88)</f>
        <v>57.88</v>
      </c>
      <c r="P45" s="3">
        <f ca="1">IFERROR(__xludf.DUMMYFUNCTION("""COMPUTED_VALUE"""),75.23)</f>
        <v>75.23</v>
      </c>
      <c r="Q45" s="3">
        <f ca="1">IFERROR(__xludf.DUMMYFUNCTION("""COMPUTED_VALUE"""),104.73)</f>
        <v>104.73</v>
      </c>
      <c r="R45" s="3">
        <f ca="1">IFERROR(__xludf.DUMMYFUNCTION("""COMPUTED_VALUE"""),83.06)</f>
        <v>83.06</v>
      </c>
      <c r="S45" s="3">
        <f ca="1">IFERROR(__xludf.DUMMYFUNCTION("""COMPUTED_VALUE"""),59.11)</f>
        <v>59.11</v>
      </c>
      <c r="T45" s="3">
        <f ca="1">IFERROR(__xludf.DUMMYFUNCTION("""COMPUTED_VALUE"""),27.01)</f>
        <v>27.01</v>
      </c>
      <c r="U45" s="3">
        <f ca="1">IFERROR(__xludf.DUMMYFUNCTION("""COMPUTED_VALUE"""),79.46)</f>
        <v>79.459999999999994</v>
      </c>
      <c r="V45" s="3">
        <f ca="1">IFERROR(__xludf.DUMMYFUNCTION("""COMPUTED_VALUE"""),67.96)</f>
        <v>67.959999999999994</v>
      </c>
      <c r="W45" s="3">
        <f ca="1">IFERROR(__xludf.DUMMYFUNCTION("""COMPUTED_VALUE"""),37.23)</f>
        <v>37.229999999999997</v>
      </c>
      <c r="X45" s="3">
        <f ca="1">IFERROR(__xludf.DUMMYFUNCTION("""COMPUTED_VALUE"""),91.18)</f>
        <v>91.18</v>
      </c>
      <c r="Y45" s="3">
        <f ca="1">IFERROR(__xludf.DUMMYFUNCTION("""COMPUTED_VALUE"""),53.61)</f>
        <v>53.61</v>
      </c>
      <c r="Z45" s="3">
        <f ca="1">IFERROR(__xludf.DUMMYFUNCTION("""COMPUTED_VALUE"""),82.16)</f>
        <v>82.16</v>
      </c>
      <c r="AA45" s="3">
        <f ca="1">IFERROR(__xludf.DUMMYFUNCTION("""COMPUTED_VALUE"""),46.67)</f>
        <v>46.67</v>
      </c>
      <c r="AB45" s="3">
        <f ca="1">IFERROR(__xludf.DUMMYFUNCTION("""COMPUTED_VALUE"""),70.03)</f>
        <v>70.03</v>
      </c>
      <c r="AC45" s="3">
        <f ca="1">IFERROR(__xludf.DUMMYFUNCTION("""COMPUTED_VALUE"""),58.9)</f>
        <v>58.9</v>
      </c>
      <c r="AD45" s="3">
        <f ca="1">IFERROR(__xludf.DUMMYFUNCTION("""COMPUTED_VALUE"""),15.37)</f>
        <v>15.37</v>
      </c>
      <c r="AE45" s="3">
        <f ca="1">IFERROR(__xludf.DUMMYFUNCTION("""COMPUTED_VALUE"""),24.78)</f>
        <v>24.78</v>
      </c>
      <c r="AF45" s="3">
        <f ca="1">IFERROR(__xludf.DUMMYFUNCTION("""COMPUTED_VALUE"""),5.56)</f>
        <v>5.56</v>
      </c>
      <c r="AG45" s="3">
        <f ca="1">IFERROR(__xludf.DUMMYFUNCTION("""COMPUTED_VALUE"""),59.72)</f>
        <v>59.72</v>
      </c>
    </row>
    <row r="46" spans="1:33" ht="12.75" x14ac:dyDescent="0.2">
      <c r="A46" s="4">
        <f ca="1">IFERROR(__xludf.DUMMYFUNCTION("""COMPUTED_VALUE"""),44627.6666666666)</f>
        <v>44627.666666666599</v>
      </c>
      <c r="B46" s="3">
        <f ca="1">IFERROR(__xludf.DUMMYFUNCTION("""COMPUTED_VALUE"""),144.27)</f>
        <v>144.27000000000001</v>
      </c>
      <c r="C46" s="3">
        <f ca="1">IFERROR(__xludf.DUMMYFUNCTION("""COMPUTED_VALUE"""),375.53)</f>
        <v>375.53</v>
      </c>
      <c r="D46" s="3">
        <f ca="1">IFERROR(__xludf.DUMMYFUNCTION("""COMPUTED_VALUE"""),93.02)</f>
        <v>93.02</v>
      </c>
      <c r="E46" s="3">
        <f ca="1">IFERROR(__xludf.DUMMYFUNCTION("""COMPUTED_VALUE"""),142.27)</f>
        <v>142.27000000000001</v>
      </c>
      <c r="F46" s="3">
        <f ca="1">IFERROR(__xludf.DUMMYFUNCTION("""COMPUTED_VALUE"""),55.54)</f>
        <v>55.54</v>
      </c>
      <c r="G46" s="3">
        <f ca="1">IFERROR(__xludf.DUMMYFUNCTION("""COMPUTED_VALUE"""),26.62)</f>
        <v>26.62</v>
      </c>
      <c r="H46" s="3">
        <f ca="1">IFERROR(__xludf.DUMMYFUNCTION("""COMPUTED_VALUE"""),26.75)</f>
        <v>26.75</v>
      </c>
      <c r="I46" s="3">
        <f ca="1">IFERROR(__xludf.DUMMYFUNCTION("""COMPUTED_VALUE"""),130.21)</f>
        <v>130.21</v>
      </c>
      <c r="J46" s="3">
        <f ca="1">IFERROR(__xludf.DUMMYFUNCTION("""COMPUTED_VALUE"""),241.88)</f>
        <v>241.88</v>
      </c>
      <c r="K46" s="3">
        <f ca="1">IFERROR(__xludf.DUMMYFUNCTION("""COMPUTED_VALUE"""),120.62)</f>
        <v>120.62</v>
      </c>
      <c r="L46" s="3">
        <f ca="1">IFERROR(__xludf.DUMMYFUNCTION("""COMPUTED_VALUE"""),83.76)</f>
        <v>83.76</v>
      </c>
      <c r="M46" s="3">
        <f ca="1">IFERROR(__xludf.DUMMYFUNCTION("""COMPUTED_VALUE"""),57.53)</f>
        <v>57.53</v>
      </c>
      <c r="N46" s="3">
        <f ca="1">IFERROR(__xludf.DUMMYFUNCTION("""COMPUTED_VALUE"""),62.34)</f>
        <v>62.34</v>
      </c>
      <c r="O46" s="3">
        <f ca="1">IFERROR(__xludf.DUMMYFUNCTION("""COMPUTED_VALUE"""),56.64)</f>
        <v>56.64</v>
      </c>
      <c r="P46" s="3">
        <f ca="1">IFERROR(__xludf.DUMMYFUNCTION("""COMPUTED_VALUE"""),76.34)</f>
        <v>76.34</v>
      </c>
      <c r="Q46" s="3">
        <f ca="1">IFERROR(__xludf.DUMMYFUNCTION("""COMPUTED_VALUE"""),106.38)</f>
        <v>106.38</v>
      </c>
      <c r="R46" s="3">
        <f ca="1">IFERROR(__xludf.DUMMYFUNCTION("""COMPUTED_VALUE"""),80.18)</f>
        <v>80.180000000000007</v>
      </c>
      <c r="S46" s="3">
        <f ca="1">IFERROR(__xludf.DUMMYFUNCTION("""COMPUTED_VALUE"""),57.6)</f>
        <v>57.6</v>
      </c>
      <c r="T46" s="3">
        <f ca="1">IFERROR(__xludf.DUMMYFUNCTION("""COMPUTED_VALUE"""),27.6)</f>
        <v>27.6</v>
      </c>
      <c r="U46" s="3">
        <f ca="1">IFERROR(__xludf.DUMMYFUNCTION("""COMPUTED_VALUE"""),82.37)</f>
        <v>82.37</v>
      </c>
      <c r="V46" s="3">
        <f ca="1">IFERROR(__xludf.DUMMYFUNCTION("""COMPUTED_VALUE"""),69.99)</f>
        <v>69.989999999999995</v>
      </c>
      <c r="W46" s="3">
        <f ca="1">IFERROR(__xludf.DUMMYFUNCTION("""COMPUTED_VALUE"""),35.87)</f>
        <v>35.869999999999997</v>
      </c>
      <c r="X46" s="3">
        <f ca="1">IFERROR(__xludf.DUMMYFUNCTION("""COMPUTED_VALUE"""),87.58)</f>
        <v>87.58</v>
      </c>
      <c r="Y46" s="3">
        <f ca="1">IFERROR(__xludf.DUMMYFUNCTION("""COMPUTED_VALUE"""),51.35)</f>
        <v>51.35</v>
      </c>
      <c r="Z46" s="3">
        <f ca="1">IFERROR(__xludf.DUMMYFUNCTION("""COMPUTED_VALUE"""),78.96)</f>
        <v>78.959999999999994</v>
      </c>
      <c r="AA46" s="3">
        <f ca="1">IFERROR(__xludf.DUMMYFUNCTION("""COMPUTED_VALUE"""),45.82)</f>
        <v>45.82</v>
      </c>
      <c r="AB46" s="3">
        <f ca="1">IFERROR(__xludf.DUMMYFUNCTION("""COMPUTED_VALUE"""),67.01)</f>
        <v>67.010000000000005</v>
      </c>
      <c r="AC46" s="3">
        <f ca="1">IFERROR(__xludf.DUMMYFUNCTION("""COMPUTED_VALUE"""),55.98)</f>
        <v>55.98</v>
      </c>
      <c r="AD46" s="3">
        <f ca="1">IFERROR(__xludf.DUMMYFUNCTION("""COMPUTED_VALUE"""),14.6)</f>
        <v>14.6</v>
      </c>
      <c r="AE46" s="3">
        <f ca="1">IFERROR(__xludf.DUMMYFUNCTION("""COMPUTED_VALUE"""),23.56)</f>
        <v>23.56</v>
      </c>
      <c r="AF46" s="3">
        <f ca="1">IFERROR(__xludf.DUMMYFUNCTION("""COMPUTED_VALUE"""),5.03)</f>
        <v>5.03</v>
      </c>
      <c r="AG46" s="3">
        <f ca="1">IFERROR(__xludf.DUMMYFUNCTION("""COMPUTED_VALUE"""),56.72)</f>
        <v>56.72</v>
      </c>
    </row>
    <row r="47" spans="1:33" ht="12.75" x14ac:dyDescent="0.2">
      <c r="A47" s="4">
        <f ca="1">IFERROR(__xludf.DUMMYFUNCTION("""COMPUTED_VALUE"""),44628.6666666666)</f>
        <v>44628.666666666599</v>
      </c>
      <c r="B47" s="3">
        <f ca="1">IFERROR(__xludf.DUMMYFUNCTION("""COMPUTED_VALUE"""),143.57)</f>
        <v>143.57</v>
      </c>
      <c r="C47" s="3">
        <f ca="1">IFERROR(__xludf.DUMMYFUNCTION("""COMPUTED_VALUE"""),373.68)</f>
        <v>373.68</v>
      </c>
      <c r="D47" s="3">
        <f ca="1">IFERROR(__xludf.DUMMYFUNCTION("""COMPUTED_VALUE"""),92.75)</f>
        <v>92.75</v>
      </c>
      <c r="E47" s="3">
        <f ca="1">IFERROR(__xludf.DUMMYFUNCTION("""COMPUTED_VALUE"""),145)</f>
        <v>145</v>
      </c>
      <c r="F47" s="3">
        <f ca="1">IFERROR(__xludf.DUMMYFUNCTION("""COMPUTED_VALUE"""),54.84)</f>
        <v>54.84</v>
      </c>
      <c r="G47" s="3">
        <f ca="1">IFERROR(__xludf.DUMMYFUNCTION("""COMPUTED_VALUE"""),26.71)</f>
        <v>26.71</v>
      </c>
      <c r="H47" s="3">
        <f ca="1">IFERROR(__xludf.DUMMYFUNCTION("""COMPUTED_VALUE"""),26.8)</f>
        <v>26.8</v>
      </c>
      <c r="I47" s="3">
        <f ca="1">IFERROR(__xludf.DUMMYFUNCTION("""COMPUTED_VALUE"""),127.55)</f>
        <v>127.55</v>
      </c>
      <c r="J47" s="3">
        <f ca="1">IFERROR(__xludf.DUMMYFUNCTION("""COMPUTED_VALUE"""),237.22)</f>
        <v>237.22</v>
      </c>
      <c r="K47" s="3">
        <f ca="1">IFERROR(__xludf.DUMMYFUNCTION("""COMPUTED_VALUE"""),120.32)</f>
        <v>120.32</v>
      </c>
      <c r="L47" s="3">
        <f ca="1">IFERROR(__xludf.DUMMYFUNCTION("""COMPUTED_VALUE"""),84.32)</f>
        <v>84.32</v>
      </c>
      <c r="M47" s="3">
        <f ca="1">IFERROR(__xludf.DUMMYFUNCTION("""COMPUTED_VALUE"""),57.37)</f>
        <v>57.37</v>
      </c>
      <c r="N47" s="3">
        <f ca="1">IFERROR(__xludf.DUMMYFUNCTION("""COMPUTED_VALUE"""),61.19)</f>
        <v>61.19</v>
      </c>
      <c r="O47" s="3">
        <f ca="1">IFERROR(__xludf.DUMMYFUNCTION("""COMPUTED_VALUE"""),57.44)</f>
        <v>57.44</v>
      </c>
      <c r="P47" s="3">
        <f ca="1">IFERROR(__xludf.DUMMYFUNCTION("""COMPUTED_VALUE"""),77.54)</f>
        <v>77.540000000000006</v>
      </c>
      <c r="Q47" s="3">
        <f ca="1">IFERROR(__xludf.DUMMYFUNCTION("""COMPUTED_VALUE"""),107.46)</f>
        <v>107.46</v>
      </c>
      <c r="R47" s="3">
        <f ca="1">IFERROR(__xludf.DUMMYFUNCTION("""COMPUTED_VALUE"""),79.77)</f>
        <v>79.77</v>
      </c>
      <c r="S47" s="3">
        <f ca="1">IFERROR(__xludf.DUMMYFUNCTION("""COMPUTED_VALUE"""),57.08)</f>
        <v>57.08</v>
      </c>
      <c r="T47" s="3">
        <f ca="1">IFERROR(__xludf.DUMMYFUNCTION("""COMPUTED_VALUE"""),28.07)</f>
        <v>28.07</v>
      </c>
      <c r="U47" s="3">
        <f ca="1">IFERROR(__xludf.DUMMYFUNCTION("""COMPUTED_VALUE"""),85.43)</f>
        <v>85.43</v>
      </c>
      <c r="V47" s="3">
        <f ca="1">IFERROR(__xludf.DUMMYFUNCTION("""COMPUTED_VALUE"""),76.51)</f>
        <v>76.510000000000005</v>
      </c>
      <c r="W47" s="3">
        <f ca="1">IFERROR(__xludf.DUMMYFUNCTION("""COMPUTED_VALUE"""),35.66)</f>
        <v>35.659999999999997</v>
      </c>
      <c r="X47" s="3">
        <f ca="1">IFERROR(__xludf.DUMMYFUNCTION("""COMPUTED_VALUE"""),87.26)</f>
        <v>87.26</v>
      </c>
      <c r="Y47" s="3">
        <f ca="1">IFERROR(__xludf.DUMMYFUNCTION("""COMPUTED_VALUE"""),51.63)</f>
        <v>51.63</v>
      </c>
      <c r="Z47" s="3">
        <f ca="1">IFERROR(__xludf.DUMMYFUNCTION("""COMPUTED_VALUE"""),78.62)</f>
        <v>78.62</v>
      </c>
      <c r="AA47" s="3">
        <f ca="1">IFERROR(__xludf.DUMMYFUNCTION("""COMPUTED_VALUE"""),45.41)</f>
        <v>45.41</v>
      </c>
      <c r="AB47" s="3">
        <f ca="1">IFERROR(__xludf.DUMMYFUNCTION("""COMPUTED_VALUE"""),67.55)</f>
        <v>67.55</v>
      </c>
      <c r="AC47" s="3">
        <f ca="1">IFERROR(__xludf.DUMMYFUNCTION("""COMPUTED_VALUE"""),56.03)</f>
        <v>56.03</v>
      </c>
      <c r="AD47" s="3">
        <f ca="1">IFERROR(__xludf.DUMMYFUNCTION("""COMPUTED_VALUE"""),14.97)</f>
        <v>14.97</v>
      </c>
      <c r="AE47" s="3">
        <f ca="1">IFERROR(__xludf.DUMMYFUNCTION("""COMPUTED_VALUE"""),24.15)</f>
        <v>24.15</v>
      </c>
      <c r="AF47" s="3">
        <f ca="1">IFERROR(__xludf.DUMMYFUNCTION("""COMPUTED_VALUE"""),5.1)</f>
        <v>5.0999999999999996</v>
      </c>
      <c r="AG47" s="3">
        <f ca="1">IFERROR(__xludf.DUMMYFUNCTION("""COMPUTED_VALUE"""),57.8)</f>
        <v>57.8</v>
      </c>
    </row>
    <row r="48" spans="1:33" ht="12.75" x14ac:dyDescent="0.2">
      <c r="A48" s="4">
        <f ca="1">IFERROR(__xludf.DUMMYFUNCTION("""COMPUTED_VALUE"""),44629.6666666666)</f>
        <v>44629.666666666599</v>
      </c>
      <c r="B48" s="3">
        <f ca="1">IFERROR(__xludf.DUMMYFUNCTION("""COMPUTED_VALUE"""),149.25)</f>
        <v>149.25</v>
      </c>
      <c r="C48" s="3">
        <f ca="1">IFERROR(__xludf.DUMMYFUNCTION("""COMPUTED_VALUE"""),389.61)</f>
        <v>389.61</v>
      </c>
      <c r="D48" s="3">
        <f ca="1">IFERROR(__xludf.DUMMYFUNCTION("""COMPUTED_VALUE"""),96.82)</f>
        <v>96.82</v>
      </c>
      <c r="E48" s="3">
        <f ca="1">IFERROR(__xludf.DUMMYFUNCTION("""COMPUTED_VALUE"""),151.08)</f>
        <v>151.08000000000001</v>
      </c>
      <c r="F48" s="3">
        <f ca="1">IFERROR(__xludf.DUMMYFUNCTION("""COMPUTED_VALUE"""),56.22)</f>
        <v>56.22</v>
      </c>
      <c r="G48" s="3">
        <f ca="1">IFERROR(__xludf.DUMMYFUNCTION("""COMPUTED_VALUE"""),27.81)</f>
        <v>27.81</v>
      </c>
      <c r="H48" s="3">
        <f ca="1">IFERROR(__xludf.DUMMYFUNCTION("""COMPUTED_VALUE"""),27.74)</f>
        <v>27.74</v>
      </c>
      <c r="I48" s="3">
        <f ca="1">IFERROR(__xludf.DUMMYFUNCTION("""COMPUTED_VALUE"""),129.96)</f>
        <v>129.96</v>
      </c>
      <c r="J48" s="3">
        <f ca="1">IFERROR(__xludf.DUMMYFUNCTION("""COMPUTED_VALUE"""),242.19)</f>
        <v>242.19</v>
      </c>
      <c r="K48" s="3">
        <f ca="1">IFERROR(__xludf.DUMMYFUNCTION("""COMPUTED_VALUE"""),124.26)</f>
        <v>124.26</v>
      </c>
      <c r="L48" s="3">
        <f ca="1">IFERROR(__xludf.DUMMYFUNCTION("""COMPUTED_VALUE"""),88.44)</f>
        <v>88.44</v>
      </c>
      <c r="M48" s="3">
        <f ca="1">IFERROR(__xludf.DUMMYFUNCTION("""COMPUTED_VALUE"""),59.1)</f>
        <v>59.1</v>
      </c>
      <c r="N48" s="3">
        <f ca="1">IFERROR(__xludf.DUMMYFUNCTION("""COMPUTED_VALUE"""),62.43)</f>
        <v>62.43</v>
      </c>
      <c r="O48" s="3">
        <f ca="1">IFERROR(__xludf.DUMMYFUNCTION("""COMPUTED_VALUE"""),59.24)</f>
        <v>59.24</v>
      </c>
      <c r="P48" s="3">
        <f ca="1">IFERROR(__xludf.DUMMYFUNCTION("""COMPUTED_VALUE"""),75.17)</f>
        <v>75.17</v>
      </c>
      <c r="Q48" s="3">
        <f ca="1">IFERROR(__xludf.DUMMYFUNCTION("""COMPUTED_VALUE"""),104.56)</f>
        <v>104.56</v>
      </c>
      <c r="R48" s="3">
        <f ca="1">IFERROR(__xludf.DUMMYFUNCTION("""COMPUTED_VALUE"""),82.24)</f>
        <v>82.24</v>
      </c>
      <c r="S48" s="3">
        <f ca="1">IFERROR(__xludf.DUMMYFUNCTION("""COMPUTED_VALUE"""),57.08)</f>
        <v>57.08</v>
      </c>
      <c r="T48" s="3">
        <f ca="1">IFERROR(__xludf.DUMMYFUNCTION("""COMPUTED_VALUE"""),25.84)</f>
        <v>25.84</v>
      </c>
      <c r="U48" s="3">
        <f ca="1">IFERROR(__xludf.DUMMYFUNCTION("""COMPUTED_VALUE"""),75.47)</f>
        <v>75.47</v>
      </c>
      <c r="V48" s="3">
        <f ca="1">IFERROR(__xludf.DUMMYFUNCTION("""COMPUTED_VALUE"""),76.82)</f>
        <v>76.819999999999993</v>
      </c>
      <c r="W48" s="3">
        <f ca="1">IFERROR(__xludf.DUMMYFUNCTION("""COMPUTED_VALUE"""),36.97)</f>
        <v>36.97</v>
      </c>
      <c r="X48" s="3">
        <f ca="1">IFERROR(__xludf.DUMMYFUNCTION("""COMPUTED_VALUE"""),90.47)</f>
        <v>90.47</v>
      </c>
      <c r="Y48" s="3">
        <f ca="1">IFERROR(__xludf.DUMMYFUNCTION("""COMPUTED_VALUE"""),53.43)</f>
        <v>53.43</v>
      </c>
      <c r="Z48" s="3">
        <f ca="1">IFERROR(__xludf.DUMMYFUNCTION("""COMPUTED_VALUE"""),81.49)</f>
        <v>81.489999999999995</v>
      </c>
      <c r="AA48" s="3">
        <f ca="1">IFERROR(__xludf.DUMMYFUNCTION("""COMPUTED_VALUE"""),46.17)</f>
        <v>46.17</v>
      </c>
      <c r="AB48" s="3">
        <f ca="1">IFERROR(__xludf.DUMMYFUNCTION("""COMPUTED_VALUE"""),69.95)</f>
        <v>69.95</v>
      </c>
      <c r="AC48" s="3">
        <f ca="1">IFERROR(__xludf.DUMMYFUNCTION("""COMPUTED_VALUE"""),58.39)</f>
        <v>58.39</v>
      </c>
      <c r="AD48" s="3">
        <f ca="1">IFERROR(__xludf.DUMMYFUNCTION("""COMPUTED_VALUE"""),16.32)</f>
        <v>16.32</v>
      </c>
      <c r="AE48" s="3">
        <f ca="1">IFERROR(__xludf.DUMMYFUNCTION("""COMPUTED_VALUE"""),26.32)</f>
        <v>26.32</v>
      </c>
      <c r="AF48" s="3">
        <f ca="1">IFERROR(__xludf.DUMMYFUNCTION("""COMPUTED_VALUE"""),5.41)</f>
        <v>5.41</v>
      </c>
      <c r="AG48" s="3">
        <f ca="1">IFERROR(__xludf.DUMMYFUNCTION("""COMPUTED_VALUE"""),62.96)</f>
        <v>62.96</v>
      </c>
    </row>
    <row r="49" spans="1:33" ht="12.75" x14ac:dyDescent="0.2">
      <c r="A49" s="4">
        <f ca="1">IFERROR(__xludf.DUMMYFUNCTION("""COMPUTED_VALUE"""),44630.6666666666)</f>
        <v>44630.666666666599</v>
      </c>
      <c r="B49" s="3">
        <f ca="1">IFERROR(__xludf.DUMMYFUNCTION("""COMPUTED_VALUE"""),146.64)</f>
        <v>146.63999999999999</v>
      </c>
      <c r="C49" s="3">
        <f ca="1">IFERROR(__xludf.DUMMYFUNCTION("""COMPUTED_VALUE"""),382.88)</f>
        <v>382.88</v>
      </c>
      <c r="D49" s="3">
        <f ca="1">IFERROR(__xludf.DUMMYFUNCTION("""COMPUTED_VALUE"""),95.2)</f>
        <v>95.2</v>
      </c>
      <c r="E49" s="3">
        <f ca="1">IFERROR(__xludf.DUMMYFUNCTION("""COMPUTED_VALUE"""),147.98)</f>
        <v>147.97999999999999</v>
      </c>
      <c r="F49" s="3">
        <f ca="1">IFERROR(__xludf.DUMMYFUNCTION("""COMPUTED_VALUE"""),55.86)</f>
        <v>55.86</v>
      </c>
      <c r="G49" s="3">
        <f ca="1">IFERROR(__xludf.DUMMYFUNCTION("""COMPUTED_VALUE"""),27.33)</f>
        <v>27.33</v>
      </c>
      <c r="H49" s="3">
        <f ca="1">IFERROR(__xludf.DUMMYFUNCTION("""COMPUTED_VALUE"""),27.37)</f>
        <v>27.37</v>
      </c>
      <c r="I49" s="3">
        <f ca="1">IFERROR(__xludf.DUMMYFUNCTION("""COMPUTED_VALUE"""),129.91)</f>
        <v>129.91</v>
      </c>
      <c r="J49" s="3">
        <f ca="1">IFERROR(__xludf.DUMMYFUNCTION("""COMPUTED_VALUE"""),241.97)</f>
        <v>241.97</v>
      </c>
      <c r="K49" s="3">
        <f ca="1">IFERROR(__xludf.DUMMYFUNCTION("""COMPUTED_VALUE"""),123)</f>
        <v>123</v>
      </c>
      <c r="L49" s="3">
        <f ca="1">IFERROR(__xludf.DUMMYFUNCTION("""COMPUTED_VALUE"""),87.98)</f>
        <v>87.98</v>
      </c>
      <c r="M49" s="3">
        <f ca="1">IFERROR(__xludf.DUMMYFUNCTION("""COMPUTED_VALUE"""),58.63)</f>
        <v>58.63</v>
      </c>
      <c r="N49" s="3">
        <f ca="1">IFERROR(__xludf.DUMMYFUNCTION("""COMPUTED_VALUE"""),62.39)</f>
        <v>62.39</v>
      </c>
      <c r="O49" s="3">
        <f ca="1">IFERROR(__xludf.DUMMYFUNCTION("""COMPUTED_VALUE"""),58.4)</f>
        <v>58.4</v>
      </c>
      <c r="P49" s="3">
        <f ca="1">IFERROR(__xludf.DUMMYFUNCTION("""COMPUTED_VALUE"""),77.47)</f>
        <v>77.47</v>
      </c>
      <c r="Q49" s="3">
        <f ca="1">IFERROR(__xludf.DUMMYFUNCTION("""COMPUTED_VALUE"""),107.62)</f>
        <v>107.62</v>
      </c>
      <c r="R49" s="3">
        <f ca="1">IFERROR(__xludf.DUMMYFUNCTION("""COMPUTED_VALUE"""),82.46)</f>
        <v>82.46</v>
      </c>
      <c r="S49" s="3">
        <f ca="1">IFERROR(__xludf.DUMMYFUNCTION("""COMPUTED_VALUE"""),59.69)</f>
        <v>59.69</v>
      </c>
      <c r="T49" s="3">
        <f ca="1">IFERROR(__xludf.DUMMYFUNCTION("""COMPUTED_VALUE"""),25.53)</f>
        <v>25.53</v>
      </c>
      <c r="U49" s="3">
        <f ca="1">IFERROR(__xludf.DUMMYFUNCTION("""COMPUTED_VALUE"""),74.06)</f>
        <v>74.06</v>
      </c>
      <c r="V49" s="3">
        <f ca="1">IFERROR(__xludf.DUMMYFUNCTION("""COMPUTED_VALUE"""),75)</f>
        <v>75</v>
      </c>
      <c r="W49" s="3">
        <f ca="1">IFERROR(__xludf.DUMMYFUNCTION("""COMPUTED_VALUE"""),36.66)</f>
        <v>36.659999999999997</v>
      </c>
      <c r="X49" s="3">
        <f ca="1">IFERROR(__xludf.DUMMYFUNCTION("""COMPUTED_VALUE"""),89.83)</f>
        <v>89.83</v>
      </c>
      <c r="Y49" s="3">
        <f ca="1">IFERROR(__xludf.DUMMYFUNCTION("""COMPUTED_VALUE"""),53.24)</f>
        <v>53.24</v>
      </c>
      <c r="Z49" s="3">
        <f ca="1">IFERROR(__xludf.DUMMYFUNCTION("""COMPUTED_VALUE"""),80.85)</f>
        <v>80.849999999999994</v>
      </c>
      <c r="AA49" s="3">
        <f ca="1">IFERROR(__xludf.DUMMYFUNCTION("""COMPUTED_VALUE"""),46.33)</f>
        <v>46.33</v>
      </c>
      <c r="AB49" s="3">
        <f ca="1">IFERROR(__xludf.DUMMYFUNCTION("""COMPUTED_VALUE"""),70)</f>
        <v>70</v>
      </c>
      <c r="AC49" s="3">
        <f ca="1">IFERROR(__xludf.DUMMYFUNCTION("""COMPUTED_VALUE"""),57.83)</f>
        <v>57.83</v>
      </c>
      <c r="AD49" s="3">
        <f ca="1">IFERROR(__xludf.DUMMYFUNCTION("""COMPUTED_VALUE"""),15.41)</f>
        <v>15.41</v>
      </c>
      <c r="AE49" s="3">
        <f ca="1">IFERROR(__xludf.DUMMYFUNCTION("""COMPUTED_VALUE"""),24.86)</f>
        <v>24.86</v>
      </c>
      <c r="AF49" s="3">
        <f ca="1">IFERROR(__xludf.DUMMYFUNCTION("""COMPUTED_VALUE"""),5.45)</f>
        <v>5.45</v>
      </c>
      <c r="AG49" s="3">
        <f ca="1">IFERROR(__xludf.DUMMYFUNCTION("""COMPUTED_VALUE"""),61.84)</f>
        <v>61.84</v>
      </c>
    </row>
    <row r="50" spans="1:33" ht="12.75" x14ac:dyDescent="0.2">
      <c r="A50" s="4">
        <f ca="1">IFERROR(__xludf.DUMMYFUNCTION("""COMPUTED_VALUE"""),44631.6666666666)</f>
        <v>44631.666666666599</v>
      </c>
      <c r="B50" s="3">
        <f ca="1">IFERROR(__xludf.DUMMYFUNCTION("""COMPUTED_VALUE"""),144.06)</f>
        <v>144.06</v>
      </c>
      <c r="C50" s="3">
        <f ca="1">IFERROR(__xludf.DUMMYFUNCTION("""COMPUTED_VALUE"""),374.92)</f>
        <v>374.92</v>
      </c>
      <c r="D50" s="3">
        <f ca="1">IFERROR(__xludf.DUMMYFUNCTION("""COMPUTED_VALUE"""),93.08)</f>
        <v>93.08</v>
      </c>
      <c r="E50" s="3">
        <f ca="1">IFERROR(__xludf.DUMMYFUNCTION("""COMPUTED_VALUE"""),144.8)</f>
        <v>144.80000000000001</v>
      </c>
      <c r="F50" s="3">
        <f ca="1">IFERROR(__xludf.DUMMYFUNCTION("""COMPUTED_VALUE"""),54.62)</f>
        <v>54.62</v>
      </c>
      <c r="G50" s="3">
        <f ca="1">IFERROR(__xludf.DUMMYFUNCTION("""COMPUTED_VALUE"""),26.53)</f>
        <v>26.53</v>
      </c>
      <c r="H50" s="3">
        <f ca="1">IFERROR(__xludf.DUMMYFUNCTION("""COMPUTED_VALUE"""),26.66)</f>
        <v>26.66</v>
      </c>
      <c r="I50" s="3">
        <f ca="1">IFERROR(__xludf.DUMMYFUNCTION("""COMPUTED_VALUE"""),128.94)</f>
        <v>128.94</v>
      </c>
      <c r="J50" s="3">
        <f ca="1">IFERROR(__xludf.DUMMYFUNCTION("""COMPUTED_VALUE"""),239.18)</f>
        <v>239.18</v>
      </c>
      <c r="K50" s="3">
        <f ca="1">IFERROR(__xludf.DUMMYFUNCTION("""COMPUTED_VALUE"""),120.65)</f>
        <v>120.65</v>
      </c>
      <c r="L50" s="3">
        <f ca="1">IFERROR(__xludf.DUMMYFUNCTION("""COMPUTED_VALUE"""),84.61)</f>
        <v>84.61</v>
      </c>
      <c r="M50" s="3">
        <f ca="1">IFERROR(__xludf.DUMMYFUNCTION("""COMPUTED_VALUE"""),57.56)</f>
        <v>57.56</v>
      </c>
      <c r="N50" s="3">
        <f ca="1">IFERROR(__xludf.DUMMYFUNCTION("""COMPUTED_VALUE"""),61.73)</f>
        <v>61.73</v>
      </c>
      <c r="O50" s="3">
        <f ca="1">IFERROR(__xludf.DUMMYFUNCTION("""COMPUTED_VALUE"""),56.04)</f>
        <v>56.04</v>
      </c>
      <c r="P50" s="3">
        <f ca="1">IFERROR(__xludf.DUMMYFUNCTION("""COMPUTED_VALUE"""),76.85)</f>
        <v>76.849999999999994</v>
      </c>
      <c r="Q50" s="3">
        <f ca="1">IFERROR(__xludf.DUMMYFUNCTION("""COMPUTED_VALUE"""),106.63)</f>
        <v>106.63</v>
      </c>
      <c r="R50" s="3">
        <f ca="1">IFERROR(__xludf.DUMMYFUNCTION("""COMPUTED_VALUE"""),81.85)</f>
        <v>81.849999999999994</v>
      </c>
      <c r="S50" s="3">
        <f ca="1">IFERROR(__xludf.DUMMYFUNCTION("""COMPUTED_VALUE"""),58.31)</f>
        <v>58.31</v>
      </c>
      <c r="T50" s="3">
        <f ca="1">IFERROR(__xludf.DUMMYFUNCTION("""COMPUTED_VALUE"""),25.97)</f>
        <v>25.97</v>
      </c>
      <c r="U50" s="3">
        <f ca="1">IFERROR(__xludf.DUMMYFUNCTION("""COMPUTED_VALUE"""),76.4)</f>
        <v>76.400000000000006</v>
      </c>
      <c r="V50" s="3">
        <f ca="1">IFERROR(__xludf.DUMMYFUNCTION("""COMPUTED_VALUE"""),73.63)</f>
        <v>73.63</v>
      </c>
      <c r="W50" s="3">
        <f ca="1">IFERROR(__xludf.DUMMYFUNCTION("""COMPUTED_VALUE"""),36.4)</f>
        <v>36.4</v>
      </c>
      <c r="X50" s="3">
        <f ca="1">IFERROR(__xludf.DUMMYFUNCTION("""COMPUTED_VALUE"""),89.22)</f>
        <v>89.22</v>
      </c>
      <c r="Y50" s="3">
        <f ca="1">IFERROR(__xludf.DUMMYFUNCTION("""COMPUTED_VALUE"""),53.18)</f>
        <v>53.18</v>
      </c>
      <c r="Z50" s="3">
        <f ca="1">IFERROR(__xludf.DUMMYFUNCTION("""COMPUTED_VALUE"""),80.31)</f>
        <v>80.31</v>
      </c>
      <c r="AA50" s="3">
        <f ca="1">IFERROR(__xludf.DUMMYFUNCTION("""COMPUTED_VALUE"""),45.87)</f>
        <v>45.87</v>
      </c>
      <c r="AB50" s="3">
        <f ca="1">IFERROR(__xludf.DUMMYFUNCTION("""COMPUTED_VALUE"""),70.02)</f>
        <v>70.02</v>
      </c>
      <c r="AC50" s="3">
        <f ca="1">IFERROR(__xludf.DUMMYFUNCTION("""COMPUTED_VALUE"""),57.26)</f>
        <v>57.26</v>
      </c>
      <c r="AD50" s="3">
        <f ca="1">IFERROR(__xludf.DUMMYFUNCTION("""COMPUTED_VALUE"""),14.9)</f>
        <v>14.9</v>
      </c>
      <c r="AE50" s="3">
        <f ca="1">IFERROR(__xludf.DUMMYFUNCTION("""COMPUTED_VALUE"""),24.02)</f>
        <v>24.02</v>
      </c>
      <c r="AF50" s="3">
        <f ca="1">IFERROR(__xludf.DUMMYFUNCTION("""COMPUTED_VALUE"""),5.42)</f>
        <v>5.42</v>
      </c>
      <c r="AG50" s="3">
        <f ca="1">IFERROR(__xludf.DUMMYFUNCTION("""COMPUTED_VALUE"""),57.04)</f>
        <v>57.04</v>
      </c>
    </row>
    <row r="51" spans="1:33" ht="12.75" x14ac:dyDescent="0.2">
      <c r="A51" s="4">
        <f ca="1">IFERROR(__xludf.DUMMYFUNCTION("""COMPUTED_VALUE"""),44634.6666666666)</f>
        <v>44634.666666666599</v>
      </c>
      <c r="B51" s="3">
        <f ca="1">IFERROR(__xludf.DUMMYFUNCTION("""COMPUTED_VALUE"""),141.39)</f>
        <v>141.38999999999999</v>
      </c>
      <c r="C51" s="3">
        <f ca="1">IFERROR(__xludf.DUMMYFUNCTION("""COMPUTED_VALUE"""),366.81)</f>
        <v>366.81</v>
      </c>
      <c r="D51" s="3">
        <f ca="1">IFERROR(__xludf.DUMMYFUNCTION("""COMPUTED_VALUE"""),90.78)</f>
        <v>90.78</v>
      </c>
      <c r="E51" s="3">
        <f ca="1">IFERROR(__xludf.DUMMYFUNCTION("""COMPUTED_VALUE"""),140.11)</f>
        <v>140.11000000000001</v>
      </c>
      <c r="F51" s="3">
        <f ca="1">IFERROR(__xludf.DUMMYFUNCTION("""COMPUTED_VALUE"""),53.36)</f>
        <v>53.36</v>
      </c>
      <c r="G51" s="3">
        <f ca="1">IFERROR(__xludf.DUMMYFUNCTION("""COMPUTED_VALUE"""),26.13)</f>
        <v>26.13</v>
      </c>
      <c r="H51" s="3">
        <f ca="1">IFERROR(__xludf.DUMMYFUNCTION("""COMPUTED_VALUE"""),26.09)</f>
        <v>26.09</v>
      </c>
      <c r="I51" s="3">
        <f ca="1">IFERROR(__xludf.DUMMYFUNCTION("""COMPUTED_VALUE"""),129.85)</f>
        <v>129.85</v>
      </c>
      <c r="J51" s="3">
        <f ca="1">IFERROR(__xludf.DUMMYFUNCTION("""COMPUTED_VALUE"""),239.67)</f>
        <v>239.67</v>
      </c>
      <c r="K51" s="3">
        <f ca="1">IFERROR(__xludf.DUMMYFUNCTION("""COMPUTED_VALUE"""),119.6)</f>
        <v>119.6</v>
      </c>
      <c r="L51" s="3">
        <f ca="1">IFERROR(__xludf.DUMMYFUNCTION("""COMPUTED_VALUE"""),81.07)</f>
        <v>81.069999999999993</v>
      </c>
      <c r="M51" s="3">
        <f ca="1">IFERROR(__xludf.DUMMYFUNCTION("""COMPUTED_VALUE"""),56.84)</f>
        <v>56.84</v>
      </c>
      <c r="N51" s="3">
        <f ca="1">IFERROR(__xludf.DUMMYFUNCTION("""COMPUTED_VALUE"""),61.81)</f>
        <v>61.81</v>
      </c>
      <c r="O51" s="3">
        <f ca="1">IFERROR(__xludf.DUMMYFUNCTION("""COMPUTED_VALUE"""),53.32)</f>
        <v>53.32</v>
      </c>
      <c r="P51" s="3">
        <f ca="1">IFERROR(__xludf.DUMMYFUNCTION("""COMPUTED_VALUE"""),74.55)</f>
        <v>74.55</v>
      </c>
      <c r="Q51" s="3">
        <f ca="1">IFERROR(__xludf.DUMMYFUNCTION("""COMPUTED_VALUE"""),103.24)</f>
        <v>103.24</v>
      </c>
      <c r="R51" s="3">
        <f ca="1">IFERROR(__xludf.DUMMYFUNCTION("""COMPUTED_VALUE"""),81.73)</f>
        <v>81.73</v>
      </c>
      <c r="S51" s="3">
        <f ca="1">IFERROR(__xludf.DUMMYFUNCTION("""COMPUTED_VALUE"""),54.96)</f>
        <v>54.96</v>
      </c>
      <c r="T51" s="3">
        <f ca="1">IFERROR(__xludf.DUMMYFUNCTION("""COMPUTED_VALUE"""),25.21)</f>
        <v>25.21</v>
      </c>
      <c r="U51" s="3">
        <f ca="1">IFERROR(__xludf.DUMMYFUNCTION("""COMPUTED_VALUE"""),72.84)</f>
        <v>72.84</v>
      </c>
      <c r="V51" s="3">
        <f ca="1">IFERROR(__xludf.DUMMYFUNCTION("""COMPUTED_VALUE"""),69.1)</f>
        <v>69.099999999999994</v>
      </c>
      <c r="W51" s="3">
        <f ca="1">IFERROR(__xludf.DUMMYFUNCTION("""COMPUTED_VALUE"""),36.86)</f>
        <v>36.86</v>
      </c>
      <c r="X51" s="3">
        <f ca="1">IFERROR(__xludf.DUMMYFUNCTION("""COMPUTED_VALUE"""),90)</f>
        <v>90</v>
      </c>
      <c r="Y51" s="3">
        <f ca="1">IFERROR(__xludf.DUMMYFUNCTION("""COMPUTED_VALUE"""),53.43)</f>
        <v>53.43</v>
      </c>
      <c r="Z51" s="3">
        <f ca="1">IFERROR(__xludf.DUMMYFUNCTION("""COMPUTED_VALUE"""),81.03)</f>
        <v>81.03</v>
      </c>
      <c r="AA51" s="3">
        <f ca="1">IFERROR(__xludf.DUMMYFUNCTION("""COMPUTED_VALUE"""),45.59)</f>
        <v>45.59</v>
      </c>
      <c r="AB51" s="3">
        <f ca="1">IFERROR(__xludf.DUMMYFUNCTION("""COMPUTED_VALUE"""),70.39)</f>
        <v>70.39</v>
      </c>
      <c r="AC51" s="3">
        <f ca="1">IFERROR(__xludf.DUMMYFUNCTION("""COMPUTED_VALUE"""),57.86)</f>
        <v>57.86</v>
      </c>
      <c r="AD51" s="3">
        <f ca="1">IFERROR(__xludf.DUMMYFUNCTION("""COMPUTED_VALUE"""),15.1)</f>
        <v>15.1</v>
      </c>
      <c r="AE51" s="3">
        <f ca="1">IFERROR(__xludf.DUMMYFUNCTION("""COMPUTED_VALUE"""),24.32)</f>
        <v>24.32</v>
      </c>
      <c r="AF51" s="3">
        <f ca="1">IFERROR(__xludf.DUMMYFUNCTION("""COMPUTED_VALUE"""),5.27)</f>
        <v>5.27</v>
      </c>
      <c r="AG51" s="3">
        <f ca="1">IFERROR(__xludf.DUMMYFUNCTION("""COMPUTED_VALUE"""),53.78)</f>
        <v>53.78</v>
      </c>
    </row>
    <row r="52" spans="1:33" ht="12.75" x14ac:dyDescent="0.2">
      <c r="A52" s="4">
        <f ca="1">IFERROR(__xludf.DUMMYFUNCTION("""COMPUTED_VALUE"""),44635.6666666666)</f>
        <v>44635.666666666599</v>
      </c>
      <c r="B52" s="3">
        <f ca="1">IFERROR(__xludf.DUMMYFUNCTION("""COMPUTED_VALUE"""),146.14)</f>
        <v>146.13999999999999</v>
      </c>
      <c r="C52" s="3">
        <f ca="1">IFERROR(__xludf.DUMMYFUNCTION("""COMPUTED_VALUE"""),379.14)</f>
        <v>379.14</v>
      </c>
      <c r="D52" s="3">
        <f ca="1">IFERROR(__xludf.DUMMYFUNCTION("""COMPUTED_VALUE"""),93.68)</f>
        <v>93.68</v>
      </c>
      <c r="E52" s="3">
        <f ca="1">IFERROR(__xludf.DUMMYFUNCTION("""COMPUTED_VALUE"""),146.55)</f>
        <v>146.55000000000001</v>
      </c>
      <c r="F52" s="3">
        <f ca="1">IFERROR(__xludf.DUMMYFUNCTION("""COMPUTED_VALUE"""),54.19)</f>
        <v>54.19</v>
      </c>
      <c r="G52" s="3">
        <f ca="1">IFERROR(__xludf.DUMMYFUNCTION("""COMPUTED_VALUE"""),26.54)</f>
        <v>26.54</v>
      </c>
      <c r="H52" s="3">
        <f ca="1">IFERROR(__xludf.DUMMYFUNCTION("""COMPUTED_VALUE"""),26.76)</f>
        <v>26.76</v>
      </c>
      <c r="I52" s="3">
        <f ca="1">IFERROR(__xludf.DUMMYFUNCTION("""COMPUTED_VALUE"""),132.44)</f>
        <v>132.44</v>
      </c>
      <c r="J52" s="3">
        <f ca="1">IFERROR(__xludf.DUMMYFUNCTION("""COMPUTED_VALUE"""),244.36)</f>
        <v>244.36</v>
      </c>
      <c r="K52" s="3">
        <f ca="1">IFERROR(__xludf.DUMMYFUNCTION("""COMPUTED_VALUE"""),121.13)</f>
        <v>121.13</v>
      </c>
      <c r="L52" s="3">
        <f ca="1">IFERROR(__xludf.DUMMYFUNCTION("""COMPUTED_VALUE"""),82.26)</f>
        <v>82.26</v>
      </c>
      <c r="M52" s="3">
        <f ca="1">IFERROR(__xludf.DUMMYFUNCTION("""COMPUTED_VALUE"""),57.97)</f>
        <v>57.97</v>
      </c>
      <c r="N52" s="3">
        <f ca="1">IFERROR(__xludf.DUMMYFUNCTION("""COMPUTED_VALUE"""),63)</f>
        <v>63</v>
      </c>
      <c r="O52" s="3">
        <f ca="1">IFERROR(__xludf.DUMMYFUNCTION("""COMPUTED_VALUE"""),54.24)</f>
        <v>54.24</v>
      </c>
      <c r="P52" s="3">
        <f ca="1">IFERROR(__xludf.DUMMYFUNCTION("""COMPUTED_VALUE"""),71.82)</f>
        <v>71.819999999999993</v>
      </c>
      <c r="Q52" s="3">
        <f ca="1">IFERROR(__xludf.DUMMYFUNCTION("""COMPUTED_VALUE"""),99.76)</f>
        <v>99.76</v>
      </c>
      <c r="R52" s="3">
        <f ca="1">IFERROR(__xludf.DUMMYFUNCTION("""COMPUTED_VALUE"""),82.67)</f>
        <v>82.67</v>
      </c>
      <c r="S52" s="3">
        <f ca="1">IFERROR(__xludf.DUMMYFUNCTION("""COMPUTED_VALUE"""),55.6)</f>
        <v>55.6</v>
      </c>
      <c r="T52" s="3">
        <f ca="1">IFERROR(__xludf.DUMMYFUNCTION("""COMPUTED_VALUE"""),24.59)</f>
        <v>24.59</v>
      </c>
      <c r="U52" s="3">
        <f ca="1">IFERROR(__xludf.DUMMYFUNCTION("""COMPUTED_VALUE"""),68.63)</f>
        <v>68.63</v>
      </c>
      <c r="V52" s="3">
        <f ca="1">IFERROR(__xludf.DUMMYFUNCTION("""COMPUTED_VALUE"""),71.33)</f>
        <v>71.33</v>
      </c>
      <c r="W52" s="3">
        <f ca="1">IFERROR(__xludf.DUMMYFUNCTION("""COMPUTED_VALUE"""),37.38)</f>
        <v>37.380000000000003</v>
      </c>
      <c r="X52" s="3">
        <f ca="1">IFERROR(__xludf.DUMMYFUNCTION("""COMPUTED_VALUE"""),91.11)</f>
        <v>91.11</v>
      </c>
      <c r="Y52" s="3">
        <f ca="1">IFERROR(__xludf.DUMMYFUNCTION("""COMPUTED_VALUE"""),53.59)</f>
        <v>53.59</v>
      </c>
      <c r="Z52" s="3">
        <f ca="1">IFERROR(__xludf.DUMMYFUNCTION("""COMPUTED_VALUE"""),82.09)</f>
        <v>82.09</v>
      </c>
      <c r="AA52" s="3">
        <f ca="1">IFERROR(__xludf.DUMMYFUNCTION("""COMPUTED_VALUE"""),45.95)</f>
        <v>45.95</v>
      </c>
      <c r="AB52" s="3">
        <f ca="1">IFERROR(__xludf.DUMMYFUNCTION("""COMPUTED_VALUE"""),70.6)</f>
        <v>70.599999999999994</v>
      </c>
      <c r="AC52" s="3">
        <f ca="1">IFERROR(__xludf.DUMMYFUNCTION("""COMPUTED_VALUE"""),58.71)</f>
        <v>58.71</v>
      </c>
      <c r="AD52" s="3">
        <f ca="1">IFERROR(__xludf.DUMMYFUNCTION("""COMPUTED_VALUE"""),15.47)</f>
        <v>15.47</v>
      </c>
      <c r="AE52" s="3">
        <f ca="1">IFERROR(__xludf.DUMMYFUNCTION("""COMPUTED_VALUE"""),24.95)</f>
        <v>24.95</v>
      </c>
      <c r="AF52" s="3">
        <f ca="1">IFERROR(__xludf.DUMMYFUNCTION("""COMPUTED_VALUE"""),5.06)</f>
        <v>5.0599999999999996</v>
      </c>
      <c r="AG52" s="3">
        <f ca="1">IFERROR(__xludf.DUMMYFUNCTION("""COMPUTED_VALUE"""),55.2)</f>
        <v>55.2</v>
      </c>
    </row>
    <row r="53" spans="1:33" ht="12.75" x14ac:dyDescent="0.2">
      <c r="A53" s="4">
        <f ca="1">IFERROR(__xludf.DUMMYFUNCTION("""COMPUTED_VALUE"""),44636.6666666666)</f>
        <v>44636.666666666599</v>
      </c>
      <c r="B53" s="3">
        <f ca="1">IFERROR(__xludf.DUMMYFUNCTION("""COMPUTED_VALUE"""),150.89)</f>
        <v>150.88999999999999</v>
      </c>
      <c r="C53" s="3">
        <f ca="1">IFERROR(__xludf.DUMMYFUNCTION("""COMPUTED_VALUE"""),393.02)</f>
        <v>393.02</v>
      </c>
      <c r="D53" s="3">
        <f ca="1">IFERROR(__xludf.DUMMYFUNCTION("""COMPUTED_VALUE"""),97.28)</f>
        <v>97.28</v>
      </c>
      <c r="E53" s="3">
        <f ca="1">IFERROR(__xludf.DUMMYFUNCTION("""COMPUTED_VALUE"""),154.1)</f>
        <v>154.1</v>
      </c>
      <c r="F53" s="3">
        <f ca="1">IFERROR(__xludf.DUMMYFUNCTION("""COMPUTED_VALUE"""),55.21)</f>
        <v>55.21</v>
      </c>
      <c r="G53" s="3">
        <f ca="1">IFERROR(__xludf.DUMMYFUNCTION("""COMPUTED_VALUE"""),27.86)</f>
        <v>27.86</v>
      </c>
      <c r="H53" s="3">
        <f ca="1">IFERROR(__xludf.DUMMYFUNCTION("""COMPUTED_VALUE"""),28.05)</f>
        <v>28.05</v>
      </c>
      <c r="I53" s="3">
        <f ca="1">IFERROR(__xludf.DUMMYFUNCTION("""COMPUTED_VALUE"""),134.03)</f>
        <v>134.03</v>
      </c>
      <c r="J53" s="3">
        <f ca="1">IFERROR(__xludf.DUMMYFUNCTION("""COMPUTED_VALUE"""),248.34)</f>
        <v>248.34</v>
      </c>
      <c r="K53" s="3">
        <f ca="1">IFERROR(__xludf.DUMMYFUNCTION("""COMPUTED_VALUE"""),125.97)</f>
        <v>125.97</v>
      </c>
      <c r="L53" s="3">
        <f ca="1">IFERROR(__xludf.DUMMYFUNCTION("""COMPUTED_VALUE"""),86.19)</f>
        <v>86.19</v>
      </c>
      <c r="M53" s="3">
        <f ca="1">IFERROR(__xludf.DUMMYFUNCTION("""COMPUTED_VALUE"""),59.85)</f>
        <v>59.85</v>
      </c>
      <c r="N53" s="3">
        <f ca="1">IFERROR(__xludf.DUMMYFUNCTION("""COMPUTED_VALUE"""),64.02)</f>
        <v>64.02</v>
      </c>
      <c r="O53" s="3">
        <f ca="1">IFERROR(__xludf.DUMMYFUNCTION("""COMPUTED_VALUE"""),58.08)</f>
        <v>58.08</v>
      </c>
      <c r="P53" s="3">
        <f ca="1">IFERROR(__xludf.DUMMYFUNCTION("""COMPUTED_VALUE"""),71.49)</f>
        <v>71.489999999999995</v>
      </c>
      <c r="Q53" s="3">
        <f ca="1">IFERROR(__xludf.DUMMYFUNCTION("""COMPUTED_VALUE"""),99.48)</f>
        <v>99.48</v>
      </c>
      <c r="R53" s="3">
        <f ca="1">IFERROR(__xludf.DUMMYFUNCTION("""COMPUTED_VALUE"""),83.97)</f>
        <v>83.97</v>
      </c>
      <c r="S53" s="3">
        <f ca="1">IFERROR(__xludf.DUMMYFUNCTION("""COMPUTED_VALUE"""),55.86)</f>
        <v>55.86</v>
      </c>
      <c r="T53" s="3">
        <f ca="1">IFERROR(__xludf.DUMMYFUNCTION("""COMPUTED_VALUE"""),24.38)</f>
        <v>24.38</v>
      </c>
      <c r="U53" s="3">
        <f ca="1">IFERROR(__xludf.DUMMYFUNCTION("""COMPUTED_VALUE"""),68.28)</f>
        <v>68.28</v>
      </c>
      <c r="V53" s="3">
        <f ca="1">IFERROR(__xludf.DUMMYFUNCTION("""COMPUTED_VALUE"""),75.61)</f>
        <v>75.61</v>
      </c>
      <c r="W53" s="3">
        <f ca="1">IFERROR(__xludf.DUMMYFUNCTION("""COMPUTED_VALUE"""),38.43)</f>
        <v>38.43</v>
      </c>
      <c r="X53" s="3">
        <f ca="1">IFERROR(__xludf.DUMMYFUNCTION("""COMPUTED_VALUE"""),93.83)</f>
        <v>93.83</v>
      </c>
      <c r="Y53" s="3">
        <f ca="1">IFERROR(__xludf.DUMMYFUNCTION("""COMPUTED_VALUE"""),55.24)</f>
        <v>55.24</v>
      </c>
      <c r="Z53" s="3">
        <f ca="1">IFERROR(__xludf.DUMMYFUNCTION("""COMPUTED_VALUE"""),84.54)</f>
        <v>84.54</v>
      </c>
      <c r="AA53" s="3">
        <f ca="1">IFERROR(__xludf.DUMMYFUNCTION("""COMPUTED_VALUE"""),46.46)</f>
        <v>46.46</v>
      </c>
      <c r="AB53" s="3">
        <f ca="1">IFERROR(__xludf.DUMMYFUNCTION("""COMPUTED_VALUE"""),72.82)</f>
        <v>72.819999999999993</v>
      </c>
      <c r="AC53" s="3">
        <f ca="1">IFERROR(__xludf.DUMMYFUNCTION("""COMPUTED_VALUE"""),60.84)</f>
        <v>60.84</v>
      </c>
      <c r="AD53" s="3">
        <f ca="1">IFERROR(__xludf.DUMMYFUNCTION("""COMPUTED_VALUE"""),15.94)</f>
        <v>15.94</v>
      </c>
      <c r="AE53" s="3">
        <f ca="1">IFERROR(__xludf.DUMMYFUNCTION("""COMPUTED_VALUE"""),25.66)</f>
        <v>25.66</v>
      </c>
      <c r="AF53" s="3">
        <f ca="1">IFERROR(__xludf.DUMMYFUNCTION("""COMPUTED_VALUE"""),5.16)</f>
        <v>5.16</v>
      </c>
      <c r="AG53" s="3">
        <f ca="1">IFERROR(__xludf.DUMMYFUNCTION("""COMPUTED_VALUE"""),61.22)</f>
        <v>61.22</v>
      </c>
    </row>
    <row r="54" spans="1:33" ht="12.75" x14ac:dyDescent="0.2">
      <c r="A54" s="4">
        <f ca="1">IFERROR(__xludf.DUMMYFUNCTION("""COMPUTED_VALUE"""),44637.6666666666)</f>
        <v>44637.666666666599</v>
      </c>
      <c r="B54" s="3">
        <f ca="1">IFERROR(__xludf.DUMMYFUNCTION("""COMPUTED_VALUE"""),151.96)</f>
        <v>151.96</v>
      </c>
      <c r="C54" s="3">
        <f ca="1">IFERROR(__xludf.DUMMYFUNCTION("""COMPUTED_VALUE"""),397.29)</f>
        <v>397.29</v>
      </c>
      <c r="D54" s="3">
        <f ca="1">IFERROR(__xludf.DUMMYFUNCTION("""COMPUTED_VALUE"""),98.36)</f>
        <v>98.36</v>
      </c>
      <c r="E54" s="3">
        <f ca="1">IFERROR(__xludf.DUMMYFUNCTION("""COMPUTED_VALUE"""),155.05)</f>
        <v>155.05000000000001</v>
      </c>
      <c r="F54" s="3">
        <f ca="1">IFERROR(__xludf.DUMMYFUNCTION("""COMPUTED_VALUE"""),56.24)</f>
        <v>56.24</v>
      </c>
      <c r="G54" s="3">
        <f ca="1">IFERROR(__xludf.DUMMYFUNCTION("""COMPUTED_VALUE"""),28.75)</f>
        <v>28.75</v>
      </c>
      <c r="H54" s="3">
        <f ca="1">IFERROR(__xludf.DUMMYFUNCTION("""COMPUTED_VALUE"""),28.55)</f>
        <v>28.55</v>
      </c>
      <c r="I54" s="3">
        <f ca="1">IFERROR(__xludf.DUMMYFUNCTION("""COMPUTED_VALUE"""),136.15)</f>
        <v>136.15</v>
      </c>
      <c r="J54" s="3">
        <f ca="1">IFERROR(__xludf.DUMMYFUNCTION("""COMPUTED_VALUE"""),253)</f>
        <v>253</v>
      </c>
      <c r="K54" s="3">
        <f ca="1">IFERROR(__xludf.DUMMYFUNCTION("""COMPUTED_VALUE"""),128.62)</f>
        <v>128.62</v>
      </c>
      <c r="L54" s="3">
        <f ca="1">IFERROR(__xludf.DUMMYFUNCTION("""COMPUTED_VALUE"""),89.56)</f>
        <v>89.56</v>
      </c>
      <c r="M54" s="3">
        <f ca="1">IFERROR(__xludf.DUMMYFUNCTION("""COMPUTED_VALUE"""),61)</f>
        <v>61</v>
      </c>
      <c r="N54" s="3">
        <f ca="1">IFERROR(__xludf.DUMMYFUNCTION("""COMPUTED_VALUE"""),65.15)</f>
        <v>65.150000000000006</v>
      </c>
      <c r="O54" s="3">
        <f ca="1">IFERROR(__xludf.DUMMYFUNCTION("""COMPUTED_VALUE"""),60)</f>
        <v>60</v>
      </c>
      <c r="P54" s="3">
        <f ca="1">IFERROR(__xludf.DUMMYFUNCTION("""COMPUTED_VALUE"""),73.95)</f>
        <v>73.95</v>
      </c>
      <c r="Q54" s="3">
        <f ca="1">IFERROR(__xludf.DUMMYFUNCTION("""COMPUTED_VALUE"""),103.03)</f>
        <v>103.03</v>
      </c>
      <c r="R54" s="3">
        <f ca="1">IFERROR(__xludf.DUMMYFUNCTION("""COMPUTED_VALUE"""),85.58)</f>
        <v>85.58</v>
      </c>
      <c r="S54" s="3">
        <f ca="1">IFERROR(__xludf.DUMMYFUNCTION("""COMPUTED_VALUE"""),58.3)</f>
        <v>58.3</v>
      </c>
      <c r="T54" s="3">
        <f ca="1">IFERROR(__xludf.DUMMYFUNCTION("""COMPUTED_VALUE"""),25.55)</f>
        <v>25.55</v>
      </c>
      <c r="U54" s="3">
        <f ca="1">IFERROR(__xludf.DUMMYFUNCTION("""COMPUTED_VALUE"""),73.68)</f>
        <v>73.680000000000007</v>
      </c>
      <c r="V54" s="3">
        <f ca="1">IFERROR(__xludf.DUMMYFUNCTION("""COMPUTED_VALUE"""),75.18)</f>
        <v>75.180000000000007</v>
      </c>
      <c r="W54" s="3">
        <f ca="1">IFERROR(__xludf.DUMMYFUNCTION("""COMPUTED_VALUE"""),38.91)</f>
        <v>38.909999999999997</v>
      </c>
      <c r="X54" s="3">
        <f ca="1">IFERROR(__xludf.DUMMYFUNCTION("""COMPUTED_VALUE"""),94.76)</f>
        <v>94.76</v>
      </c>
      <c r="Y54" s="3">
        <f ca="1">IFERROR(__xludf.DUMMYFUNCTION("""COMPUTED_VALUE"""),54.66)</f>
        <v>54.66</v>
      </c>
      <c r="Z54" s="3">
        <f ca="1">IFERROR(__xludf.DUMMYFUNCTION("""COMPUTED_VALUE"""),85.45)</f>
        <v>85.45</v>
      </c>
      <c r="AA54" s="3">
        <f ca="1">IFERROR(__xludf.DUMMYFUNCTION("""COMPUTED_VALUE"""),47.12)</f>
        <v>47.12</v>
      </c>
      <c r="AB54" s="3">
        <f ca="1">IFERROR(__xludf.DUMMYFUNCTION("""COMPUTED_VALUE"""),72.03)</f>
        <v>72.03</v>
      </c>
      <c r="AC54" s="3">
        <f ca="1">IFERROR(__xludf.DUMMYFUNCTION("""COMPUTED_VALUE"""),61.31)</f>
        <v>61.31</v>
      </c>
      <c r="AD54" s="3">
        <f ca="1">IFERROR(__xludf.DUMMYFUNCTION("""COMPUTED_VALUE"""),15.91)</f>
        <v>15.91</v>
      </c>
      <c r="AE54" s="3">
        <f ca="1">IFERROR(__xludf.DUMMYFUNCTION("""COMPUTED_VALUE"""),25.65)</f>
        <v>25.65</v>
      </c>
      <c r="AF54" s="3">
        <f ca="1">IFERROR(__xludf.DUMMYFUNCTION("""COMPUTED_VALUE"""),5.58)</f>
        <v>5.58</v>
      </c>
      <c r="AG54" s="3">
        <f ca="1">IFERROR(__xludf.DUMMYFUNCTION("""COMPUTED_VALUE"""),64.04)</f>
        <v>64.040000000000006</v>
      </c>
    </row>
    <row r="55" spans="1:33" ht="12.75" x14ac:dyDescent="0.2">
      <c r="A55" s="4">
        <f ca="1">IFERROR(__xludf.DUMMYFUNCTION("""COMPUTED_VALUE"""),44638.6666666666)</f>
        <v>44638.666666666599</v>
      </c>
      <c r="B55" s="3">
        <f ca="1">IFERROR(__xludf.DUMMYFUNCTION("""COMPUTED_VALUE"""),155.07)</f>
        <v>155.07</v>
      </c>
      <c r="C55" s="3">
        <f ca="1">IFERROR(__xludf.DUMMYFUNCTION("""COMPUTED_VALUE"""),406.39)</f>
        <v>406.39</v>
      </c>
      <c r="D55" s="3">
        <f ca="1">IFERROR(__xludf.DUMMYFUNCTION("""COMPUTED_VALUE"""),100.56)</f>
        <v>100.56</v>
      </c>
      <c r="E55" s="3">
        <f ca="1">IFERROR(__xludf.DUMMYFUNCTION("""COMPUTED_VALUE"""),158.08)</f>
        <v>158.08000000000001</v>
      </c>
      <c r="F55" s="3">
        <f ca="1">IFERROR(__xludf.DUMMYFUNCTION("""COMPUTED_VALUE"""),57.11)</f>
        <v>57.11</v>
      </c>
      <c r="G55" s="3">
        <f ca="1">IFERROR(__xludf.DUMMYFUNCTION("""COMPUTED_VALUE"""),29.56)</f>
        <v>29.56</v>
      </c>
      <c r="H55" s="3">
        <f ca="1">IFERROR(__xludf.DUMMYFUNCTION("""COMPUTED_VALUE"""),29.15)</f>
        <v>29.15</v>
      </c>
      <c r="I55" s="3">
        <f ca="1">IFERROR(__xludf.DUMMYFUNCTION("""COMPUTED_VALUE"""),136.99)</f>
        <v>136.99</v>
      </c>
      <c r="J55" s="3">
        <f ca="1">IFERROR(__xludf.DUMMYFUNCTION("""COMPUTED_VALUE"""),254.92)</f>
        <v>254.92</v>
      </c>
      <c r="K55" s="3">
        <f ca="1">IFERROR(__xludf.DUMMYFUNCTION("""COMPUTED_VALUE"""),130.99)</f>
        <v>130.99</v>
      </c>
      <c r="L55" s="3">
        <f ca="1">IFERROR(__xludf.DUMMYFUNCTION("""COMPUTED_VALUE"""),92.16)</f>
        <v>92.16</v>
      </c>
      <c r="M55" s="3">
        <f ca="1">IFERROR(__xludf.DUMMYFUNCTION("""COMPUTED_VALUE"""),62.31)</f>
        <v>62.31</v>
      </c>
      <c r="N55" s="3">
        <f ca="1">IFERROR(__xludf.DUMMYFUNCTION("""COMPUTED_VALUE"""),65.43)</f>
        <v>65.430000000000007</v>
      </c>
      <c r="O55" s="3">
        <f ca="1">IFERROR(__xludf.DUMMYFUNCTION("""COMPUTED_VALUE"""),61.4)</f>
        <v>61.4</v>
      </c>
      <c r="P55" s="3">
        <f ca="1">IFERROR(__xludf.DUMMYFUNCTION("""COMPUTED_VALUE"""),73.88)</f>
        <v>73.88</v>
      </c>
      <c r="Q55" s="3">
        <f ca="1">IFERROR(__xludf.DUMMYFUNCTION("""COMPUTED_VALUE"""),103.01)</f>
        <v>103.01</v>
      </c>
      <c r="R55" s="3">
        <f ca="1">IFERROR(__xludf.DUMMYFUNCTION("""COMPUTED_VALUE"""),86.1)</f>
        <v>86.1</v>
      </c>
      <c r="S55" s="3">
        <f ca="1">IFERROR(__xludf.DUMMYFUNCTION("""COMPUTED_VALUE"""),58.56)</f>
        <v>58.56</v>
      </c>
      <c r="T55" s="3">
        <f ca="1">IFERROR(__xludf.DUMMYFUNCTION("""COMPUTED_VALUE"""),25.67)</f>
        <v>25.67</v>
      </c>
      <c r="U55" s="3">
        <f ca="1">IFERROR(__xludf.DUMMYFUNCTION("""COMPUTED_VALUE"""),74.64)</f>
        <v>74.64</v>
      </c>
      <c r="V55" s="3">
        <f ca="1">IFERROR(__xludf.DUMMYFUNCTION("""COMPUTED_VALUE"""),76.04)</f>
        <v>76.040000000000006</v>
      </c>
      <c r="W55" s="3">
        <f ca="1">IFERROR(__xludf.DUMMYFUNCTION("""COMPUTED_VALUE"""),39)</f>
        <v>39</v>
      </c>
      <c r="X55" s="3">
        <f ca="1">IFERROR(__xludf.DUMMYFUNCTION("""COMPUTED_VALUE"""),95.18)</f>
        <v>95.18</v>
      </c>
      <c r="Y55" s="3">
        <f ca="1">IFERROR(__xludf.DUMMYFUNCTION("""COMPUTED_VALUE"""),54.59)</f>
        <v>54.59</v>
      </c>
      <c r="Z55" s="3">
        <f ca="1">IFERROR(__xludf.DUMMYFUNCTION("""COMPUTED_VALUE"""),85.87)</f>
        <v>85.87</v>
      </c>
      <c r="AA55" s="3">
        <f ca="1">IFERROR(__xludf.DUMMYFUNCTION("""COMPUTED_VALUE"""),47.23)</f>
        <v>47.23</v>
      </c>
      <c r="AB55" s="3">
        <f ca="1">IFERROR(__xludf.DUMMYFUNCTION("""COMPUTED_VALUE"""),71.89)</f>
        <v>71.89</v>
      </c>
      <c r="AC55" s="3">
        <f ca="1">IFERROR(__xludf.DUMMYFUNCTION("""COMPUTED_VALUE"""),61.8)</f>
        <v>61.8</v>
      </c>
      <c r="AD55" s="3">
        <f ca="1">IFERROR(__xludf.DUMMYFUNCTION("""COMPUTED_VALUE"""),16.37)</f>
        <v>16.37</v>
      </c>
      <c r="AE55" s="3">
        <f ca="1">IFERROR(__xludf.DUMMYFUNCTION("""COMPUTED_VALUE"""),26.43)</f>
        <v>26.43</v>
      </c>
      <c r="AF55" s="3">
        <f ca="1">IFERROR(__xludf.DUMMYFUNCTION("""COMPUTED_VALUE"""),5.66)</f>
        <v>5.66</v>
      </c>
      <c r="AG55" s="3">
        <f ca="1">IFERROR(__xludf.DUMMYFUNCTION("""COMPUTED_VALUE"""),67.72)</f>
        <v>67.72</v>
      </c>
    </row>
    <row r="56" spans="1:33" ht="12.75" x14ac:dyDescent="0.2">
      <c r="A56" s="4">
        <f ca="1">IFERROR(__xludf.DUMMYFUNCTION("""COMPUTED_VALUE"""),44641.6666666666)</f>
        <v>44641.666666666599</v>
      </c>
      <c r="B56" s="3">
        <f ca="1">IFERROR(__xludf.DUMMYFUNCTION("""COMPUTED_VALUE"""),154.49)</f>
        <v>154.49</v>
      </c>
      <c r="C56" s="3">
        <f ca="1">IFERROR(__xludf.DUMMYFUNCTION("""COMPUTED_VALUE"""),405.36)</f>
        <v>405.36</v>
      </c>
      <c r="D56" s="3">
        <f ca="1">IFERROR(__xludf.DUMMYFUNCTION("""COMPUTED_VALUE"""),100.37)</f>
        <v>100.37</v>
      </c>
      <c r="E56" s="3">
        <f ca="1">IFERROR(__xludf.DUMMYFUNCTION("""COMPUTED_VALUE"""),157.76)</f>
        <v>157.76</v>
      </c>
      <c r="F56" s="3">
        <f ca="1">IFERROR(__xludf.DUMMYFUNCTION("""COMPUTED_VALUE"""),56.86)</f>
        <v>56.86</v>
      </c>
      <c r="G56" s="3">
        <f ca="1">IFERROR(__xludf.DUMMYFUNCTION("""COMPUTED_VALUE"""),29.39)</f>
        <v>29.39</v>
      </c>
      <c r="H56" s="3">
        <f ca="1">IFERROR(__xludf.DUMMYFUNCTION("""COMPUTED_VALUE"""),28.83)</f>
        <v>28.83</v>
      </c>
      <c r="I56" s="3">
        <f ca="1">IFERROR(__xludf.DUMMYFUNCTION("""COMPUTED_VALUE"""),136.46)</f>
        <v>136.46</v>
      </c>
      <c r="J56" s="3">
        <f ca="1">IFERROR(__xludf.DUMMYFUNCTION("""COMPUTED_VALUE"""),254.28)</f>
        <v>254.28</v>
      </c>
      <c r="K56" s="3">
        <f ca="1">IFERROR(__xludf.DUMMYFUNCTION("""COMPUTED_VALUE"""),129.23)</f>
        <v>129.22999999999999</v>
      </c>
      <c r="L56" s="3">
        <f ca="1">IFERROR(__xludf.DUMMYFUNCTION("""COMPUTED_VALUE"""),89.02)</f>
        <v>89.02</v>
      </c>
      <c r="M56" s="3">
        <f ca="1">IFERROR(__xludf.DUMMYFUNCTION("""COMPUTED_VALUE"""),61.39)</f>
        <v>61.39</v>
      </c>
      <c r="N56" s="3">
        <f ca="1">IFERROR(__xludf.DUMMYFUNCTION("""COMPUTED_VALUE"""),65.3)</f>
        <v>65.3</v>
      </c>
      <c r="O56" s="3">
        <f ca="1">IFERROR(__xludf.DUMMYFUNCTION("""COMPUTED_VALUE"""),60.2)</f>
        <v>60.2</v>
      </c>
      <c r="P56" s="3">
        <f ca="1">IFERROR(__xludf.DUMMYFUNCTION("""COMPUTED_VALUE"""),76.13)</f>
        <v>76.13</v>
      </c>
      <c r="Q56" s="3">
        <f ca="1">IFERROR(__xludf.DUMMYFUNCTION("""COMPUTED_VALUE"""),106.99)</f>
        <v>106.99</v>
      </c>
      <c r="R56" s="3">
        <f ca="1">IFERROR(__xludf.DUMMYFUNCTION("""COMPUTED_VALUE"""),86.49)</f>
        <v>86.49</v>
      </c>
      <c r="S56" s="3">
        <f ca="1">IFERROR(__xludf.DUMMYFUNCTION("""COMPUTED_VALUE"""),60.91)</f>
        <v>60.91</v>
      </c>
      <c r="T56" s="3">
        <f ca="1">IFERROR(__xludf.DUMMYFUNCTION("""COMPUTED_VALUE"""),26.63)</f>
        <v>26.63</v>
      </c>
      <c r="U56" s="3">
        <f ca="1">IFERROR(__xludf.DUMMYFUNCTION("""COMPUTED_VALUE"""),79.54)</f>
        <v>79.540000000000006</v>
      </c>
      <c r="V56" s="3">
        <f ca="1">IFERROR(__xludf.DUMMYFUNCTION("""COMPUTED_VALUE"""),75.58)</f>
        <v>75.58</v>
      </c>
      <c r="W56" s="3">
        <f ca="1">IFERROR(__xludf.DUMMYFUNCTION("""COMPUTED_VALUE"""),38.81)</f>
        <v>38.81</v>
      </c>
      <c r="X56" s="3">
        <f ca="1">IFERROR(__xludf.DUMMYFUNCTION("""COMPUTED_VALUE"""),94.92)</f>
        <v>94.92</v>
      </c>
      <c r="Y56" s="3">
        <f ca="1">IFERROR(__xludf.DUMMYFUNCTION("""COMPUTED_VALUE"""),53.94)</f>
        <v>53.94</v>
      </c>
      <c r="Z56" s="3">
        <f ca="1">IFERROR(__xludf.DUMMYFUNCTION("""COMPUTED_VALUE"""),85.72)</f>
        <v>85.72</v>
      </c>
      <c r="AA56" s="3">
        <f ca="1">IFERROR(__xludf.DUMMYFUNCTION("""COMPUTED_VALUE"""),46.72)</f>
        <v>46.72</v>
      </c>
      <c r="AB56" s="3">
        <f ca="1">IFERROR(__xludf.DUMMYFUNCTION("""COMPUTED_VALUE"""),71.16)</f>
        <v>71.16</v>
      </c>
      <c r="AC56" s="3">
        <f ca="1">IFERROR(__xludf.DUMMYFUNCTION("""COMPUTED_VALUE"""),61.3)</f>
        <v>61.3</v>
      </c>
      <c r="AD56" s="3">
        <f ca="1">IFERROR(__xludf.DUMMYFUNCTION("""COMPUTED_VALUE"""),16.02)</f>
        <v>16.02</v>
      </c>
      <c r="AE56" s="3">
        <f ca="1">IFERROR(__xludf.DUMMYFUNCTION("""COMPUTED_VALUE"""),25.85)</f>
        <v>25.85</v>
      </c>
      <c r="AF56" s="3">
        <f ca="1">IFERROR(__xludf.DUMMYFUNCTION("""COMPUTED_VALUE"""),5.83)</f>
        <v>5.83</v>
      </c>
      <c r="AG56" s="3">
        <f ca="1">IFERROR(__xludf.DUMMYFUNCTION("""COMPUTED_VALUE"""),66.8)</f>
        <v>66.8</v>
      </c>
    </row>
    <row r="57" spans="1:33" ht="12.75" x14ac:dyDescent="0.2">
      <c r="A57" s="4">
        <f ca="1">IFERROR(__xludf.DUMMYFUNCTION("""COMPUTED_VALUE"""),44642.6666666666)</f>
        <v>44642.666666666599</v>
      </c>
      <c r="B57" s="3">
        <f ca="1">IFERROR(__xludf.DUMMYFUNCTION("""COMPUTED_VALUE"""),156.71)</f>
        <v>156.71</v>
      </c>
      <c r="C57" s="3">
        <f ca="1">IFERROR(__xludf.DUMMYFUNCTION("""COMPUTED_VALUE"""),411.85)</f>
        <v>411.85</v>
      </c>
      <c r="D57" s="3">
        <f ca="1">IFERROR(__xludf.DUMMYFUNCTION("""COMPUTED_VALUE"""),102.15)</f>
        <v>102.15</v>
      </c>
      <c r="E57" s="3">
        <f ca="1">IFERROR(__xludf.DUMMYFUNCTION("""COMPUTED_VALUE"""),158.64)</f>
        <v>158.63999999999999</v>
      </c>
      <c r="F57" s="3">
        <f ca="1">IFERROR(__xludf.DUMMYFUNCTION("""COMPUTED_VALUE"""),58.33)</f>
        <v>58.33</v>
      </c>
      <c r="G57" s="3">
        <f ca="1">IFERROR(__xludf.DUMMYFUNCTION("""COMPUTED_VALUE"""),29.46)</f>
        <v>29.46</v>
      </c>
      <c r="H57" s="3">
        <f ca="1">IFERROR(__xludf.DUMMYFUNCTION("""COMPUTED_VALUE"""),29.29)</f>
        <v>29.29</v>
      </c>
      <c r="I57" s="3">
        <f ca="1">IFERROR(__xludf.DUMMYFUNCTION("""COMPUTED_VALUE"""),136.49)</f>
        <v>136.49</v>
      </c>
      <c r="J57" s="3">
        <f ca="1">IFERROR(__xludf.DUMMYFUNCTION("""COMPUTED_VALUE"""),254.79)</f>
        <v>254.79</v>
      </c>
      <c r="K57" s="3">
        <f ca="1">IFERROR(__xludf.DUMMYFUNCTION("""COMPUTED_VALUE"""),131.69)</f>
        <v>131.69</v>
      </c>
      <c r="L57" s="3">
        <f ca="1">IFERROR(__xludf.DUMMYFUNCTION("""COMPUTED_VALUE"""),92.21)</f>
        <v>92.21</v>
      </c>
      <c r="M57" s="3">
        <f ca="1">IFERROR(__xludf.DUMMYFUNCTION("""COMPUTED_VALUE"""),62.09)</f>
        <v>62.09</v>
      </c>
      <c r="N57" s="3">
        <f ca="1">IFERROR(__xludf.DUMMYFUNCTION("""COMPUTED_VALUE"""),65.44)</f>
        <v>65.44</v>
      </c>
      <c r="O57" s="3">
        <f ca="1">IFERROR(__xludf.DUMMYFUNCTION("""COMPUTED_VALUE"""),61.56)</f>
        <v>61.56</v>
      </c>
      <c r="P57" s="3">
        <f ca="1">IFERROR(__xludf.DUMMYFUNCTION("""COMPUTED_VALUE"""),75.57)</f>
        <v>75.569999999999993</v>
      </c>
      <c r="Q57" s="3">
        <f ca="1">IFERROR(__xludf.DUMMYFUNCTION("""COMPUTED_VALUE"""),106.3)</f>
        <v>106.3</v>
      </c>
      <c r="R57" s="3">
        <f ca="1">IFERROR(__xludf.DUMMYFUNCTION("""COMPUTED_VALUE"""),86.96)</f>
        <v>86.96</v>
      </c>
      <c r="S57" s="3">
        <f ca="1">IFERROR(__xludf.DUMMYFUNCTION("""COMPUTED_VALUE"""),60.53)</f>
        <v>60.53</v>
      </c>
      <c r="T57" s="3">
        <f ca="1">IFERROR(__xludf.DUMMYFUNCTION("""COMPUTED_VALUE"""),26.57)</f>
        <v>26.57</v>
      </c>
      <c r="U57" s="3">
        <f ca="1">IFERROR(__xludf.DUMMYFUNCTION("""COMPUTED_VALUE"""),78.56)</f>
        <v>78.56</v>
      </c>
      <c r="V57" s="3">
        <f ca="1">IFERROR(__xludf.DUMMYFUNCTION("""COMPUTED_VALUE"""),76.75)</f>
        <v>76.75</v>
      </c>
      <c r="W57" s="3">
        <f ca="1">IFERROR(__xludf.DUMMYFUNCTION("""COMPUTED_VALUE"""),39.44)</f>
        <v>39.44</v>
      </c>
      <c r="X57" s="3">
        <f ca="1">IFERROR(__xludf.DUMMYFUNCTION("""COMPUTED_VALUE"""),96.54)</f>
        <v>96.54</v>
      </c>
      <c r="Y57" s="3">
        <f ca="1">IFERROR(__xludf.DUMMYFUNCTION("""COMPUTED_VALUE"""),54.87)</f>
        <v>54.87</v>
      </c>
      <c r="Z57" s="3">
        <f ca="1">IFERROR(__xludf.DUMMYFUNCTION("""COMPUTED_VALUE"""),87.13)</f>
        <v>87.13</v>
      </c>
      <c r="AA57" s="3">
        <f ca="1">IFERROR(__xludf.DUMMYFUNCTION("""COMPUTED_VALUE"""),46.75)</f>
        <v>46.75</v>
      </c>
      <c r="AB57" s="3">
        <f ca="1">IFERROR(__xludf.DUMMYFUNCTION("""COMPUTED_VALUE"""),72.35)</f>
        <v>72.349999999999994</v>
      </c>
      <c r="AC57" s="3">
        <f ca="1">IFERROR(__xludf.DUMMYFUNCTION("""COMPUTED_VALUE"""),62.49)</f>
        <v>62.49</v>
      </c>
      <c r="AD57" s="3">
        <f ca="1">IFERROR(__xludf.DUMMYFUNCTION("""COMPUTED_VALUE"""),16.48)</f>
        <v>16.48</v>
      </c>
      <c r="AE57" s="3">
        <f ca="1">IFERROR(__xludf.DUMMYFUNCTION("""COMPUTED_VALUE"""),26.58)</f>
        <v>26.58</v>
      </c>
      <c r="AF57" s="3">
        <f ca="1">IFERROR(__xludf.DUMMYFUNCTION("""COMPUTED_VALUE"""),6.01)</f>
        <v>6.01</v>
      </c>
      <c r="AG57" s="3">
        <f ca="1">IFERROR(__xludf.DUMMYFUNCTION("""COMPUTED_VALUE"""),70.32)</f>
        <v>70.319999999999993</v>
      </c>
    </row>
    <row r="58" spans="1:33" ht="12.75" x14ac:dyDescent="0.2">
      <c r="A58" s="4">
        <f ca="1">IFERROR(__xludf.DUMMYFUNCTION("""COMPUTED_VALUE"""),44643.6666666666)</f>
        <v>44643.666666666599</v>
      </c>
      <c r="B58" s="3">
        <f ca="1">IFERROR(__xludf.DUMMYFUNCTION("""COMPUTED_VALUE"""),154.3)</f>
        <v>154.30000000000001</v>
      </c>
      <c r="C58" s="3">
        <f ca="1">IFERROR(__xludf.DUMMYFUNCTION("""COMPUTED_VALUE"""),405.58)</f>
        <v>405.58</v>
      </c>
      <c r="D58" s="3">
        <f ca="1">IFERROR(__xludf.DUMMYFUNCTION("""COMPUTED_VALUE"""),100.52)</f>
        <v>100.52</v>
      </c>
      <c r="E58" s="3">
        <f ca="1">IFERROR(__xludf.DUMMYFUNCTION("""COMPUTED_VALUE"""),154.64)</f>
        <v>154.63999999999999</v>
      </c>
      <c r="F58" s="3">
        <f ca="1">IFERROR(__xludf.DUMMYFUNCTION("""COMPUTED_VALUE"""),57.89)</f>
        <v>57.89</v>
      </c>
      <c r="G58" s="3">
        <f ca="1">IFERROR(__xludf.DUMMYFUNCTION("""COMPUTED_VALUE"""),28.75)</f>
        <v>28.75</v>
      </c>
      <c r="H58" s="3">
        <f ca="1">IFERROR(__xludf.DUMMYFUNCTION("""COMPUTED_VALUE"""),28.83)</f>
        <v>28.83</v>
      </c>
      <c r="I58" s="3">
        <f ca="1">IFERROR(__xludf.DUMMYFUNCTION("""COMPUTED_VALUE"""),134.04)</f>
        <v>134.04</v>
      </c>
      <c r="J58" s="3">
        <f ca="1">IFERROR(__xludf.DUMMYFUNCTION("""COMPUTED_VALUE"""),249.71)</f>
        <v>249.71</v>
      </c>
      <c r="K58" s="3">
        <f ca="1">IFERROR(__xludf.DUMMYFUNCTION("""COMPUTED_VALUE"""),128.37)</f>
        <v>128.37</v>
      </c>
      <c r="L58" s="3">
        <f ca="1">IFERROR(__xludf.DUMMYFUNCTION("""COMPUTED_VALUE"""),89.86)</f>
        <v>89.86</v>
      </c>
      <c r="M58" s="3">
        <f ca="1">IFERROR(__xludf.DUMMYFUNCTION("""COMPUTED_VALUE"""),60.77)</f>
        <v>60.77</v>
      </c>
      <c r="N58" s="3">
        <f ca="1">IFERROR(__xludf.DUMMYFUNCTION("""COMPUTED_VALUE"""),64.21)</f>
        <v>64.209999999999994</v>
      </c>
      <c r="O58" s="3">
        <f ca="1">IFERROR(__xludf.DUMMYFUNCTION("""COMPUTED_VALUE"""),60)</f>
        <v>60</v>
      </c>
      <c r="P58" s="3">
        <f ca="1">IFERROR(__xludf.DUMMYFUNCTION("""COMPUTED_VALUE"""),76.87)</f>
        <v>76.87</v>
      </c>
      <c r="Q58" s="3">
        <f ca="1">IFERROR(__xludf.DUMMYFUNCTION("""COMPUTED_VALUE"""),108.15)</f>
        <v>108.15</v>
      </c>
      <c r="R58" s="3">
        <f ca="1">IFERROR(__xludf.DUMMYFUNCTION("""COMPUTED_VALUE"""),86.56)</f>
        <v>86.56</v>
      </c>
      <c r="S58" s="3">
        <f ca="1">IFERROR(__xludf.DUMMYFUNCTION("""COMPUTED_VALUE"""),61.62)</f>
        <v>61.62</v>
      </c>
      <c r="T58" s="3">
        <f ca="1">IFERROR(__xludf.DUMMYFUNCTION("""COMPUTED_VALUE"""),27.23)</f>
        <v>27.23</v>
      </c>
      <c r="U58" s="3">
        <f ca="1">IFERROR(__xludf.DUMMYFUNCTION("""COMPUTED_VALUE"""),81.95)</f>
        <v>81.95</v>
      </c>
      <c r="V58" s="3">
        <f ca="1">IFERROR(__xludf.DUMMYFUNCTION("""COMPUTED_VALUE"""),76.19)</f>
        <v>76.19</v>
      </c>
      <c r="W58" s="3">
        <f ca="1">IFERROR(__xludf.DUMMYFUNCTION("""COMPUTED_VALUE"""),38.71)</f>
        <v>38.71</v>
      </c>
      <c r="X58" s="3">
        <f ca="1">IFERROR(__xludf.DUMMYFUNCTION("""COMPUTED_VALUE"""),94.63)</f>
        <v>94.63</v>
      </c>
      <c r="Y58" s="3">
        <f ca="1">IFERROR(__xludf.DUMMYFUNCTION("""COMPUTED_VALUE"""),53.18)</f>
        <v>53.18</v>
      </c>
      <c r="Z58" s="3">
        <f ca="1">IFERROR(__xludf.DUMMYFUNCTION("""COMPUTED_VALUE"""),85.53)</f>
        <v>85.53</v>
      </c>
      <c r="AA58" s="3">
        <f ca="1">IFERROR(__xludf.DUMMYFUNCTION("""COMPUTED_VALUE"""),46.22)</f>
        <v>46.22</v>
      </c>
      <c r="AB58" s="3">
        <f ca="1">IFERROR(__xludf.DUMMYFUNCTION("""COMPUTED_VALUE"""),69.78)</f>
        <v>69.78</v>
      </c>
      <c r="AC58" s="3">
        <f ca="1">IFERROR(__xludf.DUMMYFUNCTION("""COMPUTED_VALUE"""),61.04)</f>
        <v>61.04</v>
      </c>
      <c r="AD58" s="3">
        <f ca="1">IFERROR(__xludf.DUMMYFUNCTION("""COMPUTED_VALUE"""),16.42)</f>
        <v>16.420000000000002</v>
      </c>
      <c r="AE58" s="3">
        <f ca="1">IFERROR(__xludf.DUMMYFUNCTION("""COMPUTED_VALUE"""),26.5)</f>
        <v>26.5</v>
      </c>
      <c r="AF58" s="3">
        <f ca="1">IFERROR(__xludf.DUMMYFUNCTION("""COMPUTED_VALUE"""),6.19)</f>
        <v>6.19</v>
      </c>
      <c r="AG58" s="3">
        <f ca="1">IFERROR(__xludf.DUMMYFUNCTION("""COMPUTED_VALUE"""),70.2)</f>
        <v>70.2</v>
      </c>
    </row>
    <row r="59" spans="1:33" ht="12.75" x14ac:dyDescent="0.2">
      <c r="A59" s="4">
        <f ca="1">IFERROR(__xludf.DUMMYFUNCTION("""COMPUTED_VALUE"""),44644.6666666666)</f>
        <v>44644.666666666599</v>
      </c>
      <c r="B59" s="3">
        <f ca="1">IFERROR(__xludf.DUMMYFUNCTION("""COMPUTED_VALUE"""),158.31)</f>
        <v>158.31</v>
      </c>
      <c r="C59" s="3">
        <f ca="1">IFERROR(__xludf.DUMMYFUNCTION("""COMPUTED_VALUE"""),415.49)</f>
        <v>415.49</v>
      </c>
      <c r="D59" s="3">
        <f ca="1">IFERROR(__xludf.DUMMYFUNCTION("""COMPUTED_VALUE"""),103.36)</f>
        <v>103.36</v>
      </c>
      <c r="E59" s="3">
        <f ca="1">IFERROR(__xludf.DUMMYFUNCTION("""COMPUTED_VALUE"""),162.14)</f>
        <v>162.13999999999999</v>
      </c>
      <c r="F59" s="3">
        <f ca="1">IFERROR(__xludf.DUMMYFUNCTION("""COMPUTED_VALUE"""),58.69)</f>
        <v>58.69</v>
      </c>
      <c r="G59" s="3">
        <f ca="1">IFERROR(__xludf.DUMMYFUNCTION("""COMPUTED_VALUE"""),29.41)</f>
        <v>29.41</v>
      </c>
      <c r="H59" s="3">
        <f ca="1">IFERROR(__xludf.DUMMYFUNCTION("""COMPUTED_VALUE"""),29.3)</f>
        <v>29.3</v>
      </c>
      <c r="I59" s="3">
        <f ca="1">IFERROR(__xludf.DUMMYFUNCTION("""COMPUTED_VALUE"""),135.64)</f>
        <v>135.63999999999999</v>
      </c>
      <c r="J59" s="3">
        <f ca="1">IFERROR(__xludf.DUMMYFUNCTION("""COMPUTED_VALUE"""),252.37)</f>
        <v>252.37</v>
      </c>
      <c r="K59" s="3">
        <f ca="1">IFERROR(__xludf.DUMMYFUNCTION("""COMPUTED_VALUE"""),130.03)</f>
        <v>130.03</v>
      </c>
      <c r="L59" s="3">
        <f ca="1">IFERROR(__xludf.DUMMYFUNCTION("""COMPUTED_VALUE"""),91.77)</f>
        <v>91.77</v>
      </c>
      <c r="M59" s="3">
        <f ca="1">IFERROR(__xludf.DUMMYFUNCTION("""COMPUTED_VALUE"""),61.88)</f>
        <v>61.88</v>
      </c>
      <c r="N59" s="3">
        <f ca="1">IFERROR(__xludf.DUMMYFUNCTION("""COMPUTED_VALUE"""),64.98)</f>
        <v>64.98</v>
      </c>
      <c r="O59" s="3">
        <f ca="1">IFERROR(__xludf.DUMMYFUNCTION("""COMPUTED_VALUE"""),60.88)</f>
        <v>60.88</v>
      </c>
      <c r="P59" s="3">
        <f ca="1">IFERROR(__xludf.DUMMYFUNCTION("""COMPUTED_VALUE"""),77.06)</f>
        <v>77.06</v>
      </c>
      <c r="Q59" s="3">
        <f ca="1">IFERROR(__xludf.DUMMYFUNCTION("""COMPUTED_VALUE"""),107.71)</f>
        <v>107.71</v>
      </c>
      <c r="R59" s="3">
        <f ca="1">IFERROR(__xludf.DUMMYFUNCTION("""COMPUTED_VALUE"""),88.3)</f>
        <v>88.3</v>
      </c>
      <c r="S59" s="3">
        <f ca="1">IFERROR(__xludf.DUMMYFUNCTION("""COMPUTED_VALUE"""),63.31)</f>
        <v>63.31</v>
      </c>
      <c r="T59" s="3">
        <f ca="1">IFERROR(__xludf.DUMMYFUNCTION("""COMPUTED_VALUE"""),26.96)</f>
        <v>26.96</v>
      </c>
      <c r="U59" s="3">
        <f ca="1">IFERROR(__xludf.DUMMYFUNCTION("""COMPUTED_VALUE"""),79.75)</f>
        <v>79.75</v>
      </c>
      <c r="V59" s="3">
        <f ca="1">IFERROR(__xludf.DUMMYFUNCTION("""COMPUTED_VALUE"""),77.25)</f>
        <v>77.25</v>
      </c>
      <c r="W59" s="3">
        <f ca="1">IFERROR(__xludf.DUMMYFUNCTION("""COMPUTED_VALUE"""),39.02)</f>
        <v>39.020000000000003</v>
      </c>
      <c r="X59" s="3">
        <f ca="1">IFERROR(__xludf.DUMMYFUNCTION("""COMPUTED_VALUE"""),94.96)</f>
        <v>94.96</v>
      </c>
      <c r="Y59" s="3">
        <f ca="1">IFERROR(__xludf.DUMMYFUNCTION("""COMPUTED_VALUE"""),53.65)</f>
        <v>53.65</v>
      </c>
      <c r="Z59" s="3">
        <f ca="1">IFERROR(__xludf.DUMMYFUNCTION("""COMPUTED_VALUE"""),85.85)</f>
        <v>85.85</v>
      </c>
      <c r="AA59" s="3">
        <f ca="1">IFERROR(__xludf.DUMMYFUNCTION("""COMPUTED_VALUE"""),46.58)</f>
        <v>46.58</v>
      </c>
      <c r="AB59" s="3">
        <f ca="1">IFERROR(__xludf.DUMMYFUNCTION("""COMPUTED_VALUE"""),70.46)</f>
        <v>70.459999999999994</v>
      </c>
      <c r="AC59" s="3">
        <f ca="1">IFERROR(__xludf.DUMMYFUNCTION("""COMPUTED_VALUE"""),61.24)</f>
        <v>61.24</v>
      </c>
      <c r="AD59" s="3">
        <f ca="1">IFERROR(__xludf.DUMMYFUNCTION("""COMPUTED_VALUE"""),17.11)</f>
        <v>17.11</v>
      </c>
      <c r="AE59" s="3">
        <f ca="1">IFERROR(__xludf.DUMMYFUNCTION("""COMPUTED_VALUE"""),27.63)</f>
        <v>27.63</v>
      </c>
      <c r="AF59" s="3">
        <f ca="1">IFERROR(__xludf.DUMMYFUNCTION("""COMPUTED_VALUE"""),6.21)</f>
        <v>6.21</v>
      </c>
      <c r="AG59" s="3">
        <f ca="1">IFERROR(__xludf.DUMMYFUNCTION("""COMPUTED_VALUE"""),73.56)</f>
        <v>73.56</v>
      </c>
    </row>
    <row r="60" spans="1:33" ht="12.75" x14ac:dyDescent="0.2">
      <c r="A60" s="4">
        <f ca="1">IFERROR(__xludf.DUMMYFUNCTION("""COMPUTED_VALUE"""),44645.6666666666)</f>
        <v>44645.666666666599</v>
      </c>
      <c r="B60" s="3">
        <f ca="1">IFERROR(__xludf.DUMMYFUNCTION("""COMPUTED_VALUE"""),158.22)</f>
        <v>158.22</v>
      </c>
      <c r="C60" s="3">
        <f ca="1">IFERROR(__xludf.DUMMYFUNCTION("""COMPUTED_VALUE"""),414.52)</f>
        <v>414.52</v>
      </c>
      <c r="D60" s="3">
        <f ca="1">IFERROR(__xludf.DUMMYFUNCTION("""COMPUTED_VALUE"""),103.15)</f>
        <v>103.15</v>
      </c>
      <c r="E60" s="3">
        <f ca="1">IFERROR(__xludf.DUMMYFUNCTION("""COMPUTED_VALUE"""),161.77)</f>
        <v>161.77000000000001</v>
      </c>
      <c r="F60" s="3">
        <f ca="1">IFERROR(__xludf.DUMMYFUNCTION("""COMPUTED_VALUE"""),58.49)</f>
        <v>58.49</v>
      </c>
      <c r="G60" s="3">
        <f ca="1">IFERROR(__xludf.DUMMYFUNCTION("""COMPUTED_VALUE"""),29)</f>
        <v>29</v>
      </c>
      <c r="H60" s="3">
        <f ca="1">IFERROR(__xludf.DUMMYFUNCTION("""COMPUTED_VALUE"""),29.04)</f>
        <v>29.04</v>
      </c>
      <c r="I60" s="3">
        <f ca="1">IFERROR(__xludf.DUMMYFUNCTION("""COMPUTED_VALUE"""),136.27)</f>
        <v>136.27000000000001</v>
      </c>
      <c r="J60" s="3">
        <f ca="1">IFERROR(__xludf.DUMMYFUNCTION("""COMPUTED_VALUE"""),252.94)</f>
        <v>252.94</v>
      </c>
      <c r="K60" s="3">
        <f ca="1">IFERROR(__xludf.DUMMYFUNCTION("""COMPUTED_VALUE"""),128.16)</f>
        <v>128.16</v>
      </c>
      <c r="L60" s="3">
        <f ca="1">IFERROR(__xludf.DUMMYFUNCTION("""COMPUTED_VALUE"""),89.62)</f>
        <v>89.62</v>
      </c>
      <c r="M60" s="3">
        <f ca="1">IFERROR(__xludf.DUMMYFUNCTION("""COMPUTED_VALUE"""),61.41)</f>
        <v>61.41</v>
      </c>
      <c r="N60" s="3">
        <f ca="1">IFERROR(__xludf.DUMMYFUNCTION("""COMPUTED_VALUE"""),65.19)</f>
        <v>65.19</v>
      </c>
      <c r="O60" s="3">
        <f ca="1">IFERROR(__xludf.DUMMYFUNCTION("""COMPUTED_VALUE"""),59.44)</f>
        <v>59.44</v>
      </c>
      <c r="P60" s="3">
        <f ca="1">IFERROR(__xludf.DUMMYFUNCTION("""COMPUTED_VALUE"""),78.75)</f>
        <v>78.75</v>
      </c>
      <c r="Q60" s="3">
        <f ca="1">IFERROR(__xludf.DUMMYFUNCTION("""COMPUTED_VALUE"""),110.55)</f>
        <v>110.55</v>
      </c>
      <c r="R60" s="3">
        <f ca="1">IFERROR(__xludf.DUMMYFUNCTION("""COMPUTED_VALUE"""),89.29)</f>
        <v>89.29</v>
      </c>
      <c r="S60" s="3">
        <f ca="1">IFERROR(__xludf.DUMMYFUNCTION("""COMPUTED_VALUE"""),63.33)</f>
        <v>63.33</v>
      </c>
      <c r="T60" s="3">
        <f ca="1">IFERROR(__xludf.DUMMYFUNCTION("""COMPUTED_VALUE"""),27.16)</f>
        <v>27.16</v>
      </c>
      <c r="U60" s="3">
        <f ca="1">IFERROR(__xludf.DUMMYFUNCTION("""COMPUTED_VALUE"""),80.74)</f>
        <v>80.739999999999995</v>
      </c>
      <c r="V60" s="3">
        <f ca="1">IFERROR(__xludf.DUMMYFUNCTION("""COMPUTED_VALUE"""),75.36)</f>
        <v>75.36</v>
      </c>
      <c r="W60" s="3">
        <f ca="1">IFERROR(__xludf.DUMMYFUNCTION("""COMPUTED_VALUE"""),39.52)</f>
        <v>39.520000000000003</v>
      </c>
      <c r="X60" s="3">
        <f ca="1">IFERROR(__xludf.DUMMYFUNCTION("""COMPUTED_VALUE"""),96.09)</f>
        <v>96.09</v>
      </c>
      <c r="Y60" s="3">
        <f ca="1">IFERROR(__xludf.DUMMYFUNCTION("""COMPUTED_VALUE"""),54.5)</f>
        <v>54.5</v>
      </c>
      <c r="Z60" s="3">
        <f ca="1">IFERROR(__xludf.DUMMYFUNCTION("""COMPUTED_VALUE"""),86.81)</f>
        <v>86.81</v>
      </c>
      <c r="AA60" s="3">
        <f ca="1">IFERROR(__xludf.DUMMYFUNCTION("""COMPUTED_VALUE"""),47.13)</f>
        <v>47.13</v>
      </c>
      <c r="AB60" s="3">
        <f ca="1">IFERROR(__xludf.DUMMYFUNCTION("""COMPUTED_VALUE"""),71.79)</f>
        <v>71.790000000000006</v>
      </c>
      <c r="AC60" s="3">
        <f ca="1">IFERROR(__xludf.DUMMYFUNCTION("""COMPUTED_VALUE"""),61.73)</f>
        <v>61.73</v>
      </c>
      <c r="AD60" s="3">
        <f ca="1">IFERROR(__xludf.DUMMYFUNCTION("""COMPUTED_VALUE"""),17.31)</f>
        <v>17.309999999999999</v>
      </c>
      <c r="AE60" s="3">
        <f ca="1">IFERROR(__xludf.DUMMYFUNCTION("""COMPUTED_VALUE"""),27.94)</f>
        <v>27.94</v>
      </c>
      <c r="AF60" s="3">
        <f ca="1">IFERROR(__xludf.DUMMYFUNCTION("""COMPUTED_VALUE"""),6.36)</f>
        <v>6.36</v>
      </c>
      <c r="AG60" s="3">
        <f ca="1">IFERROR(__xludf.DUMMYFUNCTION("""COMPUTED_VALUE"""),71.16)</f>
        <v>71.16</v>
      </c>
    </row>
    <row r="61" spans="1:33" ht="12.75" x14ac:dyDescent="0.2">
      <c r="A61" s="4">
        <f ca="1">IFERROR(__xludf.DUMMYFUNCTION("""COMPUTED_VALUE"""),44648.6666666666)</f>
        <v>44648.666666666599</v>
      </c>
      <c r="B61" s="3">
        <f ca="1">IFERROR(__xludf.DUMMYFUNCTION("""COMPUTED_VALUE"""),160.1)</f>
        <v>160.1</v>
      </c>
      <c r="C61" s="3">
        <f ca="1">IFERROR(__xludf.DUMMYFUNCTION("""COMPUTED_VALUE"""),419.64)</f>
        <v>419.64</v>
      </c>
      <c r="D61" s="3">
        <f ca="1">IFERROR(__xludf.DUMMYFUNCTION("""COMPUTED_VALUE"""),104.43)</f>
        <v>104.43</v>
      </c>
      <c r="E61" s="3">
        <f ca="1">IFERROR(__xludf.DUMMYFUNCTION("""COMPUTED_VALUE"""),163.03)</f>
        <v>163.03</v>
      </c>
      <c r="F61" s="3">
        <f ca="1">IFERROR(__xludf.DUMMYFUNCTION("""COMPUTED_VALUE"""),58.93)</f>
        <v>58.93</v>
      </c>
      <c r="G61" s="3">
        <f ca="1">IFERROR(__xludf.DUMMYFUNCTION("""COMPUTED_VALUE"""),29.08)</f>
        <v>29.08</v>
      </c>
      <c r="H61" s="3">
        <f ca="1">IFERROR(__xludf.DUMMYFUNCTION("""COMPUTED_VALUE"""),29.24)</f>
        <v>29.24</v>
      </c>
      <c r="I61" s="3">
        <f ca="1">IFERROR(__xludf.DUMMYFUNCTION("""COMPUTED_VALUE"""),137.26)</f>
        <v>137.26</v>
      </c>
      <c r="J61" s="3">
        <f ca="1">IFERROR(__xludf.DUMMYFUNCTION("""COMPUTED_VALUE"""),254.89)</f>
        <v>254.89</v>
      </c>
      <c r="K61" s="3">
        <f ca="1">IFERROR(__xludf.DUMMYFUNCTION("""COMPUTED_VALUE"""),129.07)</f>
        <v>129.07</v>
      </c>
      <c r="L61" s="3">
        <f ca="1">IFERROR(__xludf.DUMMYFUNCTION("""COMPUTED_VALUE"""),89.71)</f>
        <v>89.71</v>
      </c>
      <c r="M61" s="3">
        <f ca="1">IFERROR(__xludf.DUMMYFUNCTION("""COMPUTED_VALUE"""),61.65)</f>
        <v>61.65</v>
      </c>
      <c r="N61" s="3">
        <f ca="1">IFERROR(__xludf.DUMMYFUNCTION("""COMPUTED_VALUE"""),65.64)</f>
        <v>65.64</v>
      </c>
      <c r="O61" s="3">
        <f ca="1">IFERROR(__xludf.DUMMYFUNCTION("""COMPUTED_VALUE"""),59.68)</f>
        <v>59.68</v>
      </c>
      <c r="P61" s="3">
        <f ca="1">IFERROR(__xludf.DUMMYFUNCTION("""COMPUTED_VALUE"""),76.8)</f>
        <v>76.8</v>
      </c>
      <c r="Q61" s="3">
        <f ca="1">IFERROR(__xludf.DUMMYFUNCTION("""COMPUTED_VALUE"""),107.77)</f>
        <v>107.77</v>
      </c>
      <c r="R61" s="3">
        <f ca="1">IFERROR(__xludf.DUMMYFUNCTION("""COMPUTED_VALUE"""),88.89)</f>
        <v>88.89</v>
      </c>
      <c r="S61" s="3">
        <f ca="1">IFERROR(__xludf.DUMMYFUNCTION("""COMPUTED_VALUE"""),61.87)</f>
        <v>61.87</v>
      </c>
      <c r="T61" s="3">
        <f ca="1">IFERROR(__xludf.DUMMYFUNCTION("""COMPUTED_VALUE"""),25.98)</f>
        <v>25.98</v>
      </c>
      <c r="U61" s="3">
        <f ca="1">IFERROR(__xludf.DUMMYFUNCTION("""COMPUTED_VALUE"""),74.53)</f>
        <v>74.53</v>
      </c>
      <c r="V61" s="3">
        <f ca="1">IFERROR(__xludf.DUMMYFUNCTION("""COMPUTED_VALUE"""),75.97)</f>
        <v>75.97</v>
      </c>
      <c r="W61" s="3">
        <f ca="1">IFERROR(__xludf.DUMMYFUNCTION("""COMPUTED_VALUE"""),39.41)</f>
        <v>39.409999999999997</v>
      </c>
      <c r="X61" s="3">
        <f ca="1">IFERROR(__xludf.DUMMYFUNCTION("""COMPUTED_VALUE"""),95.8)</f>
        <v>95.8</v>
      </c>
      <c r="Y61" s="3">
        <f ca="1">IFERROR(__xludf.DUMMYFUNCTION("""COMPUTED_VALUE"""),54.07)</f>
        <v>54.07</v>
      </c>
      <c r="Z61" s="3">
        <f ca="1">IFERROR(__xludf.DUMMYFUNCTION("""COMPUTED_VALUE"""),86.61)</f>
        <v>86.61</v>
      </c>
      <c r="AA61" s="3">
        <f ca="1">IFERROR(__xludf.DUMMYFUNCTION("""COMPUTED_VALUE"""),47.73)</f>
        <v>47.73</v>
      </c>
      <c r="AB61" s="3">
        <f ca="1">IFERROR(__xludf.DUMMYFUNCTION("""COMPUTED_VALUE"""),71.08)</f>
        <v>71.08</v>
      </c>
      <c r="AC61" s="3">
        <f ca="1">IFERROR(__xludf.DUMMYFUNCTION("""COMPUTED_VALUE"""),61.57)</f>
        <v>61.57</v>
      </c>
      <c r="AD61" s="3">
        <f ca="1">IFERROR(__xludf.DUMMYFUNCTION("""COMPUTED_VALUE"""),18.7)</f>
        <v>18.7</v>
      </c>
      <c r="AE61" s="3">
        <f ca="1">IFERROR(__xludf.DUMMYFUNCTION("""COMPUTED_VALUE"""),30.13)</f>
        <v>30.13</v>
      </c>
      <c r="AF61" s="3">
        <f ca="1">IFERROR(__xludf.DUMMYFUNCTION("""COMPUTED_VALUE"""),6.38)</f>
        <v>6.38</v>
      </c>
      <c r="AG61" s="3">
        <f ca="1">IFERROR(__xludf.DUMMYFUNCTION("""COMPUTED_VALUE"""),76.84)</f>
        <v>76.84</v>
      </c>
    </row>
    <row r="62" spans="1:33" ht="12.75" x14ac:dyDescent="0.2">
      <c r="A62" s="4">
        <f ca="1">IFERROR(__xludf.DUMMYFUNCTION("""COMPUTED_VALUE"""),44649.6666666666)</f>
        <v>44649.666666666599</v>
      </c>
      <c r="B62" s="3">
        <f ca="1">IFERROR(__xludf.DUMMYFUNCTION("""COMPUTED_VALUE"""),163.5)</f>
        <v>163.5</v>
      </c>
      <c r="C62" s="3">
        <f ca="1">IFERROR(__xludf.DUMMYFUNCTION("""COMPUTED_VALUE"""),428.92)</f>
        <v>428.92</v>
      </c>
      <c r="D62" s="3">
        <f ca="1">IFERROR(__xludf.DUMMYFUNCTION("""COMPUTED_VALUE"""),106.45)</f>
        <v>106.45</v>
      </c>
      <c r="E62" s="3">
        <f ca="1">IFERROR(__xludf.DUMMYFUNCTION("""COMPUTED_VALUE"""),166.77)</f>
        <v>166.77</v>
      </c>
      <c r="F62" s="3">
        <f ca="1">IFERROR(__xludf.DUMMYFUNCTION("""COMPUTED_VALUE"""),59.28)</f>
        <v>59.28</v>
      </c>
      <c r="G62" s="3">
        <f ca="1">IFERROR(__xludf.DUMMYFUNCTION("""COMPUTED_VALUE"""),29.96)</f>
        <v>29.96</v>
      </c>
      <c r="H62" s="3">
        <f ca="1">IFERROR(__xludf.DUMMYFUNCTION("""COMPUTED_VALUE"""),29.95)</f>
        <v>29.95</v>
      </c>
      <c r="I62" s="3">
        <f ca="1">IFERROR(__xludf.DUMMYFUNCTION("""COMPUTED_VALUE"""),138.07)</f>
        <v>138.07</v>
      </c>
      <c r="J62" s="3">
        <f ca="1">IFERROR(__xludf.DUMMYFUNCTION("""COMPUTED_VALUE"""),257.09)</f>
        <v>257.08999999999997</v>
      </c>
      <c r="K62" s="3">
        <f ca="1">IFERROR(__xludf.DUMMYFUNCTION("""COMPUTED_VALUE"""),132.71)</f>
        <v>132.71</v>
      </c>
      <c r="L62" s="3">
        <f ca="1">IFERROR(__xludf.DUMMYFUNCTION("""COMPUTED_VALUE"""),93.55)</f>
        <v>93.55</v>
      </c>
      <c r="M62" s="3">
        <f ca="1">IFERROR(__xludf.DUMMYFUNCTION("""COMPUTED_VALUE"""),63.12)</f>
        <v>63.12</v>
      </c>
      <c r="N62" s="3">
        <f ca="1">IFERROR(__xludf.DUMMYFUNCTION("""COMPUTED_VALUE"""),66.24)</f>
        <v>66.239999999999995</v>
      </c>
      <c r="O62" s="3">
        <f ca="1">IFERROR(__xludf.DUMMYFUNCTION("""COMPUTED_VALUE"""),62.2)</f>
        <v>62.2</v>
      </c>
      <c r="P62" s="3">
        <f ca="1">IFERROR(__xludf.DUMMYFUNCTION("""COMPUTED_VALUE"""),76.6)</f>
        <v>76.599999999999994</v>
      </c>
      <c r="Q62" s="3">
        <f ca="1">IFERROR(__xludf.DUMMYFUNCTION("""COMPUTED_VALUE"""),107.4)</f>
        <v>107.4</v>
      </c>
      <c r="R62" s="3">
        <f ca="1">IFERROR(__xludf.DUMMYFUNCTION("""COMPUTED_VALUE"""),89.64)</f>
        <v>89.64</v>
      </c>
      <c r="S62" s="3">
        <f ca="1">IFERROR(__xludf.DUMMYFUNCTION("""COMPUTED_VALUE"""),60.99)</f>
        <v>60.99</v>
      </c>
      <c r="T62" s="3">
        <f ca="1">IFERROR(__xludf.DUMMYFUNCTION("""COMPUTED_VALUE"""),26.08)</f>
        <v>26.08</v>
      </c>
      <c r="U62" s="3">
        <f ca="1">IFERROR(__xludf.DUMMYFUNCTION("""COMPUTED_VALUE"""),76.15)</f>
        <v>76.150000000000006</v>
      </c>
      <c r="V62" s="3">
        <f ca="1">IFERROR(__xludf.DUMMYFUNCTION("""COMPUTED_VALUE"""),77.06)</f>
        <v>77.06</v>
      </c>
      <c r="W62" s="3">
        <f ca="1">IFERROR(__xludf.DUMMYFUNCTION("""COMPUTED_VALUE"""),39.5)</f>
        <v>39.5</v>
      </c>
      <c r="X62" s="3">
        <f ca="1">IFERROR(__xludf.DUMMYFUNCTION("""COMPUTED_VALUE"""),96.44)</f>
        <v>96.44</v>
      </c>
      <c r="Y62" s="3">
        <f ca="1">IFERROR(__xludf.DUMMYFUNCTION("""COMPUTED_VALUE"""),54.95)</f>
        <v>54.95</v>
      </c>
      <c r="Z62" s="3">
        <f ca="1">IFERROR(__xludf.DUMMYFUNCTION("""COMPUTED_VALUE"""),87.17)</f>
        <v>87.17</v>
      </c>
      <c r="AA62" s="3">
        <f ca="1">IFERROR(__xludf.DUMMYFUNCTION("""COMPUTED_VALUE"""),49.13)</f>
        <v>49.13</v>
      </c>
      <c r="AB62" s="3">
        <f ca="1">IFERROR(__xludf.DUMMYFUNCTION("""COMPUTED_VALUE"""),72.42)</f>
        <v>72.42</v>
      </c>
      <c r="AC62" s="3">
        <f ca="1">IFERROR(__xludf.DUMMYFUNCTION("""COMPUTED_VALUE"""),62.5)</f>
        <v>62.5</v>
      </c>
      <c r="AD62" s="3">
        <f ca="1">IFERROR(__xludf.DUMMYFUNCTION("""COMPUTED_VALUE"""),18.57)</f>
        <v>18.57</v>
      </c>
      <c r="AE62" s="3">
        <f ca="1">IFERROR(__xludf.DUMMYFUNCTION("""COMPUTED_VALUE"""),29.98)</f>
        <v>29.98</v>
      </c>
      <c r="AF62" s="3">
        <f ca="1">IFERROR(__xludf.DUMMYFUNCTION("""COMPUTED_VALUE"""),6.57)</f>
        <v>6.57</v>
      </c>
      <c r="AG62" s="3">
        <f ca="1">IFERROR(__xludf.DUMMYFUNCTION("""COMPUTED_VALUE"""),76.92)</f>
        <v>76.92</v>
      </c>
    </row>
    <row r="63" spans="1:33" ht="12.75" x14ac:dyDescent="0.2">
      <c r="A63" s="4">
        <f ca="1">IFERROR(__xludf.DUMMYFUNCTION("""COMPUTED_VALUE"""),44650.6666666666)</f>
        <v>44650.666666666599</v>
      </c>
      <c r="B63" s="3">
        <f ca="1">IFERROR(__xludf.DUMMYFUNCTION("""COMPUTED_VALUE"""),161.32)</f>
        <v>161.32</v>
      </c>
      <c r="C63" s="3">
        <f ca="1">IFERROR(__xludf.DUMMYFUNCTION("""COMPUTED_VALUE"""),422.42)</f>
        <v>422.42</v>
      </c>
      <c r="D63" s="3">
        <f ca="1">IFERROR(__xludf.DUMMYFUNCTION("""COMPUTED_VALUE"""),104.8)</f>
        <v>104.8</v>
      </c>
      <c r="E63" s="3">
        <f ca="1">IFERROR(__xludf.DUMMYFUNCTION("""COMPUTED_VALUE"""),161.43)</f>
        <v>161.43</v>
      </c>
      <c r="F63" s="3">
        <f ca="1">IFERROR(__xludf.DUMMYFUNCTION("""COMPUTED_VALUE"""),58.9)</f>
        <v>58.9</v>
      </c>
      <c r="G63" s="3">
        <f ca="1">IFERROR(__xludf.DUMMYFUNCTION("""COMPUTED_VALUE"""),29.5)</f>
        <v>29.5</v>
      </c>
      <c r="H63" s="3">
        <f ca="1">IFERROR(__xludf.DUMMYFUNCTION("""COMPUTED_VALUE"""),29.46)</f>
        <v>29.46</v>
      </c>
      <c r="I63" s="3">
        <f ca="1">IFERROR(__xludf.DUMMYFUNCTION("""COMPUTED_VALUE"""),138.34)</f>
        <v>138.34</v>
      </c>
      <c r="J63" s="3">
        <f ca="1">IFERROR(__xludf.DUMMYFUNCTION("""COMPUTED_VALUE"""),257.2)</f>
        <v>257.2</v>
      </c>
      <c r="K63" s="3">
        <f ca="1">IFERROR(__xludf.DUMMYFUNCTION("""COMPUTED_VALUE"""),130.97)</f>
        <v>130.97</v>
      </c>
      <c r="L63" s="3">
        <f ca="1">IFERROR(__xludf.DUMMYFUNCTION("""COMPUTED_VALUE"""),90.68)</f>
        <v>90.68</v>
      </c>
      <c r="M63" s="3">
        <f ca="1">IFERROR(__xludf.DUMMYFUNCTION("""COMPUTED_VALUE"""),62.17)</f>
        <v>62.17</v>
      </c>
      <c r="N63" s="3">
        <f ca="1">IFERROR(__xludf.DUMMYFUNCTION("""COMPUTED_VALUE"""),66.25)</f>
        <v>66.25</v>
      </c>
      <c r="O63" s="3">
        <f ca="1">IFERROR(__xludf.DUMMYFUNCTION("""COMPUTED_VALUE"""),60.68)</f>
        <v>60.68</v>
      </c>
      <c r="P63" s="3">
        <f ca="1">IFERROR(__xludf.DUMMYFUNCTION("""COMPUTED_VALUE"""),77.49)</f>
        <v>77.489999999999995</v>
      </c>
      <c r="Q63" s="3">
        <f ca="1">IFERROR(__xludf.DUMMYFUNCTION("""COMPUTED_VALUE"""),108.52)</f>
        <v>108.52</v>
      </c>
      <c r="R63" s="3">
        <f ca="1">IFERROR(__xludf.DUMMYFUNCTION("""COMPUTED_VALUE"""),89.34)</f>
        <v>89.34</v>
      </c>
      <c r="S63" s="3">
        <f ca="1">IFERROR(__xludf.DUMMYFUNCTION("""COMPUTED_VALUE"""),61.66)</f>
        <v>61.66</v>
      </c>
      <c r="T63" s="3">
        <f ca="1">IFERROR(__xludf.DUMMYFUNCTION("""COMPUTED_VALUE"""),26.55)</f>
        <v>26.55</v>
      </c>
      <c r="U63" s="3">
        <f ca="1">IFERROR(__xludf.DUMMYFUNCTION("""COMPUTED_VALUE"""),77.91)</f>
        <v>77.91</v>
      </c>
      <c r="V63" s="3">
        <f ca="1">IFERROR(__xludf.DUMMYFUNCTION("""COMPUTED_VALUE"""),75.78)</f>
        <v>75.78</v>
      </c>
      <c r="W63" s="3">
        <f ca="1">IFERROR(__xludf.DUMMYFUNCTION("""COMPUTED_VALUE"""),39.22)</f>
        <v>39.22</v>
      </c>
      <c r="X63" s="3">
        <f ca="1">IFERROR(__xludf.DUMMYFUNCTION("""COMPUTED_VALUE"""),95.48)</f>
        <v>95.48</v>
      </c>
      <c r="Y63" s="3">
        <f ca="1">IFERROR(__xludf.DUMMYFUNCTION("""COMPUTED_VALUE"""),53.44)</f>
        <v>53.44</v>
      </c>
      <c r="Z63" s="3">
        <f ca="1">IFERROR(__xludf.DUMMYFUNCTION("""COMPUTED_VALUE"""),86.29)</f>
        <v>86.29</v>
      </c>
      <c r="AA63" s="3">
        <f ca="1">IFERROR(__xludf.DUMMYFUNCTION("""COMPUTED_VALUE"""),48.86)</f>
        <v>48.86</v>
      </c>
      <c r="AB63" s="3">
        <f ca="1">IFERROR(__xludf.DUMMYFUNCTION("""COMPUTED_VALUE"""),70.19)</f>
        <v>70.19</v>
      </c>
      <c r="AC63" s="3">
        <f ca="1">IFERROR(__xludf.DUMMYFUNCTION("""COMPUTED_VALUE"""),61.53)</f>
        <v>61.53</v>
      </c>
      <c r="AD63" s="3">
        <f ca="1">IFERROR(__xludf.DUMMYFUNCTION("""COMPUTED_VALUE"""),18.3)</f>
        <v>18.3</v>
      </c>
      <c r="AE63" s="3">
        <f ca="1">IFERROR(__xludf.DUMMYFUNCTION("""COMPUTED_VALUE"""),29.5)</f>
        <v>29.5</v>
      </c>
      <c r="AF63" s="3">
        <f ca="1">IFERROR(__xludf.DUMMYFUNCTION("""COMPUTED_VALUE"""),6.59)</f>
        <v>6.59</v>
      </c>
      <c r="AG63" s="3">
        <f ca="1">IFERROR(__xludf.DUMMYFUNCTION("""COMPUTED_VALUE"""),73.24)</f>
        <v>73.239999999999995</v>
      </c>
    </row>
    <row r="64" spans="1:33" ht="12.75" x14ac:dyDescent="0.2">
      <c r="A64" s="4">
        <f ca="1">IFERROR(__xludf.DUMMYFUNCTION("""COMPUTED_VALUE"""),44651.6666666666)</f>
        <v>44651.666666666599</v>
      </c>
      <c r="B64" s="3">
        <f ca="1">IFERROR(__xludf.DUMMYFUNCTION("""COMPUTED_VALUE"""),158.93)</f>
        <v>158.93</v>
      </c>
      <c r="C64" s="3">
        <f ca="1">IFERROR(__xludf.DUMMYFUNCTION("""COMPUTED_VALUE"""),416.48)</f>
        <v>416.48</v>
      </c>
      <c r="D64" s="3">
        <f ca="1">IFERROR(__xludf.DUMMYFUNCTION("""COMPUTED_VALUE"""),103.04)</f>
        <v>103.04</v>
      </c>
      <c r="E64" s="3">
        <f ca="1">IFERROR(__xludf.DUMMYFUNCTION("""COMPUTED_VALUE"""),157.76)</f>
        <v>157.76</v>
      </c>
      <c r="F64" s="3">
        <f ca="1">IFERROR(__xludf.DUMMYFUNCTION("""COMPUTED_VALUE"""),58.72)</f>
        <v>58.72</v>
      </c>
      <c r="G64" s="3">
        <f ca="1">IFERROR(__xludf.DUMMYFUNCTION("""COMPUTED_VALUE"""),29.01)</f>
        <v>29.01</v>
      </c>
      <c r="H64" s="3">
        <f ca="1">IFERROR(__xludf.DUMMYFUNCTION("""COMPUTED_VALUE"""),29.04)</f>
        <v>29.04</v>
      </c>
      <c r="I64" s="3">
        <f ca="1">IFERROR(__xludf.DUMMYFUNCTION("""COMPUTED_VALUE"""),136.99)</f>
        <v>136.99</v>
      </c>
      <c r="J64" s="3">
        <f ca="1">IFERROR(__xludf.DUMMYFUNCTION("""COMPUTED_VALUE"""),254.38)</f>
        <v>254.38</v>
      </c>
      <c r="K64" s="3">
        <f ca="1">IFERROR(__xludf.DUMMYFUNCTION("""COMPUTED_VALUE"""),130.3)</f>
        <v>130.30000000000001</v>
      </c>
      <c r="L64" s="3">
        <f ca="1">IFERROR(__xludf.DUMMYFUNCTION("""COMPUTED_VALUE"""),89.88)</f>
        <v>89.88</v>
      </c>
      <c r="M64" s="3">
        <f ca="1">IFERROR(__xludf.DUMMYFUNCTION("""COMPUTED_VALUE"""),62.03)</f>
        <v>62.03</v>
      </c>
      <c r="N64" s="3">
        <f ca="1">IFERROR(__xludf.DUMMYFUNCTION("""COMPUTED_VALUE"""),65.66)</f>
        <v>65.66</v>
      </c>
      <c r="O64" s="3">
        <f ca="1">IFERROR(__xludf.DUMMYFUNCTION("""COMPUTED_VALUE"""),60.12)</f>
        <v>60.12</v>
      </c>
      <c r="P64" s="3">
        <f ca="1">IFERROR(__xludf.DUMMYFUNCTION("""COMPUTED_VALUE"""),76.44)</f>
        <v>76.44</v>
      </c>
      <c r="Q64" s="3">
        <f ca="1">IFERROR(__xludf.DUMMYFUNCTION("""COMPUTED_VALUE"""),107.04)</f>
        <v>107.04</v>
      </c>
      <c r="R64" s="3">
        <f ca="1">IFERROR(__xludf.DUMMYFUNCTION("""COMPUTED_VALUE"""),88.15)</f>
        <v>88.15</v>
      </c>
      <c r="S64" s="3">
        <f ca="1">IFERROR(__xludf.DUMMYFUNCTION("""COMPUTED_VALUE"""),61.29)</f>
        <v>61.29</v>
      </c>
      <c r="T64" s="3">
        <f ca="1">IFERROR(__xludf.DUMMYFUNCTION("""COMPUTED_VALUE"""),26.06)</f>
        <v>26.06</v>
      </c>
      <c r="U64" s="3">
        <f ca="1">IFERROR(__xludf.DUMMYFUNCTION("""COMPUTED_VALUE"""),74.12)</f>
        <v>74.12</v>
      </c>
      <c r="V64" s="3">
        <f ca="1">IFERROR(__xludf.DUMMYFUNCTION("""COMPUTED_VALUE"""),75.46)</f>
        <v>75.459999999999994</v>
      </c>
      <c r="W64" s="3">
        <f ca="1">IFERROR(__xludf.DUMMYFUNCTION("""COMPUTED_VALUE"""),38.32)</f>
        <v>38.32</v>
      </c>
      <c r="X64" s="3">
        <f ca="1">IFERROR(__xludf.DUMMYFUNCTION("""COMPUTED_VALUE"""),93.39)</f>
        <v>93.39</v>
      </c>
      <c r="Y64" s="3">
        <f ca="1">IFERROR(__xludf.DUMMYFUNCTION("""COMPUTED_VALUE"""),52.35)</f>
        <v>52.35</v>
      </c>
      <c r="Z64" s="3">
        <f ca="1">IFERROR(__xludf.DUMMYFUNCTION("""COMPUTED_VALUE"""),84.53)</f>
        <v>84.53</v>
      </c>
      <c r="AA64" s="3">
        <f ca="1">IFERROR(__xludf.DUMMYFUNCTION("""COMPUTED_VALUE"""),48.32)</f>
        <v>48.32</v>
      </c>
      <c r="AB64" s="3">
        <f ca="1">IFERROR(__xludf.DUMMYFUNCTION("""COMPUTED_VALUE"""),68.9)</f>
        <v>68.900000000000006</v>
      </c>
      <c r="AC64" s="3">
        <f ca="1">IFERROR(__xludf.DUMMYFUNCTION("""COMPUTED_VALUE"""),60.11)</f>
        <v>60.11</v>
      </c>
      <c r="AD64" s="3">
        <f ca="1">IFERROR(__xludf.DUMMYFUNCTION("""COMPUTED_VALUE"""),17.7)</f>
        <v>17.7</v>
      </c>
      <c r="AE64" s="3">
        <f ca="1">IFERROR(__xludf.DUMMYFUNCTION("""COMPUTED_VALUE"""),28.56)</f>
        <v>28.56</v>
      </c>
      <c r="AF64" s="3">
        <f ca="1">IFERROR(__xludf.DUMMYFUNCTION("""COMPUTED_VALUE"""),6.38)</f>
        <v>6.38</v>
      </c>
      <c r="AG64" s="3">
        <f ca="1">IFERROR(__xludf.DUMMYFUNCTION("""COMPUTED_VALUE"""),69.8)</f>
        <v>69.8</v>
      </c>
    </row>
    <row r="65" spans="1:33" ht="12.75" x14ac:dyDescent="0.2">
      <c r="A65" s="4">
        <f ca="1">IFERROR(__xludf.DUMMYFUNCTION("""COMPUTED_VALUE"""),44652.6666666666)</f>
        <v>44652.666666666599</v>
      </c>
      <c r="B65" s="3">
        <f ca="1">IFERROR(__xludf.DUMMYFUNCTION("""COMPUTED_VALUE"""),158.46)</f>
        <v>158.46</v>
      </c>
      <c r="C65" s="3">
        <f ca="1">IFERROR(__xludf.DUMMYFUNCTION("""COMPUTED_VALUE"""),415.26)</f>
        <v>415.26</v>
      </c>
      <c r="D65" s="3">
        <f ca="1">IFERROR(__xludf.DUMMYFUNCTION("""COMPUTED_VALUE"""),102.76)</f>
        <v>102.76</v>
      </c>
      <c r="E65" s="3">
        <f ca="1">IFERROR(__xludf.DUMMYFUNCTION("""COMPUTED_VALUE"""),154.7)</f>
        <v>154.69999999999999</v>
      </c>
      <c r="F65" s="3">
        <f ca="1">IFERROR(__xludf.DUMMYFUNCTION("""COMPUTED_VALUE"""),58.92)</f>
        <v>58.92</v>
      </c>
      <c r="G65" s="3">
        <f ca="1">IFERROR(__xludf.DUMMYFUNCTION("""COMPUTED_VALUE"""),29.11)</f>
        <v>29.11</v>
      </c>
      <c r="H65" s="3">
        <f ca="1">IFERROR(__xludf.DUMMYFUNCTION("""COMPUTED_VALUE"""),29.1)</f>
        <v>29.1</v>
      </c>
      <c r="I65" s="3">
        <f ca="1">IFERROR(__xludf.DUMMYFUNCTION("""COMPUTED_VALUE"""),138.07)</f>
        <v>138.07</v>
      </c>
      <c r="J65" s="3">
        <f ca="1">IFERROR(__xludf.DUMMYFUNCTION("""COMPUTED_VALUE"""),257.64)</f>
        <v>257.64</v>
      </c>
      <c r="K65" s="3">
        <f ca="1">IFERROR(__xludf.DUMMYFUNCTION("""COMPUTED_VALUE"""),133.06)</f>
        <v>133.06</v>
      </c>
      <c r="L65" s="3">
        <f ca="1">IFERROR(__xludf.DUMMYFUNCTION("""COMPUTED_VALUE"""),93.26)</f>
        <v>93.26</v>
      </c>
      <c r="M65" s="3">
        <f ca="1">IFERROR(__xludf.DUMMYFUNCTION("""COMPUTED_VALUE"""),63.44)</f>
        <v>63.44</v>
      </c>
      <c r="N65" s="3">
        <f ca="1">IFERROR(__xludf.DUMMYFUNCTION("""COMPUTED_VALUE"""),66.34)</f>
        <v>66.34</v>
      </c>
      <c r="O65" s="3">
        <f ca="1">IFERROR(__xludf.DUMMYFUNCTION("""COMPUTED_VALUE"""),62.2)</f>
        <v>62.2</v>
      </c>
      <c r="P65" s="3">
        <f ca="1">IFERROR(__xludf.DUMMYFUNCTION("""COMPUTED_VALUE"""),77.06)</f>
        <v>77.06</v>
      </c>
      <c r="Q65" s="3">
        <f ca="1">IFERROR(__xludf.DUMMYFUNCTION("""COMPUTED_VALUE"""),108.37)</f>
        <v>108.37</v>
      </c>
      <c r="R65" s="3">
        <f ca="1">IFERROR(__xludf.DUMMYFUNCTION("""COMPUTED_VALUE"""),89.08)</f>
        <v>89.08</v>
      </c>
      <c r="S65" s="3">
        <f ca="1">IFERROR(__xludf.DUMMYFUNCTION("""COMPUTED_VALUE"""),62.42)</f>
        <v>62.42</v>
      </c>
      <c r="T65" s="3">
        <f ca="1">IFERROR(__xludf.DUMMYFUNCTION("""COMPUTED_VALUE"""),26.23)</f>
        <v>26.23</v>
      </c>
      <c r="U65" s="3">
        <f ca="1">IFERROR(__xludf.DUMMYFUNCTION("""COMPUTED_VALUE"""),74.17)</f>
        <v>74.17</v>
      </c>
      <c r="V65" s="3">
        <f ca="1">IFERROR(__xludf.DUMMYFUNCTION("""COMPUTED_VALUE"""),76.21)</f>
        <v>76.209999999999994</v>
      </c>
      <c r="W65" s="3">
        <f ca="1">IFERROR(__xludf.DUMMYFUNCTION("""COMPUTED_VALUE"""),38.22)</f>
        <v>38.22</v>
      </c>
      <c r="X65" s="3">
        <f ca="1">IFERROR(__xludf.DUMMYFUNCTION("""COMPUTED_VALUE"""),93.29)</f>
        <v>93.29</v>
      </c>
      <c r="Y65" s="3">
        <f ca="1">IFERROR(__xludf.DUMMYFUNCTION("""COMPUTED_VALUE"""),51.88)</f>
        <v>51.88</v>
      </c>
      <c r="Z65" s="3">
        <f ca="1">IFERROR(__xludf.DUMMYFUNCTION("""COMPUTED_VALUE"""),84.37)</f>
        <v>84.37</v>
      </c>
      <c r="AA65" s="3">
        <f ca="1">IFERROR(__xludf.DUMMYFUNCTION("""COMPUTED_VALUE"""),49.28)</f>
        <v>49.28</v>
      </c>
      <c r="AB65" s="3">
        <f ca="1">IFERROR(__xludf.DUMMYFUNCTION("""COMPUTED_VALUE"""),68.24)</f>
        <v>68.239999999999995</v>
      </c>
      <c r="AC65" s="3">
        <f ca="1">IFERROR(__xludf.DUMMYFUNCTION("""COMPUTED_VALUE"""),60.11)</f>
        <v>60.11</v>
      </c>
      <c r="AD65" s="3">
        <f ca="1">IFERROR(__xludf.DUMMYFUNCTION("""COMPUTED_VALUE"""),18.03)</f>
        <v>18.03</v>
      </c>
      <c r="AE65" s="3">
        <f ca="1">IFERROR(__xludf.DUMMYFUNCTION("""COMPUTED_VALUE"""),29.11)</f>
        <v>29.11</v>
      </c>
      <c r="AF65" s="3">
        <f ca="1">IFERROR(__xludf.DUMMYFUNCTION("""COMPUTED_VALUE"""),6.05)</f>
        <v>6.05</v>
      </c>
      <c r="AG65" s="3">
        <f ca="1">IFERROR(__xludf.DUMMYFUNCTION("""COMPUTED_VALUE"""),70.04)</f>
        <v>70.040000000000006</v>
      </c>
    </row>
    <row r="66" spans="1:33" ht="12.75" x14ac:dyDescent="0.2">
      <c r="A66" s="4">
        <f ca="1">IFERROR(__xludf.DUMMYFUNCTION("""COMPUTED_VALUE"""),44655.6666666666)</f>
        <v>44655.666666666599</v>
      </c>
      <c r="B66" s="3">
        <f ca="1">IFERROR(__xludf.DUMMYFUNCTION("""COMPUTED_VALUE"""),161.47)</f>
        <v>161.47</v>
      </c>
      <c r="C66" s="3">
        <f ca="1">IFERROR(__xludf.DUMMYFUNCTION("""COMPUTED_VALUE"""),423.43)</f>
        <v>423.43</v>
      </c>
      <c r="D66" s="3">
        <f ca="1">IFERROR(__xludf.DUMMYFUNCTION("""COMPUTED_VALUE"""),105.04)</f>
        <v>105.04</v>
      </c>
      <c r="E66" s="3">
        <f ca="1">IFERROR(__xludf.DUMMYFUNCTION("""COMPUTED_VALUE"""),157.22)</f>
        <v>157.22</v>
      </c>
      <c r="F66" s="3">
        <f ca="1">IFERROR(__xludf.DUMMYFUNCTION("""COMPUTED_VALUE"""),59.67)</f>
        <v>59.67</v>
      </c>
      <c r="G66" s="3">
        <f ca="1">IFERROR(__xludf.DUMMYFUNCTION("""COMPUTED_VALUE"""),29.37)</f>
        <v>29.37</v>
      </c>
      <c r="H66" s="3">
        <f ca="1">IFERROR(__xludf.DUMMYFUNCTION("""COMPUTED_VALUE"""),29.57)</f>
        <v>29.57</v>
      </c>
      <c r="I66" s="3">
        <f ca="1">IFERROR(__xludf.DUMMYFUNCTION("""COMPUTED_VALUE"""),136.92)</f>
        <v>136.91999999999999</v>
      </c>
      <c r="J66" s="3">
        <f ca="1">IFERROR(__xludf.DUMMYFUNCTION("""COMPUTED_VALUE"""),255.98)</f>
        <v>255.98</v>
      </c>
      <c r="K66" s="3">
        <f ca="1">IFERROR(__xludf.DUMMYFUNCTION("""COMPUTED_VALUE"""),134.76)</f>
        <v>134.76</v>
      </c>
      <c r="L66" s="3">
        <f ca="1">IFERROR(__xludf.DUMMYFUNCTION("""COMPUTED_VALUE"""),96.09)</f>
        <v>96.09</v>
      </c>
      <c r="M66" s="3">
        <f ca="1">IFERROR(__xludf.DUMMYFUNCTION("""COMPUTED_VALUE"""),64.09)</f>
        <v>64.09</v>
      </c>
      <c r="N66" s="3">
        <f ca="1">IFERROR(__xludf.DUMMYFUNCTION("""COMPUTED_VALUE"""),65.9)</f>
        <v>65.900000000000006</v>
      </c>
      <c r="O66" s="3">
        <f ca="1">IFERROR(__xludf.DUMMYFUNCTION("""COMPUTED_VALUE"""),63.6)</f>
        <v>63.6</v>
      </c>
      <c r="P66" s="3">
        <f ca="1">IFERROR(__xludf.DUMMYFUNCTION("""COMPUTED_VALUE"""),77.16)</f>
        <v>77.16</v>
      </c>
      <c r="Q66" s="3">
        <f ca="1">IFERROR(__xludf.DUMMYFUNCTION("""COMPUTED_VALUE"""),108.37)</f>
        <v>108.37</v>
      </c>
      <c r="R66" s="3">
        <f ca="1">IFERROR(__xludf.DUMMYFUNCTION("""COMPUTED_VALUE"""),89.1)</f>
        <v>89.1</v>
      </c>
      <c r="S66" s="3">
        <f ca="1">IFERROR(__xludf.DUMMYFUNCTION("""COMPUTED_VALUE"""),62.07)</f>
        <v>62.07</v>
      </c>
      <c r="T66" s="3">
        <f ca="1">IFERROR(__xludf.DUMMYFUNCTION("""COMPUTED_VALUE"""),26.73)</f>
        <v>26.73</v>
      </c>
      <c r="U66" s="3">
        <f ca="1">IFERROR(__xludf.DUMMYFUNCTION("""COMPUTED_VALUE"""),76.86)</f>
        <v>76.86</v>
      </c>
      <c r="V66" s="3">
        <f ca="1">IFERROR(__xludf.DUMMYFUNCTION("""COMPUTED_VALUE"""),79.41)</f>
        <v>79.41</v>
      </c>
      <c r="W66" s="3">
        <f ca="1">IFERROR(__xludf.DUMMYFUNCTION("""COMPUTED_VALUE"""),38.05)</f>
        <v>38.049999999999997</v>
      </c>
      <c r="X66" s="3">
        <f ca="1">IFERROR(__xludf.DUMMYFUNCTION("""COMPUTED_VALUE"""),92.99)</f>
        <v>92.99</v>
      </c>
      <c r="Y66" s="3">
        <f ca="1">IFERROR(__xludf.DUMMYFUNCTION("""COMPUTED_VALUE"""),51.62)</f>
        <v>51.62</v>
      </c>
      <c r="Z66" s="3">
        <f ca="1">IFERROR(__xludf.DUMMYFUNCTION("""COMPUTED_VALUE"""),84)</f>
        <v>84</v>
      </c>
      <c r="AA66" s="3">
        <f ca="1">IFERROR(__xludf.DUMMYFUNCTION("""COMPUTED_VALUE"""),49.13)</f>
        <v>49.13</v>
      </c>
      <c r="AB66" s="3">
        <f ca="1">IFERROR(__xludf.DUMMYFUNCTION("""COMPUTED_VALUE"""),67.88)</f>
        <v>67.88</v>
      </c>
      <c r="AC66" s="3">
        <f ca="1">IFERROR(__xludf.DUMMYFUNCTION("""COMPUTED_VALUE"""),60.23)</f>
        <v>60.23</v>
      </c>
      <c r="AD66" s="3">
        <f ca="1">IFERROR(__xludf.DUMMYFUNCTION("""COMPUTED_VALUE"""),17.85)</f>
        <v>17.850000000000001</v>
      </c>
      <c r="AE66" s="3">
        <f ca="1">IFERROR(__xludf.DUMMYFUNCTION("""COMPUTED_VALUE"""),28.78)</f>
        <v>28.78</v>
      </c>
      <c r="AF66" s="3">
        <f ca="1">IFERROR(__xludf.DUMMYFUNCTION("""COMPUTED_VALUE"""),6.07)</f>
        <v>6.07</v>
      </c>
      <c r="AG66" s="3">
        <f ca="1">IFERROR(__xludf.DUMMYFUNCTION("""COMPUTED_VALUE"""),71.56)</f>
        <v>71.56</v>
      </c>
    </row>
    <row r="67" spans="1:33" ht="12.75" x14ac:dyDescent="0.2">
      <c r="A67" s="4">
        <f ca="1">IFERROR(__xludf.DUMMYFUNCTION("""COMPUTED_VALUE"""),44656.6666666666)</f>
        <v>44656.666666666599</v>
      </c>
      <c r="B67" s="3">
        <f ca="1">IFERROR(__xludf.DUMMYFUNCTION("""COMPUTED_VALUE"""),158.07)</f>
        <v>158.07</v>
      </c>
      <c r="C67" s="3">
        <f ca="1">IFERROR(__xludf.DUMMYFUNCTION("""COMPUTED_VALUE"""),413.42)</f>
        <v>413.42</v>
      </c>
      <c r="D67" s="3">
        <f ca="1">IFERROR(__xludf.DUMMYFUNCTION("""COMPUTED_VALUE"""),102.48)</f>
        <v>102.48</v>
      </c>
      <c r="E67" s="3">
        <f ca="1">IFERROR(__xludf.DUMMYFUNCTION("""COMPUTED_VALUE"""),149.98)</f>
        <v>149.97999999999999</v>
      </c>
      <c r="F67" s="3">
        <f ca="1">IFERROR(__xludf.DUMMYFUNCTION("""COMPUTED_VALUE"""),58.65)</f>
        <v>58.65</v>
      </c>
      <c r="G67" s="3">
        <f ca="1">IFERROR(__xludf.DUMMYFUNCTION("""COMPUTED_VALUE"""),28.51)</f>
        <v>28.51</v>
      </c>
      <c r="H67" s="3">
        <f ca="1">IFERROR(__xludf.DUMMYFUNCTION("""COMPUTED_VALUE"""),28.88)</f>
        <v>28.88</v>
      </c>
      <c r="I67" s="3">
        <f ca="1">IFERROR(__xludf.DUMMYFUNCTION("""COMPUTED_VALUE"""),137.21)</f>
        <v>137.21</v>
      </c>
      <c r="J67" s="3">
        <f ca="1">IFERROR(__xludf.DUMMYFUNCTION("""COMPUTED_VALUE"""),255.8)</f>
        <v>255.8</v>
      </c>
      <c r="K67" s="3">
        <f ca="1">IFERROR(__xludf.DUMMYFUNCTION("""COMPUTED_VALUE"""),132.68)</f>
        <v>132.68</v>
      </c>
      <c r="L67" s="3">
        <f ca="1">IFERROR(__xludf.DUMMYFUNCTION("""COMPUTED_VALUE"""),93.25)</f>
        <v>93.25</v>
      </c>
      <c r="M67" s="3">
        <f ca="1">IFERROR(__xludf.DUMMYFUNCTION("""COMPUTED_VALUE"""),63.09)</f>
        <v>63.09</v>
      </c>
      <c r="N67" s="3">
        <f ca="1">IFERROR(__xludf.DUMMYFUNCTION("""COMPUTED_VALUE"""),65.86)</f>
        <v>65.86</v>
      </c>
      <c r="O67" s="3">
        <f ca="1">IFERROR(__xludf.DUMMYFUNCTION("""COMPUTED_VALUE"""),61.76)</f>
        <v>61.76</v>
      </c>
      <c r="P67" s="3">
        <f ca="1">IFERROR(__xludf.DUMMYFUNCTION("""COMPUTED_VALUE"""),75.95)</f>
        <v>75.95</v>
      </c>
      <c r="Q67" s="3">
        <f ca="1">IFERROR(__xludf.DUMMYFUNCTION("""COMPUTED_VALUE"""),106.58)</f>
        <v>106.58</v>
      </c>
      <c r="R67" s="3">
        <f ca="1">IFERROR(__xludf.DUMMYFUNCTION("""COMPUTED_VALUE"""),88.39)</f>
        <v>88.39</v>
      </c>
      <c r="S67" s="3">
        <f ca="1">IFERROR(__xludf.DUMMYFUNCTION("""COMPUTED_VALUE"""),60.57)</f>
        <v>60.57</v>
      </c>
      <c r="T67" s="3">
        <f ca="1">IFERROR(__xludf.DUMMYFUNCTION("""COMPUTED_VALUE"""),26.51)</f>
        <v>26.51</v>
      </c>
      <c r="U67" s="3">
        <f ca="1">IFERROR(__xludf.DUMMYFUNCTION("""COMPUTED_VALUE"""),74.8)</f>
        <v>74.8</v>
      </c>
      <c r="V67" s="3">
        <f ca="1">IFERROR(__xludf.DUMMYFUNCTION("""COMPUTED_VALUE"""),77.35)</f>
        <v>77.349999999999994</v>
      </c>
      <c r="W67" s="3">
        <f ca="1">IFERROR(__xludf.DUMMYFUNCTION("""COMPUTED_VALUE"""),37.81)</f>
        <v>37.81</v>
      </c>
      <c r="X67" s="3">
        <f ca="1">IFERROR(__xludf.DUMMYFUNCTION("""COMPUTED_VALUE"""),92.12)</f>
        <v>92.12</v>
      </c>
      <c r="Y67" s="3">
        <f ca="1">IFERROR(__xludf.DUMMYFUNCTION("""COMPUTED_VALUE"""),50.97)</f>
        <v>50.97</v>
      </c>
      <c r="Z67" s="3">
        <f ca="1">IFERROR(__xludf.DUMMYFUNCTION("""COMPUTED_VALUE"""),83.33)</f>
        <v>83.33</v>
      </c>
      <c r="AA67" s="3">
        <f ca="1">IFERROR(__xludf.DUMMYFUNCTION("""COMPUTED_VALUE"""),49.17)</f>
        <v>49.17</v>
      </c>
      <c r="AB67" s="3">
        <f ca="1">IFERROR(__xludf.DUMMYFUNCTION("""COMPUTED_VALUE"""),66.93)</f>
        <v>66.930000000000007</v>
      </c>
      <c r="AC67" s="3">
        <f ca="1">IFERROR(__xludf.DUMMYFUNCTION("""COMPUTED_VALUE"""),59.53)</f>
        <v>59.53</v>
      </c>
      <c r="AD67" s="3">
        <f ca="1">IFERROR(__xludf.DUMMYFUNCTION("""COMPUTED_VALUE"""),17.87)</f>
        <v>17.87</v>
      </c>
      <c r="AE67" s="3">
        <f ca="1">IFERROR(__xludf.DUMMYFUNCTION("""COMPUTED_VALUE"""),28.84)</f>
        <v>28.84</v>
      </c>
      <c r="AF67" s="3">
        <f ca="1">IFERROR(__xludf.DUMMYFUNCTION("""COMPUTED_VALUE"""),6.2)</f>
        <v>6.2</v>
      </c>
      <c r="AG67" s="3">
        <f ca="1">IFERROR(__xludf.DUMMYFUNCTION("""COMPUTED_VALUE"""),67.4)</f>
        <v>67.400000000000006</v>
      </c>
    </row>
    <row r="68" spans="1:33" ht="12.75" x14ac:dyDescent="0.2">
      <c r="A68" s="4">
        <f ca="1">IFERROR(__xludf.DUMMYFUNCTION("""COMPUTED_VALUE"""),44657.6666666666)</f>
        <v>44657.666666666599</v>
      </c>
      <c r="B68" s="3">
        <f ca="1">IFERROR(__xludf.DUMMYFUNCTION("""COMPUTED_VALUE"""),154.33)</f>
        <v>154.33000000000001</v>
      </c>
      <c r="C68" s="3">
        <f ca="1">IFERROR(__xludf.DUMMYFUNCTION("""COMPUTED_VALUE"""),402.32)</f>
        <v>402.32</v>
      </c>
      <c r="D68" s="3">
        <f ca="1">IFERROR(__xludf.DUMMYFUNCTION("""COMPUTED_VALUE"""),99.6)</f>
        <v>99.6</v>
      </c>
      <c r="E68" s="3">
        <f ca="1">IFERROR(__xludf.DUMMYFUNCTION("""COMPUTED_VALUE"""),146.25)</f>
        <v>146.25</v>
      </c>
      <c r="F68" s="3">
        <f ca="1">IFERROR(__xludf.DUMMYFUNCTION("""COMPUTED_VALUE"""),57.27)</f>
        <v>57.27</v>
      </c>
      <c r="G68" s="3">
        <f ca="1">IFERROR(__xludf.DUMMYFUNCTION("""COMPUTED_VALUE"""),27.66)</f>
        <v>27.66</v>
      </c>
      <c r="H68" s="3">
        <f ca="1">IFERROR(__xludf.DUMMYFUNCTION("""COMPUTED_VALUE"""),28.33)</f>
        <v>28.33</v>
      </c>
      <c r="I68" s="3">
        <f ca="1">IFERROR(__xludf.DUMMYFUNCTION("""COMPUTED_VALUE"""),139.3)</f>
        <v>139.30000000000001</v>
      </c>
      <c r="J68" s="3">
        <f ca="1">IFERROR(__xludf.DUMMYFUNCTION("""COMPUTED_VALUE"""),259.08)</f>
        <v>259.08</v>
      </c>
      <c r="K68" s="3">
        <f ca="1">IFERROR(__xludf.DUMMYFUNCTION("""COMPUTED_VALUE"""),132.48)</f>
        <v>132.47999999999999</v>
      </c>
      <c r="L68" s="3">
        <f ca="1">IFERROR(__xludf.DUMMYFUNCTION("""COMPUTED_VALUE"""),93.33)</f>
        <v>93.33</v>
      </c>
      <c r="M68" s="3">
        <f ca="1">IFERROR(__xludf.DUMMYFUNCTION("""COMPUTED_VALUE"""),63.55)</f>
        <v>63.55</v>
      </c>
      <c r="N68" s="3">
        <f ca="1">IFERROR(__xludf.DUMMYFUNCTION("""COMPUTED_VALUE"""),66.73)</f>
        <v>66.73</v>
      </c>
      <c r="O68" s="3">
        <f ca="1">IFERROR(__xludf.DUMMYFUNCTION("""COMPUTED_VALUE"""),61.04)</f>
        <v>61.04</v>
      </c>
      <c r="P68" s="3">
        <f ca="1">IFERROR(__xludf.DUMMYFUNCTION("""COMPUTED_VALUE"""),76.4)</f>
        <v>76.400000000000006</v>
      </c>
      <c r="Q68" s="3">
        <f ca="1">IFERROR(__xludf.DUMMYFUNCTION("""COMPUTED_VALUE"""),107.12)</f>
        <v>107.12</v>
      </c>
      <c r="R68" s="3">
        <f ca="1">IFERROR(__xludf.DUMMYFUNCTION("""COMPUTED_VALUE"""),87.37)</f>
        <v>87.37</v>
      </c>
      <c r="S68" s="3">
        <f ca="1">IFERROR(__xludf.DUMMYFUNCTION("""COMPUTED_VALUE"""),60.14)</f>
        <v>60.14</v>
      </c>
      <c r="T68" s="3">
        <f ca="1">IFERROR(__xludf.DUMMYFUNCTION("""COMPUTED_VALUE"""),26.3)</f>
        <v>26.3</v>
      </c>
      <c r="U68" s="3">
        <f ca="1">IFERROR(__xludf.DUMMYFUNCTION("""COMPUTED_VALUE"""),73.05)</f>
        <v>73.05</v>
      </c>
      <c r="V68" s="3">
        <f ca="1">IFERROR(__xludf.DUMMYFUNCTION("""COMPUTED_VALUE"""),75.34)</f>
        <v>75.34</v>
      </c>
      <c r="W68" s="3">
        <f ca="1">IFERROR(__xludf.DUMMYFUNCTION("""COMPUTED_VALUE"""),37.55)</f>
        <v>37.549999999999997</v>
      </c>
      <c r="X68" s="3">
        <f ca="1">IFERROR(__xludf.DUMMYFUNCTION("""COMPUTED_VALUE"""),91.34)</f>
        <v>91.34</v>
      </c>
      <c r="Y68" s="3">
        <f ca="1">IFERROR(__xludf.DUMMYFUNCTION("""COMPUTED_VALUE"""),50.1)</f>
        <v>50.1</v>
      </c>
      <c r="Z68" s="3">
        <f ca="1">IFERROR(__xludf.DUMMYFUNCTION("""COMPUTED_VALUE"""),82.65)</f>
        <v>82.65</v>
      </c>
      <c r="AA68" s="3">
        <f ca="1">IFERROR(__xludf.DUMMYFUNCTION("""COMPUTED_VALUE"""),49.9)</f>
        <v>49.9</v>
      </c>
      <c r="AB68" s="3">
        <f ca="1">IFERROR(__xludf.DUMMYFUNCTION("""COMPUTED_VALUE"""),65.93)</f>
        <v>65.930000000000007</v>
      </c>
      <c r="AC68" s="3">
        <f ca="1">IFERROR(__xludf.DUMMYFUNCTION("""COMPUTED_VALUE"""),58.57)</f>
        <v>58.57</v>
      </c>
      <c r="AD68" s="3">
        <f ca="1">IFERROR(__xludf.DUMMYFUNCTION("""COMPUTED_VALUE"""),16.97)</f>
        <v>16.97</v>
      </c>
      <c r="AE68" s="3">
        <f ca="1">IFERROR(__xludf.DUMMYFUNCTION("""COMPUTED_VALUE"""),27.34)</f>
        <v>27.34</v>
      </c>
      <c r="AF68" s="3">
        <f ca="1">IFERROR(__xludf.DUMMYFUNCTION("""COMPUTED_VALUE"""),5.82)</f>
        <v>5.82</v>
      </c>
      <c r="AG68" s="3">
        <f ca="1">IFERROR(__xludf.DUMMYFUNCTION("""COMPUTED_VALUE"""),63.52)</f>
        <v>63.52</v>
      </c>
    </row>
    <row r="69" spans="1:33" ht="12.75" x14ac:dyDescent="0.2">
      <c r="A69" s="4">
        <f ca="1">IFERROR(__xludf.DUMMYFUNCTION("""COMPUTED_VALUE"""),44658.6666666666)</f>
        <v>44658.666666666599</v>
      </c>
      <c r="B69" s="3">
        <f ca="1">IFERROR(__xludf.DUMMYFUNCTION("""COMPUTED_VALUE"""),154.57)</f>
        <v>154.57</v>
      </c>
      <c r="C69" s="3">
        <f ca="1">IFERROR(__xludf.DUMMYFUNCTION("""COMPUTED_VALUE"""),403.57)</f>
        <v>403.57</v>
      </c>
      <c r="D69" s="3">
        <f ca="1">IFERROR(__xludf.DUMMYFUNCTION("""COMPUTED_VALUE"""),99.94)</f>
        <v>99.94</v>
      </c>
      <c r="E69" s="3">
        <f ca="1">IFERROR(__xludf.DUMMYFUNCTION("""COMPUTED_VALUE"""),146.57)</f>
        <v>146.57</v>
      </c>
      <c r="F69" s="3">
        <f ca="1">IFERROR(__xludf.DUMMYFUNCTION("""COMPUTED_VALUE"""),57.7)</f>
        <v>57.7</v>
      </c>
      <c r="G69" s="3">
        <f ca="1">IFERROR(__xludf.DUMMYFUNCTION("""COMPUTED_VALUE"""),27.62)</f>
        <v>27.62</v>
      </c>
      <c r="H69" s="3">
        <f ca="1">IFERROR(__xludf.DUMMYFUNCTION("""COMPUTED_VALUE"""),28.46)</f>
        <v>28.46</v>
      </c>
      <c r="I69" s="3">
        <f ca="1">IFERROR(__xludf.DUMMYFUNCTION("""COMPUTED_VALUE"""),141.98)</f>
        <v>141.97999999999999</v>
      </c>
      <c r="J69" s="3">
        <f ca="1">IFERROR(__xludf.DUMMYFUNCTION("""COMPUTED_VALUE"""),263.49)</f>
        <v>263.49</v>
      </c>
      <c r="K69" s="3">
        <f ca="1">IFERROR(__xludf.DUMMYFUNCTION("""COMPUTED_VALUE"""),133.91)</f>
        <v>133.91</v>
      </c>
      <c r="L69" s="3">
        <f ca="1">IFERROR(__xludf.DUMMYFUNCTION("""COMPUTED_VALUE"""),92.43)</f>
        <v>92.43</v>
      </c>
      <c r="M69" s="3">
        <f ca="1">IFERROR(__xludf.DUMMYFUNCTION("""COMPUTED_VALUE"""),63.86)</f>
        <v>63.86</v>
      </c>
      <c r="N69" s="3">
        <f ca="1">IFERROR(__xludf.DUMMYFUNCTION("""COMPUTED_VALUE"""),67.83)</f>
        <v>67.83</v>
      </c>
      <c r="O69" s="3">
        <f ca="1">IFERROR(__xludf.DUMMYFUNCTION("""COMPUTED_VALUE"""),61)</f>
        <v>61</v>
      </c>
      <c r="P69" s="3">
        <f ca="1">IFERROR(__xludf.DUMMYFUNCTION("""COMPUTED_VALUE"""),77.4)</f>
        <v>77.400000000000006</v>
      </c>
      <c r="Q69" s="3">
        <f ca="1">IFERROR(__xludf.DUMMYFUNCTION("""COMPUTED_VALUE"""),108.49)</f>
        <v>108.49</v>
      </c>
      <c r="R69" s="3">
        <f ca="1">IFERROR(__xludf.DUMMYFUNCTION("""COMPUTED_VALUE"""),87.94)</f>
        <v>87.94</v>
      </c>
      <c r="S69" s="3">
        <f ca="1">IFERROR(__xludf.DUMMYFUNCTION("""COMPUTED_VALUE"""),61.49)</f>
        <v>61.49</v>
      </c>
      <c r="T69" s="3">
        <f ca="1">IFERROR(__xludf.DUMMYFUNCTION("""COMPUTED_VALUE"""),26.39)</f>
        <v>26.39</v>
      </c>
      <c r="U69" s="3">
        <f ca="1">IFERROR(__xludf.DUMMYFUNCTION("""COMPUTED_VALUE"""),73.11)</f>
        <v>73.11</v>
      </c>
      <c r="V69" s="3">
        <f ca="1">IFERROR(__xludf.DUMMYFUNCTION("""COMPUTED_VALUE"""),74.55)</f>
        <v>74.55</v>
      </c>
      <c r="W69" s="3">
        <f ca="1">IFERROR(__xludf.DUMMYFUNCTION("""COMPUTED_VALUE"""),37.51)</f>
        <v>37.51</v>
      </c>
      <c r="X69" s="3">
        <f ca="1">IFERROR(__xludf.DUMMYFUNCTION("""COMPUTED_VALUE"""),90.99)</f>
        <v>90.99</v>
      </c>
      <c r="Y69" s="3">
        <f ca="1">IFERROR(__xludf.DUMMYFUNCTION("""COMPUTED_VALUE"""),49.48)</f>
        <v>49.48</v>
      </c>
      <c r="Z69" s="3">
        <f ca="1">IFERROR(__xludf.DUMMYFUNCTION("""COMPUTED_VALUE"""),82.47)</f>
        <v>82.47</v>
      </c>
      <c r="AA69" s="3">
        <f ca="1">IFERROR(__xludf.DUMMYFUNCTION("""COMPUTED_VALUE"""),49.49)</f>
        <v>49.49</v>
      </c>
      <c r="AB69" s="3">
        <f ca="1">IFERROR(__xludf.DUMMYFUNCTION("""COMPUTED_VALUE"""),65.09)</f>
        <v>65.09</v>
      </c>
      <c r="AC69" s="3">
        <f ca="1">IFERROR(__xludf.DUMMYFUNCTION("""COMPUTED_VALUE"""),58.23)</f>
        <v>58.23</v>
      </c>
      <c r="AD69" s="3">
        <f ca="1">IFERROR(__xludf.DUMMYFUNCTION("""COMPUTED_VALUE"""),16.82)</f>
        <v>16.82</v>
      </c>
      <c r="AE69" s="3">
        <f ca="1">IFERROR(__xludf.DUMMYFUNCTION("""COMPUTED_VALUE"""),27.07)</f>
        <v>27.07</v>
      </c>
      <c r="AF69" s="3">
        <f ca="1">IFERROR(__xludf.DUMMYFUNCTION("""COMPUTED_VALUE"""),5.56)</f>
        <v>5.56</v>
      </c>
      <c r="AG69" s="3">
        <f ca="1">IFERROR(__xludf.DUMMYFUNCTION("""COMPUTED_VALUE"""),62.52)</f>
        <v>62.52</v>
      </c>
    </row>
    <row r="70" spans="1:33" ht="12.75" x14ac:dyDescent="0.2">
      <c r="A70" s="4">
        <f ca="1">IFERROR(__xludf.DUMMYFUNCTION("""COMPUTED_VALUE"""),44659.6666666666)</f>
        <v>44659.666666666599</v>
      </c>
      <c r="B70" s="3">
        <f ca="1">IFERROR(__xludf.DUMMYFUNCTION("""COMPUTED_VALUE"""),152.41)</f>
        <v>152.41</v>
      </c>
      <c r="C70" s="3">
        <f ca="1">IFERROR(__xludf.DUMMYFUNCTION("""COMPUTED_VALUE"""),397.65)</f>
        <v>397.65</v>
      </c>
      <c r="D70" s="3">
        <f ca="1">IFERROR(__xludf.DUMMYFUNCTION("""COMPUTED_VALUE"""),98.19)</f>
        <v>98.19</v>
      </c>
      <c r="E70" s="3">
        <f ca="1">IFERROR(__xludf.DUMMYFUNCTION("""COMPUTED_VALUE"""),142.93)</f>
        <v>142.93</v>
      </c>
      <c r="F70" s="3">
        <f ca="1">IFERROR(__xludf.DUMMYFUNCTION("""COMPUTED_VALUE"""),57.02)</f>
        <v>57.02</v>
      </c>
      <c r="G70" s="3">
        <f ca="1">IFERROR(__xludf.DUMMYFUNCTION("""COMPUTED_VALUE"""),27.23)</f>
        <v>27.23</v>
      </c>
      <c r="H70" s="3">
        <f ca="1">IFERROR(__xludf.DUMMYFUNCTION("""COMPUTED_VALUE"""),28.19)</f>
        <v>28.19</v>
      </c>
      <c r="I70" s="3">
        <f ca="1">IFERROR(__xludf.DUMMYFUNCTION("""COMPUTED_VALUE"""),142.83)</f>
        <v>142.83000000000001</v>
      </c>
      <c r="J70" s="3">
        <f ca="1">IFERROR(__xludf.DUMMYFUNCTION("""COMPUTED_VALUE"""),264.47)</f>
        <v>264.47000000000003</v>
      </c>
      <c r="K70" s="3">
        <f ca="1">IFERROR(__xludf.DUMMYFUNCTION("""COMPUTED_VALUE"""),133.34)</f>
        <v>133.34</v>
      </c>
      <c r="L70" s="3">
        <f ca="1">IFERROR(__xludf.DUMMYFUNCTION("""COMPUTED_VALUE"""),90.34)</f>
        <v>90.34</v>
      </c>
      <c r="M70" s="3">
        <f ca="1">IFERROR(__xludf.DUMMYFUNCTION("""COMPUTED_VALUE"""),63.41)</f>
        <v>63.41</v>
      </c>
      <c r="N70" s="3">
        <f ca="1">IFERROR(__xludf.DUMMYFUNCTION("""COMPUTED_VALUE"""),68.08)</f>
        <v>68.08</v>
      </c>
      <c r="O70" s="3">
        <f ca="1">IFERROR(__xludf.DUMMYFUNCTION("""COMPUTED_VALUE"""),60.32)</f>
        <v>60.32</v>
      </c>
      <c r="P70" s="3">
        <f ca="1">IFERROR(__xludf.DUMMYFUNCTION("""COMPUTED_VALUE"""),79.53)</f>
        <v>79.53</v>
      </c>
      <c r="Q70" s="3">
        <f ca="1">IFERROR(__xludf.DUMMYFUNCTION("""COMPUTED_VALUE"""),111.4)</f>
        <v>111.4</v>
      </c>
      <c r="R70" s="3">
        <f ca="1">IFERROR(__xludf.DUMMYFUNCTION("""COMPUTED_VALUE"""),88.48)</f>
        <v>88.48</v>
      </c>
      <c r="S70" s="3">
        <f ca="1">IFERROR(__xludf.DUMMYFUNCTION("""COMPUTED_VALUE"""),61.37)</f>
        <v>61.37</v>
      </c>
      <c r="T70" s="3">
        <f ca="1">IFERROR(__xludf.DUMMYFUNCTION("""COMPUTED_VALUE"""),26.72)</f>
        <v>26.72</v>
      </c>
      <c r="U70" s="3">
        <f ca="1">IFERROR(__xludf.DUMMYFUNCTION("""COMPUTED_VALUE"""),74.11)</f>
        <v>74.11</v>
      </c>
      <c r="V70" s="3">
        <f ca="1">IFERROR(__xludf.DUMMYFUNCTION("""COMPUTED_VALUE"""),72.71)</f>
        <v>72.709999999999994</v>
      </c>
      <c r="W70" s="3">
        <f ca="1">IFERROR(__xludf.DUMMYFUNCTION("""COMPUTED_VALUE"""),37.89)</f>
        <v>37.89</v>
      </c>
      <c r="X70" s="3">
        <f ca="1">IFERROR(__xludf.DUMMYFUNCTION("""COMPUTED_VALUE"""),91.7)</f>
        <v>91.7</v>
      </c>
      <c r="Y70" s="3">
        <f ca="1">IFERROR(__xludf.DUMMYFUNCTION("""COMPUTED_VALUE"""),49.52)</f>
        <v>49.52</v>
      </c>
      <c r="Z70" s="3">
        <f ca="1">IFERROR(__xludf.DUMMYFUNCTION("""COMPUTED_VALUE"""),83.18)</f>
        <v>83.18</v>
      </c>
      <c r="AA70" s="3">
        <f ca="1">IFERROR(__xludf.DUMMYFUNCTION("""COMPUTED_VALUE"""),49.67)</f>
        <v>49.67</v>
      </c>
      <c r="AB70" s="3">
        <f ca="1">IFERROR(__xludf.DUMMYFUNCTION("""COMPUTED_VALUE"""),64.99)</f>
        <v>64.989999999999995</v>
      </c>
      <c r="AC70" s="3">
        <f ca="1">IFERROR(__xludf.DUMMYFUNCTION("""COMPUTED_VALUE"""),58.65)</f>
        <v>58.65</v>
      </c>
      <c r="AD70" s="3">
        <f ca="1">IFERROR(__xludf.DUMMYFUNCTION("""COMPUTED_VALUE"""),16.57)</f>
        <v>16.57</v>
      </c>
      <c r="AE70" s="3">
        <f ca="1">IFERROR(__xludf.DUMMYFUNCTION("""COMPUTED_VALUE"""),26.68)</f>
        <v>26.68</v>
      </c>
      <c r="AF70" s="3">
        <f ca="1">IFERROR(__xludf.DUMMYFUNCTION("""COMPUTED_VALUE"""),5.52)</f>
        <v>5.52</v>
      </c>
      <c r="AG70" s="3">
        <f ca="1">IFERROR(__xludf.DUMMYFUNCTION("""COMPUTED_VALUE"""),60.12)</f>
        <v>60.12</v>
      </c>
    </row>
    <row r="71" spans="1:33" ht="12.75" x14ac:dyDescent="0.2">
      <c r="A71" s="4">
        <f ca="1">IFERROR(__xludf.DUMMYFUNCTION("""COMPUTED_VALUE"""),44662.6666666666)</f>
        <v>44662.666666666599</v>
      </c>
      <c r="B71" s="3">
        <f ca="1">IFERROR(__xludf.DUMMYFUNCTION("""COMPUTED_VALUE"""),148.57)</f>
        <v>148.57</v>
      </c>
      <c r="C71" s="3">
        <f ca="1">IFERROR(__xludf.DUMMYFUNCTION("""COMPUTED_VALUE"""),388.23)</f>
        <v>388.23</v>
      </c>
      <c r="D71" s="3">
        <f ca="1">IFERROR(__xludf.DUMMYFUNCTION("""COMPUTED_VALUE"""),95.8)</f>
        <v>95.8</v>
      </c>
      <c r="E71" s="3">
        <f ca="1">IFERROR(__xludf.DUMMYFUNCTION("""COMPUTED_VALUE"""),140)</f>
        <v>140</v>
      </c>
      <c r="F71" s="3">
        <f ca="1">IFERROR(__xludf.DUMMYFUNCTION("""COMPUTED_VALUE"""),57.23)</f>
        <v>57.23</v>
      </c>
      <c r="G71" s="3">
        <f ca="1">IFERROR(__xludf.DUMMYFUNCTION("""COMPUTED_VALUE"""),26.32)</f>
        <v>26.32</v>
      </c>
      <c r="H71" s="3">
        <f ca="1">IFERROR(__xludf.DUMMYFUNCTION("""COMPUTED_VALUE"""),27.83)</f>
        <v>27.83</v>
      </c>
      <c r="I71" s="3">
        <f ca="1">IFERROR(__xludf.DUMMYFUNCTION("""COMPUTED_VALUE"""),139.99)</f>
        <v>139.99</v>
      </c>
      <c r="J71" s="3">
        <f ca="1">IFERROR(__xludf.DUMMYFUNCTION("""COMPUTED_VALUE"""),258.96)</f>
        <v>258.95999999999998</v>
      </c>
      <c r="K71" s="3">
        <f ca="1">IFERROR(__xludf.DUMMYFUNCTION("""COMPUTED_VALUE"""),130.27)</f>
        <v>130.27000000000001</v>
      </c>
      <c r="L71" s="3">
        <f ca="1">IFERROR(__xludf.DUMMYFUNCTION("""COMPUTED_VALUE"""),87.32)</f>
        <v>87.32</v>
      </c>
      <c r="M71" s="3">
        <f ca="1">IFERROR(__xludf.DUMMYFUNCTION("""COMPUTED_VALUE"""),61.84)</f>
        <v>61.84</v>
      </c>
      <c r="N71" s="3">
        <f ca="1">IFERROR(__xludf.DUMMYFUNCTION("""COMPUTED_VALUE"""),66.73)</f>
        <v>66.73</v>
      </c>
      <c r="O71" s="3">
        <f ca="1">IFERROR(__xludf.DUMMYFUNCTION("""COMPUTED_VALUE"""),58.72)</f>
        <v>58.72</v>
      </c>
      <c r="P71" s="3">
        <f ca="1">IFERROR(__xludf.DUMMYFUNCTION("""COMPUTED_VALUE"""),77.14)</f>
        <v>77.14</v>
      </c>
      <c r="Q71" s="3">
        <f ca="1">IFERROR(__xludf.DUMMYFUNCTION("""COMPUTED_VALUE"""),108.1)</f>
        <v>108.1</v>
      </c>
      <c r="R71" s="3">
        <f ca="1">IFERROR(__xludf.DUMMYFUNCTION("""COMPUTED_VALUE"""),88.04)</f>
        <v>88.04</v>
      </c>
      <c r="S71" s="3">
        <f ca="1">IFERROR(__xludf.DUMMYFUNCTION("""COMPUTED_VALUE"""),60.8)</f>
        <v>60.8</v>
      </c>
      <c r="T71" s="3">
        <f ca="1">IFERROR(__xludf.DUMMYFUNCTION("""COMPUTED_VALUE"""),26.5)</f>
        <v>26.5</v>
      </c>
      <c r="U71" s="3">
        <f ca="1">IFERROR(__xludf.DUMMYFUNCTION("""COMPUTED_VALUE"""),72.3)</f>
        <v>72.3</v>
      </c>
      <c r="V71" s="3">
        <f ca="1">IFERROR(__xludf.DUMMYFUNCTION("""COMPUTED_VALUE"""),72.22)</f>
        <v>72.22</v>
      </c>
      <c r="W71" s="3">
        <f ca="1">IFERROR(__xludf.DUMMYFUNCTION("""COMPUTED_VALUE"""),37.72)</f>
        <v>37.72</v>
      </c>
      <c r="X71" s="3">
        <f ca="1">IFERROR(__xludf.DUMMYFUNCTION("""COMPUTED_VALUE"""),91.27)</f>
        <v>91.27</v>
      </c>
      <c r="Y71" s="3">
        <f ca="1">IFERROR(__xludf.DUMMYFUNCTION("""COMPUTED_VALUE"""),49.66)</f>
        <v>49.66</v>
      </c>
      <c r="Z71" s="3">
        <f ca="1">IFERROR(__xludf.DUMMYFUNCTION("""COMPUTED_VALUE"""),82.79)</f>
        <v>82.79</v>
      </c>
      <c r="AA71" s="3">
        <f ca="1">IFERROR(__xludf.DUMMYFUNCTION("""COMPUTED_VALUE"""),48.99)</f>
        <v>48.99</v>
      </c>
      <c r="AB71" s="3">
        <f ca="1">IFERROR(__xludf.DUMMYFUNCTION("""COMPUTED_VALUE"""),65.22)</f>
        <v>65.22</v>
      </c>
      <c r="AC71" s="3">
        <f ca="1">IFERROR(__xludf.DUMMYFUNCTION("""COMPUTED_VALUE"""),58.26)</f>
        <v>58.26</v>
      </c>
      <c r="AD71" s="3">
        <f ca="1">IFERROR(__xludf.DUMMYFUNCTION("""COMPUTED_VALUE"""),15.49)</f>
        <v>15.49</v>
      </c>
      <c r="AE71" s="3">
        <f ca="1">IFERROR(__xludf.DUMMYFUNCTION("""COMPUTED_VALUE"""),24.91)</f>
        <v>24.91</v>
      </c>
      <c r="AF71" s="3">
        <f ca="1">IFERROR(__xludf.DUMMYFUNCTION("""COMPUTED_VALUE"""),5.32)</f>
        <v>5.32</v>
      </c>
      <c r="AG71" s="3">
        <f ca="1">IFERROR(__xludf.DUMMYFUNCTION("""COMPUTED_VALUE"""),57.6)</f>
        <v>57.6</v>
      </c>
    </row>
    <row r="72" spans="1:33" ht="12.75" x14ac:dyDescent="0.2">
      <c r="A72" s="4">
        <f ca="1">IFERROR(__xludf.DUMMYFUNCTION("""COMPUTED_VALUE"""),44663.6666666666)</f>
        <v>44663.666666666599</v>
      </c>
      <c r="B72" s="3">
        <f ca="1">IFERROR(__xludf.DUMMYFUNCTION("""COMPUTED_VALUE"""),147.91)</f>
        <v>147.91</v>
      </c>
      <c r="C72" s="3">
        <f ca="1">IFERROR(__xludf.DUMMYFUNCTION("""COMPUTED_VALUE"""),387.17)</f>
        <v>387.17</v>
      </c>
      <c r="D72" s="3">
        <f ca="1">IFERROR(__xludf.DUMMYFUNCTION("""COMPUTED_VALUE"""),95.37)</f>
        <v>95.37</v>
      </c>
      <c r="E72" s="3">
        <f ca="1">IFERROR(__xludf.DUMMYFUNCTION("""COMPUTED_VALUE"""),139.57)</f>
        <v>139.57</v>
      </c>
      <c r="F72" s="3">
        <f ca="1">IFERROR(__xludf.DUMMYFUNCTION("""COMPUTED_VALUE"""),57.34)</f>
        <v>57.34</v>
      </c>
      <c r="G72" s="3">
        <f ca="1">IFERROR(__xludf.DUMMYFUNCTION("""COMPUTED_VALUE"""),25.91)</f>
        <v>25.91</v>
      </c>
      <c r="H72" s="3">
        <f ca="1">IFERROR(__xludf.DUMMYFUNCTION("""COMPUTED_VALUE"""),27.75)</f>
        <v>27.75</v>
      </c>
      <c r="I72" s="3">
        <f ca="1">IFERROR(__xludf.DUMMYFUNCTION("""COMPUTED_VALUE"""),138.63)</f>
        <v>138.63</v>
      </c>
      <c r="J72" s="3">
        <f ca="1">IFERROR(__xludf.DUMMYFUNCTION("""COMPUTED_VALUE"""),256.78)</f>
        <v>256.77999999999997</v>
      </c>
      <c r="K72" s="3">
        <f ca="1">IFERROR(__xludf.DUMMYFUNCTION("""COMPUTED_VALUE"""),129.27)</f>
        <v>129.27000000000001</v>
      </c>
      <c r="L72" s="3">
        <f ca="1">IFERROR(__xludf.DUMMYFUNCTION("""COMPUTED_VALUE"""),87.15)</f>
        <v>87.15</v>
      </c>
      <c r="M72" s="3">
        <f ca="1">IFERROR(__xludf.DUMMYFUNCTION("""COMPUTED_VALUE"""),61.44)</f>
        <v>61.44</v>
      </c>
      <c r="N72" s="3">
        <f ca="1">IFERROR(__xludf.DUMMYFUNCTION("""COMPUTED_VALUE"""),66.12)</f>
        <v>66.12</v>
      </c>
      <c r="O72" s="3">
        <f ca="1">IFERROR(__xludf.DUMMYFUNCTION("""COMPUTED_VALUE"""),58.8)</f>
        <v>58.8</v>
      </c>
      <c r="P72" s="3">
        <f ca="1">IFERROR(__xludf.DUMMYFUNCTION("""COMPUTED_VALUE"""),78.42)</f>
        <v>78.42</v>
      </c>
      <c r="Q72" s="3">
        <f ca="1">IFERROR(__xludf.DUMMYFUNCTION("""COMPUTED_VALUE"""),109.92)</f>
        <v>109.92</v>
      </c>
      <c r="R72" s="3">
        <f ca="1">IFERROR(__xludf.DUMMYFUNCTION("""COMPUTED_VALUE"""),88.06)</f>
        <v>88.06</v>
      </c>
      <c r="S72" s="3">
        <f ca="1">IFERROR(__xludf.DUMMYFUNCTION("""COMPUTED_VALUE"""),62.33)</f>
        <v>62.33</v>
      </c>
      <c r="T72" s="3">
        <f ca="1">IFERROR(__xludf.DUMMYFUNCTION("""COMPUTED_VALUE"""),27.29)</f>
        <v>27.29</v>
      </c>
      <c r="U72" s="3">
        <f ca="1">IFERROR(__xludf.DUMMYFUNCTION("""COMPUTED_VALUE"""),75.98)</f>
        <v>75.98</v>
      </c>
      <c r="V72" s="3">
        <f ca="1">IFERROR(__xludf.DUMMYFUNCTION("""COMPUTED_VALUE"""),71.71)</f>
        <v>71.709999999999994</v>
      </c>
      <c r="W72" s="3">
        <f ca="1">IFERROR(__xludf.DUMMYFUNCTION("""COMPUTED_VALUE"""),37.31)</f>
        <v>37.31</v>
      </c>
      <c r="X72" s="3">
        <f ca="1">IFERROR(__xludf.DUMMYFUNCTION("""COMPUTED_VALUE"""),90.39)</f>
        <v>90.39</v>
      </c>
      <c r="Y72" s="3">
        <f ca="1">IFERROR(__xludf.DUMMYFUNCTION("""COMPUTED_VALUE"""),49.15)</f>
        <v>49.15</v>
      </c>
      <c r="Z72" s="3">
        <f ca="1">IFERROR(__xludf.DUMMYFUNCTION("""COMPUTED_VALUE"""),81.93)</f>
        <v>81.93</v>
      </c>
      <c r="AA72" s="3">
        <f ca="1">IFERROR(__xludf.DUMMYFUNCTION("""COMPUTED_VALUE"""),48.84)</f>
        <v>48.84</v>
      </c>
      <c r="AB72" s="3">
        <f ca="1">IFERROR(__xludf.DUMMYFUNCTION("""COMPUTED_VALUE"""),64.62)</f>
        <v>64.62</v>
      </c>
      <c r="AC72" s="3">
        <f ca="1">IFERROR(__xludf.DUMMYFUNCTION("""COMPUTED_VALUE"""),57.59)</f>
        <v>57.59</v>
      </c>
      <c r="AD72" s="3">
        <f ca="1">IFERROR(__xludf.DUMMYFUNCTION("""COMPUTED_VALUE"""),15.2)</f>
        <v>15.2</v>
      </c>
      <c r="AE72" s="3">
        <f ca="1">IFERROR(__xludf.DUMMYFUNCTION("""COMPUTED_VALUE"""),24.49)</f>
        <v>24.49</v>
      </c>
      <c r="AF72" s="3">
        <f ca="1">IFERROR(__xludf.DUMMYFUNCTION("""COMPUTED_VALUE"""),5.18)</f>
        <v>5.18</v>
      </c>
      <c r="AG72" s="3">
        <f ca="1">IFERROR(__xludf.DUMMYFUNCTION("""COMPUTED_VALUE"""),56.36)</f>
        <v>56.36</v>
      </c>
    </row>
    <row r="73" spans="1:33" ht="12.75" x14ac:dyDescent="0.2">
      <c r="A73" s="4">
        <f ca="1">IFERROR(__xludf.DUMMYFUNCTION("""COMPUTED_VALUE"""),44664.6666666666)</f>
        <v>44664.666666666599</v>
      </c>
      <c r="B73" s="3">
        <f ca="1">IFERROR(__xludf.DUMMYFUNCTION("""COMPUTED_VALUE"""),150.29)</f>
        <v>150.29</v>
      </c>
      <c r="C73" s="3">
        <f ca="1">IFERROR(__xludf.DUMMYFUNCTION("""COMPUTED_VALUE"""),393.92)</f>
        <v>393.92</v>
      </c>
      <c r="D73" s="3">
        <f ca="1">IFERROR(__xludf.DUMMYFUNCTION("""COMPUTED_VALUE"""),97.12)</f>
        <v>97.12</v>
      </c>
      <c r="E73" s="3">
        <f ca="1">IFERROR(__xludf.DUMMYFUNCTION("""COMPUTED_VALUE"""),142.57)</f>
        <v>142.57</v>
      </c>
      <c r="F73" s="3">
        <f ca="1">IFERROR(__xludf.DUMMYFUNCTION("""COMPUTED_VALUE"""),58.97)</f>
        <v>58.97</v>
      </c>
      <c r="G73" s="3">
        <f ca="1">IFERROR(__xludf.DUMMYFUNCTION("""COMPUTED_VALUE"""),26.57)</f>
        <v>26.57</v>
      </c>
      <c r="H73" s="3">
        <f ca="1">IFERROR(__xludf.DUMMYFUNCTION("""COMPUTED_VALUE"""),28.32)</f>
        <v>28.32</v>
      </c>
      <c r="I73" s="3">
        <f ca="1">IFERROR(__xludf.DUMMYFUNCTION("""COMPUTED_VALUE"""),139.31)</f>
        <v>139.31</v>
      </c>
      <c r="J73" s="3">
        <f ca="1">IFERROR(__xludf.DUMMYFUNCTION("""COMPUTED_VALUE"""),258.66)</f>
        <v>258.66000000000003</v>
      </c>
      <c r="K73" s="3">
        <f ca="1">IFERROR(__xludf.DUMMYFUNCTION("""COMPUTED_VALUE"""),132.5)</f>
        <v>132.5</v>
      </c>
      <c r="L73" s="3">
        <f ca="1">IFERROR(__xludf.DUMMYFUNCTION("""COMPUTED_VALUE"""),90.41)</f>
        <v>90.41</v>
      </c>
      <c r="M73" s="3">
        <f ca="1">IFERROR(__xludf.DUMMYFUNCTION("""COMPUTED_VALUE"""),63)</f>
        <v>63</v>
      </c>
      <c r="N73" s="3">
        <f ca="1">IFERROR(__xludf.DUMMYFUNCTION("""COMPUTED_VALUE"""),66.59)</f>
        <v>66.59</v>
      </c>
      <c r="O73" s="3">
        <f ca="1">IFERROR(__xludf.DUMMYFUNCTION("""COMPUTED_VALUE"""),59.6)</f>
        <v>59.6</v>
      </c>
      <c r="P73" s="3">
        <f ca="1">IFERROR(__xludf.DUMMYFUNCTION("""COMPUTED_VALUE"""),79.59)</f>
        <v>79.59</v>
      </c>
      <c r="Q73" s="3">
        <f ca="1">IFERROR(__xludf.DUMMYFUNCTION("""COMPUTED_VALUE"""),111.66)</f>
        <v>111.66</v>
      </c>
      <c r="R73" s="3">
        <f ca="1">IFERROR(__xludf.DUMMYFUNCTION("""COMPUTED_VALUE"""),89.36)</f>
        <v>89.36</v>
      </c>
      <c r="S73" s="3">
        <f ca="1">IFERROR(__xludf.DUMMYFUNCTION("""COMPUTED_VALUE"""),65.16)</f>
        <v>65.16</v>
      </c>
      <c r="T73" s="3">
        <f ca="1">IFERROR(__xludf.DUMMYFUNCTION("""COMPUTED_VALUE"""),27.89)</f>
        <v>27.89</v>
      </c>
      <c r="U73" s="3">
        <f ca="1">IFERROR(__xludf.DUMMYFUNCTION("""COMPUTED_VALUE"""),78.42)</f>
        <v>78.42</v>
      </c>
      <c r="V73" s="3">
        <f ca="1">IFERROR(__xludf.DUMMYFUNCTION("""COMPUTED_VALUE"""),73)</f>
        <v>73</v>
      </c>
      <c r="W73" s="3">
        <f ca="1">IFERROR(__xludf.DUMMYFUNCTION("""COMPUTED_VALUE"""),37.31)</f>
        <v>37.31</v>
      </c>
      <c r="X73" s="3">
        <f ca="1">IFERROR(__xludf.DUMMYFUNCTION("""COMPUTED_VALUE"""),90.67)</f>
        <v>90.67</v>
      </c>
      <c r="Y73" s="3">
        <f ca="1">IFERROR(__xludf.DUMMYFUNCTION("""COMPUTED_VALUE"""),49.84)</f>
        <v>49.84</v>
      </c>
      <c r="Z73" s="3">
        <f ca="1">IFERROR(__xludf.DUMMYFUNCTION("""COMPUTED_VALUE"""),82.11)</f>
        <v>82.11</v>
      </c>
      <c r="AA73" s="3">
        <f ca="1">IFERROR(__xludf.DUMMYFUNCTION("""COMPUTED_VALUE"""),49.04)</f>
        <v>49.04</v>
      </c>
      <c r="AB73" s="3">
        <f ca="1">IFERROR(__xludf.DUMMYFUNCTION("""COMPUTED_VALUE"""),65.53)</f>
        <v>65.53</v>
      </c>
      <c r="AC73" s="3">
        <f ca="1">IFERROR(__xludf.DUMMYFUNCTION("""COMPUTED_VALUE"""),57.92)</f>
        <v>57.92</v>
      </c>
      <c r="AD73" s="3">
        <f ca="1">IFERROR(__xludf.DUMMYFUNCTION("""COMPUTED_VALUE"""),15.93)</f>
        <v>15.93</v>
      </c>
      <c r="AE73" s="3">
        <f ca="1">IFERROR(__xludf.DUMMYFUNCTION("""COMPUTED_VALUE"""),25.67)</f>
        <v>25.67</v>
      </c>
      <c r="AF73" s="3">
        <f ca="1">IFERROR(__xludf.DUMMYFUNCTION("""COMPUTED_VALUE"""),5.19)</f>
        <v>5.19</v>
      </c>
      <c r="AG73" s="3">
        <f ca="1">IFERROR(__xludf.DUMMYFUNCTION("""COMPUTED_VALUE"""),58.28)</f>
        <v>58.28</v>
      </c>
    </row>
    <row r="74" spans="1:33" ht="12.75" x14ac:dyDescent="0.2">
      <c r="A74" s="4">
        <f ca="1">IFERROR(__xludf.DUMMYFUNCTION("""COMPUTED_VALUE"""),44665.6666666666)</f>
        <v>44665.666666666599</v>
      </c>
      <c r="B74" s="3">
        <f ca="1">IFERROR(__xludf.DUMMYFUNCTION("""COMPUTED_VALUE"""),146.64)</f>
        <v>146.63999999999999</v>
      </c>
      <c r="C74" s="3">
        <f ca="1">IFERROR(__xludf.DUMMYFUNCTION("""COMPUTED_VALUE"""),384.18)</f>
        <v>384.18</v>
      </c>
      <c r="D74" s="3">
        <f ca="1">IFERROR(__xludf.DUMMYFUNCTION("""COMPUTED_VALUE"""),94.49)</f>
        <v>94.49</v>
      </c>
      <c r="E74" s="3">
        <f ca="1">IFERROR(__xludf.DUMMYFUNCTION("""COMPUTED_VALUE"""),138.63)</f>
        <v>138.63</v>
      </c>
      <c r="F74" s="3">
        <f ca="1">IFERROR(__xludf.DUMMYFUNCTION("""COMPUTED_VALUE"""),57.91)</f>
        <v>57.91</v>
      </c>
      <c r="G74" s="3">
        <f ca="1">IFERROR(__xludf.DUMMYFUNCTION("""COMPUTED_VALUE"""),26.07)</f>
        <v>26.07</v>
      </c>
      <c r="H74" s="3">
        <f ca="1">IFERROR(__xludf.DUMMYFUNCTION("""COMPUTED_VALUE"""),27.95)</f>
        <v>27.95</v>
      </c>
      <c r="I74" s="3">
        <f ca="1">IFERROR(__xludf.DUMMYFUNCTION("""COMPUTED_VALUE"""),138.64)</f>
        <v>138.63999999999999</v>
      </c>
      <c r="J74" s="3">
        <f ca="1">IFERROR(__xludf.DUMMYFUNCTION("""COMPUTED_VALUE"""),257.11)</f>
        <v>257.11</v>
      </c>
      <c r="K74" s="3">
        <f ca="1">IFERROR(__xludf.DUMMYFUNCTION("""COMPUTED_VALUE"""),130.86)</f>
        <v>130.86000000000001</v>
      </c>
      <c r="L74" s="3">
        <f ca="1">IFERROR(__xludf.DUMMYFUNCTION("""COMPUTED_VALUE"""),87.77)</f>
        <v>87.77</v>
      </c>
      <c r="M74" s="3">
        <f ca="1">IFERROR(__xludf.DUMMYFUNCTION("""COMPUTED_VALUE"""),62.16)</f>
        <v>62.16</v>
      </c>
      <c r="N74" s="3">
        <f ca="1">IFERROR(__xludf.DUMMYFUNCTION("""COMPUTED_VALUE"""),66.22)</f>
        <v>66.22</v>
      </c>
      <c r="O74" s="3">
        <f ca="1">IFERROR(__xludf.DUMMYFUNCTION("""COMPUTED_VALUE"""),58)</f>
        <v>58</v>
      </c>
      <c r="P74" s="3">
        <f ca="1">IFERROR(__xludf.DUMMYFUNCTION("""COMPUTED_VALUE"""),79.85)</f>
        <v>79.849999999999994</v>
      </c>
      <c r="Q74" s="3">
        <f ca="1">IFERROR(__xludf.DUMMYFUNCTION("""COMPUTED_VALUE"""),112.12)</f>
        <v>112.12</v>
      </c>
      <c r="R74" s="3">
        <f ca="1">IFERROR(__xludf.DUMMYFUNCTION("""COMPUTED_VALUE"""),89.06)</f>
        <v>89.06</v>
      </c>
      <c r="S74" s="3">
        <f ca="1">IFERROR(__xludf.DUMMYFUNCTION("""COMPUTED_VALUE"""),65.85)</f>
        <v>65.849999999999994</v>
      </c>
      <c r="T74" s="3">
        <f ca="1">IFERROR(__xludf.DUMMYFUNCTION("""COMPUTED_VALUE"""),28.1)</f>
        <v>28.1</v>
      </c>
      <c r="U74" s="3">
        <f ca="1">IFERROR(__xludf.DUMMYFUNCTION("""COMPUTED_VALUE"""),79.57)</f>
        <v>79.569999999999993</v>
      </c>
      <c r="V74" s="3">
        <f ca="1">IFERROR(__xludf.DUMMYFUNCTION("""COMPUTED_VALUE"""),72.04)</f>
        <v>72.040000000000006</v>
      </c>
      <c r="W74" s="3">
        <f ca="1">IFERROR(__xludf.DUMMYFUNCTION("""COMPUTED_VALUE"""),36.89)</f>
        <v>36.89</v>
      </c>
      <c r="X74" s="3">
        <f ca="1">IFERROR(__xludf.DUMMYFUNCTION("""COMPUTED_VALUE"""),89.64)</f>
        <v>89.64</v>
      </c>
      <c r="Y74" s="3">
        <f ca="1">IFERROR(__xludf.DUMMYFUNCTION("""COMPUTED_VALUE"""),49.37)</f>
        <v>49.37</v>
      </c>
      <c r="Z74" s="3">
        <f ca="1">IFERROR(__xludf.DUMMYFUNCTION("""COMPUTED_VALUE"""),81.23)</f>
        <v>81.23</v>
      </c>
      <c r="AA74" s="3">
        <f ca="1">IFERROR(__xludf.DUMMYFUNCTION("""COMPUTED_VALUE"""),48.76)</f>
        <v>48.76</v>
      </c>
      <c r="AB74" s="3">
        <f ca="1">IFERROR(__xludf.DUMMYFUNCTION("""COMPUTED_VALUE"""),64.69)</f>
        <v>64.69</v>
      </c>
      <c r="AC74" s="3">
        <f ca="1">IFERROR(__xludf.DUMMYFUNCTION("""COMPUTED_VALUE"""),57.28)</f>
        <v>57.28</v>
      </c>
      <c r="AD74" s="3">
        <f ca="1">IFERROR(__xludf.DUMMYFUNCTION("""COMPUTED_VALUE"""),15.43)</f>
        <v>15.43</v>
      </c>
      <c r="AE74" s="3">
        <f ca="1">IFERROR(__xludf.DUMMYFUNCTION("""COMPUTED_VALUE"""),24.88)</f>
        <v>24.88</v>
      </c>
      <c r="AF74" s="3">
        <f ca="1">IFERROR(__xludf.DUMMYFUNCTION("""COMPUTED_VALUE"""),5.29)</f>
        <v>5.29</v>
      </c>
      <c r="AG74" s="3">
        <f ca="1">IFERROR(__xludf.DUMMYFUNCTION("""COMPUTED_VALUE"""),55.96)</f>
        <v>55.96</v>
      </c>
    </row>
    <row r="75" spans="1:33" ht="12.75" x14ac:dyDescent="0.2">
      <c r="A75" s="4">
        <f ca="1">IFERROR(__xludf.DUMMYFUNCTION("""COMPUTED_VALUE"""),44669.6666666666)</f>
        <v>44669.666666666599</v>
      </c>
      <c r="B75" s="3">
        <f ca="1">IFERROR(__xludf.DUMMYFUNCTION("""COMPUTED_VALUE"""),147.12)</f>
        <v>147.12</v>
      </c>
      <c r="C75" s="3">
        <f ca="1">IFERROR(__xludf.DUMMYFUNCTION("""COMPUTED_VALUE"""),384.63)</f>
        <v>384.63</v>
      </c>
      <c r="D75" s="3">
        <f ca="1">IFERROR(__xludf.DUMMYFUNCTION("""COMPUTED_VALUE"""),94.79)</f>
        <v>94.79</v>
      </c>
      <c r="E75" s="3">
        <f ca="1">IFERROR(__xludf.DUMMYFUNCTION("""COMPUTED_VALUE"""),141.03)</f>
        <v>141.03</v>
      </c>
      <c r="F75" s="3">
        <f ca="1">IFERROR(__xludf.DUMMYFUNCTION("""COMPUTED_VALUE"""),57.06)</f>
        <v>57.06</v>
      </c>
      <c r="G75" s="3">
        <f ca="1">IFERROR(__xludf.DUMMYFUNCTION("""COMPUTED_VALUE"""),25.8)</f>
        <v>25.8</v>
      </c>
      <c r="H75" s="3">
        <f ca="1">IFERROR(__xludf.DUMMYFUNCTION("""COMPUTED_VALUE"""),27.62)</f>
        <v>27.62</v>
      </c>
      <c r="I75" s="3">
        <f ca="1">IFERROR(__xludf.DUMMYFUNCTION("""COMPUTED_VALUE"""),137.11)</f>
        <v>137.11000000000001</v>
      </c>
      <c r="J75" s="3">
        <f ca="1">IFERROR(__xludf.DUMMYFUNCTION("""COMPUTED_VALUE"""),253.58)</f>
        <v>253.58</v>
      </c>
      <c r="K75" s="3">
        <f ca="1">IFERROR(__xludf.DUMMYFUNCTION("""COMPUTED_VALUE"""),127.1)</f>
        <v>127.1</v>
      </c>
      <c r="L75" s="3">
        <f ca="1">IFERROR(__xludf.DUMMYFUNCTION("""COMPUTED_VALUE"""),83.59)</f>
        <v>83.59</v>
      </c>
      <c r="M75" s="3">
        <f ca="1">IFERROR(__xludf.DUMMYFUNCTION("""COMPUTED_VALUE"""),60.57)</f>
        <v>60.57</v>
      </c>
      <c r="N75" s="3">
        <f ca="1">IFERROR(__xludf.DUMMYFUNCTION("""COMPUTED_VALUE"""),65.31)</f>
        <v>65.31</v>
      </c>
      <c r="O75" s="3">
        <f ca="1">IFERROR(__xludf.DUMMYFUNCTION("""COMPUTED_VALUE"""),55.52)</f>
        <v>55.52</v>
      </c>
      <c r="P75" s="3">
        <f ca="1">IFERROR(__xludf.DUMMYFUNCTION("""COMPUTED_VALUE"""),81.02)</f>
        <v>81.02</v>
      </c>
      <c r="Q75" s="3">
        <f ca="1">IFERROR(__xludf.DUMMYFUNCTION("""COMPUTED_VALUE"""),113.9)</f>
        <v>113.9</v>
      </c>
      <c r="R75" s="3">
        <f ca="1">IFERROR(__xludf.DUMMYFUNCTION("""COMPUTED_VALUE"""),89.14)</f>
        <v>89.14</v>
      </c>
      <c r="S75" s="3">
        <f ca="1">IFERROR(__xludf.DUMMYFUNCTION("""COMPUTED_VALUE"""),65.56)</f>
        <v>65.56</v>
      </c>
      <c r="T75" s="3">
        <f ca="1">IFERROR(__xludf.DUMMYFUNCTION("""COMPUTED_VALUE"""),28.42)</f>
        <v>28.42</v>
      </c>
      <c r="U75" s="3">
        <f ca="1">IFERROR(__xludf.DUMMYFUNCTION("""COMPUTED_VALUE"""),80.41)</f>
        <v>80.41</v>
      </c>
      <c r="V75" s="3">
        <f ca="1">IFERROR(__xludf.DUMMYFUNCTION("""COMPUTED_VALUE"""),71.66)</f>
        <v>71.66</v>
      </c>
      <c r="W75" s="3">
        <f ca="1">IFERROR(__xludf.DUMMYFUNCTION("""COMPUTED_VALUE"""),37.11)</f>
        <v>37.11</v>
      </c>
      <c r="X75" s="3">
        <f ca="1">IFERROR(__xludf.DUMMYFUNCTION("""COMPUTED_VALUE"""),90.11)</f>
        <v>90.11</v>
      </c>
      <c r="Y75" s="3">
        <f ca="1">IFERROR(__xludf.DUMMYFUNCTION("""COMPUTED_VALUE"""),49.56)</f>
        <v>49.56</v>
      </c>
      <c r="Z75" s="3">
        <f ca="1">IFERROR(__xludf.DUMMYFUNCTION("""COMPUTED_VALUE"""),81.47)</f>
        <v>81.47</v>
      </c>
      <c r="AA75" s="3">
        <f ca="1">IFERROR(__xludf.DUMMYFUNCTION("""COMPUTED_VALUE"""),48.64)</f>
        <v>48.64</v>
      </c>
      <c r="AB75" s="3">
        <f ca="1">IFERROR(__xludf.DUMMYFUNCTION("""COMPUTED_VALUE"""),64.91)</f>
        <v>64.91</v>
      </c>
      <c r="AC75" s="3">
        <f ca="1">IFERROR(__xludf.DUMMYFUNCTION("""COMPUTED_VALUE"""),57.56)</f>
        <v>57.56</v>
      </c>
      <c r="AD75" s="3">
        <f ca="1">IFERROR(__xludf.DUMMYFUNCTION("""COMPUTED_VALUE"""),15.76)</f>
        <v>15.76</v>
      </c>
      <c r="AE75" s="3">
        <f ca="1">IFERROR(__xludf.DUMMYFUNCTION("""COMPUTED_VALUE"""),25.39)</f>
        <v>25.39</v>
      </c>
      <c r="AF75" s="3">
        <f ca="1">IFERROR(__xludf.DUMMYFUNCTION("""COMPUTED_VALUE"""),5.08)</f>
        <v>5.08</v>
      </c>
      <c r="AG75" s="3">
        <f ca="1">IFERROR(__xludf.DUMMYFUNCTION("""COMPUTED_VALUE"""),55.6)</f>
        <v>55.6</v>
      </c>
    </row>
    <row r="76" spans="1:33" ht="12.75" x14ac:dyDescent="0.2">
      <c r="A76" s="4">
        <f ca="1">IFERROR(__xludf.DUMMYFUNCTION("""COMPUTED_VALUE"""),44670.6666666666)</f>
        <v>44670.666666666599</v>
      </c>
      <c r="B76" s="3">
        <f ca="1">IFERROR(__xludf.DUMMYFUNCTION("""COMPUTED_VALUE"""),149.88)</f>
        <v>149.88</v>
      </c>
      <c r="C76" s="3">
        <f ca="1">IFERROR(__xludf.DUMMYFUNCTION("""COMPUTED_VALUE"""),392.38)</f>
        <v>392.38</v>
      </c>
      <c r="D76" s="3">
        <f ca="1">IFERROR(__xludf.DUMMYFUNCTION("""COMPUTED_VALUE"""),96.8)</f>
        <v>96.8</v>
      </c>
      <c r="E76" s="3">
        <f ca="1">IFERROR(__xludf.DUMMYFUNCTION("""COMPUTED_VALUE"""),144.12)</f>
        <v>144.12</v>
      </c>
      <c r="F76" s="3">
        <f ca="1">IFERROR(__xludf.DUMMYFUNCTION("""COMPUTED_VALUE"""),58.01)</f>
        <v>58.01</v>
      </c>
      <c r="G76" s="3">
        <f ca="1">IFERROR(__xludf.DUMMYFUNCTION("""COMPUTED_VALUE"""),26.33)</f>
        <v>26.33</v>
      </c>
      <c r="H76" s="3">
        <f ca="1">IFERROR(__xludf.DUMMYFUNCTION("""COMPUTED_VALUE"""),28.28)</f>
        <v>28.28</v>
      </c>
      <c r="I76" s="3">
        <f ca="1">IFERROR(__xludf.DUMMYFUNCTION("""COMPUTED_VALUE"""),138.42)</f>
        <v>138.41999999999999</v>
      </c>
      <c r="J76" s="3">
        <f ca="1">IFERROR(__xludf.DUMMYFUNCTION("""COMPUTED_VALUE"""),256.27)</f>
        <v>256.27</v>
      </c>
      <c r="K76" s="3">
        <f ca="1">IFERROR(__xludf.DUMMYFUNCTION("""COMPUTED_VALUE"""),128.32)</f>
        <v>128.32</v>
      </c>
      <c r="L76" s="3">
        <f ca="1">IFERROR(__xludf.DUMMYFUNCTION("""COMPUTED_VALUE"""),84.6)</f>
        <v>84.6</v>
      </c>
      <c r="M76" s="3">
        <f ca="1">IFERROR(__xludf.DUMMYFUNCTION("""COMPUTED_VALUE"""),61.25)</f>
        <v>61.25</v>
      </c>
      <c r="N76" s="3">
        <f ca="1">IFERROR(__xludf.DUMMYFUNCTION("""COMPUTED_VALUE"""),66)</f>
        <v>66</v>
      </c>
      <c r="O76" s="3">
        <f ca="1">IFERROR(__xludf.DUMMYFUNCTION("""COMPUTED_VALUE"""),56.28)</f>
        <v>56.28</v>
      </c>
      <c r="P76" s="3">
        <f ca="1">IFERROR(__xludf.DUMMYFUNCTION("""COMPUTED_VALUE"""),80.36)</f>
        <v>80.36</v>
      </c>
      <c r="Q76" s="3">
        <f ca="1">IFERROR(__xludf.DUMMYFUNCTION("""COMPUTED_VALUE"""),112.78)</f>
        <v>112.78</v>
      </c>
      <c r="R76" s="3">
        <f ca="1">IFERROR(__xludf.DUMMYFUNCTION("""COMPUTED_VALUE"""),89.98)</f>
        <v>89.98</v>
      </c>
      <c r="S76" s="3">
        <f ca="1">IFERROR(__xludf.DUMMYFUNCTION("""COMPUTED_VALUE"""),65.64)</f>
        <v>65.64</v>
      </c>
      <c r="T76" s="3">
        <f ca="1">IFERROR(__xludf.DUMMYFUNCTION("""COMPUTED_VALUE"""),27.69)</f>
        <v>27.69</v>
      </c>
      <c r="U76" s="3">
        <f ca="1">IFERROR(__xludf.DUMMYFUNCTION("""COMPUTED_VALUE"""),76.86)</f>
        <v>76.86</v>
      </c>
      <c r="V76" s="3">
        <f ca="1">IFERROR(__xludf.DUMMYFUNCTION("""COMPUTED_VALUE"""),73.26)</f>
        <v>73.260000000000005</v>
      </c>
      <c r="W76" s="3">
        <f ca="1">IFERROR(__xludf.DUMMYFUNCTION("""COMPUTED_VALUE"""),37.62)</f>
        <v>37.619999999999997</v>
      </c>
      <c r="X76" s="3">
        <f ca="1">IFERROR(__xludf.DUMMYFUNCTION("""COMPUTED_VALUE"""),91.51)</f>
        <v>91.51</v>
      </c>
      <c r="Y76" s="3">
        <f ca="1">IFERROR(__xludf.DUMMYFUNCTION("""COMPUTED_VALUE"""),51.07)</f>
        <v>51.07</v>
      </c>
      <c r="Z76" s="3">
        <f ca="1">IFERROR(__xludf.DUMMYFUNCTION("""COMPUTED_VALUE"""),82.66)</f>
        <v>82.66</v>
      </c>
      <c r="AA76" s="3">
        <f ca="1">IFERROR(__xludf.DUMMYFUNCTION("""COMPUTED_VALUE"""),49.66)</f>
        <v>49.66</v>
      </c>
      <c r="AB76" s="3">
        <f ca="1">IFERROR(__xludf.DUMMYFUNCTION("""COMPUTED_VALUE"""),67.25)</f>
        <v>67.25</v>
      </c>
      <c r="AC76" s="3">
        <f ca="1">IFERROR(__xludf.DUMMYFUNCTION("""COMPUTED_VALUE"""),58.7)</f>
        <v>58.7</v>
      </c>
      <c r="AD76" s="3">
        <f ca="1">IFERROR(__xludf.DUMMYFUNCTION("""COMPUTED_VALUE"""),16.07)</f>
        <v>16.07</v>
      </c>
      <c r="AE76" s="3">
        <f ca="1">IFERROR(__xludf.DUMMYFUNCTION("""COMPUTED_VALUE"""),25.93)</f>
        <v>25.93</v>
      </c>
      <c r="AF76" s="3">
        <f ca="1">IFERROR(__xludf.DUMMYFUNCTION("""COMPUTED_VALUE"""),5.18)</f>
        <v>5.18</v>
      </c>
      <c r="AG76" s="3">
        <f ca="1">IFERROR(__xludf.DUMMYFUNCTION("""COMPUTED_VALUE"""),56.96)</f>
        <v>56.96</v>
      </c>
    </row>
    <row r="77" spans="1:33" ht="12.75" x14ac:dyDescent="0.2">
      <c r="A77" s="4">
        <f ca="1">IFERROR(__xludf.DUMMYFUNCTION("""COMPUTED_VALUE"""),44671.6666666666)</f>
        <v>44671.666666666599</v>
      </c>
      <c r="B77" s="3">
        <f ca="1">IFERROR(__xludf.DUMMYFUNCTION("""COMPUTED_VALUE"""),149.74)</f>
        <v>149.74</v>
      </c>
      <c r="C77" s="3">
        <f ca="1">IFERROR(__xludf.DUMMYFUNCTION("""COMPUTED_VALUE"""),390.76)</f>
        <v>390.76</v>
      </c>
      <c r="D77" s="3">
        <f ca="1">IFERROR(__xludf.DUMMYFUNCTION("""COMPUTED_VALUE"""),95.85)</f>
        <v>95.85</v>
      </c>
      <c r="E77" s="3">
        <f ca="1">IFERROR(__xludf.DUMMYFUNCTION("""COMPUTED_VALUE"""),143.8)</f>
        <v>143.80000000000001</v>
      </c>
      <c r="F77" s="3">
        <f ca="1">IFERROR(__xludf.DUMMYFUNCTION("""COMPUTED_VALUE"""),57.75)</f>
        <v>57.75</v>
      </c>
      <c r="G77" s="3">
        <f ca="1">IFERROR(__xludf.DUMMYFUNCTION("""COMPUTED_VALUE"""),26.17)</f>
        <v>26.17</v>
      </c>
      <c r="H77" s="3">
        <f ca="1">IFERROR(__xludf.DUMMYFUNCTION("""COMPUTED_VALUE"""),28)</f>
        <v>28</v>
      </c>
      <c r="I77" s="3">
        <f ca="1">IFERROR(__xludf.DUMMYFUNCTION("""COMPUTED_VALUE"""),140.28)</f>
        <v>140.28</v>
      </c>
      <c r="J77" s="3">
        <f ca="1">IFERROR(__xludf.DUMMYFUNCTION("""COMPUTED_VALUE"""),259.35)</f>
        <v>259.35000000000002</v>
      </c>
      <c r="K77" s="3">
        <f ca="1">IFERROR(__xludf.DUMMYFUNCTION("""COMPUTED_VALUE"""),129)</f>
        <v>129</v>
      </c>
      <c r="L77" s="3">
        <f ca="1">IFERROR(__xludf.DUMMYFUNCTION("""COMPUTED_VALUE"""),84.79)</f>
        <v>84.79</v>
      </c>
      <c r="M77" s="3">
        <f ca="1">IFERROR(__xludf.DUMMYFUNCTION("""COMPUTED_VALUE"""),61.79)</f>
        <v>61.79</v>
      </c>
      <c r="N77" s="3">
        <f ca="1">IFERROR(__xludf.DUMMYFUNCTION("""COMPUTED_VALUE"""),66.85)</f>
        <v>66.849999999999994</v>
      </c>
      <c r="O77" s="3">
        <f ca="1">IFERROR(__xludf.DUMMYFUNCTION("""COMPUTED_VALUE"""),56.12)</f>
        <v>56.12</v>
      </c>
      <c r="P77" s="3">
        <f ca="1">IFERROR(__xludf.DUMMYFUNCTION("""COMPUTED_VALUE"""),80.67)</f>
        <v>80.67</v>
      </c>
      <c r="Q77" s="3">
        <f ca="1">IFERROR(__xludf.DUMMYFUNCTION("""COMPUTED_VALUE"""),113.33)</f>
        <v>113.33</v>
      </c>
      <c r="R77" s="3">
        <f ca="1">IFERROR(__xludf.DUMMYFUNCTION("""COMPUTED_VALUE"""),90.55)</f>
        <v>90.55</v>
      </c>
      <c r="S77" s="3">
        <f ca="1">IFERROR(__xludf.DUMMYFUNCTION("""COMPUTED_VALUE"""),65.59)</f>
        <v>65.59</v>
      </c>
      <c r="T77" s="3">
        <f ca="1">IFERROR(__xludf.DUMMYFUNCTION("""COMPUTED_VALUE"""),27.72)</f>
        <v>27.72</v>
      </c>
      <c r="U77" s="3">
        <f ca="1">IFERROR(__xludf.DUMMYFUNCTION("""COMPUTED_VALUE"""),77.24)</f>
        <v>77.239999999999995</v>
      </c>
      <c r="V77" s="3">
        <f ca="1">IFERROR(__xludf.DUMMYFUNCTION("""COMPUTED_VALUE"""),69.83)</f>
        <v>69.83</v>
      </c>
      <c r="W77" s="3">
        <f ca="1">IFERROR(__xludf.DUMMYFUNCTION("""COMPUTED_VALUE"""),37.88)</f>
        <v>37.880000000000003</v>
      </c>
      <c r="X77" s="3">
        <f ca="1">IFERROR(__xludf.DUMMYFUNCTION("""COMPUTED_VALUE"""),92.24)</f>
        <v>92.24</v>
      </c>
      <c r="Y77" s="3">
        <f ca="1">IFERROR(__xludf.DUMMYFUNCTION("""COMPUTED_VALUE"""),51.47)</f>
        <v>51.47</v>
      </c>
      <c r="Z77" s="3">
        <f ca="1">IFERROR(__xludf.DUMMYFUNCTION("""COMPUTED_VALUE"""),83.31)</f>
        <v>83.31</v>
      </c>
      <c r="AA77" s="3">
        <f ca="1">IFERROR(__xludf.DUMMYFUNCTION("""COMPUTED_VALUE"""),50.6)</f>
        <v>50.6</v>
      </c>
      <c r="AB77" s="3">
        <f ca="1">IFERROR(__xludf.DUMMYFUNCTION("""COMPUTED_VALUE"""),67.67)</f>
        <v>67.67</v>
      </c>
      <c r="AC77" s="3">
        <f ca="1">IFERROR(__xludf.DUMMYFUNCTION("""COMPUTED_VALUE"""),59.11)</f>
        <v>59.11</v>
      </c>
      <c r="AD77" s="3">
        <f ca="1">IFERROR(__xludf.DUMMYFUNCTION("""COMPUTED_VALUE"""),15.99)</f>
        <v>15.99</v>
      </c>
      <c r="AE77" s="3">
        <f ca="1">IFERROR(__xludf.DUMMYFUNCTION("""COMPUTED_VALUE"""),25.74)</f>
        <v>25.74</v>
      </c>
      <c r="AF77" s="3">
        <f ca="1">IFERROR(__xludf.DUMMYFUNCTION("""COMPUTED_VALUE"""),5.1)</f>
        <v>5.0999999999999996</v>
      </c>
      <c r="AG77" s="3">
        <f ca="1">IFERROR(__xludf.DUMMYFUNCTION("""COMPUTED_VALUE"""),54.72)</f>
        <v>54.72</v>
      </c>
    </row>
    <row r="78" spans="1:33" ht="12.75" x14ac:dyDescent="0.2">
      <c r="A78" s="4">
        <f ca="1">IFERROR(__xludf.DUMMYFUNCTION("""COMPUTED_VALUE"""),44672.6666666666)</f>
        <v>44672.666666666599</v>
      </c>
      <c r="B78" s="3">
        <f ca="1">IFERROR(__xludf.DUMMYFUNCTION("""COMPUTED_VALUE"""),147.2)</f>
        <v>147.19999999999999</v>
      </c>
      <c r="C78" s="3">
        <f ca="1">IFERROR(__xludf.DUMMYFUNCTION("""COMPUTED_VALUE"""),383.24)</f>
        <v>383.24</v>
      </c>
      <c r="D78" s="3">
        <f ca="1">IFERROR(__xludf.DUMMYFUNCTION("""COMPUTED_VALUE"""),93.53)</f>
        <v>93.53</v>
      </c>
      <c r="E78" s="3">
        <f ca="1">IFERROR(__xludf.DUMMYFUNCTION("""COMPUTED_VALUE"""),139.96)</f>
        <v>139.96</v>
      </c>
      <c r="F78" s="3">
        <f ca="1">IFERROR(__xludf.DUMMYFUNCTION("""COMPUTED_VALUE"""),55.97)</f>
        <v>55.97</v>
      </c>
      <c r="G78" s="3">
        <f ca="1">IFERROR(__xludf.DUMMYFUNCTION("""COMPUTED_VALUE"""),25.73)</f>
        <v>25.73</v>
      </c>
      <c r="H78" s="3">
        <f ca="1">IFERROR(__xludf.DUMMYFUNCTION("""COMPUTED_VALUE"""),27.29)</f>
        <v>27.29</v>
      </c>
      <c r="I78" s="3">
        <f ca="1">IFERROR(__xludf.DUMMYFUNCTION("""COMPUTED_VALUE"""),138.73)</f>
        <v>138.72999999999999</v>
      </c>
      <c r="J78" s="3">
        <f ca="1">IFERROR(__xludf.DUMMYFUNCTION("""COMPUTED_VALUE"""),255.86)</f>
        <v>255.86</v>
      </c>
      <c r="K78" s="3">
        <f ca="1">IFERROR(__xludf.DUMMYFUNCTION("""COMPUTED_VALUE"""),125.96)</f>
        <v>125.96</v>
      </c>
      <c r="L78" s="3">
        <f ca="1">IFERROR(__xludf.DUMMYFUNCTION("""COMPUTED_VALUE"""),81.16)</f>
        <v>81.16</v>
      </c>
      <c r="M78" s="3">
        <f ca="1">IFERROR(__xludf.DUMMYFUNCTION("""COMPUTED_VALUE"""),60.35)</f>
        <v>60.35</v>
      </c>
      <c r="N78" s="3">
        <f ca="1">IFERROR(__xludf.DUMMYFUNCTION("""COMPUTED_VALUE"""),65.94)</f>
        <v>65.94</v>
      </c>
      <c r="O78" s="3">
        <f ca="1">IFERROR(__xludf.DUMMYFUNCTION("""COMPUTED_VALUE"""),54.12)</f>
        <v>54.12</v>
      </c>
      <c r="P78" s="3">
        <f ca="1">IFERROR(__xludf.DUMMYFUNCTION("""COMPUTED_VALUE"""),78.11)</f>
        <v>78.11</v>
      </c>
      <c r="Q78" s="3">
        <f ca="1">IFERROR(__xludf.DUMMYFUNCTION("""COMPUTED_VALUE"""),109.57)</f>
        <v>109.57</v>
      </c>
      <c r="R78" s="3">
        <f ca="1">IFERROR(__xludf.DUMMYFUNCTION("""COMPUTED_VALUE"""),89.07)</f>
        <v>89.07</v>
      </c>
      <c r="S78" s="3">
        <f ca="1">IFERROR(__xludf.DUMMYFUNCTION("""COMPUTED_VALUE"""),61.54)</f>
        <v>61.54</v>
      </c>
      <c r="T78" s="3">
        <f ca="1">IFERROR(__xludf.DUMMYFUNCTION("""COMPUTED_VALUE"""),27.68)</f>
        <v>27.68</v>
      </c>
      <c r="U78" s="3">
        <f ca="1">IFERROR(__xludf.DUMMYFUNCTION("""COMPUTED_VALUE"""),78.12)</f>
        <v>78.12</v>
      </c>
      <c r="V78" s="3">
        <f ca="1">IFERROR(__xludf.DUMMYFUNCTION("""COMPUTED_VALUE"""),65.01)</f>
        <v>65.010000000000005</v>
      </c>
      <c r="W78" s="3">
        <f ca="1">IFERROR(__xludf.DUMMYFUNCTION("""COMPUTED_VALUE"""),37.28)</f>
        <v>37.28</v>
      </c>
      <c r="X78" s="3">
        <f ca="1">IFERROR(__xludf.DUMMYFUNCTION("""COMPUTED_VALUE"""),90.68)</f>
        <v>90.68</v>
      </c>
      <c r="Y78" s="3">
        <f ca="1">IFERROR(__xludf.DUMMYFUNCTION("""COMPUTED_VALUE"""),50.57)</f>
        <v>50.57</v>
      </c>
      <c r="Z78" s="3">
        <f ca="1">IFERROR(__xludf.DUMMYFUNCTION("""COMPUTED_VALUE"""),81.89)</f>
        <v>81.89</v>
      </c>
      <c r="AA78" s="3">
        <f ca="1">IFERROR(__xludf.DUMMYFUNCTION("""COMPUTED_VALUE"""),50.27)</f>
        <v>50.27</v>
      </c>
      <c r="AB78" s="3">
        <f ca="1">IFERROR(__xludf.DUMMYFUNCTION("""COMPUTED_VALUE"""),66.28)</f>
        <v>66.28</v>
      </c>
      <c r="AC78" s="3">
        <f ca="1">IFERROR(__xludf.DUMMYFUNCTION("""COMPUTED_VALUE"""),57.99)</f>
        <v>57.99</v>
      </c>
      <c r="AD78" s="3">
        <f ca="1">IFERROR(__xludf.DUMMYFUNCTION("""COMPUTED_VALUE"""),15.98)</f>
        <v>15.98</v>
      </c>
      <c r="AE78" s="3">
        <f ca="1">IFERROR(__xludf.DUMMYFUNCTION("""COMPUTED_VALUE"""),25.74)</f>
        <v>25.74</v>
      </c>
      <c r="AF78" s="3">
        <f ca="1">IFERROR(__xludf.DUMMYFUNCTION("""COMPUTED_VALUE"""),4.83)</f>
        <v>4.83</v>
      </c>
      <c r="AG78" s="3">
        <f ca="1">IFERROR(__xludf.DUMMYFUNCTION("""COMPUTED_VALUE"""),52.2)</f>
        <v>52.2</v>
      </c>
    </row>
    <row r="79" spans="1:33" ht="12.75" x14ac:dyDescent="0.2">
      <c r="A79" s="4">
        <f ca="1">IFERROR(__xludf.DUMMYFUNCTION("""COMPUTED_VALUE"""),44673.6666666666)</f>
        <v>44673.666666666599</v>
      </c>
      <c r="B79" s="3">
        <f ca="1">IFERROR(__xludf.DUMMYFUNCTION("""COMPUTED_VALUE"""),143.08)</f>
        <v>143.08000000000001</v>
      </c>
      <c r="C79" s="3">
        <f ca="1">IFERROR(__xludf.DUMMYFUNCTION("""COMPUTED_VALUE"""),372.65)</f>
        <v>372.65</v>
      </c>
      <c r="D79" s="3">
        <f ca="1">IFERROR(__xludf.DUMMYFUNCTION("""COMPUTED_VALUE"""),91)</f>
        <v>91</v>
      </c>
      <c r="E79" s="3">
        <f ca="1">IFERROR(__xludf.DUMMYFUNCTION("""COMPUTED_VALUE"""),136.85)</f>
        <v>136.85</v>
      </c>
      <c r="F79" s="3">
        <f ca="1">IFERROR(__xludf.DUMMYFUNCTION("""COMPUTED_VALUE"""),54.75)</f>
        <v>54.75</v>
      </c>
      <c r="G79" s="3">
        <f ca="1">IFERROR(__xludf.DUMMYFUNCTION("""COMPUTED_VALUE"""),24.79)</f>
        <v>24.79</v>
      </c>
      <c r="H79" s="3">
        <f ca="1">IFERROR(__xludf.DUMMYFUNCTION("""COMPUTED_VALUE"""),26.63)</f>
        <v>26.63</v>
      </c>
      <c r="I79" s="3">
        <f ca="1">IFERROR(__xludf.DUMMYFUNCTION("""COMPUTED_VALUE"""),133.67)</f>
        <v>133.66999999999999</v>
      </c>
      <c r="J79" s="3">
        <f ca="1">IFERROR(__xludf.DUMMYFUNCTION("""COMPUTED_VALUE"""),246.8)</f>
        <v>246.8</v>
      </c>
      <c r="K79" s="3">
        <f ca="1">IFERROR(__xludf.DUMMYFUNCTION("""COMPUTED_VALUE"""),123.04)</f>
        <v>123.04</v>
      </c>
      <c r="L79" s="3">
        <f ca="1">IFERROR(__xludf.DUMMYFUNCTION("""COMPUTED_VALUE"""),79.84)</f>
        <v>79.84</v>
      </c>
      <c r="M79" s="3">
        <f ca="1">IFERROR(__xludf.DUMMYFUNCTION("""COMPUTED_VALUE"""),59.06)</f>
        <v>59.06</v>
      </c>
      <c r="N79" s="3">
        <f ca="1">IFERROR(__xludf.DUMMYFUNCTION("""COMPUTED_VALUE"""),63.58)</f>
        <v>63.58</v>
      </c>
      <c r="O79" s="3">
        <f ca="1">IFERROR(__xludf.DUMMYFUNCTION("""COMPUTED_VALUE"""),53.56)</f>
        <v>53.56</v>
      </c>
      <c r="P79" s="3">
        <f ca="1">IFERROR(__xludf.DUMMYFUNCTION("""COMPUTED_VALUE"""),76.2)</f>
        <v>76.2</v>
      </c>
      <c r="Q79" s="3">
        <f ca="1">IFERROR(__xludf.DUMMYFUNCTION("""COMPUTED_VALUE"""),106.73)</f>
        <v>106.73</v>
      </c>
      <c r="R79" s="3">
        <f ca="1">IFERROR(__xludf.DUMMYFUNCTION("""COMPUTED_VALUE"""),85.74)</f>
        <v>85.74</v>
      </c>
      <c r="S79" s="3">
        <f ca="1">IFERROR(__xludf.DUMMYFUNCTION("""COMPUTED_VALUE"""),58.42)</f>
        <v>58.42</v>
      </c>
      <c r="T79" s="3">
        <f ca="1">IFERROR(__xludf.DUMMYFUNCTION("""COMPUTED_VALUE"""),27.15)</f>
        <v>27.15</v>
      </c>
      <c r="U79" s="3">
        <f ca="1">IFERROR(__xludf.DUMMYFUNCTION("""COMPUTED_VALUE"""),76.31)</f>
        <v>76.31</v>
      </c>
      <c r="V79" s="3">
        <f ca="1">IFERROR(__xludf.DUMMYFUNCTION("""COMPUTED_VALUE"""),64.5)</f>
        <v>64.5</v>
      </c>
      <c r="W79" s="3">
        <f ca="1">IFERROR(__xludf.DUMMYFUNCTION("""COMPUTED_VALUE"""),36.17)</f>
        <v>36.17</v>
      </c>
      <c r="X79" s="3">
        <f ca="1">IFERROR(__xludf.DUMMYFUNCTION("""COMPUTED_VALUE"""),88.03)</f>
        <v>88.03</v>
      </c>
      <c r="Y79" s="3">
        <f ca="1">IFERROR(__xludf.DUMMYFUNCTION("""COMPUTED_VALUE"""),49.3)</f>
        <v>49.3</v>
      </c>
      <c r="Z79" s="3">
        <f ca="1">IFERROR(__xludf.DUMMYFUNCTION("""COMPUTED_VALUE"""),79.46)</f>
        <v>79.459999999999994</v>
      </c>
      <c r="AA79" s="3">
        <f ca="1">IFERROR(__xludf.DUMMYFUNCTION("""COMPUTED_VALUE"""),49.37)</f>
        <v>49.37</v>
      </c>
      <c r="AB79" s="3">
        <f ca="1">IFERROR(__xludf.DUMMYFUNCTION("""COMPUTED_VALUE"""),64.89)</f>
        <v>64.89</v>
      </c>
      <c r="AC79" s="3">
        <f ca="1">IFERROR(__xludf.DUMMYFUNCTION("""COMPUTED_VALUE"""),56.23)</f>
        <v>56.23</v>
      </c>
      <c r="AD79" s="3">
        <f ca="1">IFERROR(__xludf.DUMMYFUNCTION("""COMPUTED_VALUE"""),15.29)</f>
        <v>15.29</v>
      </c>
      <c r="AE79" s="3">
        <f ca="1">IFERROR(__xludf.DUMMYFUNCTION("""COMPUTED_VALUE"""),24.63)</f>
        <v>24.63</v>
      </c>
      <c r="AF79" s="3">
        <f ca="1">IFERROR(__xludf.DUMMYFUNCTION("""COMPUTED_VALUE"""),4.89)</f>
        <v>4.8899999999999997</v>
      </c>
      <c r="AG79" s="3">
        <f ca="1">IFERROR(__xludf.DUMMYFUNCTION("""COMPUTED_VALUE"""),49.84)</f>
        <v>49.84</v>
      </c>
    </row>
    <row r="80" spans="1:33" ht="12.75" x14ac:dyDescent="0.2">
      <c r="A80" s="4">
        <f ca="1">IFERROR(__xludf.DUMMYFUNCTION("""COMPUTED_VALUE"""),44676.6666666666)</f>
        <v>44676.666666666599</v>
      </c>
      <c r="B80" s="3">
        <f ca="1">IFERROR(__xludf.DUMMYFUNCTION("""COMPUTED_VALUE"""),145.23)</f>
        <v>145.22999999999999</v>
      </c>
      <c r="C80" s="3">
        <f ca="1">IFERROR(__xludf.DUMMYFUNCTION("""COMPUTED_VALUE"""),378.73)</f>
        <v>378.73</v>
      </c>
      <c r="D80" s="3">
        <f ca="1">IFERROR(__xludf.DUMMYFUNCTION("""COMPUTED_VALUE"""),92.7)</f>
        <v>92.7</v>
      </c>
      <c r="E80" s="3">
        <f ca="1">IFERROR(__xludf.DUMMYFUNCTION("""COMPUTED_VALUE"""),139.16)</f>
        <v>139.16</v>
      </c>
      <c r="F80" s="3">
        <f ca="1">IFERROR(__xludf.DUMMYFUNCTION("""COMPUTED_VALUE"""),55.76)</f>
        <v>55.76</v>
      </c>
      <c r="G80" s="3">
        <f ca="1">IFERROR(__xludf.DUMMYFUNCTION("""COMPUTED_VALUE"""),24.92)</f>
        <v>24.92</v>
      </c>
      <c r="H80" s="3">
        <f ca="1">IFERROR(__xludf.DUMMYFUNCTION("""COMPUTED_VALUE"""),26.99)</f>
        <v>26.99</v>
      </c>
      <c r="I80" s="3">
        <f ca="1">IFERROR(__xludf.DUMMYFUNCTION("""COMPUTED_VALUE"""),134.57)</f>
        <v>134.57</v>
      </c>
      <c r="J80" s="3">
        <f ca="1">IFERROR(__xludf.DUMMYFUNCTION("""COMPUTED_VALUE"""),248.58)</f>
        <v>248.58</v>
      </c>
      <c r="K80" s="3">
        <f ca="1">IFERROR(__xludf.DUMMYFUNCTION("""COMPUTED_VALUE"""),124.18)</f>
        <v>124.18</v>
      </c>
      <c r="L80" s="3">
        <f ca="1">IFERROR(__xludf.DUMMYFUNCTION("""COMPUTED_VALUE"""),81.57)</f>
        <v>81.569999999999993</v>
      </c>
      <c r="M80" s="3">
        <f ca="1">IFERROR(__xludf.DUMMYFUNCTION("""COMPUTED_VALUE"""),59.55)</f>
        <v>59.55</v>
      </c>
      <c r="N80" s="3">
        <f ca="1">IFERROR(__xludf.DUMMYFUNCTION("""COMPUTED_VALUE"""),64.05)</f>
        <v>64.05</v>
      </c>
      <c r="O80" s="3">
        <f ca="1">IFERROR(__xludf.DUMMYFUNCTION("""COMPUTED_VALUE"""),54.28)</f>
        <v>54.28</v>
      </c>
      <c r="P80" s="3">
        <f ca="1">IFERROR(__xludf.DUMMYFUNCTION("""COMPUTED_VALUE"""),73.68)</f>
        <v>73.680000000000007</v>
      </c>
      <c r="Q80" s="3">
        <f ca="1">IFERROR(__xludf.DUMMYFUNCTION("""COMPUTED_VALUE"""),103.27)</f>
        <v>103.27</v>
      </c>
      <c r="R80" s="3">
        <f ca="1">IFERROR(__xludf.DUMMYFUNCTION("""COMPUTED_VALUE"""),85.5)</f>
        <v>85.5</v>
      </c>
      <c r="S80" s="3">
        <f ca="1">IFERROR(__xludf.DUMMYFUNCTION("""COMPUTED_VALUE"""),57.29)</f>
        <v>57.29</v>
      </c>
      <c r="T80" s="3">
        <f ca="1">IFERROR(__xludf.DUMMYFUNCTION("""COMPUTED_VALUE"""),26.95)</f>
        <v>26.95</v>
      </c>
      <c r="U80" s="3">
        <f ca="1">IFERROR(__xludf.DUMMYFUNCTION("""COMPUTED_VALUE"""),74.65)</f>
        <v>74.650000000000006</v>
      </c>
      <c r="V80" s="3">
        <f ca="1">IFERROR(__xludf.DUMMYFUNCTION("""COMPUTED_VALUE"""),63.97)</f>
        <v>63.97</v>
      </c>
      <c r="W80" s="3">
        <f ca="1">IFERROR(__xludf.DUMMYFUNCTION("""COMPUTED_VALUE"""),36.23)</f>
        <v>36.229999999999997</v>
      </c>
      <c r="X80" s="3">
        <f ca="1">IFERROR(__xludf.DUMMYFUNCTION("""COMPUTED_VALUE"""),88.19)</f>
        <v>88.19</v>
      </c>
      <c r="Y80" s="3">
        <f ca="1">IFERROR(__xludf.DUMMYFUNCTION("""COMPUTED_VALUE"""),49.38)</f>
        <v>49.38</v>
      </c>
      <c r="Z80" s="3">
        <f ca="1">IFERROR(__xludf.DUMMYFUNCTION("""COMPUTED_VALUE"""),79.58)</f>
        <v>79.58</v>
      </c>
      <c r="AA80" s="3">
        <f ca="1">IFERROR(__xludf.DUMMYFUNCTION("""COMPUTED_VALUE"""),49.14)</f>
        <v>49.14</v>
      </c>
      <c r="AB80" s="3">
        <f ca="1">IFERROR(__xludf.DUMMYFUNCTION("""COMPUTED_VALUE"""),64.96)</f>
        <v>64.959999999999994</v>
      </c>
      <c r="AC80" s="3">
        <f ca="1">IFERROR(__xludf.DUMMYFUNCTION("""COMPUTED_VALUE"""),56.42)</f>
        <v>56.42</v>
      </c>
      <c r="AD80" s="3">
        <f ca="1">IFERROR(__xludf.DUMMYFUNCTION("""COMPUTED_VALUE"""),15.59)</f>
        <v>15.59</v>
      </c>
      <c r="AE80" s="3">
        <f ca="1">IFERROR(__xludf.DUMMYFUNCTION("""COMPUTED_VALUE"""),25.1)</f>
        <v>25.1</v>
      </c>
      <c r="AF80" s="3">
        <f ca="1">IFERROR(__xludf.DUMMYFUNCTION("""COMPUTED_VALUE"""),4.56)</f>
        <v>4.5599999999999996</v>
      </c>
      <c r="AG80" s="3">
        <f ca="1">IFERROR(__xludf.DUMMYFUNCTION("""COMPUTED_VALUE"""),50.64)</f>
        <v>50.64</v>
      </c>
    </row>
    <row r="81" spans="1:33" ht="12.75" x14ac:dyDescent="0.2">
      <c r="A81" s="4">
        <f ca="1">IFERROR(__xludf.DUMMYFUNCTION("""COMPUTED_VALUE"""),44677.6666666666)</f>
        <v>44677.666666666599</v>
      </c>
      <c r="B81" s="3">
        <f ca="1">IFERROR(__xludf.DUMMYFUNCTION("""COMPUTED_VALUE"""),139.82)</f>
        <v>139.82</v>
      </c>
      <c r="C81" s="3">
        <f ca="1">IFERROR(__xludf.DUMMYFUNCTION("""COMPUTED_VALUE"""),364.31)</f>
        <v>364.31</v>
      </c>
      <c r="D81" s="3">
        <f ca="1">IFERROR(__xludf.DUMMYFUNCTION("""COMPUTED_VALUE"""),89.2)</f>
        <v>89.2</v>
      </c>
      <c r="E81" s="3">
        <f ca="1">IFERROR(__xludf.DUMMYFUNCTION("""COMPUTED_VALUE"""),132.99)</f>
        <v>132.99</v>
      </c>
      <c r="F81" s="3">
        <f ca="1">IFERROR(__xludf.DUMMYFUNCTION("""COMPUTED_VALUE"""),53.95)</f>
        <v>53.95</v>
      </c>
      <c r="G81" s="3">
        <f ca="1">IFERROR(__xludf.DUMMYFUNCTION("""COMPUTED_VALUE"""),23.83)</f>
        <v>23.83</v>
      </c>
      <c r="H81" s="3">
        <f ca="1">IFERROR(__xludf.DUMMYFUNCTION("""COMPUTED_VALUE"""),26)</f>
        <v>26</v>
      </c>
      <c r="I81" s="3">
        <f ca="1">IFERROR(__xludf.DUMMYFUNCTION("""COMPUTED_VALUE"""),132.2)</f>
        <v>132.19999999999999</v>
      </c>
      <c r="J81" s="3">
        <f ca="1">IFERROR(__xludf.DUMMYFUNCTION("""COMPUTED_VALUE"""),243.21)</f>
        <v>243.21</v>
      </c>
      <c r="K81" s="3">
        <f ca="1">IFERROR(__xludf.DUMMYFUNCTION("""COMPUTED_VALUE"""),119.39)</f>
        <v>119.39</v>
      </c>
      <c r="L81" s="3">
        <f ca="1">IFERROR(__xludf.DUMMYFUNCTION("""COMPUTED_VALUE"""),76.69)</f>
        <v>76.69</v>
      </c>
      <c r="M81" s="3">
        <f ca="1">IFERROR(__xludf.DUMMYFUNCTION("""COMPUTED_VALUE"""),57.38)</f>
        <v>57.38</v>
      </c>
      <c r="N81" s="3">
        <f ca="1">IFERROR(__xludf.DUMMYFUNCTION("""COMPUTED_VALUE"""),62.64)</f>
        <v>62.64</v>
      </c>
      <c r="O81" s="3">
        <f ca="1">IFERROR(__xludf.DUMMYFUNCTION("""COMPUTED_VALUE"""),52.08)</f>
        <v>52.08</v>
      </c>
      <c r="P81" s="3">
        <f ca="1">IFERROR(__xludf.DUMMYFUNCTION("""COMPUTED_VALUE"""),73.78)</f>
        <v>73.78</v>
      </c>
      <c r="Q81" s="3">
        <f ca="1">IFERROR(__xludf.DUMMYFUNCTION("""COMPUTED_VALUE"""),103.28)</f>
        <v>103.28</v>
      </c>
      <c r="R81" s="3">
        <f ca="1">IFERROR(__xludf.DUMMYFUNCTION("""COMPUTED_VALUE"""),84.18)</f>
        <v>84.18</v>
      </c>
      <c r="S81" s="3">
        <f ca="1">IFERROR(__xludf.DUMMYFUNCTION("""COMPUTED_VALUE"""),56.29)</f>
        <v>56.29</v>
      </c>
      <c r="T81" s="3">
        <f ca="1">IFERROR(__xludf.DUMMYFUNCTION("""COMPUTED_VALUE"""),27.32)</f>
        <v>27.32</v>
      </c>
      <c r="U81" s="3">
        <f ca="1">IFERROR(__xludf.DUMMYFUNCTION("""COMPUTED_VALUE"""),76.46)</f>
        <v>76.459999999999994</v>
      </c>
      <c r="V81" s="3">
        <f ca="1">IFERROR(__xludf.DUMMYFUNCTION("""COMPUTED_VALUE"""),62.36)</f>
        <v>62.36</v>
      </c>
      <c r="W81" s="3">
        <f ca="1">IFERROR(__xludf.DUMMYFUNCTION("""COMPUTED_VALUE"""),35.32)</f>
        <v>35.32</v>
      </c>
      <c r="X81" s="3">
        <f ca="1">IFERROR(__xludf.DUMMYFUNCTION("""COMPUTED_VALUE"""),85.87)</f>
        <v>85.87</v>
      </c>
      <c r="Y81" s="3">
        <f ca="1">IFERROR(__xludf.DUMMYFUNCTION("""COMPUTED_VALUE"""),47.91)</f>
        <v>47.91</v>
      </c>
      <c r="Z81" s="3">
        <f ca="1">IFERROR(__xludf.DUMMYFUNCTION("""COMPUTED_VALUE"""),77.44)</f>
        <v>77.44</v>
      </c>
      <c r="AA81" s="3">
        <f ca="1">IFERROR(__xludf.DUMMYFUNCTION("""COMPUTED_VALUE"""),48.37)</f>
        <v>48.37</v>
      </c>
      <c r="AB81" s="3">
        <f ca="1">IFERROR(__xludf.DUMMYFUNCTION("""COMPUTED_VALUE"""),62.96)</f>
        <v>62.96</v>
      </c>
      <c r="AC81" s="3">
        <f ca="1">IFERROR(__xludf.DUMMYFUNCTION("""COMPUTED_VALUE"""),54.73)</f>
        <v>54.73</v>
      </c>
      <c r="AD81" s="3">
        <f ca="1">IFERROR(__xludf.DUMMYFUNCTION("""COMPUTED_VALUE"""),14.8)</f>
        <v>14.8</v>
      </c>
      <c r="AE81" s="3">
        <f ca="1">IFERROR(__xludf.DUMMYFUNCTION("""COMPUTED_VALUE"""),23.86)</f>
        <v>23.86</v>
      </c>
      <c r="AF81" s="3">
        <f ca="1">IFERROR(__xludf.DUMMYFUNCTION("""COMPUTED_VALUE"""),4.64)</f>
        <v>4.6399999999999997</v>
      </c>
      <c r="AG81" s="3">
        <f ca="1">IFERROR(__xludf.DUMMYFUNCTION("""COMPUTED_VALUE"""),47)</f>
        <v>47</v>
      </c>
    </row>
    <row r="82" spans="1:33" ht="12.75" x14ac:dyDescent="0.2">
      <c r="A82" s="4">
        <f ca="1">IFERROR(__xludf.DUMMYFUNCTION("""COMPUTED_VALUE"""),44678.6666666666)</f>
        <v>44678.666666666599</v>
      </c>
      <c r="B82" s="3">
        <f ca="1">IFERROR(__xludf.DUMMYFUNCTION("""COMPUTED_VALUE"""),141.89)</f>
        <v>141.88999999999999</v>
      </c>
      <c r="C82" s="3">
        <f ca="1">IFERROR(__xludf.DUMMYFUNCTION("""COMPUTED_VALUE"""),368.23)</f>
        <v>368.23</v>
      </c>
      <c r="D82" s="3">
        <f ca="1">IFERROR(__xludf.DUMMYFUNCTION("""COMPUTED_VALUE"""),89.3)</f>
        <v>89.3</v>
      </c>
      <c r="E82" s="3">
        <f ca="1">IFERROR(__xludf.DUMMYFUNCTION("""COMPUTED_VALUE"""),132.27)</f>
        <v>132.27000000000001</v>
      </c>
      <c r="F82" s="3">
        <f ca="1">IFERROR(__xludf.DUMMYFUNCTION("""COMPUTED_VALUE"""),53.11)</f>
        <v>53.11</v>
      </c>
      <c r="G82" s="3">
        <f ca="1">IFERROR(__xludf.DUMMYFUNCTION("""COMPUTED_VALUE"""),23.71)</f>
        <v>23.71</v>
      </c>
      <c r="H82" s="3">
        <f ca="1">IFERROR(__xludf.DUMMYFUNCTION("""COMPUTED_VALUE"""),26.01)</f>
        <v>26.01</v>
      </c>
      <c r="I82" s="3">
        <f ca="1">IFERROR(__xludf.DUMMYFUNCTION("""COMPUTED_VALUE"""),131.91)</f>
        <v>131.91</v>
      </c>
      <c r="J82" s="3">
        <f ca="1">IFERROR(__xludf.DUMMYFUNCTION("""COMPUTED_VALUE"""),242.75)</f>
        <v>242.75</v>
      </c>
      <c r="K82" s="3">
        <f ca="1">IFERROR(__xludf.DUMMYFUNCTION("""COMPUTED_VALUE"""),119.05)</f>
        <v>119.05</v>
      </c>
      <c r="L82" s="3">
        <f ca="1">IFERROR(__xludf.DUMMYFUNCTION("""COMPUTED_VALUE"""),75.92)</f>
        <v>75.92</v>
      </c>
      <c r="M82" s="3">
        <f ca="1">IFERROR(__xludf.DUMMYFUNCTION("""COMPUTED_VALUE"""),57.49)</f>
        <v>57.49</v>
      </c>
      <c r="N82" s="3">
        <f ca="1">IFERROR(__xludf.DUMMYFUNCTION("""COMPUTED_VALUE"""),62.5)</f>
        <v>62.5</v>
      </c>
      <c r="O82" s="3">
        <f ca="1">IFERROR(__xludf.DUMMYFUNCTION("""COMPUTED_VALUE"""),51.76)</f>
        <v>51.76</v>
      </c>
      <c r="P82" s="3">
        <f ca="1">IFERROR(__xludf.DUMMYFUNCTION("""COMPUTED_VALUE"""),74.86)</f>
        <v>74.86</v>
      </c>
      <c r="Q82" s="3">
        <f ca="1">IFERROR(__xludf.DUMMYFUNCTION("""COMPUTED_VALUE"""),104.82)</f>
        <v>104.82</v>
      </c>
      <c r="R82" s="3">
        <f ca="1">IFERROR(__xludf.DUMMYFUNCTION("""COMPUTED_VALUE"""),85.42)</f>
        <v>85.42</v>
      </c>
      <c r="S82" s="3">
        <f ca="1">IFERROR(__xludf.DUMMYFUNCTION("""COMPUTED_VALUE"""),57.3)</f>
        <v>57.3</v>
      </c>
      <c r="T82" s="3">
        <f ca="1">IFERROR(__xludf.DUMMYFUNCTION("""COMPUTED_VALUE"""),27.51)</f>
        <v>27.51</v>
      </c>
      <c r="U82" s="3">
        <f ca="1">IFERROR(__xludf.DUMMYFUNCTION("""COMPUTED_VALUE"""),76.37)</f>
        <v>76.37</v>
      </c>
      <c r="V82" s="3">
        <f ca="1">IFERROR(__xludf.DUMMYFUNCTION("""COMPUTED_VALUE"""),64.16)</f>
        <v>64.16</v>
      </c>
      <c r="W82" s="3">
        <f ca="1">IFERROR(__xludf.DUMMYFUNCTION("""COMPUTED_VALUE"""),35.29)</f>
        <v>35.29</v>
      </c>
      <c r="X82" s="3">
        <f ca="1">IFERROR(__xludf.DUMMYFUNCTION("""COMPUTED_VALUE"""),85.72)</f>
        <v>85.72</v>
      </c>
      <c r="Y82" s="3">
        <f ca="1">IFERROR(__xludf.DUMMYFUNCTION("""COMPUTED_VALUE"""),47.9)</f>
        <v>47.9</v>
      </c>
      <c r="Z82" s="3">
        <f ca="1">IFERROR(__xludf.DUMMYFUNCTION("""COMPUTED_VALUE"""),77.47)</f>
        <v>77.47</v>
      </c>
      <c r="AA82" s="3">
        <f ca="1">IFERROR(__xludf.DUMMYFUNCTION("""COMPUTED_VALUE"""),48.08)</f>
        <v>48.08</v>
      </c>
      <c r="AB82" s="3">
        <f ca="1">IFERROR(__xludf.DUMMYFUNCTION("""COMPUTED_VALUE"""),62.92)</f>
        <v>62.92</v>
      </c>
      <c r="AC82" s="3">
        <f ca="1">IFERROR(__xludf.DUMMYFUNCTION("""COMPUTED_VALUE"""),55.17)</f>
        <v>55.17</v>
      </c>
      <c r="AD82" s="3">
        <f ca="1">IFERROR(__xludf.DUMMYFUNCTION("""COMPUTED_VALUE"""),15.04)</f>
        <v>15.04</v>
      </c>
      <c r="AE82" s="3">
        <f ca="1">IFERROR(__xludf.DUMMYFUNCTION("""COMPUTED_VALUE"""),24.23)</f>
        <v>24.23</v>
      </c>
      <c r="AF82" s="3">
        <f ca="1">IFERROR(__xludf.DUMMYFUNCTION("""COMPUTED_VALUE"""),4.66)</f>
        <v>4.66</v>
      </c>
      <c r="AG82" s="3">
        <f ca="1">IFERROR(__xludf.DUMMYFUNCTION("""COMPUTED_VALUE"""),46.64)</f>
        <v>46.64</v>
      </c>
    </row>
    <row r="83" spans="1:33" ht="12.75" x14ac:dyDescent="0.2">
      <c r="A83" s="4">
        <f ca="1">IFERROR(__xludf.DUMMYFUNCTION("""COMPUTED_VALUE"""),44679.6666666666)</f>
        <v>44679.666666666599</v>
      </c>
      <c r="B83" s="3">
        <f ca="1">IFERROR(__xludf.DUMMYFUNCTION("""COMPUTED_VALUE"""),147.57)</f>
        <v>147.57</v>
      </c>
      <c r="C83" s="3">
        <f ca="1">IFERROR(__xludf.DUMMYFUNCTION("""COMPUTED_VALUE"""),383.13)</f>
        <v>383.13</v>
      </c>
      <c r="D83" s="3">
        <f ca="1">IFERROR(__xludf.DUMMYFUNCTION("""COMPUTED_VALUE"""),93.45)</f>
        <v>93.45</v>
      </c>
      <c r="E83" s="3">
        <f ca="1">IFERROR(__xludf.DUMMYFUNCTION("""COMPUTED_VALUE"""),139.56)</f>
        <v>139.56</v>
      </c>
      <c r="F83" s="3">
        <f ca="1">IFERROR(__xludf.DUMMYFUNCTION("""COMPUTED_VALUE"""),54.15)</f>
        <v>54.15</v>
      </c>
      <c r="G83" s="3">
        <f ca="1">IFERROR(__xludf.DUMMYFUNCTION("""COMPUTED_VALUE"""),24.35)</f>
        <v>24.35</v>
      </c>
      <c r="H83" s="3">
        <f ca="1">IFERROR(__xludf.DUMMYFUNCTION("""COMPUTED_VALUE"""),26.64)</f>
        <v>26.64</v>
      </c>
      <c r="I83" s="3">
        <f ca="1">IFERROR(__xludf.DUMMYFUNCTION("""COMPUTED_VALUE"""),133.73)</f>
        <v>133.72999999999999</v>
      </c>
      <c r="J83" s="3">
        <f ca="1">IFERROR(__xludf.DUMMYFUNCTION("""COMPUTED_VALUE"""),245.45)</f>
        <v>245.45</v>
      </c>
      <c r="K83" s="3">
        <f ca="1">IFERROR(__xludf.DUMMYFUNCTION("""COMPUTED_VALUE"""),119.05)</f>
        <v>119.05</v>
      </c>
      <c r="L83" s="3">
        <f ca="1">IFERROR(__xludf.DUMMYFUNCTION("""COMPUTED_VALUE"""),76.19)</f>
        <v>76.19</v>
      </c>
      <c r="M83" s="3">
        <f ca="1">IFERROR(__xludf.DUMMYFUNCTION("""COMPUTED_VALUE"""),57.7)</f>
        <v>57.7</v>
      </c>
      <c r="N83" s="3">
        <f ca="1">IFERROR(__xludf.DUMMYFUNCTION("""COMPUTED_VALUE"""),63.21)</f>
        <v>63.21</v>
      </c>
      <c r="O83" s="3">
        <f ca="1">IFERROR(__xludf.DUMMYFUNCTION("""COMPUTED_VALUE"""),52.08)</f>
        <v>52.08</v>
      </c>
      <c r="P83" s="3">
        <f ca="1">IFERROR(__xludf.DUMMYFUNCTION("""COMPUTED_VALUE"""),77.13)</f>
        <v>77.13</v>
      </c>
      <c r="Q83" s="3">
        <f ca="1">IFERROR(__xludf.DUMMYFUNCTION("""COMPUTED_VALUE"""),108.08)</f>
        <v>108.08</v>
      </c>
      <c r="R83" s="3">
        <f ca="1">IFERROR(__xludf.DUMMYFUNCTION("""COMPUTED_VALUE"""),86.77)</f>
        <v>86.77</v>
      </c>
      <c r="S83" s="3">
        <f ca="1">IFERROR(__xludf.DUMMYFUNCTION("""COMPUTED_VALUE"""),58.36)</f>
        <v>58.36</v>
      </c>
      <c r="T83" s="3">
        <f ca="1">IFERROR(__xludf.DUMMYFUNCTION("""COMPUTED_VALUE"""),27.74)</f>
        <v>27.74</v>
      </c>
      <c r="U83" s="3">
        <f ca="1">IFERROR(__xludf.DUMMYFUNCTION("""COMPUTED_VALUE"""),78.08)</f>
        <v>78.08</v>
      </c>
      <c r="V83" s="3">
        <f ca="1">IFERROR(__xludf.DUMMYFUNCTION("""COMPUTED_VALUE"""),64.75)</f>
        <v>64.75</v>
      </c>
      <c r="W83" s="3">
        <f ca="1">IFERROR(__xludf.DUMMYFUNCTION("""COMPUTED_VALUE"""),35.74)</f>
        <v>35.74</v>
      </c>
      <c r="X83" s="3">
        <f ca="1">IFERROR(__xludf.DUMMYFUNCTION("""COMPUTED_VALUE"""),86.99)</f>
        <v>86.99</v>
      </c>
      <c r="Y83" s="3">
        <f ca="1">IFERROR(__xludf.DUMMYFUNCTION("""COMPUTED_VALUE"""),48.59)</f>
        <v>48.59</v>
      </c>
      <c r="Z83" s="3">
        <f ca="1">IFERROR(__xludf.DUMMYFUNCTION("""COMPUTED_VALUE"""),78.54)</f>
        <v>78.540000000000006</v>
      </c>
      <c r="AA83" s="3">
        <f ca="1">IFERROR(__xludf.DUMMYFUNCTION("""COMPUTED_VALUE"""),48.96)</f>
        <v>48.96</v>
      </c>
      <c r="AB83" s="3">
        <f ca="1">IFERROR(__xludf.DUMMYFUNCTION("""COMPUTED_VALUE"""),63.85)</f>
        <v>63.85</v>
      </c>
      <c r="AC83" s="3">
        <f ca="1">IFERROR(__xludf.DUMMYFUNCTION("""COMPUTED_VALUE"""),56.26)</f>
        <v>56.26</v>
      </c>
      <c r="AD83" s="3">
        <f ca="1">IFERROR(__xludf.DUMMYFUNCTION("""COMPUTED_VALUE"""),15.47)</f>
        <v>15.47</v>
      </c>
      <c r="AE83" s="3">
        <f ca="1">IFERROR(__xludf.DUMMYFUNCTION("""COMPUTED_VALUE"""),24.94)</f>
        <v>24.94</v>
      </c>
      <c r="AF83" s="3">
        <f ca="1">IFERROR(__xludf.DUMMYFUNCTION("""COMPUTED_VALUE"""),4.49)</f>
        <v>4.49</v>
      </c>
      <c r="AG83" s="3">
        <f ca="1">IFERROR(__xludf.DUMMYFUNCTION("""COMPUTED_VALUE"""),47.84)</f>
        <v>47.84</v>
      </c>
    </row>
    <row r="84" spans="1:33" ht="12.75" x14ac:dyDescent="0.2">
      <c r="A84" s="4">
        <f ca="1">IFERROR(__xludf.DUMMYFUNCTION("""COMPUTED_VALUE"""),44680.6666666666)</f>
        <v>44680.666666666599</v>
      </c>
      <c r="B84" s="3">
        <f ca="1">IFERROR(__xludf.DUMMYFUNCTION("""COMPUTED_VALUE"""),141.42)</f>
        <v>141.41999999999999</v>
      </c>
      <c r="C84" s="3">
        <f ca="1">IFERROR(__xludf.DUMMYFUNCTION("""COMPUTED_VALUE"""),367.2)</f>
        <v>367.2</v>
      </c>
      <c r="D84" s="3">
        <f ca="1">IFERROR(__xludf.DUMMYFUNCTION("""COMPUTED_VALUE"""),89.59)</f>
        <v>89.59</v>
      </c>
      <c r="E84" s="3">
        <f ca="1">IFERROR(__xludf.DUMMYFUNCTION("""COMPUTED_VALUE"""),133.59)</f>
        <v>133.59</v>
      </c>
      <c r="F84" s="3">
        <f ca="1">IFERROR(__xludf.DUMMYFUNCTION("""COMPUTED_VALUE"""),52.09)</f>
        <v>52.09</v>
      </c>
      <c r="G84" s="3">
        <f ca="1">IFERROR(__xludf.DUMMYFUNCTION("""COMPUTED_VALUE"""),23.85)</f>
        <v>23.85</v>
      </c>
      <c r="H84" s="3">
        <f ca="1">IFERROR(__xludf.DUMMYFUNCTION("""COMPUTED_VALUE"""),25.9)</f>
        <v>25.9</v>
      </c>
      <c r="I84" s="3">
        <f ca="1">IFERROR(__xludf.DUMMYFUNCTION("""COMPUTED_VALUE"""),130.29)</f>
        <v>130.29</v>
      </c>
      <c r="J84" s="3">
        <f ca="1">IFERROR(__xludf.DUMMYFUNCTION("""COMPUTED_VALUE"""),239.48)</f>
        <v>239.48</v>
      </c>
      <c r="K84" s="3">
        <f ca="1">IFERROR(__xludf.DUMMYFUNCTION("""COMPUTED_VALUE"""),116.65)</f>
        <v>116.65</v>
      </c>
      <c r="L84" s="3">
        <f ca="1">IFERROR(__xludf.DUMMYFUNCTION("""COMPUTED_VALUE"""),73.83)</f>
        <v>73.83</v>
      </c>
      <c r="M84" s="3">
        <f ca="1">IFERROR(__xludf.DUMMYFUNCTION("""COMPUTED_VALUE"""),56.24)</f>
        <v>56.24</v>
      </c>
      <c r="N84" s="3">
        <f ca="1">IFERROR(__xludf.DUMMYFUNCTION("""COMPUTED_VALUE"""),61.65)</f>
        <v>61.65</v>
      </c>
      <c r="O84" s="3">
        <f ca="1">IFERROR(__xludf.DUMMYFUNCTION("""COMPUTED_VALUE"""),50.96)</f>
        <v>50.96</v>
      </c>
      <c r="P84" s="3">
        <f ca="1">IFERROR(__xludf.DUMMYFUNCTION("""COMPUTED_VALUE"""),75.15)</f>
        <v>75.150000000000006</v>
      </c>
      <c r="Q84" s="3">
        <f ca="1">IFERROR(__xludf.DUMMYFUNCTION("""COMPUTED_VALUE"""),105.25)</f>
        <v>105.25</v>
      </c>
      <c r="R84" s="3">
        <f ca="1">IFERROR(__xludf.DUMMYFUNCTION("""COMPUTED_VALUE"""),85.03)</f>
        <v>85.03</v>
      </c>
      <c r="S84" s="3">
        <f ca="1">IFERROR(__xludf.DUMMYFUNCTION("""COMPUTED_VALUE"""),56.21)</f>
        <v>56.21</v>
      </c>
      <c r="T84" s="3">
        <f ca="1">IFERROR(__xludf.DUMMYFUNCTION("""COMPUTED_VALUE"""),27.53)</f>
        <v>27.53</v>
      </c>
      <c r="U84" s="3">
        <f ca="1">IFERROR(__xludf.DUMMYFUNCTION("""COMPUTED_VALUE"""),77.16)</f>
        <v>77.16</v>
      </c>
      <c r="V84" s="3">
        <f ca="1">IFERROR(__xludf.DUMMYFUNCTION("""COMPUTED_VALUE"""),64.23)</f>
        <v>64.23</v>
      </c>
      <c r="W84" s="3">
        <f ca="1">IFERROR(__xludf.DUMMYFUNCTION("""COMPUTED_VALUE"""),34.51)</f>
        <v>34.51</v>
      </c>
      <c r="X84" s="3">
        <f ca="1">IFERROR(__xludf.DUMMYFUNCTION("""COMPUTED_VALUE"""),83.93)</f>
        <v>83.93</v>
      </c>
      <c r="Y84" s="3">
        <f ca="1">IFERROR(__xludf.DUMMYFUNCTION("""COMPUTED_VALUE"""),47.06)</f>
        <v>47.06</v>
      </c>
      <c r="Z84" s="3">
        <f ca="1">IFERROR(__xludf.DUMMYFUNCTION("""COMPUTED_VALUE"""),75.77)</f>
        <v>75.77</v>
      </c>
      <c r="AA84" s="3">
        <f ca="1">IFERROR(__xludf.DUMMYFUNCTION("""COMPUTED_VALUE"""),46.6)</f>
        <v>46.6</v>
      </c>
      <c r="AB84" s="3">
        <f ca="1">IFERROR(__xludf.DUMMYFUNCTION("""COMPUTED_VALUE"""),61.84)</f>
        <v>61.84</v>
      </c>
      <c r="AC84" s="3">
        <f ca="1">IFERROR(__xludf.DUMMYFUNCTION("""COMPUTED_VALUE"""),54.32)</f>
        <v>54.32</v>
      </c>
      <c r="AD84" s="3">
        <f ca="1">IFERROR(__xludf.DUMMYFUNCTION("""COMPUTED_VALUE"""),14.8)</f>
        <v>14.8</v>
      </c>
      <c r="AE84" s="3">
        <f ca="1">IFERROR(__xludf.DUMMYFUNCTION("""COMPUTED_VALUE"""),23.84)</f>
        <v>23.84</v>
      </c>
      <c r="AF84" s="3">
        <f ca="1">IFERROR(__xludf.DUMMYFUNCTION("""COMPUTED_VALUE"""),4.54)</f>
        <v>4.54</v>
      </c>
      <c r="AG84" s="3">
        <f ca="1">IFERROR(__xludf.DUMMYFUNCTION("""COMPUTED_VALUE"""),45.4)</f>
        <v>45.4</v>
      </c>
    </row>
    <row r="85" spans="1:33" ht="12.75" x14ac:dyDescent="0.2">
      <c r="A85" s="4">
        <f ca="1">IFERROR(__xludf.DUMMYFUNCTION("""COMPUTED_VALUE"""),44683.6666666666)</f>
        <v>44683.666666666599</v>
      </c>
      <c r="B85" s="3">
        <f ca="1">IFERROR(__xludf.DUMMYFUNCTION("""COMPUTED_VALUE"""),143.57)</f>
        <v>143.57</v>
      </c>
      <c r="C85" s="3">
        <f ca="1">IFERROR(__xludf.DUMMYFUNCTION("""COMPUTED_VALUE"""),373.27)</f>
        <v>373.27</v>
      </c>
      <c r="D85" s="3">
        <f ca="1">IFERROR(__xludf.DUMMYFUNCTION("""COMPUTED_VALUE"""),91.5)</f>
        <v>91.5</v>
      </c>
      <c r="E85" s="3">
        <f ca="1">IFERROR(__xludf.DUMMYFUNCTION("""COMPUTED_VALUE"""),138.05)</f>
        <v>138.05000000000001</v>
      </c>
      <c r="F85" s="3">
        <f ca="1">IFERROR(__xludf.DUMMYFUNCTION("""COMPUTED_VALUE"""),52.74)</f>
        <v>52.74</v>
      </c>
      <c r="G85" s="3">
        <f ca="1">IFERROR(__xludf.DUMMYFUNCTION("""COMPUTED_VALUE"""),24.12)</f>
        <v>24.12</v>
      </c>
      <c r="H85" s="3">
        <f ca="1">IFERROR(__xludf.DUMMYFUNCTION("""COMPUTED_VALUE"""),26.39)</f>
        <v>26.39</v>
      </c>
      <c r="I85" s="3">
        <f ca="1">IFERROR(__xludf.DUMMYFUNCTION("""COMPUTED_VALUE"""),129.48)</f>
        <v>129.47999999999999</v>
      </c>
      <c r="J85" s="3">
        <f ca="1">IFERROR(__xludf.DUMMYFUNCTION("""COMPUTED_VALUE"""),238.77)</f>
        <v>238.77</v>
      </c>
      <c r="K85" s="3">
        <f ca="1">IFERROR(__xludf.DUMMYFUNCTION("""COMPUTED_VALUE"""),118.36)</f>
        <v>118.36</v>
      </c>
      <c r="L85" s="3">
        <f ca="1">IFERROR(__xludf.DUMMYFUNCTION("""COMPUTED_VALUE"""),76.78)</f>
        <v>76.78</v>
      </c>
      <c r="M85" s="3">
        <f ca="1">IFERROR(__xludf.DUMMYFUNCTION("""COMPUTED_VALUE"""),56.94)</f>
        <v>56.94</v>
      </c>
      <c r="N85" s="3">
        <f ca="1">IFERROR(__xludf.DUMMYFUNCTION("""COMPUTED_VALUE"""),61.46)</f>
        <v>61.46</v>
      </c>
      <c r="O85" s="3">
        <f ca="1">IFERROR(__xludf.DUMMYFUNCTION("""COMPUTED_VALUE"""),52.52)</f>
        <v>52.52</v>
      </c>
      <c r="P85" s="3">
        <f ca="1">IFERROR(__xludf.DUMMYFUNCTION("""COMPUTED_VALUE"""),76.35)</f>
        <v>76.349999999999994</v>
      </c>
      <c r="Q85" s="3">
        <f ca="1">IFERROR(__xludf.DUMMYFUNCTION("""COMPUTED_VALUE"""),106.45)</f>
        <v>106.45</v>
      </c>
      <c r="R85" s="3">
        <f ca="1">IFERROR(__xludf.DUMMYFUNCTION("""COMPUTED_VALUE"""),84.77)</f>
        <v>84.77</v>
      </c>
      <c r="S85" s="3">
        <f ca="1">IFERROR(__xludf.DUMMYFUNCTION("""COMPUTED_VALUE"""),55.5)</f>
        <v>55.5</v>
      </c>
      <c r="T85" s="3">
        <f ca="1">IFERROR(__xludf.DUMMYFUNCTION("""COMPUTED_VALUE"""),27.95)</f>
        <v>27.95</v>
      </c>
      <c r="U85" s="3">
        <f ca="1">IFERROR(__xludf.DUMMYFUNCTION("""COMPUTED_VALUE"""),78.38)</f>
        <v>78.38</v>
      </c>
      <c r="V85" s="3">
        <f ca="1">IFERROR(__xludf.DUMMYFUNCTION("""COMPUTED_VALUE"""),64.98)</f>
        <v>64.98</v>
      </c>
      <c r="W85" s="3">
        <f ca="1">IFERROR(__xludf.DUMMYFUNCTION("""COMPUTED_VALUE"""),34.52)</f>
        <v>34.520000000000003</v>
      </c>
      <c r="X85" s="3">
        <f ca="1">IFERROR(__xludf.DUMMYFUNCTION("""COMPUTED_VALUE"""),84.3)</f>
        <v>84.3</v>
      </c>
      <c r="Y85" s="3">
        <f ca="1">IFERROR(__xludf.DUMMYFUNCTION("""COMPUTED_VALUE"""),47.72)</f>
        <v>47.72</v>
      </c>
      <c r="Z85" s="3">
        <f ca="1">IFERROR(__xludf.DUMMYFUNCTION("""COMPUTED_VALUE"""),76.09)</f>
        <v>76.09</v>
      </c>
      <c r="AA85" s="3">
        <f ca="1">IFERROR(__xludf.DUMMYFUNCTION("""COMPUTED_VALUE"""),45.39)</f>
        <v>45.39</v>
      </c>
      <c r="AB85" s="3">
        <f ca="1">IFERROR(__xludf.DUMMYFUNCTION("""COMPUTED_VALUE"""),62.71)</f>
        <v>62.71</v>
      </c>
      <c r="AC85" s="3">
        <f ca="1">IFERROR(__xludf.DUMMYFUNCTION("""COMPUTED_VALUE"""),54.56)</f>
        <v>54.56</v>
      </c>
      <c r="AD85" s="3">
        <f ca="1">IFERROR(__xludf.DUMMYFUNCTION("""COMPUTED_VALUE"""),14.89)</f>
        <v>14.89</v>
      </c>
      <c r="AE85" s="3">
        <f ca="1">IFERROR(__xludf.DUMMYFUNCTION("""COMPUTED_VALUE"""),24)</f>
        <v>24</v>
      </c>
      <c r="AF85" s="3">
        <f ca="1">IFERROR(__xludf.DUMMYFUNCTION("""COMPUTED_VALUE"""),4.54)</f>
        <v>4.54</v>
      </c>
      <c r="AG85" s="3">
        <f ca="1">IFERROR(__xludf.DUMMYFUNCTION("""COMPUTED_VALUE"""),47.36)</f>
        <v>47.36</v>
      </c>
    </row>
    <row r="86" spans="1:33" ht="12.75" x14ac:dyDescent="0.2">
      <c r="A86" s="4">
        <f ca="1">IFERROR(__xludf.DUMMYFUNCTION("""COMPUTED_VALUE"""),44684.6666666666)</f>
        <v>44684.666666666599</v>
      </c>
      <c r="B86" s="3">
        <f ca="1">IFERROR(__xludf.DUMMYFUNCTION("""COMPUTED_VALUE"""),143.82)</f>
        <v>143.82</v>
      </c>
      <c r="C86" s="3">
        <f ca="1">IFERROR(__xludf.DUMMYFUNCTION("""COMPUTED_VALUE"""),373.51)</f>
        <v>373.51</v>
      </c>
      <c r="D86" s="3">
        <f ca="1">IFERROR(__xludf.DUMMYFUNCTION("""COMPUTED_VALUE"""),91.62)</f>
        <v>91.62</v>
      </c>
      <c r="E86" s="3">
        <f ca="1">IFERROR(__xludf.DUMMYFUNCTION("""COMPUTED_VALUE"""),139.2)</f>
        <v>139.19999999999999</v>
      </c>
      <c r="F86" s="3">
        <f ca="1">IFERROR(__xludf.DUMMYFUNCTION("""COMPUTED_VALUE"""),52.36)</f>
        <v>52.36</v>
      </c>
      <c r="G86" s="3">
        <f ca="1">IFERROR(__xludf.DUMMYFUNCTION("""COMPUTED_VALUE"""),24.1)</f>
        <v>24.1</v>
      </c>
      <c r="H86" s="3">
        <f ca="1">IFERROR(__xludf.DUMMYFUNCTION("""COMPUTED_VALUE"""),26.5)</f>
        <v>26.5</v>
      </c>
      <c r="I86" s="3">
        <f ca="1">IFERROR(__xludf.DUMMYFUNCTION("""COMPUTED_VALUE"""),129.89)</f>
        <v>129.88999999999999</v>
      </c>
      <c r="J86" s="3">
        <f ca="1">IFERROR(__xludf.DUMMYFUNCTION("""COMPUTED_VALUE"""),239.38)</f>
        <v>239.38</v>
      </c>
      <c r="K86" s="3">
        <f ca="1">IFERROR(__xludf.DUMMYFUNCTION("""COMPUTED_VALUE"""),119.44)</f>
        <v>119.44</v>
      </c>
      <c r="L86" s="3">
        <f ca="1">IFERROR(__xludf.DUMMYFUNCTION("""COMPUTED_VALUE"""),76.85)</f>
        <v>76.849999999999994</v>
      </c>
      <c r="M86" s="3">
        <f ca="1">IFERROR(__xludf.DUMMYFUNCTION("""COMPUTED_VALUE"""),57.47)</f>
        <v>57.47</v>
      </c>
      <c r="N86" s="3">
        <f ca="1">IFERROR(__xludf.DUMMYFUNCTION("""COMPUTED_VALUE"""),61.62)</f>
        <v>61.62</v>
      </c>
      <c r="O86" s="3">
        <f ca="1">IFERROR(__xludf.DUMMYFUNCTION("""COMPUTED_VALUE"""),52.76)</f>
        <v>52.76</v>
      </c>
      <c r="P86" s="3">
        <f ca="1">IFERROR(__xludf.DUMMYFUNCTION("""COMPUTED_VALUE"""),78.49)</f>
        <v>78.489999999999995</v>
      </c>
      <c r="Q86" s="3">
        <f ca="1">IFERROR(__xludf.DUMMYFUNCTION("""COMPUTED_VALUE"""),109.71)</f>
        <v>109.71</v>
      </c>
      <c r="R86" s="3">
        <f ca="1">IFERROR(__xludf.DUMMYFUNCTION("""COMPUTED_VALUE"""),85.72)</f>
        <v>85.72</v>
      </c>
      <c r="S86" s="3">
        <f ca="1">IFERROR(__xludf.DUMMYFUNCTION("""COMPUTED_VALUE"""),56.76)</f>
        <v>56.76</v>
      </c>
      <c r="T86" s="3">
        <f ca="1">IFERROR(__xludf.DUMMYFUNCTION("""COMPUTED_VALUE"""),27.56)</f>
        <v>27.56</v>
      </c>
      <c r="U86" s="3">
        <f ca="1">IFERROR(__xludf.DUMMYFUNCTION("""COMPUTED_VALUE"""),76.69)</f>
        <v>76.69</v>
      </c>
      <c r="V86" s="3">
        <f ca="1">IFERROR(__xludf.DUMMYFUNCTION("""COMPUTED_VALUE"""),67.09)</f>
        <v>67.09</v>
      </c>
      <c r="W86" s="3">
        <f ca="1">IFERROR(__xludf.DUMMYFUNCTION("""COMPUTED_VALUE"""),34.97)</f>
        <v>34.97</v>
      </c>
      <c r="X86" s="3">
        <f ca="1">IFERROR(__xludf.DUMMYFUNCTION("""COMPUTED_VALUE"""),85.38)</f>
        <v>85.38</v>
      </c>
      <c r="Y86" s="3">
        <f ca="1">IFERROR(__xludf.DUMMYFUNCTION("""COMPUTED_VALUE"""),48.5)</f>
        <v>48.5</v>
      </c>
      <c r="Z86" s="3">
        <f ca="1">IFERROR(__xludf.DUMMYFUNCTION("""COMPUTED_VALUE"""),77.1)</f>
        <v>77.099999999999994</v>
      </c>
      <c r="AA86" s="3">
        <f ca="1">IFERROR(__xludf.DUMMYFUNCTION("""COMPUTED_VALUE"""),45.94)</f>
        <v>45.94</v>
      </c>
      <c r="AB86" s="3">
        <f ca="1">IFERROR(__xludf.DUMMYFUNCTION("""COMPUTED_VALUE"""),63.58)</f>
        <v>63.58</v>
      </c>
      <c r="AC86" s="3">
        <f ca="1">IFERROR(__xludf.DUMMYFUNCTION("""COMPUTED_VALUE"""),55.17)</f>
        <v>55.17</v>
      </c>
      <c r="AD86" s="3">
        <f ca="1">IFERROR(__xludf.DUMMYFUNCTION("""COMPUTED_VALUE"""),14.54)</f>
        <v>14.54</v>
      </c>
      <c r="AE86" s="3">
        <f ca="1">IFERROR(__xludf.DUMMYFUNCTION("""COMPUTED_VALUE"""),23.43)</f>
        <v>23.43</v>
      </c>
      <c r="AF86" s="3">
        <f ca="1">IFERROR(__xludf.DUMMYFUNCTION("""COMPUTED_VALUE"""),4.64)</f>
        <v>4.6399999999999997</v>
      </c>
      <c r="AG86" s="3">
        <f ca="1">IFERROR(__xludf.DUMMYFUNCTION("""COMPUTED_VALUE"""),47.44)</f>
        <v>47.44</v>
      </c>
    </row>
    <row r="87" spans="1:33" ht="12.75" x14ac:dyDescent="0.2">
      <c r="A87" s="4">
        <f ca="1">IFERROR(__xludf.DUMMYFUNCTION("""COMPUTED_VALUE"""),44685.6666666666)</f>
        <v>44685.666666666599</v>
      </c>
      <c r="B87" s="3">
        <f ca="1">IFERROR(__xludf.DUMMYFUNCTION("""COMPUTED_VALUE"""),148.87)</f>
        <v>148.87</v>
      </c>
      <c r="C87" s="3">
        <f ca="1">IFERROR(__xludf.DUMMYFUNCTION("""COMPUTED_VALUE"""),386.46)</f>
        <v>386.46</v>
      </c>
      <c r="D87" s="3">
        <f ca="1">IFERROR(__xludf.DUMMYFUNCTION("""COMPUTED_VALUE"""),94.97)</f>
        <v>94.97</v>
      </c>
      <c r="E87" s="3">
        <f ca="1">IFERROR(__xludf.DUMMYFUNCTION("""COMPUTED_VALUE"""),144.6)</f>
        <v>144.6</v>
      </c>
      <c r="F87" s="3">
        <f ca="1">IFERROR(__xludf.DUMMYFUNCTION("""COMPUTED_VALUE"""),52.77)</f>
        <v>52.77</v>
      </c>
      <c r="G87" s="3">
        <f ca="1">IFERROR(__xludf.DUMMYFUNCTION("""COMPUTED_VALUE"""),24.96)</f>
        <v>24.96</v>
      </c>
      <c r="H87" s="3">
        <f ca="1">IFERROR(__xludf.DUMMYFUNCTION("""COMPUTED_VALUE"""),27.11)</f>
        <v>27.11</v>
      </c>
      <c r="I87" s="3">
        <f ca="1">IFERROR(__xludf.DUMMYFUNCTION("""COMPUTED_VALUE"""),132.77)</f>
        <v>132.77000000000001</v>
      </c>
      <c r="J87" s="3">
        <f ca="1">IFERROR(__xludf.DUMMYFUNCTION("""COMPUTED_VALUE"""),244.54)</f>
        <v>244.54</v>
      </c>
      <c r="K87" s="3">
        <f ca="1">IFERROR(__xludf.DUMMYFUNCTION("""COMPUTED_VALUE"""),121.86)</f>
        <v>121.86</v>
      </c>
      <c r="L87" s="3">
        <f ca="1">IFERROR(__xludf.DUMMYFUNCTION("""COMPUTED_VALUE"""),78.58)</f>
        <v>78.58</v>
      </c>
      <c r="M87" s="3">
        <f ca="1">IFERROR(__xludf.DUMMYFUNCTION("""COMPUTED_VALUE"""),58.43)</f>
        <v>58.43</v>
      </c>
      <c r="N87" s="3">
        <f ca="1">IFERROR(__xludf.DUMMYFUNCTION("""COMPUTED_VALUE"""),62.99)</f>
        <v>62.99</v>
      </c>
      <c r="O87" s="3">
        <f ca="1">IFERROR(__xludf.DUMMYFUNCTION("""COMPUTED_VALUE"""),53.96)</f>
        <v>53.96</v>
      </c>
      <c r="P87" s="3">
        <f ca="1">IFERROR(__xludf.DUMMYFUNCTION("""COMPUTED_VALUE"""),81.75)</f>
        <v>81.75</v>
      </c>
      <c r="Q87" s="3">
        <f ca="1">IFERROR(__xludf.DUMMYFUNCTION("""COMPUTED_VALUE"""),114.24)</f>
        <v>114.24</v>
      </c>
      <c r="R87" s="3">
        <f ca="1">IFERROR(__xludf.DUMMYFUNCTION("""COMPUTED_VALUE"""),88.5)</f>
        <v>88.5</v>
      </c>
      <c r="S87" s="3">
        <f ca="1">IFERROR(__xludf.DUMMYFUNCTION("""COMPUTED_VALUE"""),58.43)</f>
        <v>58.43</v>
      </c>
      <c r="T87" s="3">
        <f ca="1">IFERROR(__xludf.DUMMYFUNCTION("""COMPUTED_VALUE"""),28.42)</f>
        <v>28.42</v>
      </c>
      <c r="U87" s="3">
        <f ca="1">IFERROR(__xludf.DUMMYFUNCTION("""COMPUTED_VALUE"""),80.22)</f>
        <v>80.22</v>
      </c>
      <c r="V87" s="3">
        <f ca="1">IFERROR(__xludf.DUMMYFUNCTION("""COMPUTED_VALUE"""),70.55)</f>
        <v>70.55</v>
      </c>
      <c r="W87" s="3">
        <f ca="1">IFERROR(__xludf.DUMMYFUNCTION("""COMPUTED_VALUE"""),36.04)</f>
        <v>36.04</v>
      </c>
      <c r="X87" s="3">
        <f ca="1">IFERROR(__xludf.DUMMYFUNCTION("""COMPUTED_VALUE"""),87.98)</f>
        <v>87.98</v>
      </c>
      <c r="Y87" s="3">
        <f ca="1">IFERROR(__xludf.DUMMYFUNCTION("""COMPUTED_VALUE"""),49.81)</f>
        <v>49.81</v>
      </c>
      <c r="Z87" s="3">
        <f ca="1">IFERROR(__xludf.DUMMYFUNCTION("""COMPUTED_VALUE"""),79.33)</f>
        <v>79.33</v>
      </c>
      <c r="AA87" s="3">
        <f ca="1">IFERROR(__xludf.DUMMYFUNCTION("""COMPUTED_VALUE"""),46.48)</f>
        <v>46.48</v>
      </c>
      <c r="AB87" s="3">
        <f ca="1">IFERROR(__xludf.DUMMYFUNCTION("""COMPUTED_VALUE"""),65.32)</f>
        <v>65.319999999999993</v>
      </c>
      <c r="AC87" s="3">
        <f ca="1">IFERROR(__xludf.DUMMYFUNCTION("""COMPUTED_VALUE"""),56.86)</f>
        <v>56.86</v>
      </c>
      <c r="AD87" s="3">
        <f ca="1">IFERROR(__xludf.DUMMYFUNCTION("""COMPUTED_VALUE"""),15.42)</f>
        <v>15.42</v>
      </c>
      <c r="AE87" s="3">
        <f ca="1">IFERROR(__xludf.DUMMYFUNCTION("""COMPUTED_VALUE"""),24.87)</f>
        <v>24.87</v>
      </c>
      <c r="AF87" s="3">
        <f ca="1">IFERROR(__xludf.DUMMYFUNCTION("""COMPUTED_VALUE"""),4.3)</f>
        <v>4.3</v>
      </c>
      <c r="AG87" s="3">
        <f ca="1">IFERROR(__xludf.DUMMYFUNCTION("""COMPUTED_VALUE"""),49.56)</f>
        <v>49.56</v>
      </c>
    </row>
    <row r="88" spans="1:33" ht="12.75" x14ac:dyDescent="0.2">
      <c r="A88" s="4">
        <f ca="1">IFERROR(__xludf.DUMMYFUNCTION("""COMPUTED_VALUE"""),44686.6666666666)</f>
        <v>44686.666666666599</v>
      </c>
      <c r="B88" s="3">
        <f ca="1">IFERROR(__xludf.DUMMYFUNCTION("""COMPUTED_VALUE"""),141.71)</f>
        <v>141.71</v>
      </c>
      <c r="C88" s="3">
        <f ca="1">IFERROR(__xludf.DUMMYFUNCTION("""COMPUTED_VALUE"""),366.73)</f>
        <v>366.73</v>
      </c>
      <c r="D88" s="3">
        <f ca="1">IFERROR(__xludf.DUMMYFUNCTION("""COMPUTED_VALUE"""),90.15)</f>
        <v>90.15</v>
      </c>
      <c r="E88" s="3">
        <f ca="1">IFERROR(__xludf.DUMMYFUNCTION("""COMPUTED_VALUE"""),137.59)</f>
        <v>137.59</v>
      </c>
      <c r="F88" s="3">
        <f ca="1">IFERROR(__xludf.DUMMYFUNCTION("""COMPUTED_VALUE"""),50.13)</f>
        <v>50.13</v>
      </c>
      <c r="G88" s="3">
        <f ca="1">IFERROR(__xludf.DUMMYFUNCTION("""COMPUTED_VALUE"""),23.79)</f>
        <v>23.79</v>
      </c>
      <c r="H88" s="3">
        <f ca="1">IFERROR(__xludf.DUMMYFUNCTION("""COMPUTED_VALUE"""),25.77)</f>
        <v>25.77</v>
      </c>
      <c r="I88" s="3">
        <f ca="1">IFERROR(__xludf.DUMMYFUNCTION("""COMPUTED_VALUE"""),130.19)</f>
        <v>130.19</v>
      </c>
      <c r="J88" s="3">
        <f ca="1">IFERROR(__xludf.DUMMYFUNCTION("""COMPUTED_VALUE"""),239)</f>
        <v>239</v>
      </c>
      <c r="K88" s="3">
        <f ca="1">IFERROR(__xludf.DUMMYFUNCTION("""COMPUTED_VALUE"""),117.36)</f>
        <v>117.36</v>
      </c>
      <c r="L88" s="3">
        <f ca="1">IFERROR(__xludf.DUMMYFUNCTION("""COMPUTED_VALUE"""),73.85)</f>
        <v>73.849999999999994</v>
      </c>
      <c r="M88" s="3">
        <f ca="1">IFERROR(__xludf.DUMMYFUNCTION("""COMPUTED_VALUE"""),56.21)</f>
        <v>56.21</v>
      </c>
      <c r="N88" s="3">
        <f ca="1">IFERROR(__xludf.DUMMYFUNCTION("""COMPUTED_VALUE"""),61.54)</f>
        <v>61.54</v>
      </c>
      <c r="O88" s="3">
        <f ca="1">IFERROR(__xludf.DUMMYFUNCTION("""COMPUTED_VALUE"""),50.8)</f>
        <v>50.8</v>
      </c>
      <c r="P88" s="3">
        <f ca="1">IFERROR(__xludf.DUMMYFUNCTION("""COMPUTED_VALUE"""),80.52)</f>
        <v>80.52</v>
      </c>
      <c r="Q88" s="3">
        <f ca="1">IFERROR(__xludf.DUMMYFUNCTION("""COMPUTED_VALUE"""),112.36)</f>
        <v>112.36</v>
      </c>
      <c r="R88" s="3">
        <f ca="1">IFERROR(__xludf.DUMMYFUNCTION("""COMPUTED_VALUE"""),85.76)</f>
        <v>85.76</v>
      </c>
      <c r="S88" s="3">
        <f ca="1">IFERROR(__xludf.DUMMYFUNCTION("""COMPUTED_VALUE"""),55.34)</f>
        <v>55.34</v>
      </c>
      <c r="T88" s="3">
        <f ca="1">IFERROR(__xludf.DUMMYFUNCTION("""COMPUTED_VALUE"""),28.27)</f>
        <v>28.27</v>
      </c>
      <c r="U88" s="3">
        <f ca="1">IFERROR(__xludf.DUMMYFUNCTION("""COMPUTED_VALUE"""),80.48)</f>
        <v>80.48</v>
      </c>
      <c r="V88" s="3">
        <f ca="1">IFERROR(__xludf.DUMMYFUNCTION("""COMPUTED_VALUE"""),67.44)</f>
        <v>67.44</v>
      </c>
      <c r="W88" s="3">
        <f ca="1">IFERROR(__xludf.DUMMYFUNCTION("""COMPUTED_VALUE"""),34.99)</f>
        <v>34.99</v>
      </c>
      <c r="X88" s="3">
        <f ca="1">IFERROR(__xludf.DUMMYFUNCTION("""COMPUTED_VALUE"""),85.44)</f>
        <v>85.44</v>
      </c>
      <c r="Y88" s="3">
        <f ca="1">IFERROR(__xludf.DUMMYFUNCTION("""COMPUTED_VALUE"""),48.3)</f>
        <v>48.3</v>
      </c>
      <c r="Z88" s="3">
        <f ca="1">IFERROR(__xludf.DUMMYFUNCTION("""COMPUTED_VALUE"""),77.03)</f>
        <v>77.03</v>
      </c>
      <c r="AA88" s="3">
        <f ca="1">IFERROR(__xludf.DUMMYFUNCTION("""COMPUTED_VALUE"""),45.29)</f>
        <v>45.29</v>
      </c>
      <c r="AB88" s="3">
        <f ca="1">IFERROR(__xludf.DUMMYFUNCTION("""COMPUTED_VALUE"""),63.43)</f>
        <v>63.43</v>
      </c>
      <c r="AC88" s="3">
        <f ca="1">IFERROR(__xludf.DUMMYFUNCTION("""COMPUTED_VALUE"""),54.96)</f>
        <v>54.96</v>
      </c>
      <c r="AD88" s="3">
        <f ca="1">IFERROR(__xludf.DUMMYFUNCTION("""COMPUTED_VALUE"""),14.01)</f>
        <v>14.01</v>
      </c>
      <c r="AE88" s="3">
        <f ca="1">IFERROR(__xludf.DUMMYFUNCTION("""COMPUTED_VALUE"""),22.61)</f>
        <v>22.61</v>
      </c>
      <c r="AF88" s="3">
        <f ca="1">IFERROR(__xludf.DUMMYFUNCTION("""COMPUTED_VALUE"""),3.97)</f>
        <v>3.97</v>
      </c>
      <c r="AG88" s="3">
        <f ca="1">IFERROR(__xludf.DUMMYFUNCTION("""COMPUTED_VALUE"""),45)</f>
        <v>45</v>
      </c>
    </row>
    <row r="89" spans="1:33" ht="12.75" x14ac:dyDescent="0.2">
      <c r="A89" s="4">
        <f ca="1">IFERROR(__xludf.DUMMYFUNCTION("""COMPUTED_VALUE"""),44687.6666666666)</f>
        <v>44687.666666666599</v>
      </c>
      <c r="B89" s="3">
        <f ca="1">IFERROR(__xludf.DUMMYFUNCTION("""COMPUTED_VALUE"""),140.57)</f>
        <v>140.57</v>
      </c>
      <c r="C89" s="3">
        <f ca="1">IFERROR(__xludf.DUMMYFUNCTION("""COMPUTED_VALUE"""),362.75)</f>
        <v>362.75</v>
      </c>
      <c r="D89" s="3">
        <f ca="1">IFERROR(__xludf.DUMMYFUNCTION("""COMPUTED_VALUE"""),89.11)</f>
        <v>89.11</v>
      </c>
      <c r="E89" s="3">
        <f ca="1">IFERROR(__xludf.DUMMYFUNCTION("""COMPUTED_VALUE"""),136.37)</f>
        <v>136.37</v>
      </c>
      <c r="F89" s="3">
        <f ca="1">IFERROR(__xludf.DUMMYFUNCTION("""COMPUTED_VALUE"""),48.11)</f>
        <v>48.11</v>
      </c>
      <c r="G89" s="3">
        <f ca="1">IFERROR(__xludf.DUMMYFUNCTION("""COMPUTED_VALUE"""),23.22)</f>
        <v>23.22</v>
      </c>
      <c r="H89" s="3">
        <f ca="1">IFERROR(__xludf.DUMMYFUNCTION("""COMPUTED_VALUE"""),24.95)</f>
        <v>24.95</v>
      </c>
      <c r="I89" s="3">
        <f ca="1">IFERROR(__xludf.DUMMYFUNCTION("""COMPUTED_VALUE"""),129.78)</f>
        <v>129.78</v>
      </c>
      <c r="J89" s="3">
        <f ca="1">IFERROR(__xludf.DUMMYFUNCTION("""COMPUTED_VALUE"""),237.34)</f>
        <v>237.34</v>
      </c>
      <c r="K89" s="3">
        <f ca="1">IFERROR(__xludf.DUMMYFUNCTION("""COMPUTED_VALUE"""),113.17)</f>
        <v>113.17</v>
      </c>
      <c r="L89" s="3">
        <f ca="1">IFERROR(__xludf.DUMMYFUNCTION("""COMPUTED_VALUE"""),70.13)</f>
        <v>70.13</v>
      </c>
      <c r="M89" s="3">
        <f ca="1">IFERROR(__xludf.DUMMYFUNCTION("""COMPUTED_VALUE"""),55.07)</f>
        <v>55.07</v>
      </c>
      <c r="N89" s="3">
        <f ca="1">IFERROR(__xludf.DUMMYFUNCTION("""COMPUTED_VALUE"""),61.14)</f>
        <v>61.14</v>
      </c>
      <c r="O89" s="3">
        <f ca="1">IFERROR(__xludf.DUMMYFUNCTION("""COMPUTED_VALUE"""),48.52)</f>
        <v>48.52</v>
      </c>
      <c r="P89" s="3">
        <f ca="1">IFERROR(__xludf.DUMMYFUNCTION("""COMPUTED_VALUE"""),82.92)</f>
        <v>82.92</v>
      </c>
      <c r="Q89" s="3">
        <f ca="1">IFERROR(__xludf.DUMMYFUNCTION("""COMPUTED_VALUE"""),115.19)</f>
        <v>115.19</v>
      </c>
      <c r="R89" s="3">
        <f ca="1">IFERROR(__xludf.DUMMYFUNCTION("""COMPUTED_VALUE"""),84.53)</f>
        <v>84.53</v>
      </c>
      <c r="S89" s="3">
        <f ca="1">IFERROR(__xludf.DUMMYFUNCTION("""COMPUTED_VALUE"""),54.16)</f>
        <v>54.16</v>
      </c>
      <c r="T89" s="3">
        <f ca="1">IFERROR(__xludf.DUMMYFUNCTION("""COMPUTED_VALUE"""),28.3)</f>
        <v>28.3</v>
      </c>
      <c r="U89" s="3">
        <f ca="1">IFERROR(__xludf.DUMMYFUNCTION("""COMPUTED_VALUE"""),82.13)</f>
        <v>82.13</v>
      </c>
      <c r="V89" s="3">
        <f ca="1">IFERROR(__xludf.DUMMYFUNCTION("""COMPUTED_VALUE"""),64.77)</f>
        <v>64.77</v>
      </c>
      <c r="W89" s="3">
        <f ca="1">IFERROR(__xludf.DUMMYFUNCTION("""COMPUTED_VALUE"""),34.74)</f>
        <v>34.74</v>
      </c>
      <c r="X89" s="3">
        <f ca="1">IFERROR(__xludf.DUMMYFUNCTION("""COMPUTED_VALUE"""),84.7)</f>
        <v>84.7</v>
      </c>
      <c r="Y89" s="3">
        <f ca="1">IFERROR(__xludf.DUMMYFUNCTION("""COMPUTED_VALUE"""),47.77)</f>
        <v>47.77</v>
      </c>
      <c r="Z89" s="3">
        <f ca="1">IFERROR(__xludf.DUMMYFUNCTION("""COMPUTED_VALUE"""),76.45)</f>
        <v>76.45</v>
      </c>
      <c r="AA89" s="3">
        <f ca="1">IFERROR(__xludf.DUMMYFUNCTION("""COMPUTED_VALUE"""),44.83)</f>
        <v>44.83</v>
      </c>
      <c r="AB89" s="3">
        <f ca="1">IFERROR(__xludf.DUMMYFUNCTION("""COMPUTED_VALUE"""),62.63)</f>
        <v>62.63</v>
      </c>
      <c r="AC89" s="3">
        <f ca="1">IFERROR(__xludf.DUMMYFUNCTION("""COMPUTED_VALUE"""),54.28)</f>
        <v>54.28</v>
      </c>
      <c r="AD89" s="3">
        <f ca="1">IFERROR(__xludf.DUMMYFUNCTION("""COMPUTED_VALUE"""),13.89)</f>
        <v>13.89</v>
      </c>
      <c r="AE89" s="3">
        <f ca="1">IFERROR(__xludf.DUMMYFUNCTION("""COMPUTED_VALUE"""),22.39)</f>
        <v>22.39</v>
      </c>
      <c r="AF89" s="3">
        <f ca="1">IFERROR(__xludf.DUMMYFUNCTION("""COMPUTED_VALUE"""),3.57)</f>
        <v>3.57</v>
      </c>
      <c r="AG89" s="3">
        <f ca="1">IFERROR(__xludf.DUMMYFUNCTION("""COMPUTED_VALUE"""),43.2)</f>
        <v>43.2</v>
      </c>
    </row>
    <row r="90" spans="1:33" ht="12.75" x14ac:dyDescent="0.2">
      <c r="A90" s="4">
        <f ca="1">IFERROR(__xludf.DUMMYFUNCTION("""COMPUTED_VALUE"""),44690.6666666666)</f>
        <v>44690.666666666599</v>
      </c>
      <c r="B90" s="3">
        <f ca="1">IFERROR(__xludf.DUMMYFUNCTION("""COMPUTED_VALUE"""),135.13)</f>
        <v>135.13</v>
      </c>
      <c r="C90" s="3">
        <f ca="1">IFERROR(__xludf.DUMMYFUNCTION("""COMPUTED_VALUE"""),347.13)</f>
        <v>347.13</v>
      </c>
      <c r="D90" s="3">
        <f ca="1">IFERROR(__xludf.DUMMYFUNCTION("""COMPUTED_VALUE"""),85.41)</f>
        <v>85.41</v>
      </c>
      <c r="E90" s="3">
        <f ca="1">IFERROR(__xludf.DUMMYFUNCTION("""COMPUTED_VALUE"""),129.42)</f>
        <v>129.41999999999999</v>
      </c>
      <c r="F90" s="3">
        <f ca="1">IFERROR(__xludf.DUMMYFUNCTION("""COMPUTED_VALUE"""),45.4)</f>
        <v>45.4</v>
      </c>
      <c r="G90" s="3">
        <f ca="1">IFERROR(__xludf.DUMMYFUNCTION("""COMPUTED_VALUE"""),21.97)</f>
        <v>21.97</v>
      </c>
      <c r="H90" s="3">
        <f ca="1">IFERROR(__xludf.DUMMYFUNCTION("""COMPUTED_VALUE"""),23.73)</f>
        <v>23.73</v>
      </c>
      <c r="I90" s="3">
        <f ca="1">IFERROR(__xludf.DUMMYFUNCTION("""COMPUTED_VALUE"""),126.42)</f>
        <v>126.42</v>
      </c>
      <c r="J90" s="3">
        <f ca="1">IFERROR(__xludf.DUMMYFUNCTION("""COMPUTED_VALUE"""),230.04)</f>
        <v>230.04</v>
      </c>
      <c r="K90" s="3">
        <f ca="1">IFERROR(__xludf.DUMMYFUNCTION("""COMPUTED_VALUE"""),107.28)</f>
        <v>107.28</v>
      </c>
      <c r="L90" s="3">
        <f ca="1">IFERROR(__xludf.DUMMYFUNCTION("""COMPUTED_VALUE"""),64.37)</f>
        <v>64.37</v>
      </c>
      <c r="M90" s="3">
        <f ca="1">IFERROR(__xludf.DUMMYFUNCTION("""COMPUTED_VALUE"""),52.31)</f>
        <v>52.31</v>
      </c>
      <c r="N90" s="3">
        <f ca="1">IFERROR(__xludf.DUMMYFUNCTION("""COMPUTED_VALUE"""),59.28)</f>
        <v>59.28</v>
      </c>
      <c r="O90" s="3">
        <f ca="1">IFERROR(__xludf.DUMMYFUNCTION("""COMPUTED_VALUE"""),44.36)</f>
        <v>44.36</v>
      </c>
      <c r="P90" s="3">
        <f ca="1">IFERROR(__xludf.DUMMYFUNCTION("""COMPUTED_VALUE"""),76.06)</f>
        <v>76.06</v>
      </c>
      <c r="Q90" s="3">
        <f ca="1">IFERROR(__xludf.DUMMYFUNCTION("""COMPUTED_VALUE"""),105.39)</f>
        <v>105.39</v>
      </c>
      <c r="R90" s="3">
        <f ca="1">IFERROR(__xludf.DUMMYFUNCTION("""COMPUTED_VALUE"""),81.86)</f>
        <v>81.86</v>
      </c>
      <c r="S90" s="3">
        <f ca="1">IFERROR(__xludf.DUMMYFUNCTION("""COMPUTED_VALUE"""),50.77)</f>
        <v>50.77</v>
      </c>
      <c r="T90" s="3">
        <f ca="1">IFERROR(__xludf.DUMMYFUNCTION("""COMPUTED_VALUE"""),27.02)</f>
        <v>27.02</v>
      </c>
      <c r="U90" s="3">
        <f ca="1">IFERROR(__xludf.DUMMYFUNCTION("""COMPUTED_VALUE"""),76.57)</f>
        <v>76.569999999999993</v>
      </c>
      <c r="V90" s="3">
        <f ca="1">IFERROR(__xludf.DUMMYFUNCTION("""COMPUTED_VALUE"""),59.91)</f>
        <v>59.91</v>
      </c>
      <c r="W90" s="3">
        <f ca="1">IFERROR(__xludf.DUMMYFUNCTION("""COMPUTED_VALUE"""),33.91)</f>
        <v>33.909999999999997</v>
      </c>
      <c r="X90" s="3">
        <f ca="1">IFERROR(__xludf.DUMMYFUNCTION("""COMPUTED_VALUE"""),82.64)</f>
        <v>82.64</v>
      </c>
      <c r="Y90" s="3">
        <f ca="1">IFERROR(__xludf.DUMMYFUNCTION("""COMPUTED_VALUE"""),46.96)</f>
        <v>46.96</v>
      </c>
      <c r="Z90" s="3">
        <f ca="1">IFERROR(__xludf.DUMMYFUNCTION("""COMPUTED_VALUE"""),74.48)</f>
        <v>74.48</v>
      </c>
      <c r="AA90" s="3">
        <f ca="1">IFERROR(__xludf.DUMMYFUNCTION("""COMPUTED_VALUE"""),42.74)</f>
        <v>42.74</v>
      </c>
      <c r="AB90" s="3">
        <f ca="1">IFERROR(__xludf.DUMMYFUNCTION("""COMPUTED_VALUE"""),61.77)</f>
        <v>61.77</v>
      </c>
      <c r="AC90" s="3">
        <f ca="1">IFERROR(__xludf.DUMMYFUNCTION("""COMPUTED_VALUE"""),52.52)</f>
        <v>52.52</v>
      </c>
      <c r="AD90" s="3">
        <f ca="1">IFERROR(__xludf.DUMMYFUNCTION("""COMPUTED_VALUE"""),11.93)</f>
        <v>11.93</v>
      </c>
      <c r="AE90" s="3">
        <f ca="1">IFERROR(__xludf.DUMMYFUNCTION("""COMPUTED_VALUE"""),19.23)</f>
        <v>19.23</v>
      </c>
      <c r="AF90" s="3">
        <f ca="1">IFERROR(__xludf.DUMMYFUNCTION("""COMPUTED_VALUE"""),3.42)</f>
        <v>3.42</v>
      </c>
      <c r="AG90" s="3">
        <f ca="1">IFERROR(__xludf.DUMMYFUNCTION("""COMPUTED_VALUE"""),36.2)</f>
        <v>36.200000000000003</v>
      </c>
    </row>
    <row r="91" spans="1:33" ht="12.75" x14ac:dyDescent="0.2">
      <c r="A91" s="4">
        <f ca="1">IFERROR(__xludf.DUMMYFUNCTION("""COMPUTED_VALUE"""),44691.6666666666)</f>
        <v>44691.666666666599</v>
      </c>
      <c r="B91" s="3">
        <f ca="1">IFERROR(__xludf.DUMMYFUNCTION("""COMPUTED_VALUE"""),137.19)</f>
        <v>137.19</v>
      </c>
      <c r="C91" s="3">
        <f ca="1">IFERROR(__xludf.DUMMYFUNCTION("""COMPUTED_VALUE"""),352.17)</f>
        <v>352.17</v>
      </c>
      <c r="D91" s="3">
        <f ca="1">IFERROR(__xludf.DUMMYFUNCTION("""COMPUTED_VALUE"""),86.75)</f>
        <v>86.75</v>
      </c>
      <c r="E91" s="3">
        <f ca="1">IFERROR(__xludf.DUMMYFUNCTION("""COMPUTED_VALUE"""),132.37)</f>
        <v>132.37</v>
      </c>
      <c r="F91" s="3">
        <f ca="1">IFERROR(__xludf.DUMMYFUNCTION("""COMPUTED_VALUE"""),46.1)</f>
        <v>46.1</v>
      </c>
      <c r="G91" s="3">
        <f ca="1">IFERROR(__xludf.DUMMYFUNCTION("""COMPUTED_VALUE"""),21.69)</f>
        <v>21.69</v>
      </c>
      <c r="H91" s="3">
        <f ca="1">IFERROR(__xludf.DUMMYFUNCTION("""COMPUTED_VALUE"""),23.89)</f>
        <v>23.89</v>
      </c>
      <c r="I91" s="3">
        <f ca="1">IFERROR(__xludf.DUMMYFUNCTION("""COMPUTED_VALUE"""),126.87)</f>
        <v>126.87</v>
      </c>
      <c r="J91" s="3">
        <f ca="1">IFERROR(__xludf.DUMMYFUNCTION("""COMPUTED_VALUE"""),231.58)</f>
        <v>231.58</v>
      </c>
      <c r="K91" s="3">
        <f ca="1">IFERROR(__xludf.DUMMYFUNCTION("""COMPUTED_VALUE"""),110.14)</f>
        <v>110.14</v>
      </c>
      <c r="L91" s="3">
        <f ca="1">IFERROR(__xludf.DUMMYFUNCTION("""COMPUTED_VALUE"""),67.7)</f>
        <v>67.7</v>
      </c>
      <c r="M91" s="3">
        <f ca="1">IFERROR(__xludf.DUMMYFUNCTION("""COMPUTED_VALUE"""),54.1)</f>
        <v>54.1</v>
      </c>
      <c r="N91" s="3">
        <f ca="1">IFERROR(__xludf.DUMMYFUNCTION("""COMPUTED_VALUE"""),59.58)</f>
        <v>59.58</v>
      </c>
      <c r="O91" s="3">
        <f ca="1">IFERROR(__xludf.DUMMYFUNCTION("""COMPUTED_VALUE"""),45.84)</f>
        <v>45.84</v>
      </c>
      <c r="P91" s="3">
        <f ca="1">IFERROR(__xludf.DUMMYFUNCTION("""COMPUTED_VALUE"""),76.75)</f>
        <v>76.75</v>
      </c>
      <c r="Q91" s="3">
        <f ca="1">IFERROR(__xludf.DUMMYFUNCTION("""COMPUTED_VALUE"""),106.17)</f>
        <v>106.17</v>
      </c>
      <c r="R91" s="3">
        <f ca="1">IFERROR(__xludf.DUMMYFUNCTION("""COMPUTED_VALUE"""),81.35)</f>
        <v>81.349999999999994</v>
      </c>
      <c r="S91" s="3">
        <f ca="1">IFERROR(__xludf.DUMMYFUNCTION("""COMPUTED_VALUE"""),50.23)</f>
        <v>50.23</v>
      </c>
      <c r="T91" s="3">
        <f ca="1">IFERROR(__xludf.DUMMYFUNCTION("""COMPUTED_VALUE"""),26.86)</f>
        <v>26.86</v>
      </c>
      <c r="U91" s="3">
        <f ca="1">IFERROR(__xludf.DUMMYFUNCTION("""COMPUTED_VALUE"""),74.53)</f>
        <v>74.53</v>
      </c>
      <c r="V91" s="3">
        <f ca="1">IFERROR(__xludf.DUMMYFUNCTION("""COMPUTED_VALUE"""),60.32)</f>
        <v>60.32</v>
      </c>
      <c r="W91" s="3">
        <f ca="1">IFERROR(__xludf.DUMMYFUNCTION("""COMPUTED_VALUE"""),33.61)</f>
        <v>33.61</v>
      </c>
      <c r="X91" s="3">
        <f ca="1">IFERROR(__xludf.DUMMYFUNCTION("""COMPUTED_VALUE"""),81.91)</f>
        <v>81.91</v>
      </c>
      <c r="Y91" s="3">
        <f ca="1">IFERROR(__xludf.DUMMYFUNCTION("""COMPUTED_VALUE"""),46.34)</f>
        <v>46.34</v>
      </c>
      <c r="Z91" s="3">
        <f ca="1">IFERROR(__xludf.DUMMYFUNCTION("""COMPUTED_VALUE"""),73.96)</f>
        <v>73.959999999999994</v>
      </c>
      <c r="AA91" s="3">
        <f ca="1">IFERROR(__xludf.DUMMYFUNCTION("""COMPUTED_VALUE"""),41.79)</f>
        <v>41.79</v>
      </c>
      <c r="AB91" s="3">
        <f ca="1">IFERROR(__xludf.DUMMYFUNCTION("""COMPUTED_VALUE"""),61.04)</f>
        <v>61.04</v>
      </c>
      <c r="AC91" s="3">
        <f ca="1">IFERROR(__xludf.DUMMYFUNCTION("""COMPUTED_VALUE"""),52.02)</f>
        <v>52.02</v>
      </c>
      <c r="AD91" s="3">
        <f ca="1">IFERROR(__xludf.DUMMYFUNCTION("""COMPUTED_VALUE"""),12.1)</f>
        <v>12.1</v>
      </c>
      <c r="AE91" s="3">
        <f ca="1">IFERROR(__xludf.DUMMYFUNCTION("""COMPUTED_VALUE"""),19.44)</f>
        <v>19.440000000000001</v>
      </c>
      <c r="AF91" s="3">
        <f ca="1">IFERROR(__xludf.DUMMYFUNCTION("""COMPUTED_VALUE"""),2.78)</f>
        <v>2.78</v>
      </c>
      <c r="AG91" s="3">
        <f ca="1">IFERROR(__xludf.DUMMYFUNCTION("""COMPUTED_VALUE"""),35.64)</f>
        <v>35.64</v>
      </c>
    </row>
    <row r="92" spans="1:33" ht="12.75" x14ac:dyDescent="0.2">
      <c r="A92" s="4">
        <f ca="1">IFERROR(__xludf.DUMMYFUNCTION("""COMPUTED_VALUE"""),44692.6666666666)</f>
        <v>44692.666666666599</v>
      </c>
      <c r="B92" s="3">
        <f ca="1">IFERROR(__xludf.DUMMYFUNCTION("""COMPUTED_VALUE"""),132.86)</f>
        <v>132.86000000000001</v>
      </c>
      <c r="C92" s="3">
        <f ca="1">IFERROR(__xludf.DUMMYFUNCTION("""COMPUTED_VALUE"""),340.11)</f>
        <v>340.11</v>
      </c>
      <c r="D92" s="3">
        <f ca="1">IFERROR(__xludf.DUMMYFUNCTION("""COMPUTED_VALUE"""),83.84)</f>
        <v>83.84</v>
      </c>
      <c r="E92" s="3">
        <f ca="1">IFERROR(__xludf.DUMMYFUNCTION("""COMPUTED_VALUE"""),128.46)</f>
        <v>128.46</v>
      </c>
      <c r="F92" s="3">
        <f ca="1">IFERROR(__xludf.DUMMYFUNCTION("""COMPUTED_VALUE"""),44.84)</f>
        <v>44.84</v>
      </c>
      <c r="G92" s="3">
        <f ca="1">IFERROR(__xludf.DUMMYFUNCTION("""COMPUTED_VALUE"""),21.22)</f>
        <v>21.22</v>
      </c>
      <c r="H92" s="3">
        <f ca="1">IFERROR(__xludf.DUMMYFUNCTION("""COMPUTED_VALUE"""),23.15)</f>
        <v>23.15</v>
      </c>
      <c r="I92" s="3">
        <f ca="1">IFERROR(__xludf.DUMMYFUNCTION("""COMPUTED_VALUE"""),126.03)</f>
        <v>126.03</v>
      </c>
      <c r="J92" s="3">
        <f ca="1">IFERROR(__xludf.DUMMYFUNCTION("""COMPUTED_VALUE"""),229.09)</f>
        <v>229.09</v>
      </c>
      <c r="K92" s="3">
        <f ca="1">IFERROR(__xludf.DUMMYFUNCTION("""COMPUTED_VALUE"""),106.46)</f>
        <v>106.46</v>
      </c>
      <c r="L92" s="3">
        <f ca="1">IFERROR(__xludf.DUMMYFUNCTION("""COMPUTED_VALUE"""),62.81)</f>
        <v>62.81</v>
      </c>
      <c r="M92" s="3">
        <f ca="1">IFERROR(__xludf.DUMMYFUNCTION("""COMPUTED_VALUE"""),52.22)</f>
        <v>52.22</v>
      </c>
      <c r="N92" s="3">
        <f ca="1">IFERROR(__xludf.DUMMYFUNCTION("""COMPUTED_VALUE"""),59)</f>
        <v>59</v>
      </c>
      <c r="O92" s="3">
        <f ca="1">IFERROR(__xludf.DUMMYFUNCTION("""COMPUTED_VALUE"""),43.32)</f>
        <v>43.32</v>
      </c>
      <c r="P92" s="3">
        <f ca="1">IFERROR(__xludf.DUMMYFUNCTION("""COMPUTED_VALUE"""),77.78)</f>
        <v>77.78</v>
      </c>
      <c r="Q92" s="3">
        <f ca="1">IFERROR(__xludf.DUMMYFUNCTION("""COMPUTED_VALUE"""),107.45)</f>
        <v>107.45</v>
      </c>
      <c r="R92" s="3">
        <f ca="1">IFERROR(__xludf.DUMMYFUNCTION("""COMPUTED_VALUE"""),81.39)</f>
        <v>81.39</v>
      </c>
      <c r="S92" s="3">
        <f ca="1">IFERROR(__xludf.DUMMYFUNCTION("""COMPUTED_VALUE"""),49.86)</f>
        <v>49.86</v>
      </c>
      <c r="T92" s="3">
        <f ca="1">IFERROR(__xludf.DUMMYFUNCTION("""COMPUTED_VALUE"""),27.52)</f>
        <v>27.52</v>
      </c>
      <c r="U92" s="3">
        <f ca="1">IFERROR(__xludf.DUMMYFUNCTION("""COMPUTED_VALUE"""),78.18)</f>
        <v>78.180000000000007</v>
      </c>
      <c r="V92" s="3">
        <f ca="1">IFERROR(__xludf.DUMMYFUNCTION("""COMPUTED_VALUE"""),57.79)</f>
        <v>57.79</v>
      </c>
      <c r="W92" s="3">
        <f ca="1">IFERROR(__xludf.DUMMYFUNCTION("""COMPUTED_VALUE"""),33.3)</f>
        <v>33.299999999999997</v>
      </c>
      <c r="X92" s="3">
        <f ca="1">IFERROR(__xludf.DUMMYFUNCTION("""COMPUTED_VALUE"""),81)</f>
        <v>81</v>
      </c>
      <c r="Y92" s="3">
        <f ca="1">IFERROR(__xludf.DUMMYFUNCTION("""COMPUTED_VALUE"""),45.5)</f>
        <v>45.5</v>
      </c>
      <c r="Z92" s="3">
        <f ca="1">IFERROR(__xludf.DUMMYFUNCTION("""COMPUTED_VALUE"""),73.12)</f>
        <v>73.12</v>
      </c>
      <c r="AA92" s="3">
        <f ca="1">IFERROR(__xludf.DUMMYFUNCTION("""COMPUTED_VALUE"""),41.73)</f>
        <v>41.73</v>
      </c>
      <c r="AB92" s="3">
        <f ca="1">IFERROR(__xludf.DUMMYFUNCTION("""COMPUTED_VALUE"""),60.02)</f>
        <v>60.02</v>
      </c>
      <c r="AC92" s="3">
        <f ca="1">IFERROR(__xludf.DUMMYFUNCTION("""COMPUTED_VALUE"""),51.54)</f>
        <v>51.54</v>
      </c>
      <c r="AD92" s="3">
        <f ca="1">IFERROR(__xludf.DUMMYFUNCTION("""COMPUTED_VALUE"""),11.3)</f>
        <v>11.3</v>
      </c>
      <c r="AE92" s="3">
        <f ca="1">IFERROR(__xludf.DUMMYFUNCTION("""COMPUTED_VALUE"""),18.18)</f>
        <v>18.18</v>
      </c>
      <c r="AF92" s="3">
        <f ca="1">IFERROR(__xludf.DUMMYFUNCTION("""COMPUTED_VALUE"""),3.13)</f>
        <v>3.13</v>
      </c>
      <c r="AG92" s="3">
        <f ca="1">IFERROR(__xludf.DUMMYFUNCTION("""COMPUTED_VALUE"""),31.36)</f>
        <v>31.36</v>
      </c>
    </row>
    <row r="93" spans="1:33" ht="12.75" x14ac:dyDescent="0.2">
      <c r="A93" s="4">
        <f ca="1">IFERROR(__xludf.DUMMYFUNCTION("""COMPUTED_VALUE"""),44693.6666666666)</f>
        <v>44693.666666666599</v>
      </c>
      <c r="B93" s="3">
        <f ca="1">IFERROR(__xludf.DUMMYFUNCTION("""COMPUTED_VALUE"""),131.49)</f>
        <v>131.49</v>
      </c>
      <c r="C93" s="3">
        <f ca="1">IFERROR(__xludf.DUMMYFUNCTION("""COMPUTED_VALUE"""),337.61)</f>
        <v>337.61</v>
      </c>
      <c r="D93" s="3">
        <f ca="1">IFERROR(__xludf.DUMMYFUNCTION("""COMPUTED_VALUE"""),83.44)</f>
        <v>83.44</v>
      </c>
      <c r="E93" s="3">
        <f ca="1">IFERROR(__xludf.DUMMYFUNCTION("""COMPUTED_VALUE"""),129.24)</f>
        <v>129.24</v>
      </c>
      <c r="F93" s="3">
        <f ca="1">IFERROR(__xludf.DUMMYFUNCTION("""COMPUTED_VALUE"""),45.19)</f>
        <v>45.19</v>
      </c>
      <c r="G93" s="3">
        <f ca="1">IFERROR(__xludf.DUMMYFUNCTION("""COMPUTED_VALUE"""),21.29)</f>
        <v>21.29</v>
      </c>
      <c r="H93" s="3">
        <f ca="1">IFERROR(__xludf.DUMMYFUNCTION("""COMPUTED_VALUE"""),23.6)</f>
        <v>23.6</v>
      </c>
      <c r="I93" s="3">
        <f ca="1">IFERROR(__xludf.DUMMYFUNCTION("""COMPUTED_VALUE"""),127.25)</f>
        <v>127.25</v>
      </c>
      <c r="J93" s="3">
        <f ca="1">IFERROR(__xludf.DUMMYFUNCTION("""COMPUTED_VALUE"""),231.56)</f>
        <v>231.56</v>
      </c>
      <c r="K93" s="3">
        <f ca="1">IFERROR(__xludf.DUMMYFUNCTION("""COMPUTED_VALUE"""),109.45)</f>
        <v>109.45</v>
      </c>
      <c r="L93" s="3">
        <f ca="1">IFERROR(__xludf.DUMMYFUNCTION("""COMPUTED_VALUE"""),64.91)</f>
        <v>64.91</v>
      </c>
      <c r="M93" s="3">
        <f ca="1">IFERROR(__xludf.DUMMYFUNCTION("""COMPUTED_VALUE"""),53.47)</f>
        <v>53.47</v>
      </c>
      <c r="N93" s="3">
        <f ca="1">IFERROR(__xludf.DUMMYFUNCTION("""COMPUTED_VALUE"""),59.68)</f>
        <v>59.68</v>
      </c>
      <c r="O93" s="3">
        <f ca="1">IFERROR(__xludf.DUMMYFUNCTION("""COMPUTED_VALUE"""),44.68)</f>
        <v>44.68</v>
      </c>
      <c r="P93" s="3">
        <f ca="1">IFERROR(__xludf.DUMMYFUNCTION("""COMPUTED_VALUE"""),78.11)</f>
        <v>78.11</v>
      </c>
      <c r="Q93" s="3">
        <f ca="1">IFERROR(__xludf.DUMMYFUNCTION("""COMPUTED_VALUE"""),107.79)</f>
        <v>107.79</v>
      </c>
      <c r="R93" s="3">
        <f ca="1">IFERROR(__xludf.DUMMYFUNCTION("""COMPUTED_VALUE"""),81.24)</f>
        <v>81.239999999999995</v>
      </c>
      <c r="S93" s="3">
        <f ca="1">IFERROR(__xludf.DUMMYFUNCTION("""COMPUTED_VALUE"""),48.79)</f>
        <v>48.79</v>
      </c>
      <c r="T93" s="3">
        <f ca="1">IFERROR(__xludf.DUMMYFUNCTION("""COMPUTED_VALUE"""),27.65)</f>
        <v>27.65</v>
      </c>
      <c r="U93" s="3">
        <f ca="1">IFERROR(__xludf.DUMMYFUNCTION("""COMPUTED_VALUE"""),79.23)</f>
        <v>79.23</v>
      </c>
      <c r="V93" s="3">
        <f ca="1">IFERROR(__xludf.DUMMYFUNCTION("""COMPUTED_VALUE"""),57.59)</f>
        <v>57.59</v>
      </c>
      <c r="W93" s="3">
        <f ca="1">IFERROR(__xludf.DUMMYFUNCTION("""COMPUTED_VALUE"""),33.05)</f>
        <v>33.049999999999997</v>
      </c>
      <c r="X93" s="3">
        <f ca="1">IFERROR(__xludf.DUMMYFUNCTION("""COMPUTED_VALUE"""),80.6)</f>
        <v>80.599999999999994</v>
      </c>
      <c r="Y93" s="3">
        <f ca="1">IFERROR(__xludf.DUMMYFUNCTION("""COMPUTED_VALUE"""),45.5)</f>
        <v>45.5</v>
      </c>
      <c r="Z93" s="3">
        <f ca="1">IFERROR(__xludf.DUMMYFUNCTION("""COMPUTED_VALUE"""),72.88)</f>
        <v>72.88</v>
      </c>
      <c r="AA93" s="3">
        <f ca="1">IFERROR(__xludf.DUMMYFUNCTION("""COMPUTED_VALUE"""),42.04)</f>
        <v>42.04</v>
      </c>
      <c r="AB93" s="3">
        <f ca="1">IFERROR(__xludf.DUMMYFUNCTION("""COMPUTED_VALUE"""),60.02)</f>
        <v>60.02</v>
      </c>
      <c r="AC93" s="3">
        <f ca="1">IFERROR(__xludf.DUMMYFUNCTION("""COMPUTED_VALUE"""),51.21)</f>
        <v>51.21</v>
      </c>
      <c r="AD93" s="3">
        <f ca="1">IFERROR(__xludf.DUMMYFUNCTION("""COMPUTED_VALUE"""),11.04)</f>
        <v>11.04</v>
      </c>
      <c r="AE93" s="3">
        <f ca="1">IFERROR(__xludf.DUMMYFUNCTION("""COMPUTED_VALUE"""),17.71)</f>
        <v>17.71</v>
      </c>
      <c r="AF93" s="3">
        <f ca="1">IFERROR(__xludf.DUMMYFUNCTION("""COMPUTED_VALUE"""),3.25)</f>
        <v>3.25</v>
      </c>
      <c r="AG93" s="3">
        <f ca="1">IFERROR(__xludf.DUMMYFUNCTION("""COMPUTED_VALUE"""),30.88)</f>
        <v>30.88</v>
      </c>
    </row>
    <row r="94" spans="1:33" ht="12.75" x14ac:dyDescent="0.2">
      <c r="A94" s="4">
        <f ca="1">IFERROR(__xludf.DUMMYFUNCTION("""COMPUTED_VALUE"""),44694.6666666666)</f>
        <v>44694.666666666599</v>
      </c>
      <c r="B94" s="3">
        <f ca="1">IFERROR(__xludf.DUMMYFUNCTION("""COMPUTED_VALUE"""),135.86)</f>
        <v>135.86000000000001</v>
      </c>
      <c r="C94" s="3">
        <f ca="1">IFERROR(__xludf.DUMMYFUNCTION("""COMPUTED_VALUE"""),350.38)</f>
        <v>350.38</v>
      </c>
      <c r="D94" s="3">
        <f ca="1">IFERROR(__xludf.DUMMYFUNCTION("""COMPUTED_VALUE"""),86.62)</f>
        <v>86.62</v>
      </c>
      <c r="E94" s="3">
        <f ca="1">IFERROR(__xludf.DUMMYFUNCTION("""COMPUTED_VALUE"""),135.83)</f>
        <v>135.83000000000001</v>
      </c>
      <c r="F94" s="3">
        <f ca="1">IFERROR(__xludf.DUMMYFUNCTION("""COMPUTED_VALUE"""),47.09)</f>
        <v>47.09</v>
      </c>
      <c r="G94" s="3">
        <f ca="1">IFERROR(__xludf.DUMMYFUNCTION("""COMPUTED_VALUE"""),22.46)</f>
        <v>22.46</v>
      </c>
      <c r="H94" s="3">
        <f ca="1">IFERROR(__xludf.DUMMYFUNCTION("""COMPUTED_VALUE"""),24.7)</f>
        <v>24.7</v>
      </c>
      <c r="I94" s="3">
        <f ca="1">IFERROR(__xludf.DUMMYFUNCTION("""COMPUTED_VALUE"""),128.6)</f>
        <v>128.6</v>
      </c>
      <c r="J94" s="3">
        <f ca="1">IFERROR(__xludf.DUMMYFUNCTION("""COMPUTED_VALUE"""),235.08)</f>
        <v>235.08</v>
      </c>
      <c r="K94" s="3">
        <f ca="1">IFERROR(__xludf.DUMMYFUNCTION("""COMPUTED_VALUE"""),113.14)</f>
        <v>113.14</v>
      </c>
      <c r="L94" s="3">
        <f ca="1">IFERROR(__xludf.DUMMYFUNCTION("""COMPUTED_VALUE"""),68.6)</f>
        <v>68.599999999999994</v>
      </c>
      <c r="M94" s="3">
        <f ca="1">IFERROR(__xludf.DUMMYFUNCTION("""COMPUTED_VALUE"""),55.05)</f>
        <v>55.05</v>
      </c>
      <c r="N94" s="3">
        <f ca="1">IFERROR(__xludf.DUMMYFUNCTION("""COMPUTED_VALUE"""),60.54)</f>
        <v>60.54</v>
      </c>
      <c r="O94" s="3">
        <f ca="1">IFERROR(__xludf.DUMMYFUNCTION("""COMPUTED_VALUE"""),47.24)</f>
        <v>47.24</v>
      </c>
      <c r="P94" s="3">
        <f ca="1">IFERROR(__xludf.DUMMYFUNCTION("""COMPUTED_VALUE"""),80.78)</f>
        <v>80.78</v>
      </c>
      <c r="Q94" s="3">
        <f ca="1">IFERROR(__xludf.DUMMYFUNCTION("""COMPUTED_VALUE"""),111.45)</f>
        <v>111.45</v>
      </c>
      <c r="R94" s="3">
        <f ca="1">IFERROR(__xludf.DUMMYFUNCTION("""COMPUTED_VALUE"""),82.49)</f>
        <v>82.49</v>
      </c>
      <c r="S94" s="3">
        <f ca="1">IFERROR(__xludf.DUMMYFUNCTION("""COMPUTED_VALUE"""),50.27)</f>
        <v>50.27</v>
      </c>
      <c r="T94" s="3">
        <f ca="1">IFERROR(__xludf.DUMMYFUNCTION("""COMPUTED_VALUE"""),28.03)</f>
        <v>28.03</v>
      </c>
      <c r="U94" s="3">
        <f ca="1">IFERROR(__xludf.DUMMYFUNCTION("""COMPUTED_VALUE"""),81.28)</f>
        <v>81.28</v>
      </c>
      <c r="V94" s="3">
        <f ca="1">IFERROR(__xludf.DUMMYFUNCTION("""COMPUTED_VALUE"""),61.71)</f>
        <v>61.71</v>
      </c>
      <c r="W94" s="3">
        <f ca="1">IFERROR(__xludf.DUMMYFUNCTION("""COMPUTED_VALUE"""),33.53)</f>
        <v>33.53</v>
      </c>
      <c r="X94" s="3">
        <f ca="1">IFERROR(__xludf.DUMMYFUNCTION("""COMPUTED_VALUE"""),81.93)</f>
        <v>81.93</v>
      </c>
      <c r="Y94" s="3">
        <f ca="1">IFERROR(__xludf.DUMMYFUNCTION("""COMPUTED_VALUE"""),46.08)</f>
        <v>46.08</v>
      </c>
      <c r="Z94" s="3">
        <f ca="1">IFERROR(__xludf.DUMMYFUNCTION("""COMPUTED_VALUE"""),74.12)</f>
        <v>74.12</v>
      </c>
      <c r="AA94" s="3">
        <f ca="1">IFERROR(__xludf.DUMMYFUNCTION("""COMPUTED_VALUE"""),43.09)</f>
        <v>43.09</v>
      </c>
      <c r="AB94" s="3">
        <f ca="1">IFERROR(__xludf.DUMMYFUNCTION("""COMPUTED_VALUE"""),60.57)</f>
        <v>60.57</v>
      </c>
      <c r="AC94" s="3">
        <f ca="1">IFERROR(__xludf.DUMMYFUNCTION("""COMPUTED_VALUE"""),52.34)</f>
        <v>52.34</v>
      </c>
      <c r="AD94" s="3">
        <f ca="1">IFERROR(__xludf.DUMMYFUNCTION("""COMPUTED_VALUE"""),11.61)</f>
        <v>11.61</v>
      </c>
      <c r="AE94" s="3">
        <f ca="1">IFERROR(__xludf.DUMMYFUNCTION("""COMPUTED_VALUE"""),18.68)</f>
        <v>18.68</v>
      </c>
      <c r="AF94" s="3">
        <f ca="1">IFERROR(__xludf.DUMMYFUNCTION("""COMPUTED_VALUE"""),3.08)</f>
        <v>3.08</v>
      </c>
      <c r="AG94" s="3">
        <f ca="1">IFERROR(__xludf.DUMMYFUNCTION("""COMPUTED_VALUE"""),33.6)</f>
        <v>33.6</v>
      </c>
    </row>
    <row r="95" spans="1:33" ht="12.75" x14ac:dyDescent="0.2">
      <c r="A95" s="4">
        <f ca="1">IFERROR(__xludf.DUMMYFUNCTION("""COMPUTED_VALUE"""),44697.6666666666)</f>
        <v>44697.666666666599</v>
      </c>
      <c r="B95" s="3">
        <f ca="1">IFERROR(__xludf.DUMMYFUNCTION("""COMPUTED_VALUE"""),134.66)</f>
        <v>134.66</v>
      </c>
      <c r="C95" s="3">
        <f ca="1">IFERROR(__xludf.DUMMYFUNCTION("""COMPUTED_VALUE"""),346.2)</f>
        <v>346.2</v>
      </c>
      <c r="D95" s="3">
        <f ca="1">IFERROR(__xludf.DUMMYFUNCTION("""COMPUTED_VALUE"""),85.47)</f>
        <v>85.47</v>
      </c>
      <c r="E95" s="3">
        <f ca="1">IFERROR(__xludf.DUMMYFUNCTION("""COMPUTED_VALUE"""),133.77)</f>
        <v>133.77000000000001</v>
      </c>
      <c r="F95" s="3">
        <f ca="1">IFERROR(__xludf.DUMMYFUNCTION("""COMPUTED_VALUE"""),46.24)</f>
        <v>46.24</v>
      </c>
      <c r="G95" s="3">
        <f ca="1">IFERROR(__xludf.DUMMYFUNCTION("""COMPUTED_VALUE"""),22.29)</f>
        <v>22.29</v>
      </c>
      <c r="H95" s="3">
        <f ca="1">IFERROR(__xludf.DUMMYFUNCTION("""COMPUTED_VALUE"""),24.38)</f>
        <v>24.38</v>
      </c>
      <c r="I95" s="3">
        <f ca="1">IFERROR(__xludf.DUMMYFUNCTION("""COMPUTED_VALUE"""),129.55)</f>
        <v>129.55000000000001</v>
      </c>
      <c r="J95" s="3">
        <f ca="1">IFERROR(__xludf.DUMMYFUNCTION("""COMPUTED_VALUE"""),236.56)</f>
        <v>236.56</v>
      </c>
      <c r="K95" s="3">
        <f ca="1">IFERROR(__xludf.DUMMYFUNCTION("""COMPUTED_VALUE"""),113.29)</f>
        <v>113.29</v>
      </c>
      <c r="L95" s="3">
        <f ca="1">IFERROR(__xludf.DUMMYFUNCTION("""COMPUTED_VALUE"""),68.46)</f>
        <v>68.459999999999994</v>
      </c>
      <c r="M95" s="3">
        <f ca="1">IFERROR(__xludf.DUMMYFUNCTION("""COMPUTED_VALUE"""),55.25)</f>
        <v>55.25</v>
      </c>
      <c r="N95" s="3">
        <f ca="1">IFERROR(__xludf.DUMMYFUNCTION("""COMPUTED_VALUE"""),60.93)</f>
        <v>60.93</v>
      </c>
      <c r="O95" s="3">
        <f ca="1">IFERROR(__xludf.DUMMYFUNCTION("""COMPUTED_VALUE"""),46.4)</f>
        <v>46.4</v>
      </c>
      <c r="P95" s="3">
        <f ca="1">IFERROR(__xludf.DUMMYFUNCTION("""COMPUTED_VALUE"""),82.91)</f>
        <v>82.91</v>
      </c>
      <c r="Q95" s="3">
        <f ca="1">IFERROR(__xludf.DUMMYFUNCTION("""COMPUTED_VALUE"""),114.28)</f>
        <v>114.28</v>
      </c>
      <c r="R95" s="3">
        <f ca="1">IFERROR(__xludf.DUMMYFUNCTION("""COMPUTED_VALUE"""),82.34)</f>
        <v>82.34</v>
      </c>
      <c r="S95" s="3">
        <f ca="1">IFERROR(__xludf.DUMMYFUNCTION("""COMPUTED_VALUE"""),50.39)</f>
        <v>50.39</v>
      </c>
      <c r="T95" s="3">
        <f ca="1">IFERROR(__xludf.DUMMYFUNCTION("""COMPUTED_VALUE"""),28.49)</f>
        <v>28.49</v>
      </c>
      <c r="U95" s="3">
        <f ca="1">IFERROR(__xludf.DUMMYFUNCTION("""COMPUTED_VALUE"""),83.11)</f>
        <v>83.11</v>
      </c>
      <c r="V95" s="3">
        <f ca="1">IFERROR(__xludf.DUMMYFUNCTION("""COMPUTED_VALUE"""),60.74)</f>
        <v>60.74</v>
      </c>
      <c r="W95" s="3">
        <f ca="1">IFERROR(__xludf.DUMMYFUNCTION("""COMPUTED_VALUE"""),33.25)</f>
        <v>33.25</v>
      </c>
      <c r="X95" s="3">
        <f ca="1">IFERROR(__xludf.DUMMYFUNCTION("""COMPUTED_VALUE"""),81.36)</f>
        <v>81.36</v>
      </c>
      <c r="Y95" s="3">
        <f ca="1">IFERROR(__xludf.DUMMYFUNCTION("""COMPUTED_VALUE"""),45.64)</f>
        <v>45.64</v>
      </c>
      <c r="Z95" s="3">
        <f ca="1">IFERROR(__xludf.DUMMYFUNCTION("""COMPUTED_VALUE"""),73.54)</f>
        <v>73.540000000000006</v>
      </c>
      <c r="AA95" s="3">
        <f ca="1">IFERROR(__xludf.DUMMYFUNCTION("""COMPUTED_VALUE"""),42.74)</f>
        <v>42.74</v>
      </c>
      <c r="AB95" s="3">
        <f ca="1">IFERROR(__xludf.DUMMYFUNCTION("""COMPUTED_VALUE"""),59.88)</f>
        <v>59.88</v>
      </c>
      <c r="AC95" s="3">
        <f ca="1">IFERROR(__xludf.DUMMYFUNCTION("""COMPUTED_VALUE"""),51.76)</f>
        <v>51.76</v>
      </c>
      <c r="AD95" s="3">
        <f ca="1">IFERROR(__xludf.DUMMYFUNCTION("""COMPUTED_VALUE"""),11.39)</f>
        <v>11.39</v>
      </c>
      <c r="AE95" s="3">
        <f ca="1">IFERROR(__xludf.DUMMYFUNCTION("""COMPUTED_VALUE"""),18.32)</f>
        <v>18.32</v>
      </c>
      <c r="AF95" s="3">
        <f ca="1">IFERROR(__xludf.DUMMYFUNCTION("""COMPUTED_VALUE"""),3.2)</f>
        <v>3.2</v>
      </c>
      <c r="AG95" s="3">
        <f ca="1">IFERROR(__xludf.DUMMYFUNCTION("""COMPUTED_VALUE"""),31.32)</f>
        <v>31.32</v>
      </c>
    </row>
    <row r="96" spans="1:33" ht="12.75" x14ac:dyDescent="0.2">
      <c r="A96" s="4">
        <f ca="1">IFERROR(__xludf.DUMMYFUNCTION("""COMPUTED_VALUE"""),44698.6666666666)</f>
        <v>44698.666666666599</v>
      </c>
      <c r="B96" s="3">
        <f ca="1">IFERROR(__xludf.DUMMYFUNCTION("""COMPUTED_VALUE"""),138.56)</f>
        <v>138.56</v>
      </c>
      <c r="C96" s="3">
        <f ca="1">IFERROR(__xludf.DUMMYFUNCTION("""COMPUTED_VALUE"""),356)</f>
        <v>356</v>
      </c>
      <c r="D96" s="3">
        <f ca="1">IFERROR(__xludf.DUMMYFUNCTION("""COMPUTED_VALUE"""),87.75)</f>
        <v>87.75</v>
      </c>
      <c r="E96" s="3">
        <f ca="1">IFERROR(__xludf.DUMMYFUNCTION("""COMPUTED_VALUE"""),140.26)</f>
        <v>140.26</v>
      </c>
      <c r="F96" s="3">
        <f ca="1">IFERROR(__xludf.DUMMYFUNCTION("""COMPUTED_VALUE"""),46.86)</f>
        <v>46.86</v>
      </c>
      <c r="G96" s="3">
        <f ca="1">IFERROR(__xludf.DUMMYFUNCTION("""COMPUTED_VALUE"""),23)</f>
        <v>23</v>
      </c>
      <c r="H96" s="3">
        <f ca="1">IFERROR(__xludf.DUMMYFUNCTION("""COMPUTED_VALUE"""),25.14)</f>
        <v>25.14</v>
      </c>
      <c r="I96" s="3">
        <f ca="1">IFERROR(__xludf.DUMMYFUNCTION("""COMPUTED_VALUE"""),131.33)</f>
        <v>131.33000000000001</v>
      </c>
      <c r="J96" s="3">
        <f ca="1">IFERROR(__xludf.DUMMYFUNCTION("""COMPUTED_VALUE"""),240.45)</f>
        <v>240.45</v>
      </c>
      <c r="K96" s="3">
        <f ca="1">IFERROR(__xludf.DUMMYFUNCTION("""COMPUTED_VALUE"""),116.52)</f>
        <v>116.52</v>
      </c>
      <c r="L96" s="3">
        <f ca="1">IFERROR(__xludf.DUMMYFUNCTION("""COMPUTED_VALUE"""),71.46)</f>
        <v>71.459999999999994</v>
      </c>
      <c r="M96" s="3">
        <f ca="1">IFERROR(__xludf.DUMMYFUNCTION("""COMPUTED_VALUE"""),56.73)</f>
        <v>56.73</v>
      </c>
      <c r="N96" s="3">
        <f ca="1">IFERROR(__xludf.DUMMYFUNCTION("""COMPUTED_VALUE"""),61.91)</f>
        <v>61.91</v>
      </c>
      <c r="O96" s="3">
        <f ca="1">IFERROR(__xludf.DUMMYFUNCTION("""COMPUTED_VALUE"""),48.12)</f>
        <v>48.12</v>
      </c>
      <c r="P96" s="3">
        <f ca="1">IFERROR(__xludf.DUMMYFUNCTION("""COMPUTED_VALUE"""),83.87)</f>
        <v>83.87</v>
      </c>
      <c r="Q96" s="3">
        <f ca="1">IFERROR(__xludf.DUMMYFUNCTION("""COMPUTED_VALUE"""),115.92)</f>
        <v>115.92</v>
      </c>
      <c r="R96" s="3">
        <f ca="1">IFERROR(__xludf.DUMMYFUNCTION("""COMPUTED_VALUE"""),84.67)</f>
        <v>84.67</v>
      </c>
      <c r="S96" s="3">
        <f ca="1">IFERROR(__xludf.DUMMYFUNCTION("""COMPUTED_VALUE"""),52.53)</f>
        <v>52.53</v>
      </c>
      <c r="T96" s="3">
        <f ca="1">IFERROR(__xludf.DUMMYFUNCTION("""COMPUTED_VALUE"""),28.18)</f>
        <v>28.18</v>
      </c>
      <c r="U96" s="3">
        <f ca="1">IFERROR(__xludf.DUMMYFUNCTION("""COMPUTED_VALUE"""),81.11)</f>
        <v>81.11</v>
      </c>
      <c r="V96" s="3">
        <f ca="1">IFERROR(__xludf.DUMMYFUNCTION("""COMPUTED_VALUE"""),63.99)</f>
        <v>63.99</v>
      </c>
      <c r="W96" s="3">
        <f ca="1">IFERROR(__xludf.DUMMYFUNCTION("""COMPUTED_VALUE"""),34.14)</f>
        <v>34.14</v>
      </c>
      <c r="X96" s="3">
        <f ca="1">IFERROR(__xludf.DUMMYFUNCTION("""COMPUTED_VALUE"""),83.64)</f>
        <v>83.64</v>
      </c>
      <c r="Y96" s="3">
        <f ca="1">IFERROR(__xludf.DUMMYFUNCTION("""COMPUTED_VALUE"""),47.41)</f>
        <v>47.41</v>
      </c>
      <c r="Z96" s="3">
        <f ca="1">IFERROR(__xludf.DUMMYFUNCTION("""COMPUTED_VALUE"""),75.57)</f>
        <v>75.569999999999993</v>
      </c>
      <c r="AA96" s="3">
        <f ca="1">IFERROR(__xludf.DUMMYFUNCTION("""COMPUTED_VALUE"""),43.2)</f>
        <v>43.2</v>
      </c>
      <c r="AB96" s="3">
        <f ca="1">IFERROR(__xludf.DUMMYFUNCTION("""COMPUTED_VALUE"""),62.07)</f>
        <v>62.07</v>
      </c>
      <c r="AC96" s="3">
        <f ca="1">IFERROR(__xludf.DUMMYFUNCTION("""COMPUTED_VALUE"""),53.43)</f>
        <v>53.43</v>
      </c>
      <c r="AD96" s="3">
        <f ca="1">IFERROR(__xludf.DUMMYFUNCTION("""COMPUTED_VALUE"""),11.61)</f>
        <v>11.61</v>
      </c>
      <c r="AE96" s="3">
        <f ca="1">IFERROR(__xludf.DUMMYFUNCTION("""COMPUTED_VALUE"""),18.67)</f>
        <v>18.670000000000002</v>
      </c>
      <c r="AF96" s="3">
        <f ca="1">IFERROR(__xludf.DUMMYFUNCTION("""COMPUTED_VALUE"""),3)</f>
        <v>3</v>
      </c>
      <c r="AG96" s="3">
        <f ca="1">IFERROR(__xludf.DUMMYFUNCTION("""COMPUTED_VALUE"""),33.16)</f>
        <v>33.159999999999997</v>
      </c>
    </row>
    <row r="97" spans="1:33" ht="12.75" x14ac:dyDescent="0.2">
      <c r="A97" s="4">
        <f ca="1">IFERROR(__xludf.DUMMYFUNCTION("""COMPUTED_VALUE"""),44699.6666666666)</f>
        <v>44699.666666666599</v>
      </c>
      <c r="B97" s="3">
        <f ca="1">IFERROR(__xludf.DUMMYFUNCTION("""COMPUTED_VALUE"""),132.22)</f>
        <v>132.22</v>
      </c>
      <c r="C97" s="3">
        <f ca="1">IFERROR(__xludf.DUMMYFUNCTION("""COMPUTED_VALUE"""),339.59)</f>
        <v>339.59</v>
      </c>
      <c r="D97" s="3">
        <f ca="1">IFERROR(__xludf.DUMMYFUNCTION("""COMPUTED_VALUE"""),83.52)</f>
        <v>83.52</v>
      </c>
      <c r="E97" s="3">
        <f ca="1">IFERROR(__xludf.DUMMYFUNCTION("""COMPUTED_VALUE"""),133.19)</f>
        <v>133.19</v>
      </c>
      <c r="F97" s="3">
        <f ca="1">IFERROR(__xludf.DUMMYFUNCTION("""COMPUTED_VALUE"""),45.24)</f>
        <v>45.24</v>
      </c>
      <c r="G97" s="3">
        <f ca="1">IFERROR(__xludf.DUMMYFUNCTION("""COMPUTED_VALUE"""),22.37)</f>
        <v>22.37</v>
      </c>
      <c r="H97" s="3">
        <f ca="1">IFERROR(__xludf.DUMMYFUNCTION("""COMPUTED_VALUE"""),24.17)</f>
        <v>24.17</v>
      </c>
      <c r="I97" s="3">
        <f ca="1">IFERROR(__xludf.DUMMYFUNCTION("""COMPUTED_VALUE"""),127.94)</f>
        <v>127.94</v>
      </c>
      <c r="J97" s="3">
        <f ca="1">IFERROR(__xludf.DUMMYFUNCTION("""COMPUTED_VALUE"""),233.9)</f>
        <v>233.9</v>
      </c>
      <c r="K97" s="3">
        <f ca="1">IFERROR(__xludf.DUMMYFUNCTION("""COMPUTED_VALUE"""),113.56)</f>
        <v>113.56</v>
      </c>
      <c r="L97" s="3">
        <f ca="1">IFERROR(__xludf.DUMMYFUNCTION("""COMPUTED_VALUE"""),67.87)</f>
        <v>67.87</v>
      </c>
      <c r="M97" s="3">
        <f ca="1">IFERROR(__xludf.DUMMYFUNCTION("""COMPUTED_VALUE"""),54.77)</f>
        <v>54.77</v>
      </c>
      <c r="N97" s="3">
        <f ca="1">IFERROR(__xludf.DUMMYFUNCTION("""COMPUTED_VALUE"""),60.28)</f>
        <v>60.28</v>
      </c>
      <c r="O97" s="3">
        <f ca="1">IFERROR(__xludf.DUMMYFUNCTION("""COMPUTED_VALUE"""),46.2)</f>
        <v>46.2</v>
      </c>
      <c r="P97" s="3">
        <f ca="1">IFERROR(__xludf.DUMMYFUNCTION("""COMPUTED_VALUE"""),81.72)</f>
        <v>81.72</v>
      </c>
      <c r="Q97" s="3">
        <f ca="1">IFERROR(__xludf.DUMMYFUNCTION("""COMPUTED_VALUE"""),112.89)</f>
        <v>112.89</v>
      </c>
      <c r="R97" s="3">
        <f ca="1">IFERROR(__xludf.DUMMYFUNCTION("""COMPUTED_VALUE"""),82.04)</f>
        <v>82.04</v>
      </c>
      <c r="S97" s="3">
        <f ca="1">IFERROR(__xludf.DUMMYFUNCTION("""COMPUTED_VALUE"""),50.35)</f>
        <v>50.35</v>
      </c>
      <c r="T97" s="3">
        <f ca="1">IFERROR(__xludf.DUMMYFUNCTION("""COMPUTED_VALUE"""),27.57)</f>
        <v>27.57</v>
      </c>
      <c r="U97" s="3">
        <f ca="1">IFERROR(__xludf.DUMMYFUNCTION("""COMPUTED_VALUE"""),79.29)</f>
        <v>79.290000000000006</v>
      </c>
      <c r="V97" s="3">
        <f ca="1">IFERROR(__xludf.DUMMYFUNCTION("""COMPUTED_VALUE"""),63.84)</f>
        <v>63.84</v>
      </c>
      <c r="W97" s="3">
        <f ca="1">IFERROR(__xludf.DUMMYFUNCTION("""COMPUTED_VALUE"""),33.2)</f>
        <v>33.200000000000003</v>
      </c>
      <c r="X97" s="3">
        <f ca="1">IFERROR(__xludf.DUMMYFUNCTION("""COMPUTED_VALUE"""),81.39)</f>
        <v>81.39</v>
      </c>
      <c r="Y97" s="3">
        <f ca="1">IFERROR(__xludf.DUMMYFUNCTION("""COMPUTED_VALUE"""),46.28)</f>
        <v>46.28</v>
      </c>
      <c r="Z97" s="3">
        <f ca="1">IFERROR(__xludf.DUMMYFUNCTION("""COMPUTED_VALUE"""),73.43)</f>
        <v>73.430000000000007</v>
      </c>
      <c r="AA97" s="3">
        <f ca="1">IFERROR(__xludf.DUMMYFUNCTION("""COMPUTED_VALUE"""),41.94)</f>
        <v>41.94</v>
      </c>
      <c r="AB97" s="3">
        <f ca="1">IFERROR(__xludf.DUMMYFUNCTION("""COMPUTED_VALUE"""),60.55)</f>
        <v>60.55</v>
      </c>
      <c r="AC97" s="3">
        <f ca="1">IFERROR(__xludf.DUMMYFUNCTION("""COMPUTED_VALUE"""),51.99)</f>
        <v>51.99</v>
      </c>
      <c r="AD97" s="3">
        <f ca="1">IFERROR(__xludf.DUMMYFUNCTION("""COMPUTED_VALUE"""),11.28)</f>
        <v>11.28</v>
      </c>
      <c r="AE97" s="3">
        <f ca="1">IFERROR(__xludf.DUMMYFUNCTION("""COMPUTED_VALUE"""),18.13)</f>
        <v>18.13</v>
      </c>
      <c r="AF97" s="3">
        <f ca="1">IFERROR(__xludf.DUMMYFUNCTION("""COMPUTED_VALUE"""),3.12)</f>
        <v>3.12</v>
      </c>
      <c r="AG97" s="3">
        <f ca="1">IFERROR(__xludf.DUMMYFUNCTION("""COMPUTED_VALUE"""),30.88)</f>
        <v>30.88</v>
      </c>
    </row>
    <row r="98" spans="1:33" ht="12.75" x14ac:dyDescent="0.2">
      <c r="A98" s="4">
        <f ca="1">IFERROR(__xludf.DUMMYFUNCTION("""COMPUTED_VALUE"""),44700.6666666666)</f>
        <v>44700.666666666599</v>
      </c>
      <c r="B98" s="3">
        <f ca="1">IFERROR(__xludf.DUMMYFUNCTION("""COMPUTED_VALUE"""),130.77)</f>
        <v>130.77000000000001</v>
      </c>
      <c r="C98" s="3">
        <f ca="1">IFERROR(__xludf.DUMMYFUNCTION("""COMPUTED_VALUE"""),337.22)</f>
        <v>337.22</v>
      </c>
      <c r="D98" s="3">
        <f ca="1">IFERROR(__xludf.DUMMYFUNCTION("""COMPUTED_VALUE"""),83.08)</f>
        <v>83.08</v>
      </c>
      <c r="E98" s="3">
        <f ca="1">IFERROR(__xludf.DUMMYFUNCTION("""COMPUTED_VALUE"""),132.39)</f>
        <v>132.38999999999999</v>
      </c>
      <c r="F98" s="3">
        <f ca="1">IFERROR(__xludf.DUMMYFUNCTION("""COMPUTED_VALUE"""),45.38)</f>
        <v>45.38</v>
      </c>
      <c r="G98" s="3">
        <f ca="1">IFERROR(__xludf.DUMMYFUNCTION("""COMPUTED_VALUE"""),22.8)</f>
        <v>22.8</v>
      </c>
      <c r="H98" s="3">
        <f ca="1">IFERROR(__xludf.DUMMYFUNCTION("""COMPUTED_VALUE"""),24.43)</f>
        <v>24.43</v>
      </c>
      <c r="I98" s="3">
        <f ca="1">IFERROR(__xludf.DUMMYFUNCTION("""COMPUTED_VALUE"""),128.22)</f>
        <v>128.22</v>
      </c>
      <c r="J98" s="3">
        <f ca="1">IFERROR(__xludf.DUMMYFUNCTION("""COMPUTED_VALUE"""),234.64)</f>
        <v>234.64</v>
      </c>
      <c r="K98" s="3">
        <f ca="1">IFERROR(__xludf.DUMMYFUNCTION("""COMPUTED_VALUE"""),115.03)</f>
        <v>115.03</v>
      </c>
      <c r="L98" s="3">
        <f ca="1">IFERROR(__xludf.DUMMYFUNCTION("""COMPUTED_VALUE"""),69.4)</f>
        <v>69.400000000000006</v>
      </c>
      <c r="M98" s="3">
        <f ca="1">IFERROR(__xludf.DUMMYFUNCTION("""COMPUTED_VALUE"""),55.58)</f>
        <v>55.58</v>
      </c>
      <c r="N98" s="3">
        <f ca="1">IFERROR(__xludf.DUMMYFUNCTION("""COMPUTED_VALUE"""),60.46)</f>
        <v>60.46</v>
      </c>
      <c r="O98" s="3">
        <f ca="1">IFERROR(__xludf.DUMMYFUNCTION("""COMPUTED_VALUE"""),47.76)</f>
        <v>47.76</v>
      </c>
      <c r="P98" s="3">
        <f ca="1">IFERROR(__xludf.DUMMYFUNCTION("""COMPUTED_VALUE"""),81.42)</f>
        <v>81.42</v>
      </c>
      <c r="Q98" s="3">
        <f ca="1">IFERROR(__xludf.DUMMYFUNCTION("""COMPUTED_VALUE"""),112.54)</f>
        <v>112.54</v>
      </c>
      <c r="R98" s="3">
        <f ca="1">IFERROR(__xludf.DUMMYFUNCTION("""COMPUTED_VALUE"""),82.62)</f>
        <v>82.62</v>
      </c>
      <c r="S98" s="3">
        <f ca="1">IFERROR(__xludf.DUMMYFUNCTION("""COMPUTED_VALUE"""),51.16)</f>
        <v>51.16</v>
      </c>
      <c r="T98" s="3">
        <f ca="1">IFERROR(__xludf.DUMMYFUNCTION("""COMPUTED_VALUE"""),27.92)</f>
        <v>27.92</v>
      </c>
      <c r="U98" s="3">
        <f ca="1">IFERROR(__xludf.DUMMYFUNCTION("""COMPUTED_VALUE"""),80.58)</f>
        <v>80.58</v>
      </c>
      <c r="V98" s="3">
        <f ca="1">IFERROR(__xludf.DUMMYFUNCTION("""COMPUTED_VALUE"""),66.72)</f>
        <v>66.72</v>
      </c>
      <c r="W98" s="3">
        <f ca="1">IFERROR(__xludf.DUMMYFUNCTION("""COMPUTED_VALUE"""),32.98)</f>
        <v>32.979999999999997</v>
      </c>
      <c r="X98" s="3">
        <f ca="1">IFERROR(__xludf.DUMMYFUNCTION("""COMPUTED_VALUE"""),80.8)</f>
        <v>80.8</v>
      </c>
      <c r="Y98" s="3">
        <f ca="1">IFERROR(__xludf.DUMMYFUNCTION("""COMPUTED_VALUE"""),45.92)</f>
        <v>45.92</v>
      </c>
      <c r="Z98" s="3">
        <f ca="1">IFERROR(__xludf.DUMMYFUNCTION("""COMPUTED_VALUE"""),72.93)</f>
        <v>72.930000000000007</v>
      </c>
      <c r="AA98" s="3">
        <f ca="1">IFERROR(__xludf.DUMMYFUNCTION("""COMPUTED_VALUE"""),41.86)</f>
        <v>41.86</v>
      </c>
      <c r="AB98" s="3">
        <f ca="1">IFERROR(__xludf.DUMMYFUNCTION("""COMPUTED_VALUE"""),59.82)</f>
        <v>59.82</v>
      </c>
      <c r="AC98" s="3">
        <f ca="1">IFERROR(__xludf.DUMMYFUNCTION("""COMPUTED_VALUE"""),51.71)</f>
        <v>51.71</v>
      </c>
      <c r="AD98" s="3">
        <f ca="1">IFERROR(__xludf.DUMMYFUNCTION("""COMPUTED_VALUE"""),11.57)</f>
        <v>11.57</v>
      </c>
      <c r="AE98" s="3">
        <f ca="1">IFERROR(__xludf.DUMMYFUNCTION("""COMPUTED_VALUE"""),18.62)</f>
        <v>18.62</v>
      </c>
      <c r="AF98" s="3">
        <f ca="1">IFERROR(__xludf.DUMMYFUNCTION("""COMPUTED_VALUE"""),3.06)</f>
        <v>3.06</v>
      </c>
      <c r="AG98" s="3">
        <f ca="1">IFERROR(__xludf.DUMMYFUNCTION("""COMPUTED_VALUE"""),32.24)</f>
        <v>32.24</v>
      </c>
    </row>
    <row r="99" spans="1:33" ht="12.75" x14ac:dyDescent="0.2">
      <c r="A99" s="4">
        <f ca="1">IFERROR(__xludf.DUMMYFUNCTION("""COMPUTED_VALUE"""),44701.6666666666)</f>
        <v>44701.666666666599</v>
      </c>
      <c r="B99" s="3">
        <f ca="1">IFERROR(__xludf.DUMMYFUNCTION("""COMPUTED_VALUE"""),131.06)</f>
        <v>131.06</v>
      </c>
      <c r="C99" s="3">
        <f ca="1">IFERROR(__xludf.DUMMYFUNCTION("""COMPUTED_VALUE"""),337.77)</f>
        <v>337.77</v>
      </c>
      <c r="D99" s="3">
        <f ca="1">IFERROR(__xludf.DUMMYFUNCTION("""COMPUTED_VALUE"""),83.03)</f>
        <v>83.03</v>
      </c>
      <c r="E99" s="3">
        <f ca="1">IFERROR(__xludf.DUMMYFUNCTION("""COMPUTED_VALUE"""),132.32)</f>
        <v>132.32</v>
      </c>
      <c r="F99" s="3">
        <f ca="1">IFERROR(__xludf.DUMMYFUNCTION("""COMPUTED_VALUE"""),46.07)</f>
        <v>46.07</v>
      </c>
      <c r="G99" s="3">
        <f ca="1">IFERROR(__xludf.DUMMYFUNCTION("""COMPUTED_VALUE"""),22.58)</f>
        <v>22.58</v>
      </c>
      <c r="H99" s="3">
        <f ca="1">IFERROR(__xludf.DUMMYFUNCTION("""COMPUTED_VALUE"""),24.48)</f>
        <v>24.48</v>
      </c>
      <c r="I99" s="3">
        <f ca="1">IFERROR(__xludf.DUMMYFUNCTION("""COMPUTED_VALUE"""),129.78)</f>
        <v>129.78</v>
      </c>
      <c r="J99" s="3">
        <f ca="1">IFERROR(__xludf.DUMMYFUNCTION("""COMPUTED_VALUE"""),237.47)</f>
        <v>237.47</v>
      </c>
      <c r="K99" s="3">
        <f ca="1">IFERROR(__xludf.DUMMYFUNCTION("""COMPUTED_VALUE"""),115.61)</f>
        <v>115.61</v>
      </c>
      <c r="L99" s="3">
        <f ca="1">IFERROR(__xludf.DUMMYFUNCTION("""COMPUTED_VALUE"""),70.33)</f>
        <v>70.33</v>
      </c>
      <c r="M99" s="3">
        <f ca="1">IFERROR(__xludf.DUMMYFUNCTION("""COMPUTED_VALUE"""),56.28)</f>
        <v>56.28</v>
      </c>
      <c r="N99" s="3">
        <f ca="1">IFERROR(__xludf.DUMMYFUNCTION("""COMPUTED_VALUE"""),61.14)</f>
        <v>61.14</v>
      </c>
      <c r="O99" s="3">
        <f ca="1">IFERROR(__xludf.DUMMYFUNCTION("""COMPUTED_VALUE"""),48.36)</f>
        <v>48.36</v>
      </c>
      <c r="P99" s="3">
        <f ca="1">IFERROR(__xludf.DUMMYFUNCTION("""COMPUTED_VALUE"""),81.77)</f>
        <v>81.77</v>
      </c>
      <c r="Q99" s="3">
        <f ca="1">IFERROR(__xludf.DUMMYFUNCTION("""COMPUTED_VALUE"""),113.04)</f>
        <v>113.04</v>
      </c>
      <c r="R99" s="3">
        <f ca="1">IFERROR(__xludf.DUMMYFUNCTION("""COMPUTED_VALUE"""),82.42)</f>
        <v>82.42</v>
      </c>
      <c r="S99" s="3">
        <f ca="1">IFERROR(__xludf.DUMMYFUNCTION("""COMPUTED_VALUE"""),50.56)</f>
        <v>50.56</v>
      </c>
      <c r="T99" s="3">
        <f ca="1">IFERROR(__xludf.DUMMYFUNCTION("""COMPUTED_VALUE"""),27.96)</f>
        <v>27.96</v>
      </c>
      <c r="U99" s="3">
        <f ca="1">IFERROR(__xludf.DUMMYFUNCTION("""COMPUTED_VALUE"""),81.65)</f>
        <v>81.650000000000006</v>
      </c>
      <c r="V99" s="3">
        <f ca="1">IFERROR(__xludf.DUMMYFUNCTION("""COMPUTED_VALUE"""),67.19)</f>
        <v>67.19</v>
      </c>
      <c r="W99" s="3">
        <f ca="1">IFERROR(__xludf.DUMMYFUNCTION("""COMPUTED_VALUE"""),32.92)</f>
        <v>32.92</v>
      </c>
      <c r="X99" s="3">
        <f ca="1">IFERROR(__xludf.DUMMYFUNCTION("""COMPUTED_VALUE"""),80.74)</f>
        <v>80.739999999999995</v>
      </c>
      <c r="Y99" s="3">
        <f ca="1">IFERROR(__xludf.DUMMYFUNCTION("""COMPUTED_VALUE"""),45.92)</f>
        <v>45.92</v>
      </c>
      <c r="Z99" s="3">
        <f ca="1">IFERROR(__xludf.DUMMYFUNCTION("""COMPUTED_VALUE"""),72.95)</f>
        <v>72.95</v>
      </c>
      <c r="AA99" s="3">
        <f ca="1">IFERROR(__xludf.DUMMYFUNCTION("""COMPUTED_VALUE"""),42.35)</f>
        <v>42.35</v>
      </c>
      <c r="AB99" s="3">
        <f ca="1">IFERROR(__xludf.DUMMYFUNCTION("""COMPUTED_VALUE"""),59.98)</f>
        <v>59.98</v>
      </c>
      <c r="AC99" s="3">
        <f ca="1">IFERROR(__xludf.DUMMYFUNCTION("""COMPUTED_VALUE"""),51.85)</f>
        <v>51.85</v>
      </c>
      <c r="AD99" s="3">
        <f ca="1">IFERROR(__xludf.DUMMYFUNCTION("""COMPUTED_VALUE"""),11.31)</f>
        <v>11.31</v>
      </c>
      <c r="AE99" s="3">
        <f ca="1">IFERROR(__xludf.DUMMYFUNCTION("""COMPUTED_VALUE"""),18.19)</f>
        <v>18.190000000000001</v>
      </c>
      <c r="AF99" s="3">
        <f ca="1">IFERROR(__xludf.DUMMYFUNCTION("""COMPUTED_VALUE"""),2.96)</f>
        <v>2.96</v>
      </c>
      <c r="AG99" s="3">
        <f ca="1">IFERROR(__xludf.DUMMYFUNCTION("""COMPUTED_VALUE"""),30.76)</f>
        <v>30.76</v>
      </c>
    </row>
    <row r="100" spans="1:33" ht="12.75" x14ac:dyDescent="0.2">
      <c r="A100" s="4">
        <f ca="1">IFERROR(__xludf.DUMMYFUNCTION("""COMPUTED_VALUE"""),44704.6666666666)</f>
        <v>44704.666666666599</v>
      </c>
      <c r="B100" s="3">
        <f ca="1">IFERROR(__xludf.DUMMYFUNCTION("""COMPUTED_VALUE"""),134.07)</f>
        <v>134.07</v>
      </c>
      <c r="C100" s="3">
        <f ca="1">IFERROR(__xludf.DUMMYFUNCTION("""COMPUTED_VALUE"""),344.92)</f>
        <v>344.92</v>
      </c>
      <c r="D100" s="3">
        <f ca="1">IFERROR(__xludf.DUMMYFUNCTION("""COMPUTED_VALUE"""),84.6)</f>
        <v>84.6</v>
      </c>
      <c r="E100" s="3">
        <f ca="1">IFERROR(__xludf.DUMMYFUNCTION("""COMPUTED_VALUE"""),132.89)</f>
        <v>132.88999999999999</v>
      </c>
      <c r="F100" s="3">
        <f ca="1">IFERROR(__xludf.DUMMYFUNCTION("""COMPUTED_VALUE"""),46.7)</f>
        <v>46.7</v>
      </c>
      <c r="G100" s="3">
        <f ca="1">IFERROR(__xludf.DUMMYFUNCTION("""COMPUTED_VALUE"""),22.85)</f>
        <v>22.85</v>
      </c>
      <c r="H100" s="3">
        <f ca="1">IFERROR(__xludf.DUMMYFUNCTION("""COMPUTED_VALUE"""),24.62)</f>
        <v>24.62</v>
      </c>
      <c r="I100" s="3">
        <f ca="1">IFERROR(__xludf.DUMMYFUNCTION("""COMPUTED_VALUE"""),130.92)</f>
        <v>130.91999999999999</v>
      </c>
      <c r="J100" s="3">
        <f ca="1">IFERROR(__xludf.DUMMYFUNCTION("""COMPUTED_VALUE"""),239.34)</f>
        <v>239.34</v>
      </c>
      <c r="K100" s="3">
        <f ca="1">IFERROR(__xludf.DUMMYFUNCTION("""COMPUTED_VALUE"""),116.44)</f>
        <v>116.44</v>
      </c>
      <c r="L100" s="3">
        <f ca="1">IFERROR(__xludf.DUMMYFUNCTION("""COMPUTED_VALUE"""),70.14)</f>
        <v>70.14</v>
      </c>
      <c r="M100" s="3">
        <f ca="1">IFERROR(__xludf.DUMMYFUNCTION("""COMPUTED_VALUE"""),56.63)</f>
        <v>56.63</v>
      </c>
      <c r="N100" s="3">
        <f ca="1">IFERROR(__xludf.DUMMYFUNCTION("""COMPUTED_VALUE"""),61.61)</f>
        <v>61.61</v>
      </c>
      <c r="O100" s="3">
        <f ca="1">IFERROR(__xludf.DUMMYFUNCTION("""COMPUTED_VALUE"""),48.16)</f>
        <v>48.16</v>
      </c>
      <c r="P100" s="3">
        <f ca="1">IFERROR(__xludf.DUMMYFUNCTION("""COMPUTED_VALUE"""),83.93)</f>
        <v>83.93</v>
      </c>
      <c r="Q100" s="3">
        <f ca="1">IFERROR(__xludf.DUMMYFUNCTION("""COMPUTED_VALUE"""),116.26)</f>
        <v>116.26</v>
      </c>
      <c r="R100" s="3">
        <f ca="1">IFERROR(__xludf.DUMMYFUNCTION("""COMPUTED_VALUE"""),83.93)</f>
        <v>83.93</v>
      </c>
      <c r="S100" s="3">
        <f ca="1">IFERROR(__xludf.DUMMYFUNCTION("""COMPUTED_VALUE"""),52.58)</f>
        <v>52.58</v>
      </c>
      <c r="T100" s="3">
        <f ca="1">IFERROR(__xludf.DUMMYFUNCTION("""COMPUTED_VALUE"""),28.17)</f>
        <v>28.17</v>
      </c>
      <c r="U100" s="3">
        <f ca="1">IFERROR(__xludf.DUMMYFUNCTION("""COMPUTED_VALUE"""),81.97)</f>
        <v>81.97</v>
      </c>
      <c r="V100" s="3">
        <f ca="1">IFERROR(__xludf.DUMMYFUNCTION("""COMPUTED_VALUE"""),67.77)</f>
        <v>67.77</v>
      </c>
      <c r="W100" s="3">
        <f ca="1">IFERROR(__xludf.DUMMYFUNCTION("""COMPUTED_VALUE"""),33.99)</f>
        <v>33.99</v>
      </c>
      <c r="X100" s="3">
        <f ca="1">IFERROR(__xludf.DUMMYFUNCTION("""COMPUTED_VALUE"""),83.12)</f>
        <v>83.12</v>
      </c>
      <c r="Y100" s="3">
        <f ca="1">IFERROR(__xludf.DUMMYFUNCTION("""COMPUTED_VALUE"""),47.08)</f>
        <v>47.08</v>
      </c>
      <c r="Z100" s="3">
        <f ca="1">IFERROR(__xludf.DUMMYFUNCTION("""COMPUTED_VALUE"""),75.14)</f>
        <v>75.14</v>
      </c>
      <c r="AA100" s="3">
        <f ca="1">IFERROR(__xludf.DUMMYFUNCTION("""COMPUTED_VALUE"""),42.9)</f>
        <v>42.9</v>
      </c>
      <c r="AB100" s="3">
        <f ca="1">IFERROR(__xludf.DUMMYFUNCTION("""COMPUTED_VALUE"""),61.45)</f>
        <v>61.45</v>
      </c>
      <c r="AC100" s="3">
        <f ca="1">IFERROR(__xludf.DUMMYFUNCTION("""COMPUTED_VALUE"""),53.73)</f>
        <v>53.73</v>
      </c>
      <c r="AD100" s="3">
        <f ca="1">IFERROR(__xludf.DUMMYFUNCTION("""COMPUTED_VALUE"""),11.22)</f>
        <v>11.22</v>
      </c>
      <c r="AE100" s="3">
        <f ca="1">IFERROR(__xludf.DUMMYFUNCTION("""COMPUTED_VALUE"""),18.04)</f>
        <v>18.04</v>
      </c>
      <c r="AF100" s="3">
        <f ca="1">IFERROR(__xludf.DUMMYFUNCTION("""COMPUTED_VALUE"""),2.84)</f>
        <v>2.84</v>
      </c>
      <c r="AG100" s="3">
        <f ca="1">IFERROR(__xludf.DUMMYFUNCTION("""COMPUTED_VALUE"""),30.83)</f>
        <v>30.83</v>
      </c>
    </row>
    <row r="101" spans="1:33" ht="12.75" x14ac:dyDescent="0.2">
      <c r="A101" s="4">
        <f ca="1">IFERROR(__xludf.DUMMYFUNCTION("""COMPUTED_VALUE"""),44705.6666666666)</f>
        <v>44705.666666666599</v>
      </c>
      <c r="B101" s="3">
        <f ca="1">IFERROR(__xludf.DUMMYFUNCTION("""COMPUTED_VALUE"""),132.08)</f>
        <v>132.08000000000001</v>
      </c>
      <c r="C101" s="3">
        <f ca="1">IFERROR(__xludf.DUMMYFUNCTION("""COMPUTED_VALUE"""),338.25)</f>
        <v>338.25</v>
      </c>
      <c r="D101" s="3">
        <f ca="1">IFERROR(__xludf.DUMMYFUNCTION("""COMPUTED_VALUE"""),82.44)</f>
        <v>82.44</v>
      </c>
      <c r="E101" s="3">
        <f ca="1">IFERROR(__xludf.DUMMYFUNCTION("""COMPUTED_VALUE"""),129.65)</f>
        <v>129.65</v>
      </c>
      <c r="F101" s="3">
        <f ca="1">IFERROR(__xludf.DUMMYFUNCTION("""COMPUTED_VALUE"""),45.79)</f>
        <v>45.79</v>
      </c>
      <c r="G101" s="3">
        <f ca="1">IFERROR(__xludf.DUMMYFUNCTION("""COMPUTED_VALUE"""),22.45)</f>
        <v>22.45</v>
      </c>
      <c r="H101" s="3">
        <f ca="1">IFERROR(__xludf.DUMMYFUNCTION("""COMPUTED_VALUE"""),23.81)</f>
        <v>23.81</v>
      </c>
      <c r="I101" s="3">
        <f ca="1">IFERROR(__xludf.DUMMYFUNCTION("""COMPUTED_VALUE"""),131.31)</f>
        <v>131.31</v>
      </c>
      <c r="J101" s="3">
        <f ca="1">IFERROR(__xludf.DUMMYFUNCTION("""COMPUTED_VALUE"""),239.32)</f>
        <v>239.32</v>
      </c>
      <c r="K101" s="3">
        <f ca="1">IFERROR(__xludf.DUMMYFUNCTION("""COMPUTED_VALUE"""),114.58)</f>
        <v>114.58</v>
      </c>
      <c r="L101" s="3">
        <f ca="1">IFERROR(__xludf.DUMMYFUNCTION("""COMPUTED_VALUE"""),67.4)</f>
        <v>67.400000000000006</v>
      </c>
      <c r="M101" s="3">
        <f ca="1">IFERROR(__xludf.DUMMYFUNCTION("""COMPUTED_VALUE"""),55.86)</f>
        <v>55.86</v>
      </c>
      <c r="N101" s="3">
        <f ca="1">IFERROR(__xludf.DUMMYFUNCTION("""COMPUTED_VALUE"""),61.61)</f>
        <v>61.61</v>
      </c>
      <c r="O101" s="3">
        <f ca="1">IFERROR(__xludf.DUMMYFUNCTION("""COMPUTED_VALUE"""),46.2)</f>
        <v>46.2</v>
      </c>
      <c r="P101" s="3">
        <f ca="1">IFERROR(__xludf.DUMMYFUNCTION("""COMPUTED_VALUE"""),84.25)</f>
        <v>84.25</v>
      </c>
      <c r="Q101" s="3">
        <f ca="1">IFERROR(__xludf.DUMMYFUNCTION("""COMPUTED_VALUE"""),116.63)</f>
        <v>116.63</v>
      </c>
      <c r="R101" s="3">
        <f ca="1">IFERROR(__xludf.DUMMYFUNCTION("""COMPUTED_VALUE"""),83.45)</f>
        <v>83.45</v>
      </c>
      <c r="S101" s="3">
        <f ca="1">IFERROR(__xludf.DUMMYFUNCTION("""COMPUTED_VALUE"""),52.05)</f>
        <v>52.05</v>
      </c>
      <c r="T101" s="3">
        <f ca="1">IFERROR(__xludf.DUMMYFUNCTION("""COMPUTED_VALUE"""),28.15)</f>
        <v>28.15</v>
      </c>
      <c r="U101" s="3">
        <f ca="1">IFERROR(__xludf.DUMMYFUNCTION("""COMPUTED_VALUE"""),82)</f>
        <v>82</v>
      </c>
      <c r="V101" s="3">
        <f ca="1">IFERROR(__xludf.DUMMYFUNCTION("""COMPUTED_VALUE"""),66.31)</f>
        <v>66.31</v>
      </c>
      <c r="W101" s="3">
        <f ca="1">IFERROR(__xludf.DUMMYFUNCTION("""COMPUTED_VALUE"""),33.92)</f>
        <v>33.92</v>
      </c>
      <c r="X101" s="3">
        <f ca="1">IFERROR(__xludf.DUMMYFUNCTION("""COMPUTED_VALUE"""),82.86)</f>
        <v>82.86</v>
      </c>
      <c r="Y101" s="3">
        <f ca="1">IFERROR(__xludf.DUMMYFUNCTION("""COMPUTED_VALUE"""),46.73)</f>
        <v>46.73</v>
      </c>
      <c r="Z101" s="3">
        <f ca="1">IFERROR(__xludf.DUMMYFUNCTION("""COMPUTED_VALUE"""),74.89)</f>
        <v>74.89</v>
      </c>
      <c r="AA101" s="3">
        <f ca="1">IFERROR(__xludf.DUMMYFUNCTION("""COMPUTED_VALUE"""),43.4)</f>
        <v>43.4</v>
      </c>
      <c r="AB101" s="3">
        <f ca="1">IFERROR(__xludf.DUMMYFUNCTION("""COMPUTED_VALUE"""),60.99)</f>
        <v>60.99</v>
      </c>
      <c r="AC101" s="3">
        <f ca="1">IFERROR(__xludf.DUMMYFUNCTION("""COMPUTED_VALUE"""),53.29)</f>
        <v>53.29</v>
      </c>
      <c r="AD101" s="3">
        <f ca="1">IFERROR(__xludf.DUMMYFUNCTION("""COMPUTED_VALUE"""),11.35)</f>
        <v>11.35</v>
      </c>
      <c r="AE101" s="3">
        <f ca="1">IFERROR(__xludf.DUMMYFUNCTION("""COMPUTED_VALUE"""),18.22)</f>
        <v>18.22</v>
      </c>
      <c r="AF101" s="3">
        <f ca="1">IFERROR(__xludf.DUMMYFUNCTION("""COMPUTED_VALUE"""),2.9)</f>
        <v>2.9</v>
      </c>
      <c r="AG101" s="3">
        <f ca="1">IFERROR(__xludf.DUMMYFUNCTION("""COMPUTED_VALUE"""),28.96)</f>
        <v>28.96</v>
      </c>
    </row>
    <row r="102" spans="1:33" ht="12.75" x14ac:dyDescent="0.2">
      <c r="A102" s="4">
        <f ca="1">IFERROR(__xludf.DUMMYFUNCTION("""COMPUTED_VALUE"""),44706.6666666666)</f>
        <v>44706.666666666599</v>
      </c>
      <c r="B102" s="3">
        <f ca="1">IFERROR(__xludf.DUMMYFUNCTION("""COMPUTED_VALUE"""),133.62)</f>
        <v>133.62</v>
      </c>
      <c r="C102" s="3">
        <f ca="1">IFERROR(__xludf.DUMMYFUNCTION("""COMPUTED_VALUE"""),343.1)</f>
        <v>343.1</v>
      </c>
      <c r="D102" s="3">
        <f ca="1">IFERROR(__xludf.DUMMYFUNCTION("""COMPUTED_VALUE"""),83.62)</f>
        <v>83.62</v>
      </c>
      <c r="E102" s="3">
        <f ca="1">IFERROR(__xludf.DUMMYFUNCTION("""COMPUTED_VALUE"""),131.98)</f>
        <v>131.97999999999999</v>
      </c>
      <c r="F102" s="3">
        <f ca="1">IFERROR(__xludf.DUMMYFUNCTION("""COMPUTED_VALUE"""),46.56)</f>
        <v>46.56</v>
      </c>
      <c r="G102" s="3">
        <f ca="1">IFERROR(__xludf.DUMMYFUNCTION("""COMPUTED_VALUE"""),22.73)</f>
        <v>22.73</v>
      </c>
      <c r="H102" s="3">
        <f ca="1">IFERROR(__xludf.DUMMYFUNCTION("""COMPUTED_VALUE"""),24.25)</f>
        <v>24.25</v>
      </c>
      <c r="I102" s="3">
        <f ca="1">IFERROR(__xludf.DUMMYFUNCTION("""COMPUTED_VALUE"""),131.27)</f>
        <v>131.27000000000001</v>
      </c>
      <c r="J102" s="3">
        <f ca="1">IFERROR(__xludf.DUMMYFUNCTION("""COMPUTED_VALUE"""),239.54)</f>
        <v>239.54</v>
      </c>
      <c r="K102" s="3">
        <f ca="1">IFERROR(__xludf.DUMMYFUNCTION("""COMPUTED_VALUE"""),114.77)</f>
        <v>114.77</v>
      </c>
      <c r="L102" s="3">
        <f ca="1">IFERROR(__xludf.DUMMYFUNCTION("""COMPUTED_VALUE"""),67.73)</f>
        <v>67.73</v>
      </c>
      <c r="M102" s="3">
        <f ca="1">IFERROR(__xludf.DUMMYFUNCTION("""COMPUTED_VALUE"""),56.36)</f>
        <v>56.36</v>
      </c>
      <c r="N102" s="3">
        <f ca="1">IFERROR(__xludf.DUMMYFUNCTION("""COMPUTED_VALUE"""),61.7)</f>
        <v>61.7</v>
      </c>
      <c r="O102" s="3">
        <f ca="1">IFERROR(__xludf.DUMMYFUNCTION("""COMPUTED_VALUE"""),46.12)</f>
        <v>46.12</v>
      </c>
      <c r="P102" s="3">
        <f ca="1">IFERROR(__xludf.DUMMYFUNCTION("""COMPUTED_VALUE"""),85.99)</f>
        <v>85.99</v>
      </c>
      <c r="Q102" s="3">
        <f ca="1">IFERROR(__xludf.DUMMYFUNCTION("""COMPUTED_VALUE"""),119.26)</f>
        <v>119.26</v>
      </c>
      <c r="R102" s="3">
        <f ca="1">IFERROR(__xludf.DUMMYFUNCTION("""COMPUTED_VALUE"""),83.82)</f>
        <v>83.82</v>
      </c>
      <c r="S102" s="3">
        <f ca="1">IFERROR(__xludf.DUMMYFUNCTION("""COMPUTED_VALUE"""),52.84)</f>
        <v>52.84</v>
      </c>
      <c r="T102" s="3">
        <f ca="1">IFERROR(__xludf.DUMMYFUNCTION("""COMPUTED_VALUE"""),28.35)</f>
        <v>28.35</v>
      </c>
      <c r="U102" s="3">
        <f ca="1">IFERROR(__xludf.DUMMYFUNCTION("""COMPUTED_VALUE"""),82.48)</f>
        <v>82.48</v>
      </c>
      <c r="V102" s="3">
        <f ca="1">IFERROR(__xludf.DUMMYFUNCTION("""COMPUTED_VALUE"""),67.41)</f>
        <v>67.41</v>
      </c>
      <c r="W102" s="3">
        <f ca="1">IFERROR(__xludf.DUMMYFUNCTION("""COMPUTED_VALUE"""),34.19)</f>
        <v>34.19</v>
      </c>
      <c r="X102" s="3">
        <f ca="1">IFERROR(__xludf.DUMMYFUNCTION("""COMPUTED_VALUE"""),83.64)</f>
        <v>83.64</v>
      </c>
      <c r="Y102" s="3">
        <f ca="1">IFERROR(__xludf.DUMMYFUNCTION("""COMPUTED_VALUE"""),47.41)</f>
        <v>47.41</v>
      </c>
      <c r="Z102" s="3">
        <f ca="1">IFERROR(__xludf.DUMMYFUNCTION("""COMPUTED_VALUE"""),75.56)</f>
        <v>75.56</v>
      </c>
      <c r="AA102" s="3">
        <f ca="1">IFERROR(__xludf.DUMMYFUNCTION("""COMPUTED_VALUE"""),43.64)</f>
        <v>43.64</v>
      </c>
      <c r="AB102" s="3">
        <f ca="1">IFERROR(__xludf.DUMMYFUNCTION("""COMPUTED_VALUE"""),61.95)</f>
        <v>61.95</v>
      </c>
      <c r="AC102" s="3">
        <f ca="1">IFERROR(__xludf.DUMMYFUNCTION("""COMPUTED_VALUE"""),53.92)</f>
        <v>53.92</v>
      </c>
      <c r="AD102" s="3">
        <f ca="1">IFERROR(__xludf.DUMMYFUNCTION("""COMPUTED_VALUE"""),11.42)</f>
        <v>11.42</v>
      </c>
      <c r="AE102" s="3">
        <f ca="1">IFERROR(__xludf.DUMMYFUNCTION("""COMPUTED_VALUE"""),18.35)</f>
        <v>18.350000000000001</v>
      </c>
      <c r="AF102" s="3">
        <f ca="1">IFERROR(__xludf.DUMMYFUNCTION("""COMPUTED_VALUE"""),2.95)</f>
        <v>2.95</v>
      </c>
      <c r="AG102" s="3">
        <f ca="1">IFERROR(__xludf.DUMMYFUNCTION("""COMPUTED_VALUE"""),30.01)</f>
        <v>30.01</v>
      </c>
    </row>
    <row r="103" spans="1:33" ht="12.75" x14ac:dyDescent="0.2">
      <c r="A103" s="4">
        <f ca="1">IFERROR(__xludf.DUMMYFUNCTION("""COMPUTED_VALUE"""),44707.6666666666)</f>
        <v>44707.666666666599</v>
      </c>
      <c r="B103" s="3">
        <f ca="1">IFERROR(__xludf.DUMMYFUNCTION("""COMPUTED_VALUE"""),136.83)</f>
        <v>136.83000000000001</v>
      </c>
      <c r="C103" s="3">
        <f ca="1">IFERROR(__xludf.DUMMYFUNCTION("""COMPUTED_VALUE"""),351.8)</f>
        <v>351.8</v>
      </c>
      <c r="D103" s="3">
        <f ca="1">IFERROR(__xludf.DUMMYFUNCTION("""COMPUTED_VALUE"""),85.79)</f>
        <v>85.79</v>
      </c>
      <c r="E103" s="3">
        <f ca="1">IFERROR(__xludf.DUMMYFUNCTION("""COMPUTED_VALUE"""),137.14)</f>
        <v>137.13999999999999</v>
      </c>
      <c r="F103" s="3">
        <f ca="1">IFERROR(__xludf.DUMMYFUNCTION("""COMPUTED_VALUE"""),47.62)</f>
        <v>47.62</v>
      </c>
      <c r="G103" s="3">
        <f ca="1">IFERROR(__xludf.DUMMYFUNCTION("""COMPUTED_VALUE"""),23.18)</f>
        <v>23.18</v>
      </c>
      <c r="H103" s="3">
        <f ca="1">IFERROR(__xludf.DUMMYFUNCTION("""COMPUTED_VALUE"""),25.02)</f>
        <v>25.02</v>
      </c>
      <c r="I103" s="3">
        <f ca="1">IFERROR(__xludf.DUMMYFUNCTION("""COMPUTED_VALUE"""),131.83)</f>
        <v>131.83000000000001</v>
      </c>
      <c r="J103" s="3">
        <f ca="1">IFERROR(__xludf.DUMMYFUNCTION("""COMPUTED_VALUE"""),240.88)</f>
        <v>240.88</v>
      </c>
      <c r="K103" s="3">
        <f ca="1">IFERROR(__xludf.DUMMYFUNCTION("""COMPUTED_VALUE"""),115.8)</f>
        <v>115.8</v>
      </c>
      <c r="L103" s="3">
        <f ca="1">IFERROR(__xludf.DUMMYFUNCTION("""COMPUTED_VALUE"""),68.47)</f>
        <v>68.47</v>
      </c>
      <c r="M103" s="3">
        <f ca="1">IFERROR(__xludf.DUMMYFUNCTION("""COMPUTED_VALUE"""),56.75)</f>
        <v>56.75</v>
      </c>
      <c r="N103" s="3">
        <f ca="1">IFERROR(__xludf.DUMMYFUNCTION("""COMPUTED_VALUE"""),61.98)</f>
        <v>61.98</v>
      </c>
      <c r="O103" s="3">
        <f ca="1">IFERROR(__xludf.DUMMYFUNCTION("""COMPUTED_VALUE"""),46.92)</f>
        <v>46.92</v>
      </c>
      <c r="P103" s="3">
        <f ca="1">IFERROR(__xludf.DUMMYFUNCTION("""COMPUTED_VALUE"""),86.94)</f>
        <v>86.94</v>
      </c>
      <c r="Q103" s="3">
        <f ca="1">IFERROR(__xludf.DUMMYFUNCTION("""COMPUTED_VALUE"""),120.84)</f>
        <v>120.84</v>
      </c>
      <c r="R103" s="3">
        <f ca="1">IFERROR(__xludf.DUMMYFUNCTION("""COMPUTED_VALUE"""),85.36)</f>
        <v>85.36</v>
      </c>
      <c r="S103" s="3">
        <f ca="1">IFERROR(__xludf.DUMMYFUNCTION("""COMPUTED_VALUE"""),54.62)</f>
        <v>54.62</v>
      </c>
      <c r="T103" s="3">
        <f ca="1">IFERROR(__xludf.DUMMYFUNCTION("""COMPUTED_VALUE"""),28.66)</f>
        <v>28.66</v>
      </c>
      <c r="U103" s="3">
        <f ca="1">IFERROR(__xludf.DUMMYFUNCTION("""COMPUTED_VALUE"""),84.59)</f>
        <v>84.59</v>
      </c>
      <c r="V103" s="3">
        <f ca="1">IFERROR(__xludf.DUMMYFUNCTION("""COMPUTED_VALUE"""),69.72)</f>
        <v>69.72</v>
      </c>
      <c r="W103" s="3">
        <f ca="1">IFERROR(__xludf.DUMMYFUNCTION("""COMPUTED_VALUE"""),34.98)</f>
        <v>34.979999999999997</v>
      </c>
      <c r="X103" s="3">
        <f ca="1">IFERROR(__xludf.DUMMYFUNCTION("""COMPUTED_VALUE"""),85.66)</f>
        <v>85.66</v>
      </c>
      <c r="Y103" s="3">
        <f ca="1">IFERROR(__xludf.DUMMYFUNCTION("""COMPUTED_VALUE"""),48.53)</f>
        <v>48.53</v>
      </c>
      <c r="Z103" s="3">
        <f ca="1">IFERROR(__xludf.DUMMYFUNCTION("""COMPUTED_VALUE"""),77.39)</f>
        <v>77.39</v>
      </c>
      <c r="AA103" s="3">
        <f ca="1">IFERROR(__xludf.DUMMYFUNCTION("""COMPUTED_VALUE"""),43.59)</f>
        <v>43.59</v>
      </c>
      <c r="AB103" s="3">
        <f ca="1">IFERROR(__xludf.DUMMYFUNCTION("""COMPUTED_VALUE"""),63.31)</f>
        <v>63.31</v>
      </c>
      <c r="AC103" s="3">
        <f ca="1">IFERROR(__xludf.DUMMYFUNCTION("""COMPUTED_VALUE"""),55.34)</f>
        <v>55.34</v>
      </c>
      <c r="AD103" s="3">
        <f ca="1">IFERROR(__xludf.DUMMYFUNCTION("""COMPUTED_VALUE"""),11.34)</f>
        <v>11.34</v>
      </c>
      <c r="AE103" s="3">
        <f ca="1">IFERROR(__xludf.DUMMYFUNCTION("""COMPUTED_VALUE"""),18.23)</f>
        <v>18.23</v>
      </c>
      <c r="AF103" s="3">
        <f ca="1">IFERROR(__xludf.DUMMYFUNCTION("""COMPUTED_VALUE"""),3.21)</f>
        <v>3.21</v>
      </c>
      <c r="AG103" s="3">
        <f ca="1">IFERROR(__xludf.DUMMYFUNCTION("""COMPUTED_VALUE"""),31.16)</f>
        <v>31.16</v>
      </c>
    </row>
    <row r="104" spans="1:33" ht="12.75" x14ac:dyDescent="0.2">
      <c r="A104" s="4">
        <f ca="1">IFERROR(__xludf.DUMMYFUNCTION("""COMPUTED_VALUE"""),44708.6666666666)</f>
        <v>44708.666666666599</v>
      </c>
      <c r="B104" s="3">
        <f ca="1">IFERROR(__xludf.DUMMYFUNCTION("""COMPUTED_VALUE"""),141.46)</f>
        <v>141.46</v>
      </c>
      <c r="C104" s="3">
        <f ca="1">IFERROR(__xludf.DUMMYFUNCTION("""COMPUTED_VALUE"""),364.06)</f>
        <v>364.06</v>
      </c>
      <c r="D104" s="3">
        <f ca="1">IFERROR(__xludf.DUMMYFUNCTION("""COMPUTED_VALUE"""),88.92)</f>
        <v>88.92</v>
      </c>
      <c r="E104" s="3">
        <f ca="1">IFERROR(__xludf.DUMMYFUNCTION("""COMPUTED_VALUE"""),142.78)</f>
        <v>142.78</v>
      </c>
      <c r="F104" s="3">
        <f ca="1">IFERROR(__xludf.DUMMYFUNCTION("""COMPUTED_VALUE"""),49.02)</f>
        <v>49.02</v>
      </c>
      <c r="G104" s="3">
        <f ca="1">IFERROR(__xludf.DUMMYFUNCTION("""COMPUTED_VALUE"""),23.78)</f>
        <v>23.78</v>
      </c>
      <c r="H104" s="3">
        <f ca="1">IFERROR(__xludf.DUMMYFUNCTION("""COMPUTED_VALUE"""),25.94)</f>
        <v>25.94</v>
      </c>
      <c r="I104" s="3">
        <f ca="1">IFERROR(__xludf.DUMMYFUNCTION("""COMPUTED_VALUE"""),134.02)</f>
        <v>134.02000000000001</v>
      </c>
      <c r="J104" s="3">
        <f ca="1">IFERROR(__xludf.DUMMYFUNCTION("""COMPUTED_VALUE"""),245.29)</f>
        <v>245.29</v>
      </c>
      <c r="K104" s="3">
        <f ca="1">IFERROR(__xludf.DUMMYFUNCTION("""COMPUTED_VALUE"""),119.5)</f>
        <v>119.5</v>
      </c>
      <c r="L104" s="3">
        <f ca="1">IFERROR(__xludf.DUMMYFUNCTION("""COMPUTED_VALUE"""),71.09)</f>
        <v>71.09</v>
      </c>
      <c r="M104" s="3">
        <f ca="1">IFERROR(__xludf.DUMMYFUNCTION("""COMPUTED_VALUE"""),58.72)</f>
        <v>58.72</v>
      </c>
      <c r="N104" s="3">
        <f ca="1">IFERROR(__xludf.DUMMYFUNCTION("""COMPUTED_VALUE"""),63.15)</f>
        <v>63.15</v>
      </c>
      <c r="O104" s="3">
        <f ca="1">IFERROR(__xludf.DUMMYFUNCTION("""COMPUTED_VALUE"""),49.6)</f>
        <v>49.6</v>
      </c>
      <c r="P104" s="3">
        <f ca="1">IFERROR(__xludf.DUMMYFUNCTION("""COMPUTED_VALUE"""),88.53)</f>
        <v>88.53</v>
      </c>
      <c r="Q104" s="3">
        <f ca="1">IFERROR(__xludf.DUMMYFUNCTION("""COMPUTED_VALUE"""),123.21)</f>
        <v>123.21</v>
      </c>
      <c r="R104" s="3">
        <f ca="1">IFERROR(__xludf.DUMMYFUNCTION("""COMPUTED_VALUE"""),87.36)</f>
        <v>87.36</v>
      </c>
      <c r="S104" s="3">
        <f ca="1">IFERROR(__xludf.DUMMYFUNCTION("""COMPUTED_VALUE"""),55.59)</f>
        <v>55.59</v>
      </c>
      <c r="T104" s="3">
        <f ca="1">IFERROR(__xludf.DUMMYFUNCTION("""COMPUTED_VALUE"""),29)</f>
        <v>29</v>
      </c>
      <c r="U104" s="3">
        <f ca="1">IFERROR(__xludf.DUMMYFUNCTION("""COMPUTED_VALUE"""),85.46)</f>
        <v>85.46</v>
      </c>
      <c r="V104" s="3">
        <f ca="1">IFERROR(__xludf.DUMMYFUNCTION("""COMPUTED_VALUE"""),71.28)</f>
        <v>71.28</v>
      </c>
      <c r="W104" s="3">
        <f ca="1">IFERROR(__xludf.DUMMYFUNCTION("""COMPUTED_VALUE"""),35.57)</f>
        <v>35.57</v>
      </c>
      <c r="X104" s="3">
        <f ca="1">IFERROR(__xludf.DUMMYFUNCTION("""COMPUTED_VALUE"""),87.21)</f>
        <v>87.21</v>
      </c>
      <c r="Y104" s="3">
        <f ca="1">IFERROR(__xludf.DUMMYFUNCTION("""COMPUTED_VALUE"""),49.27)</f>
        <v>49.27</v>
      </c>
      <c r="Z104" s="3">
        <f ca="1">IFERROR(__xludf.DUMMYFUNCTION("""COMPUTED_VALUE"""),78.74)</f>
        <v>78.739999999999995</v>
      </c>
      <c r="AA104" s="3">
        <f ca="1">IFERROR(__xludf.DUMMYFUNCTION("""COMPUTED_VALUE"""),44.82)</f>
        <v>44.82</v>
      </c>
      <c r="AB104" s="3">
        <f ca="1">IFERROR(__xludf.DUMMYFUNCTION("""COMPUTED_VALUE"""),64.3)</f>
        <v>64.3</v>
      </c>
      <c r="AC104" s="3">
        <f ca="1">IFERROR(__xludf.DUMMYFUNCTION("""COMPUTED_VALUE"""),56.29)</f>
        <v>56.29</v>
      </c>
      <c r="AD104" s="3">
        <f ca="1">IFERROR(__xludf.DUMMYFUNCTION("""COMPUTED_VALUE"""),11.12)</f>
        <v>11.12</v>
      </c>
      <c r="AE104" s="3">
        <f ca="1">IFERROR(__xludf.DUMMYFUNCTION("""COMPUTED_VALUE"""),17.89)</f>
        <v>17.89</v>
      </c>
      <c r="AF104" s="3">
        <f ca="1">IFERROR(__xludf.DUMMYFUNCTION("""COMPUTED_VALUE"""),3.35)</f>
        <v>3.35</v>
      </c>
      <c r="AG104" s="3">
        <f ca="1">IFERROR(__xludf.DUMMYFUNCTION("""COMPUTED_VALUE"""),32.52)</f>
        <v>32.520000000000003</v>
      </c>
    </row>
    <row r="105" spans="1:33" ht="12.75" x14ac:dyDescent="0.2">
      <c r="A105" s="4">
        <f ca="1">IFERROR(__xludf.DUMMYFUNCTION("""COMPUTED_VALUE"""),44712.6666666666)</f>
        <v>44712.666666666599</v>
      </c>
      <c r="B105" s="3">
        <f ca="1">IFERROR(__xludf.DUMMYFUNCTION("""COMPUTED_VALUE"""),140.45)</f>
        <v>140.44999999999999</v>
      </c>
      <c r="C105" s="3">
        <f ca="1">IFERROR(__xludf.DUMMYFUNCTION("""COMPUTED_VALUE"""),361.1)</f>
        <v>361.1</v>
      </c>
      <c r="D105" s="3">
        <f ca="1">IFERROR(__xludf.DUMMYFUNCTION("""COMPUTED_VALUE"""),88.31)</f>
        <v>88.31</v>
      </c>
      <c r="E105" s="3">
        <f ca="1">IFERROR(__xludf.DUMMYFUNCTION("""COMPUTED_VALUE"""),142.05)</f>
        <v>142.05000000000001</v>
      </c>
      <c r="F105" s="3">
        <f ca="1">IFERROR(__xludf.DUMMYFUNCTION("""COMPUTED_VALUE"""),47.82)</f>
        <v>47.82</v>
      </c>
      <c r="G105" s="3">
        <f ca="1">IFERROR(__xludf.DUMMYFUNCTION("""COMPUTED_VALUE"""),23.85)</f>
        <v>23.85</v>
      </c>
      <c r="H105" s="3">
        <f ca="1">IFERROR(__xludf.DUMMYFUNCTION("""COMPUTED_VALUE"""),25.54)</f>
        <v>25.54</v>
      </c>
      <c r="I105" s="3">
        <f ca="1">IFERROR(__xludf.DUMMYFUNCTION("""COMPUTED_VALUE"""),132.23)</f>
        <v>132.22999999999999</v>
      </c>
      <c r="J105" s="3">
        <f ca="1">IFERROR(__xludf.DUMMYFUNCTION("""COMPUTED_VALUE"""),241.78)</f>
        <v>241.78</v>
      </c>
      <c r="K105" s="3">
        <f ca="1">IFERROR(__xludf.DUMMYFUNCTION("""COMPUTED_VALUE"""),116.67)</f>
        <v>116.67</v>
      </c>
      <c r="L105" s="3">
        <f ca="1">IFERROR(__xludf.DUMMYFUNCTION("""COMPUTED_VALUE"""),68.78)</f>
        <v>68.78</v>
      </c>
      <c r="M105" s="3">
        <f ca="1">IFERROR(__xludf.DUMMYFUNCTION("""COMPUTED_VALUE"""),56.95)</f>
        <v>56.95</v>
      </c>
      <c r="N105" s="3">
        <f ca="1">IFERROR(__xludf.DUMMYFUNCTION("""COMPUTED_VALUE"""),62.23)</f>
        <v>62.23</v>
      </c>
      <c r="O105" s="3">
        <f ca="1">IFERROR(__xludf.DUMMYFUNCTION("""COMPUTED_VALUE"""),48)</f>
        <v>48</v>
      </c>
      <c r="P105" s="3">
        <f ca="1">IFERROR(__xludf.DUMMYFUNCTION("""COMPUTED_VALUE"""),87.2)</f>
        <v>87.2</v>
      </c>
      <c r="Q105" s="3">
        <f ca="1">IFERROR(__xludf.DUMMYFUNCTION("""COMPUTED_VALUE"""),121.24)</f>
        <v>121.24</v>
      </c>
      <c r="R105" s="3">
        <f ca="1">IFERROR(__xludf.DUMMYFUNCTION("""COMPUTED_VALUE"""),86.03)</f>
        <v>86.03</v>
      </c>
      <c r="S105" s="3">
        <f ca="1">IFERROR(__xludf.DUMMYFUNCTION("""COMPUTED_VALUE"""),53.63)</f>
        <v>53.63</v>
      </c>
      <c r="T105" s="3">
        <f ca="1">IFERROR(__xludf.DUMMYFUNCTION("""COMPUTED_VALUE"""),28.8)</f>
        <v>28.8</v>
      </c>
      <c r="U105" s="3">
        <f ca="1">IFERROR(__xludf.DUMMYFUNCTION("""COMPUTED_VALUE"""),85.47)</f>
        <v>85.47</v>
      </c>
      <c r="V105" s="3">
        <f ca="1">IFERROR(__xludf.DUMMYFUNCTION("""COMPUTED_VALUE"""),71.1)</f>
        <v>71.099999999999994</v>
      </c>
      <c r="W105" s="3">
        <f ca="1">IFERROR(__xludf.DUMMYFUNCTION("""COMPUTED_VALUE"""),35.47)</f>
        <v>35.47</v>
      </c>
      <c r="X105" s="3">
        <f ca="1">IFERROR(__xludf.DUMMYFUNCTION("""COMPUTED_VALUE"""),86.88)</f>
        <v>86.88</v>
      </c>
      <c r="Y105" s="3">
        <f ca="1">IFERROR(__xludf.DUMMYFUNCTION("""COMPUTED_VALUE"""),49.2)</f>
        <v>49.2</v>
      </c>
      <c r="Z105" s="3">
        <f ca="1">IFERROR(__xludf.DUMMYFUNCTION("""COMPUTED_VALUE"""),78.43)</f>
        <v>78.430000000000007</v>
      </c>
      <c r="AA105" s="3">
        <f ca="1">IFERROR(__xludf.DUMMYFUNCTION("""COMPUTED_VALUE"""),44.22)</f>
        <v>44.22</v>
      </c>
      <c r="AB105" s="3">
        <f ca="1">IFERROR(__xludf.DUMMYFUNCTION("""COMPUTED_VALUE"""),64.27)</f>
        <v>64.27</v>
      </c>
      <c r="AC105" s="3">
        <f ca="1">IFERROR(__xludf.DUMMYFUNCTION("""COMPUTED_VALUE"""),56.24)</f>
        <v>56.24</v>
      </c>
      <c r="AD105" s="3">
        <f ca="1">IFERROR(__xludf.DUMMYFUNCTION("""COMPUTED_VALUE"""),12.22)</f>
        <v>12.22</v>
      </c>
      <c r="AE105" s="3">
        <f ca="1">IFERROR(__xludf.DUMMYFUNCTION("""COMPUTED_VALUE"""),19.63)</f>
        <v>19.63</v>
      </c>
      <c r="AF105" s="3">
        <f ca="1">IFERROR(__xludf.DUMMYFUNCTION("""COMPUTED_VALUE"""),3.19)</f>
        <v>3.19</v>
      </c>
      <c r="AG105" s="3">
        <f ca="1">IFERROR(__xludf.DUMMYFUNCTION("""COMPUTED_VALUE"""),34)</f>
        <v>34</v>
      </c>
    </row>
    <row r="106" spans="1:33" ht="12.75" x14ac:dyDescent="0.2">
      <c r="A106" s="4">
        <f ca="1">IFERROR(__xludf.DUMMYFUNCTION("""COMPUTED_VALUE"""),44713.6666666666)</f>
        <v>44713.666666666599</v>
      </c>
      <c r="B106" s="3">
        <f ca="1">IFERROR(__xludf.DUMMYFUNCTION("""COMPUTED_VALUE"""),140.03)</f>
        <v>140.03</v>
      </c>
      <c r="C106" s="3">
        <f ca="1">IFERROR(__xludf.DUMMYFUNCTION("""COMPUTED_VALUE"""),359.71)</f>
        <v>359.71</v>
      </c>
      <c r="D106" s="3">
        <f ca="1">IFERROR(__xludf.DUMMYFUNCTION("""COMPUTED_VALUE"""),88.04)</f>
        <v>88.04</v>
      </c>
      <c r="E106" s="3">
        <f ca="1">IFERROR(__xludf.DUMMYFUNCTION("""COMPUTED_VALUE"""),139.79)</f>
        <v>139.79</v>
      </c>
      <c r="F106" s="3">
        <f ca="1">IFERROR(__xludf.DUMMYFUNCTION("""COMPUTED_VALUE"""),47.76)</f>
        <v>47.76</v>
      </c>
      <c r="G106" s="3">
        <f ca="1">IFERROR(__xludf.DUMMYFUNCTION("""COMPUTED_VALUE"""),23.44)</f>
        <v>23.44</v>
      </c>
      <c r="H106" s="3">
        <f ca="1">IFERROR(__xludf.DUMMYFUNCTION("""COMPUTED_VALUE"""),25.24)</f>
        <v>25.24</v>
      </c>
      <c r="I106" s="3">
        <f ca="1">IFERROR(__xludf.DUMMYFUNCTION("""COMPUTED_VALUE"""),130.33)</f>
        <v>130.33000000000001</v>
      </c>
      <c r="J106" s="3">
        <f ca="1">IFERROR(__xludf.DUMMYFUNCTION("""COMPUTED_VALUE"""),238)</f>
        <v>238</v>
      </c>
      <c r="K106" s="3">
        <f ca="1">IFERROR(__xludf.DUMMYFUNCTION("""COMPUTED_VALUE"""),115.44)</f>
        <v>115.44</v>
      </c>
      <c r="L106" s="3">
        <f ca="1">IFERROR(__xludf.DUMMYFUNCTION("""COMPUTED_VALUE"""),67.53)</f>
        <v>67.53</v>
      </c>
      <c r="M106" s="3">
        <f ca="1">IFERROR(__xludf.DUMMYFUNCTION("""COMPUTED_VALUE"""),56.63)</f>
        <v>56.63</v>
      </c>
      <c r="N106" s="3">
        <f ca="1">IFERROR(__xludf.DUMMYFUNCTION("""COMPUTED_VALUE"""),61.35)</f>
        <v>61.35</v>
      </c>
      <c r="O106" s="3">
        <f ca="1">IFERROR(__xludf.DUMMYFUNCTION("""COMPUTED_VALUE"""),46.8)</f>
        <v>46.8</v>
      </c>
      <c r="P106" s="3">
        <f ca="1">IFERROR(__xludf.DUMMYFUNCTION("""COMPUTED_VALUE"""),88.62)</f>
        <v>88.62</v>
      </c>
      <c r="Q106" s="3">
        <f ca="1">IFERROR(__xludf.DUMMYFUNCTION("""COMPUTED_VALUE"""),123.55)</f>
        <v>123.55</v>
      </c>
      <c r="R106" s="3">
        <f ca="1">IFERROR(__xludf.DUMMYFUNCTION("""COMPUTED_VALUE"""),85.17)</f>
        <v>85.17</v>
      </c>
      <c r="S106" s="3">
        <f ca="1">IFERROR(__xludf.DUMMYFUNCTION("""COMPUTED_VALUE"""),53.53)</f>
        <v>53.53</v>
      </c>
      <c r="T106" s="3">
        <f ca="1">IFERROR(__xludf.DUMMYFUNCTION("""COMPUTED_VALUE"""),28.94)</f>
        <v>28.94</v>
      </c>
      <c r="U106" s="3">
        <f ca="1">IFERROR(__xludf.DUMMYFUNCTION("""COMPUTED_VALUE"""),85.54)</f>
        <v>85.54</v>
      </c>
      <c r="V106" s="3">
        <f ca="1">IFERROR(__xludf.DUMMYFUNCTION("""COMPUTED_VALUE"""),70.22)</f>
        <v>70.22</v>
      </c>
      <c r="W106" s="3">
        <f ca="1">IFERROR(__xludf.DUMMYFUNCTION("""COMPUTED_VALUE"""),34.9)</f>
        <v>34.9</v>
      </c>
      <c r="X106" s="3">
        <f ca="1">IFERROR(__xludf.DUMMYFUNCTION("""COMPUTED_VALUE"""),85.46)</f>
        <v>85.46</v>
      </c>
      <c r="Y106" s="3">
        <f ca="1">IFERROR(__xludf.DUMMYFUNCTION("""COMPUTED_VALUE"""),48.55)</f>
        <v>48.55</v>
      </c>
      <c r="Z106" s="3">
        <f ca="1">IFERROR(__xludf.DUMMYFUNCTION("""COMPUTED_VALUE"""),77.13)</f>
        <v>77.13</v>
      </c>
      <c r="AA106" s="3">
        <f ca="1">IFERROR(__xludf.DUMMYFUNCTION("""COMPUTED_VALUE"""),43.74)</f>
        <v>43.74</v>
      </c>
      <c r="AB106" s="3">
        <f ca="1">IFERROR(__xludf.DUMMYFUNCTION("""COMPUTED_VALUE"""),63.44)</f>
        <v>63.44</v>
      </c>
      <c r="AC106" s="3">
        <f ca="1">IFERROR(__xludf.DUMMYFUNCTION("""COMPUTED_VALUE"""),55.32)</f>
        <v>55.32</v>
      </c>
      <c r="AD106" s="3">
        <f ca="1">IFERROR(__xludf.DUMMYFUNCTION("""COMPUTED_VALUE"""),11.6)</f>
        <v>11.6</v>
      </c>
      <c r="AE106" s="3">
        <f ca="1">IFERROR(__xludf.DUMMYFUNCTION("""COMPUTED_VALUE"""),18.65)</f>
        <v>18.649999999999999</v>
      </c>
      <c r="AF106" s="3">
        <f ca="1">IFERROR(__xludf.DUMMYFUNCTION("""COMPUTED_VALUE"""),2.96)</f>
        <v>2.96</v>
      </c>
      <c r="AG106" s="3">
        <f ca="1">IFERROR(__xludf.DUMMYFUNCTION("""COMPUTED_VALUE"""),31.32)</f>
        <v>31.32</v>
      </c>
    </row>
    <row r="107" spans="1:33" ht="12.75" x14ac:dyDescent="0.2">
      <c r="A107" s="4">
        <f ca="1">IFERROR(__xludf.DUMMYFUNCTION("""COMPUTED_VALUE"""),44714.6666666666)</f>
        <v>44714.666666666599</v>
      </c>
      <c r="B107" s="3">
        <f ca="1">IFERROR(__xludf.DUMMYFUNCTION("""COMPUTED_VALUE"""),143.42)</f>
        <v>143.41999999999999</v>
      </c>
      <c r="C107" s="3">
        <f ca="1">IFERROR(__xludf.DUMMYFUNCTION("""COMPUTED_VALUE"""),369.6)</f>
        <v>369.6</v>
      </c>
      <c r="D107" s="3">
        <f ca="1">IFERROR(__xludf.DUMMYFUNCTION("""COMPUTED_VALUE"""),90.72)</f>
        <v>90.72</v>
      </c>
      <c r="E107" s="3">
        <f ca="1">IFERROR(__xludf.DUMMYFUNCTION("""COMPUTED_VALUE"""),144.66)</f>
        <v>144.66</v>
      </c>
      <c r="F107" s="3">
        <f ca="1">IFERROR(__xludf.DUMMYFUNCTION("""COMPUTED_VALUE"""),49.37)</f>
        <v>49.37</v>
      </c>
      <c r="G107" s="3">
        <f ca="1">IFERROR(__xludf.DUMMYFUNCTION("""COMPUTED_VALUE"""),24.41)</f>
        <v>24.41</v>
      </c>
      <c r="H107" s="3">
        <f ca="1">IFERROR(__xludf.DUMMYFUNCTION("""COMPUTED_VALUE"""),26.06)</f>
        <v>26.06</v>
      </c>
      <c r="I107" s="3">
        <f ca="1">IFERROR(__xludf.DUMMYFUNCTION("""COMPUTED_VALUE"""),131.36)</f>
        <v>131.36000000000001</v>
      </c>
      <c r="J107" s="3">
        <f ca="1">IFERROR(__xludf.DUMMYFUNCTION("""COMPUTED_VALUE"""),240.75)</f>
        <v>240.75</v>
      </c>
      <c r="K107" s="3">
        <f ca="1">IFERROR(__xludf.DUMMYFUNCTION("""COMPUTED_VALUE"""),116.36)</f>
        <v>116.36</v>
      </c>
      <c r="L107" s="3">
        <f ca="1">IFERROR(__xludf.DUMMYFUNCTION("""COMPUTED_VALUE"""),68.77)</f>
        <v>68.77</v>
      </c>
      <c r="M107" s="3">
        <f ca="1">IFERROR(__xludf.DUMMYFUNCTION("""COMPUTED_VALUE"""),56.91)</f>
        <v>56.91</v>
      </c>
      <c r="N107" s="3">
        <f ca="1">IFERROR(__xludf.DUMMYFUNCTION("""COMPUTED_VALUE"""),62.01)</f>
        <v>62.01</v>
      </c>
      <c r="O107" s="3">
        <f ca="1">IFERROR(__xludf.DUMMYFUNCTION("""COMPUTED_VALUE"""),48.4)</f>
        <v>48.4</v>
      </c>
      <c r="P107" s="3">
        <f ca="1">IFERROR(__xludf.DUMMYFUNCTION("""COMPUTED_VALUE"""),88.34)</f>
        <v>88.34</v>
      </c>
      <c r="Q107" s="3">
        <f ca="1">IFERROR(__xludf.DUMMYFUNCTION("""COMPUTED_VALUE"""),123.29)</f>
        <v>123.29</v>
      </c>
      <c r="R107" s="3">
        <f ca="1">IFERROR(__xludf.DUMMYFUNCTION("""COMPUTED_VALUE"""),87.52)</f>
        <v>87.52</v>
      </c>
      <c r="S107" s="3">
        <f ca="1">IFERROR(__xludf.DUMMYFUNCTION("""COMPUTED_VALUE"""),55.54)</f>
        <v>55.54</v>
      </c>
      <c r="T107" s="3">
        <f ca="1">IFERROR(__xludf.DUMMYFUNCTION("""COMPUTED_VALUE"""),29.6)</f>
        <v>29.6</v>
      </c>
      <c r="U107" s="3">
        <f ca="1">IFERROR(__xludf.DUMMYFUNCTION("""COMPUTED_VALUE"""),87.25)</f>
        <v>87.25</v>
      </c>
      <c r="V107" s="3">
        <f ca="1">IFERROR(__xludf.DUMMYFUNCTION("""COMPUTED_VALUE"""),74.07)</f>
        <v>74.069999999999993</v>
      </c>
      <c r="W107" s="3">
        <f ca="1">IFERROR(__xludf.DUMMYFUNCTION("""COMPUTED_VALUE"""),35.38)</f>
        <v>35.380000000000003</v>
      </c>
      <c r="X107" s="3">
        <f ca="1">IFERROR(__xludf.DUMMYFUNCTION("""COMPUTED_VALUE"""),86.84)</f>
        <v>86.84</v>
      </c>
      <c r="Y107" s="3">
        <f ca="1">IFERROR(__xludf.DUMMYFUNCTION("""COMPUTED_VALUE"""),49.48)</f>
        <v>49.48</v>
      </c>
      <c r="Z107" s="3">
        <f ca="1">IFERROR(__xludf.DUMMYFUNCTION("""COMPUTED_VALUE"""),78.41)</f>
        <v>78.41</v>
      </c>
      <c r="AA107" s="3">
        <f ca="1">IFERROR(__xludf.DUMMYFUNCTION("""COMPUTED_VALUE"""),44.4)</f>
        <v>44.4</v>
      </c>
      <c r="AB107" s="3">
        <f ca="1">IFERROR(__xludf.DUMMYFUNCTION("""COMPUTED_VALUE"""),64.74)</f>
        <v>64.739999999999995</v>
      </c>
      <c r="AC107" s="3">
        <f ca="1">IFERROR(__xludf.DUMMYFUNCTION("""COMPUTED_VALUE"""),56.32)</f>
        <v>56.32</v>
      </c>
      <c r="AD107" s="3">
        <f ca="1">IFERROR(__xludf.DUMMYFUNCTION("""COMPUTED_VALUE"""),11.7)</f>
        <v>11.7</v>
      </c>
      <c r="AE107" s="3">
        <f ca="1">IFERROR(__xludf.DUMMYFUNCTION("""COMPUTED_VALUE"""),18.81)</f>
        <v>18.809999999999999</v>
      </c>
      <c r="AF107" s="3">
        <f ca="1">IFERROR(__xludf.DUMMYFUNCTION("""COMPUTED_VALUE"""),3.09)</f>
        <v>3.09</v>
      </c>
      <c r="AG107" s="3">
        <f ca="1">IFERROR(__xludf.DUMMYFUNCTION("""COMPUTED_VALUE"""),32.68)</f>
        <v>32.68</v>
      </c>
    </row>
    <row r="108" spans="1:33" ht="12.75" x14ac:dyDescent="0.2">
      <c r="A108" s="4">
        <f ca="1">IFERROR(__xludf.DUMMYFUNCTION("""COMPUTED_VALUE"""),44715.6666666666)</f>
        <v>44715.666666666599</v>
      </c>
      <c r="B108" s="3">
        <f ca="1">IFERROR(__xludf.DUMMYFUNCTION("""COMPUTED_VALUE"""),139.99)</f>
        <v>139.99</v>
      </c>
      <c r="C108" s="3">
        <f ca="1">IFERROR(__xludf.DUMMYFUNCTION("""COMPUTED_VALUE"""),360.21)</f>
        <v>360.21</v>
      </c>
      <c r="D108" s="3">
        <f ca="1">IFERROR(__xludf.DUMMYFUNCTION("""COMPUTED_VALUE"""),88.29)</f>
        <v>88.29</v>
      </c>
      <c r="E108" s="3">
        <f ca="1">IFERROR(__xludf.DUMMYFUNCTION("""COMPUTED_VALUE"""),140.34)</f>
        <v>140.34</v>
      </c>
      <c r="F108" s="3">
        <f ca="1">IFERROR(__xludf.DUMMYFUNCTION("""COMPUTED_VALUE"""),48.66)</f>
        <v>48.66</v>
      </c>
      <c r="G108" s="3">
        <f ca="1">IFERROR(__xludf.DUMMYFUNCTION("""COMPUTED_VALUE"""),23.74)</f>
        <v>23.74</v>
      </c>
      <c r="H108" s="3">
        <f ca="1">IFERROR(__xludf.DUMMYFUNCTION("""COMPUTED_VALUE"""),25.56)</f>
        <v>25.56</v>
      </c>
      <c r="I108" s="3">
        <f ca="1">IFERROR(__xludf.DUMMYFUNCTION("""COMPUTED_VALUE"""),129.82)</f>
        <v>129.82</v>
      </c>
      <c r="J108" s="3">
        <f ca="1">IFERROR(__xludf.DUMMYFUNCTION("""COMPUTED_VALUE"""),238.27)</f>
        <v>238.27</v>
      </c>
      <c r="K108" s="3">
        <f ca="1">IFERROR(__xludf.DUMMYFUNCTION("""COMPUTED_VALUE"""),116.5)</f>
        <v>116.5</v>
      </c>
      <c r="L108" s="3">
        <f ca="1">IFERROR(__xludf.DUMMYFUNCTION("""COMPUTED_VALUE"""),71.21)</f>
        <v>71.209999999999994</v>
      </c>
      <c r="M108" s="3">
        <f ca="1">IFERROR(__xludf.DUMMYFUNCTION("""COMPUTED_VALUE"""),57.31)</f>
        <v>57.31</v>
      </c>
      <c r="N108" s="3">
        <f ca="1">IFERROR(__xludf.DUMMYFUNCTION("""COMPUTED_VALUE"""),61.38)</f>
        <v>61.38</v>
      </c>
      <c r="O108" s="3">
        <f ca="1">IFERROR(__xludf.DUMMYFUNCTION("""COMPUTED_VALUE"""),48.16)</f>
        <v>48.16</v>
      </c>
      <c r="P108" s="3">
        <f ca="1">IFERROR(__xludf.DUMMYFUNCTION("""COMPUTED_VALUE"""),89.51)</f>
        <v>89.51</v>
      </c>
      <c r="Q108" s="3">
        <f ca="1">IFERROR(__xludf.DUMMYFUNCTION("""COMPUTED_VALUE"""),124.86)</f>
        <v>124.86</v>
      </c>
      <c r="R108" s="3">
        <f ca="1">IFERROR(__xludf.DUMMYFUNCTION("""COMPUTED_VALUE"""),86.67)</f>
        <v>86.67</v>
      </c>
      <c r="S108" s="3">
        <f ca="1">IFERROR(__xludf.DUMMYFUNCTION("""COMPUTED_VALUE"""),54.35)</f>
        <v>54.35</v>
      </c>
      <c r="T108" s="3">
        <f ca="1">IFERROR(__xludf.DUMMYFUNCTION("""COMPUTED_VALUE"""),29.88)</f>
        <v>29.88</v>
      </c>
      <c r="U108" s="3">
        <f ca="1">IFERROR(__xludf.DUMMYFUNCTION("""COMPUTED_VALUE"""),89.47)</f>
        <v>89.47</v>
      </c>
      <c r="V108" s="3">
        <f ca="1">IFERROR(__xludf.DUMMYFUNCTION("""COMPUTED_VALUE"""),73.65)</f>
        <v>73.650000000000006</v>
      </c>
      <c r="W108" s="3">
        <f ca="1">IFERROR(__xludf.DUMMYFUNCTION("""COMPUTED_VALUE"""),34.87)</f>
        <v>34.869999999999997</v>
      </c>
      <c r="X108" s="3">
        <f ca="1">IFERROR(__xludf.DUMMYFUNCTION("""COMPUTED_VALUE"""),85.61)</f>
        <v>85.61</v>
      </c>
      <c r="Y108" s="3">
        <f ca="1">IFERROR(__xludf.DUMMYFUNCTION("""COMPUTED_VALUE"""),48.81)</f>
        <v>48.81</v>
      </c>
      <c r="Z108" s="3">
        <f ca="1">IFERROR(__xludf.DUMMYFUNCTION("""COMPUTED_VALUE"""),77.2)</f>
        <v>77.2</v>
      </c>
      <c r="AA108" s="3">
        <f ca="1">IFERROR(__xludf.DUMMYFUNCTION("""COMPUTED_VALUE"""),43.84)</f>
        <v>43.84</v>
      </c>
      <c r="AB108" s="3">
        <f ca="1">IFERROR(__xludf.DUMMYFUNCTION("""COMPUTED_VALUE"""),63.95)</f>
        <v>63.95</v>
      </c>
      <c r="AC108" s="3">
        <f ca="1">IFERROR(__xludf.DUMMYFUNCTION("""COMPUTED_VALUE"""),55.47)</f>
        <v>55.47</v>
      </c>
      <c r="AD108" s="3">
        <f ca="1">IFERROR(__xludf.DUMMYFUNCTION("""COMPUTED_VALUE"""),11.4)</f>
        <v>11.4</v>
      </c>
      <c r="AE108" s="3">
        <f ca="1">IFERROR(__xludf.DUMMYFUNCTION("""COMPUTED_VALUE"""),18.34)</f>
        <v>18.34</v>
      </c>
      <c r="AF108" s="3">
        <f ca="1">IFERROR(__xludf.DUMMYFUNCTION("""COMPUTED_VALUE"""),3.07)</f>
        <v>3.07</v>
      </c>
      <c r="AG108" s="3">
        <f ca="1">IFERROR(__xludf.DUMMYFUNCTION("""COMPUTED_VALUE"""),31.28)</f>
        <v>31.28</v>
      </c>
    </row>
    <row r="109" spans="1:33" ht="12.75" x14ac:dyDescent="0.2">
      <c r="A109" s="4">
        <f ca="1">IFERROR(__xludf.DUMMYFUNCTION("""COMPUTED_VALUE"""),44718.6666666666)</f>
        <v>44718.666666666599</v>
      </c>
      <c r="B109" s="3">
        <f ca="1">IFERROR(__xludf.DUMMYFUNCTION("""COMPUTED_VALUE"""),140)</f>
        <v>140</v>
      </c>
      <c r="C109" s="3">
        <f ca="1">IFERROR(__xludf.DUMMYFUNCTION("""COMPUTED_VALUE"""),360.42)</f>
        <v>360.42</v>
      </c>
      <c r="D109" s="3">
        <f ca="1">IFERROR(__xludf.DUMMYFUNCTION("""COMPUTED_VALUE"""),88.47)</f>
        <v>88.47</v>
      </c>
      <c r="E109" s="3">
        <f ca="1">IFERROR(__xludf.DUMMYFUNCTION("""COMPUTED_VALUE"""),140.58)</f>
        <v>140.58000000000001</v>
      </c>
      <c r="F109" s="3">
        <f ca="1">IFERROR(__xludf.DUMMYFUNCTION("""COMPUTED_VALUE"""),48.79)</f>
        <v>48.79</v>
      </c>
      <c r="G109" s="3">
        <f ca="1">IFERROR(__xludf.DUMMYFUNCTION("""COMPUTED_VALUE"""),23.79)</f>
        <v>23.79</v>
      </c>
      <c r="H109" s="3">
        <f ca="1">IFERROR(__xludf.DUMMYFUNCTION("""COMPUTED_VALUE"""),25.76)</f>
        <v>25.76</v>
      </c>
      <c r="I109" s="3">
        <f ca="1">IFERROR(__xludf.DUMMYFUNCTION("""COMPUTED_VALUE"""),129.84)</f>
        <v>129.84</v>
      </c>
      <c r="J109" s="3">
        <f ca="1">IFERROR(__xludf.DUMMYFUNCTION("""COMPUTED_VALUE"""),237.97)</f>
        <v>237.97</v>
      </c>
      <c r="K109" s="3">
        <f ca="1">IFERROR(__xludf.DUMMYFUNCTION("""COMPUTED_VALUE"""),115.24)</f>
        <v>115.24</v>
      </c>
      <c r="L109" s="3">
        <f ca="1">IFERROR(__xludf.DUMMYFUNCTION("""COMPUTED_VALUE"""),69.18)</f>
        <v>69.180000000000007</v>
      </c>
      <c r="M109" s="3">
        <f ca="1">IFERROR(__xludf.DUMMYFUNCTION("""COMPUTED_VALUE"""),56.13)</f>
        <v>56.13</v>
      </c>
      <c r="N109" s="3">
        <f ca="1">IFERROR(__xludf.DUMMYFUNCTION("""COMPUTED_VALUE"""),61.25)</f>
        <v>61.25</v>
      </c>
      <c r="O109" s="3">
        <f ca="1">IFERROR(__xludf.DUMMYFUNCTION("""COMPUTED_VALUE"""),47.56)</f>
        <v>47.56</v>
      </c>
      <c r="P109" s="3">
        <f ca="1">IFERROR(__xludf.DUMMYFUNCTION("""COMPUTED_VALUE"""),89.41)</f>
        <v>89.41</v>
      </c>
      <c r="Q109" s="3">
        <f ca="1">IFERROR(__xludf.DUMMYFUNCTION("""COMPUTED_VALUE"""),124.94)</f>
        <v>124.94</v>
      </c>
      <c r="R109" s="3">
        <f ca="1">IFERROR(__xludf.DUMMYFUNCTION("""COMPUTED_VALUE"""),87.49)</f>
        <v>87.49</v>
      </c>
      <c r="S109" s="3">
        <f ca="1">IFERROR(__xludf.DUMMYFUNCTION("""COMPUTED_VALUE"""),55.17)</f>
        <v>55.17</v>
      </c>
      <c r="T109" s="3">
        <f ca="1">IFERROR(__xludf.DUMMYFUNCTION("""COMPUTED_VALUE"""),30.01)</f>
        <v>30.01</v>
      </c>
      <c r="U109" s="3">
        <f ca="1">IFERROR(__xludf.DUMMYFUNCTION("""COMPUTED_VALUE"""),88.39)</f>
        <v>88.39</v>
      </c>
      <c r="V109" s="3">
        <f ca="1">IFERROR(__xludf.DUMMYFUNCTION("""COMPUTED_VALUE"""),76.79)</f>
        <v>76.790000000000006</v>
      </c>
      <c r="W109" s="3">
        <f ca="1">IFERROR(__xludf.DUMMYFUNCTION("""COMPUTED_VALUE"""),34.97)</f>
        <v>34.97</v>
      </c>
      <c r="X109" s="3">
        <f ca="1">IFERROR(__xludf.DUMMYFUNCTION("""COMPUTED_VALUE"""),85.91)</f>
        <v>85.91</v>
      </c>
      <c r="Y109" s="3">
        <f ca="1">IFERROR(__xludf.DUMMYFUNCTION("""COMPUTED_VALUE"""),49.02)</f>
        <v>49.02</v>
      </c>
      <c r="Z109" s="3">
        <f ca="1">IFERROR(__xludf.DUMMYFUNCTION("""COMPUTED_VALUE"""),77.55)</f>
        <v>77.55</v>
      </c>
      <c r="AA109" s="3">
        <f ca="1">IFERROR(__xludf.DUMMYFUNCTION("""COMPUTED_VALUE"""),43.71)</f>
        <v>43.71</v>
      </c>
      <c r="AB109" s="3">
        <f ca="1">IFERROR(__xludf.DUMMYFUNCTION("""COMPUTED_VALUE"""),64.25)</f>
        <v>64.25</v>
      </c>
      <c r="AC109" s="3">
        <f ca="1">IFERROR(__xludf.DUMMYFUNCTION("""COMPUTED_VALUE"""),55.58)</f>
        <v>55.58</v>
      </c>
      <c r="AD109" s="3">
        <f ca="1">IFERROR(__xludf.DUMMYFUNCTION("""COMPUTED_VALUE"""),12.15)</f>
        <v>12.15</v>
      </c>
      <c r="AE109" s="3">
        <f ca="1">IFERROR(__xludf.DUMMYFUNCTION("""COMPUTED_VALUE"""),19.56)</f>
        <v>19.559999999999999</v>
      </c>
      <c r="AF109" s="3">
        <f ca="1">IFERROR(__xludf.DUMMYFUNCTION("""COMPUTED_VALUE"""),2.88)</f>
        <v>2.88</v>
      </c>
      <c r="AG109" s="3">
        <f ca="1">IFERROR(__xludf.DUMMYFUNCTION("""COMPUTED_VALUE"""),31.84)</f>
        <v>31.84</v>
      </c>
    </row>
    <row r="110" spans="1:33" ht="12.75" x14ac:dyDescent="0.2">
      <c r="A110" s="4">
        <f ca="1">IFERROR(__xludf.DUMMYFUNCTION("""COMPUTED_VALUE"""),44719.6666666666)</f>
        <v>44719.666666666599</v>
      </c>
      <c r="B110" s="3">
        <f ca="1">IFERROR(__xludf.DUMMYFUNCTION("""COMPUTED_VALUE"""),141.67)</f>
        <v>141.66999999999999</v>
      </c>
      <c r="C110" s="3">
        <f ca="1">IFERROR(__xludf.DUMMYFUNCTION("""COMPUTED_VALUE"""),365.21)</f>
        <v>365.21</v>
      </c>
      <c r="D110" s="3">
        <f ca="1">IFERROR(__xludf.DUMMYFUNCTION("""COMPUTED_VALUE"""),89.55)</f>
        <v>89.55</v>
      </c>
      <c r="E110" s="3">
        <f ca="1">IFERROR(__xludf.DUMMYFUNCTION("""COMPUTED_VALUE"""),141.7)</f>
        <v>141.69999999999999</v>
      </c>
      <c r="F110" s="3">
        <f ca="1">IFERROR(__xludf.DUMMYFUNCTION("""COMPUTED_VALUE"""),49.53)</f>
        <v>49.53</v>
      </c>
      <c r="G110" s="3">
        <f ca="1">IFERROR(__xludf.DUMMYFUNCTION("""COMPUTED_VALUE"""),23.98)</f>
        <v>23.98</v>
      </c>
      <c r="H110" s="3">
        <f ca="1">IFERROR(__xludf.DUMMYFUNCTION("""COMPUTED_VALUE"""),26.04)</f>
        <v>26.04</v>
      </c>
      <c r="I110" s="3">
        <f ca="1">IFERROR(__xludf.DUMMYFUNCTION("""COMPUTED_VALUE"""),131.53)</f>
        <v>131.53</v>
      </c>
      <c r="J110" s="3">
        <f ca="1">IFERROR(__xludf.DUMMYFUNCTION("""COMPUTED_VALUE"""),241.32)</f>
        <v>241.32</v>
      </c>
      <c r="K110" s="3">
        <f ca="1">IFERROR(__xludf.DUMMYFUNCTION("""COMPUTED_VALUE"""),117.83)</f>
        <v>117.83</v>
      </c>
      <c r="L110" s="3">
        <f ca="1">IFERROR(__xludf.DUMMYFUNCTION("""COMPUTED_VALUE"""),72.6)</f>
        <v>72.599999999999994</v>
      </c>
      <c r="M110" s="3">
        <f ca="1">IFERROR(__xludf.DUMMYFUNCTION("""COMPUTED_VALUE"""),57.79)</f>
        <v>57.79</v>
      </c>
      <c r="N110" s="3">
        <f ca="1">IFERROR(__xludf.DUMMYFUNCTION("""COMPUTED_VALUE"""),62.19)</f>
        <v>62.19</v>
      </c>
      <c r="O110" s="3">
        <f ca="1">IFERROR(__xludf.DUMMYFUNCTION("""COMPUTED_VALUE"""),49.4)</f>
        <v>49.4</v>
      </c>
      <c r="P110" s="3">
        <f ca="1">IFERROR(__xludf.DUMMYFUNCTION("""COMPUTED_VALUE"""),92.08)</f>
        <v>92.08</v>
      </c>
      <c r="Q110" s="3">
        <f ca="1">IFERROR(__xludf.DUMMYFUNCTION("""COMPUTED_VALUE"""),128.99)</f>
        <v>128.99</v>
      </c>
      <c r="R110" s="3">
        <f ca="1">IFERROR(__xludf.DUMMYFUNCTION("""COMPUTED_VALUE"""),88.12)</f>
        <v>88.12</v>
      </c>
      <c r="S110" s="3">
        <f ca="1">IFERROR(__xludf.DUMMYFUNCTION("""COMPUTED_VALUE"""),57.09)</f>
        <v>57.09</v>
      </c>
      <c r="T110" s="3">
        <f ca="1">IFERROR(__xludf.DUMMYFUNCTION("""COMPUTED_VALUE"""),30.21)</f>
        <v>30.21</v>
      </c>
      <c r="U110" s="3">
        <f ca="1">IFERROR(__xludf.DUMMYFUNCTION("""COMPUTED_VALUE"""),90.04)</f>
        <v>90.04</v>
      </c>
      <c r="V110" s="3">
        <f ca="1">IFERROR(__xludf.DUMMYFUNCTION("""COMPUTED_VALUE"""),77.56)</f>
        <v>77.56</v>
      </c>
      <c r="W110" s="3">
        <f ca="1">IFERROR(__xludf.DUMMYFUNCTION("""COMPUTED_VALUE"""),35.24)</f>
        <v>35.24</v>
      </c>
      <c r="X110" s="3">
        <f ca="1">IFERROR(__xludf.DUMMYFUNCTION("""COMPUTED_VALUE"""),86.57)</f>
        <v>86.57</v>
      </c>
      <c r="Y110" s="3">
        <f ca="1">IFERROR(__xludf.DUMMYFUNCTION("""COMPUTED_VALUE"""),49.47)</f>
        <v>49.47</v>
      </c>
      <c r="Z110" s="3">
        <f ca="1">IFERROR(__xludf.DUMMYFUNCTION("""COMPUTED_VALUE"""),78.1)</f>
        <v>78.099999999999994</v>
      </c>
      <c r="AA110" s="3">
        <f ca="1">IFERROR(__xludf.DUMMYFUNCTION("""COMPUTED_VALUE"""),44.22)</f>
        <v>44.22</v>
      </c>
      <c r="AB110" s="3">
        <f ca="1">IFERROR(__xludf.DUMMYFUNCTION("""COMPUTED_VALUE"""),64.78)</f>
        <v>64.78</v>
      </c>
      <c r="AC110" s="3">
        <f ca="1">IFERROR(__xludf.DUMMYFUNCTION("""COMPUTED_VALUE"""),56.02)</f>
        <v>56.02</v>
      </c>
      <c r="AD110" s="3">
        <f ca="1">IFERROR(__xludf.DUMMYFUNCTION("""COMPUTED_VALUE"""),12.01)</f>
        <v>12.01</v>
      </c>
      <c r="AE110" s="3">
        <f ca="1">IFERROR(__xludf.DUMMYFUNCTION("""COMPUTED_VALUE"""),19.29)</f>
        <v>19.29</v>
      </c>
      <c r="AF110" s="3">
        <f ca="1">IFERROR(__xludf.DUMMYFUNCTION("""COMPUTED_VALUE"""),2.96)</f>
        <v>2.96</v>
      </c>
      <c r="AG110" s="3">
        <f ca="1">IFERROR(__xludf.DUMMYFUNCTION("""COMPUTED_VALUE"""),31.28)</f>
        <v>31.28</v>
      </c>
    </row>
    <row r="111" spans="1:33" ht="12.75" x14ac:dyDescent="0.2">
      <c r="A111" s="4">
        <f ca="1">IFERROR(__xludf.DUMMYFUNCTION("""COMPUTED_VALUE"""),44720.6666666666)</f>
        <v>44720.666666666599</v>
      </c>
      <c r="B111" s="3">
        <f ca="1">IFERROR(__xludf.DUMMYFUNCTION("""COMPUTED_VALUE"""),140.07)</f>
        <v>140.07</v>
      </c>
      <c r="C111" s="3">
        <f ca="1">IFERROR(__xludf.DUMMYFUNCTION("""COMPUTED_VALUE"""),361.28)</f>
        <v>361.28</v>
      </c>
      <c r="D111" s="3">
        <f ca="1">IFERROR(__xludf.DUMMYFUNCTION("""COMPUTED_VALUE"""),88.73)</f>
        <v>88.73</v>
      </c>
      <c r="E111" s="3">
        <f ca="1">IFERROR(__xludf.DUMMYFUNCTION("""COMPUTED_VALUE"""),138.69)</f>
        <v>138.69</v>
      </c>
      <c r="F111" s="3">
        <f ca="1">IFERROR(__xludf.DUMMYFUNCTION("""COMPUTED_VALUE"""),49.14)</f>
        <v>49.14</v>
      </c>
      <c r="G111" s="3">
        <f ca="1">IFERROR(__xludf.DUMMYFUNCTION("""COMPUTED_VALUE"""),23.7)</f>
        <v>23.7</v>
      </c>
      <c r="H111" s="3">
        <f ca="1">IFERROR(__xludf.DUMMYFUNCTION("""COMPUTED_VALUE"""),25.87)</f>
        <v>25.87</v>
      </c>
      <c r="I111" s="3">
        <f ca="1">IFERROR(__xludf.DUMMYFUNCTION("""COMPUTED_VALUE"""),130.49)</f>
        <v>130.49</v>
      </c>
      <c r="J111" s="3">
        <f ca="1">IFERROR(__xludf.DUMMYFUNCTION("""COMPUTED_VALUE"""),239.62)</f>
        <v>239.62</v>
      </c>
      <c r="K111" s="3">
        <f ca="1">IFERROR(__xludf.DUMMYFUNCTION("""COMPUTED_VALUE"""),118.13)</f>
        <v>118.13</v>
      </c>
      <c r="L111" s="3">
        <f ca="1">IFERROR(__xludf.DUMMYFUNCTION("""COMPUTED_VALUE"""),73.21)</f>
        <v>73.209999999999994</v>
      </c>
      <c r="M111" s="3">
        <f ca="1">IFERROR(__xludf.DUMMYFUNCTION("""COMPUTED_VALUE"""),57.64)</f>
        <v>57.64</v>
      </c>
      <c r="N111" s="3">
        <f ca="1">IFERROR(__xludf.DUMMYFUNCTION("""COMPUTED_VALUE"""),61.77)</f>
        <v>61.77</v>
      </c>
      <c r="O111" s="3">
        <f ca="1">IFERROR(__xludf.DUMMYFUNCTION("""COMPUTED_VALUE"""),50.28)</f>
        <v>50.28</v>
      </c>
      <c r="P111" s="3">
        <f ca="1">IFERROR(__xludf.DUMMYFUNCTION("""COMPUTED_VALUE"""),92.28)</f>
        <v>92.28</v>
      </c>
      <c r="Q111" s="3">
        <f ca="1">IFERROR(__xludf.DUMMYFUNCTION("""COMPUTED_VALUE"""),128.85)</f>
        <v>128.85</v>
      </c>
      <c r="R111" s="3">
        <f ca="1">IFERROR(__xludf.DUMMYFUNCTION("""COMPUTED_VALUE"""),86.29)</f>
        <v>86.29</v>
      </c>
      <c r="S111" s="3">
        <f ca="1">IFERROR(__xludf.DUMMYFUNCTION("""COMPUTED_VALUE"""),54.92)</f>
        <v>54.92</v>
      </c>
      <c r="T111" s="3">
        <f ca="1">IFERROR(__xludf.DUMMYFUNCTION("""COMPUTED_VALUE"""),30.48)</f>
        <v>30.48</v>
      </c>
      <c r="U111" s="3">
        <f ca="1">IFERROR(__xludf.DUMMYFUNCTION("""COMPUTED_VALUE"""),91.99)</f>
        <v>91.99</v>
      </c>
      <c r="V111" s="3">
        <f ca="1">IFERROR(__xludf.DUMMYFUNCTION("""COMPUTED_VALUE"""),76.51)</f>
        <v>76.510000000000005</v>
      </c>
      <c r="W111" s="3">
        <f ca="1">IFERROR(__xludf.DUMMYFUNCTION("""COMPUTED_VALUE"""),34.62)</f>
        <v>34.619999999999997</v>
      </c>
      <c r="X111" s="3">
        <f ca="1">IFERROR(__xludf.DUMMYFUNCTION("""COMPUTED_VALUE"""),85.06)</f>
        <v>85.06</v>
      </c>
      <c r="Y111" s="3">
        <f ca="1">IFERROR(__xludf.DUMMYFUNCTION("""COMPUTED_VALUE"""),48.65)</f>
        <v>48.65</v>
      </c>
      <c r="Z111" s="3">
        <f ca="1">IFERROR(__xludf.DUMMYFUNCTION("""COMPUTED_VALUE"""),76.73)</f>
        <v>76.73</v>
      </c>
      <c r="AA111" s="3">
        <f ca="1">IFERROR(__xludf.DUMMYFUNCTION("""COMPUTED_VALUE"""),43.16)</f>
        <v>43.16</v>
      </c>
      <c r="AB111" s="3">
        <f ca="1">IFERROR(__xludf.DUMMYFUNCTION("""COMPUTED_VALUE"""),63.68)</f>
        <v>63.68</v>
      </c>
      <c r="AC111" s="3">
        <f ca="1">IFERROR(__xludf.DUMMYFUNCTION("""COMPUTED_VALUE"""),55.12)</f>
        <v>55.12</v>
      </c>
      <c r="AD111" s="3">
        <f ca="1">IFERROR(__xludf.DUMMYFUNCTION("""COMPUTED_VALUE"""),11.62)</f>
        <v>11.62</v>
      </c>
      <c r="AE111" s="3">
        <f ca="1">IFERROR(__xludf.DUMMYFUNCTION("""COMPUTED_VALUE"""),18.68)</f>
        <v>18.68</v>
      </c>
      <c r="AF111" s="3">
        <f ca="1">IFERROR(__xludf.DUMMYFUNCTION("""COMPUTED_VALUE"""),3)</f>
        <v>3</v>
      </c>
      <c r="AG111" s="3">
        <f ca="1">IFERROR(__xludf.DUMMYFUNCTION("""COMPUTED_VALUE"""),30.96)</f>
        <v>30.96</v>
      </c>
    </row>
    <row r="112" spans="1:33" ht="12.75" x14ac:dyDescent="0.2">
      <c r="A112" s="4">
        <f ca="1">IFERROR(__xludf.DUMMYFUNCTION("""COMPUTED_VALUE"""),44721.6666666666)</f>
        <v>44721.666666666599</v>
      </c>
      <c r="B112" s="3">
        <f ca="1">IFERROR(__xludf.DUMMYFUNCTION("""COMPUTED_VALUE"""),136.33)</f>
        <v>136.33000000000001</v>
      </c>
      <c r="C112" s="3">
        <f ca="1">IFERROR(__xludf.DUMMYFUNCTION("""COMPUTED_VALUE"""),351.12)</f>
        <v>351.12</v>
      </c>
      <c r="D112" s="3">
        <f ca="1">IFERROR(__xludf.DUMMYFUNCTION("""COMPUTED_VALUE"""),86.2)</f>
        <v>86.2</v>
      </c>
      <c r="E112" s="3">
        <f ca="1">IFERROR(__xludf.DUMMYFUNCTION("""COMPUTED_VALUE"""),134.55)</f>
        <v>134.55000000000001</v>
      </c>
      <c r="F112" s="3">
        <f ca="1">IFERROR(__xludf.DUMMYFUNCTION("""COMPUTED_VALUE"""),48.09)</f>
        <v>48.09</v>
      </c>
      <c r="G112" s="3">
        <f ca="1">IFERROR(__xludf.DUMMYFUNCTION("""COMPUTED_VALUE"""),23.11)</f>
        <v>23.11</v>
      </c>
      <c r="H112" s="3">
        <f ca="1">IFERROR(__xludf.DUMMYFUNCTION("""COMPUTED_VALUE"""),25.12)</f>
        <v>25.12</v>
      </c>
      <c r="I112" s="3">
        <f ca="1">IFERROR(__xludf.DUMMYFUNCTION("""COMPUTED_VALUE"""),127.54)</f>
        <v>127.54</v>
      </c>
      <c r="J112" s="3">
        <f ca="1">IFERROR(__xludf.DUMMYFUNCTION("""COMPUTED_VALUE"""),233.95)</f>
        <v>233.95</v>
      </c>
      <c r="K112" s="3">
        <f ca="1">IFERROR(__xludf.DUMMYFUNCTION("""COMPUTED_VALUE"""),113.98)</f>
        <v>113.98</v>
      </c>
      <c r="L112" s="3">
        <f ca="1">IFERROR(__xludf.DUMMYFUNCTION("""COMPUTED_VALUE"""),70.26)</f>
        <v>70.260000000000005</v>
      </c>
      <c r="M112" s="3">
        <f ca="1">IFERROR(__xludf.DUMMYFUNCTION("""COMPUTED_VALUE"""),56.17)</f>
        <v>56.17</v>
      </c>
      <c r="N112" s="3">
        <f ca="1">IFERROR(__xludf.DUMMYFUNCTION("""COMPUTED_VALUE"""),60.29)</f>
        <v>60.29</v>
      </c>
      <c r="O112" s="3">
        <f ca="1">IFERROR(__xludf.DUMMYFUNCTION("""COMPUTED_VALUE"""),48.24)</f>
        <v>48.24</v>
      </c>
      <c r="P112" s="3">
        <f ca="1">IFERROR(__xludf.DUMMYFUNCTION("""COMPUTED_VALUE"""),90.24)</f>
        <v>90.24</v>
      </c>
      <c r="Q112" s="3">
        <f ca="1">IFERROR(__xludf.DUMMYFUNCTION("""COMPUTED_VALUE"""),125.92)</f>
        <v>125.92</v>
      </c>
      <c r="R112" s="3">
        <f ca="1">IFERROR(__xludf.DUMMYFUNCTION("""COMPUTED_VALUE"""),84.25)</f>
        <v>84.25</v>
      </c>
      <c r="S112" s="3">
        <f ca="1">IFERROR(__xludf.DUMMYFUNCTION("""COMPUTED_VALUE"""),52.29)</f>
        <v>52.29</v>
      </c>
      <c r="T112" s="3">
        <f ca="1">IFERROR(__xludf.DUMMYFUNCTION("""COMPUTED_VALUE"""),30.53)</f>
        <v>30.53</v>
      </c>
      <c r="U112" s="3">
        <f ca="1">IFERROR(__xludf.DUMMYFUNCTION("""COMPUTED_VALUE"""),91.08)</f>
        <v>91.08</v>
      </c>
      <c r="V112" s="3">
        <f ca="1">IFERROR(__xludf.DUMMYFUNCTION("""COMPUTED_VALUE"""),74.63)</f>
        <v>74.63</v>
      </c>
      <c r="W112" s="3">
        <f ca="1">IFERROR(__xludf.DUMMYFUNCTION("""COMPUTED_VALUE"""),33.75)</f>
        <v>33.75</v>
      </c>
      <c r="X112" s="3">
        <f ca="1">IFERROR(__xludf.DUMMYFUNCTION("""COMPUTED_VALUE"""),82.91)</f>
        <v>82.91</v>
      </c>
      <c r="Y112" s="3">
        <f ca="1">IFERROR(__xludf.DUMMYFUNCTION("""COMPUTED_VALUE"""),47.19)</f>
        <v>47.19</v>
      </c>
      <c r="Z112" s="3">
        <f ca="1">IFERROR(__xludf.DUMMYFUNCTION("""COMPUTED_VALUE"""),74.52)</f>
        <v>74.52</v>
      </c>
      <c r="AA112" s="3">
        <f ca="1">IFERROR(__xludf.DUMMYFUNCTION("""COMPUTED_VALUE"""),42.17)</f>
        <v>42.17</v>
      </c>
      <c r="AB112" s="3">
        <f ca="1">IFERROR(__xludf.DUMMYFUNCTION("""COMPUTED_VALUE"""),61.63)</f>
        <v>61.63</v>
      </c>
      <c r="AC112" s="3">
        <f ca="1">IFERROR(__xludf.DUMMYFUNCTION("""COMPUTED_VALUE"""),53.36)</f>
        <v>53.36</v>
      </c>
      <c r="AD112" s="3">
        <f ca="1">IFERROR(__xludf.DUMMYFUNCTION("""COMPUTED_VALUE"""),11.57)</f>
        <v>11.57</v>
      </c>
      <c r="AE112" s="3">
        <f ca="1">IFERROR(__xludf.DUMMYFUNCTION("""COMPUTED_VALUE"""),18.59)</f>
        <v>18.59</v>
      </c>
      <c r="AF112" s="3">
        <f ca="1">IFERROR(__xludf.DUMMYFUNCTION("""COMPUTED_VALUE"""),2.87)</f>
        <v>2.87</v>
      </c>
      <c r="AG112" s="3">
        <f ca="1">IFERROR(__xludf.DUMMYFUNCTION("""COMPUTED_VALUE"""),29.24)</f>
        <v>29.24</v>
      </c>
    </row>
    <row r="113" spans="1:33" ht="12.75" x14ac:dyDescent="0.2">
      <c r="A113" s="4">
        <f ca="1">IFERROR(__xludf.DUMMYFUNCTION("""COMPUTED_VALUE"""),44722.6666666666)</f>
        <v>44722.666666666599</v>
      </c>
      <c r="B113" s="3">
        <f ca="1">IFERROR(__xludf.DUMMYFUNCTION("""COMPUTED_VALUE"""),131.09)</f>
        <v>131.09</v>
      </c>
      <c r="C113" s="3">
        <f ca="1">IFERROR(__xludf.DUMMYFUNCTION("""COMPUTED_VALUE"""),337.34)</f>
        <v>337.34</v>
      </c>
      <c r="D113" s="3">
        <f ca="1">IFERROR(__xludf.DUMMYFUNCTION("""COMPUTED_VALUE"""),82.74)</f>
        <v>82.74</v>
      </c>
      <c r="E113" s="3">
        <f ca="1">IFERROR(__xludf.DUMMYFUNCTION("""COMPUTED_VALUE"""),129.77)</f>
        <v>129.77000000000001</v>
      </c>
      <c r="F113" s="3">
        <f ca="1">IFERROR(__xludf.DUMMYFUNCTION("""COMPUTED_VALUE"""),46.49)</f>
        <v>46.49</v>
      </c>
      <c r="G113" s="3">
        <f ca="1">IFERROR(__xludf.DUMMYFUNCTION("""COMPUTED_VALUE"""),22.31)</f>
        <v>22.31</v>
      </c>
      <c r="H113" s="3">
        <f ca="1">IFERROR(__xludf.DUMMYFUNCTION("""COMPUTED_VALUE"""),24.27)</f>
        <v>24.27</v>
      </c>
      <c r="I113" s="3">
        <f ca="1">IFERROR(__xludf.DUMMYFUNCTION("""COMPUTED_VALUE"""),125.49)</f>
        <v>125.49</v>
      </c>
      <c r="J113" s="3">
        <f ca="1">IFERROR(__xludf.DUMMYFUNCTION("""COMPUTED_VALUE"""),229.93)</f>
        <v>229.93</v>
      </c>
      <c r="K113" s="3">
        <f ca="1">IFERROR(__xludf.DUMMYFUNCTION("""COMPUTED_VALUE"""),110.48)</f>
        <v>110.48</v>
      </c>
      <c r="L113" s="3">
        <f ca="1">IFERROR(__xludf.DUMMYFUNCTION("""COMPUTED_VALUE"""),67.03)</f>
        <v>67.03</v>
      </c>
      <c r="M113" s="3">
        <f ca="1">IFERROR(__xludf.DUMMYFUNCTION("""COMPUTED_VALUE"""),54.11)</f>
        <v>54.11</v>
      </c>
      <c r="N113" s="3">
        <f ca="1">IFERROR(__xludf.DUMMYFUNCTION("""COMPUTED_VALUE"""),59.24)</f>
        <v>59.24</v>
      </c>
      <c r="O113" s="3">
        <f ca="1">IFERROR(__xludf.DUMMYFUNCTION("""COMPUTED_VALUE"""),45.48)</f>
        <v>45.48</v>
      </c>
      <c r="P113" s="3">
        <f ca="1">IFERROR(__xludf.DUMMYFUNCTION("""COMPUTED_VALUE"""),88.71)</f>
        <v>88.71</v>
      </c>
      <c r="Q113" s="3">
        <f ca="1">IFERROR(__xludf.DUMMYFUNCTION("""COMPUTED_VALUE"""),123.86)</f>
        <v>123.86</v>
      </c>
      <c r="R113" s="3">
        <f ca="1">IFERROR(__xludf.DUMMYFUNCTION("""COMPUTED_VALUE"""),81.67)</f>
        <v>81.67</v>
      </c>
      <c r="S113" s="3">
        <f ca="1">IFERROR(__xludf.DUMMYFUNCTION("""COMPUTED_VALUE"""),51.93)</f>
        <v>51.93</v>
      </c>
      <c r="T113" s="3">
        <f ca="1">IFERROR(__xludf.DUMMYFUNCTION("""COMPUTED_VALUE"""),30.23)</f>
        <v>30.23</v>
      </c>
      <c r="U113" s="3">
        <f ca="1">IFERROR(__xludf.DUMMYFUNCTION("""COMPUTED_VALUE"""),90.13)</f>
        <v>90.13</v>
      </c>
      <c r="V113" s="3">
        <f ca="1">IFERROR(__xludf.DUMMYFUNCTION("""COMPUTED_VALUE"""),73.44)</f>
        <v>73.44</v>
      </c>
      <c r="W113" s="3">
        <f ca="1">IFERROR(__xludf.DUMMYFUNCTION("""COMPUTED_VALUE"""),32.53)</f>
        <v>32.53</v>
      </c>
      <c r="X113" s="3">
        <f ca="1">IFERROR(__xludf.DUMMYFUNCTION("""COMPUTED_VALUE"""),79.93)</f>
        <v>79.930000000000007</v>
      </c>
      <c r="Y113" s="3">
        <f ca="1">IFERROR(__xludf.DUMMYFUNCTION("""COMPUTED_VALUE"""),45.56)</f>
        <v>45.56</v>
      </c>
      <c r="Z113" s="3">
        <f ca="1">IFERROR(__xludf.DUMMYFUNCTION("""COMPUTED_VALUE"""),71.9)</f>
        <v>71.900000000000006</v>
      </c>
      <c r="AA113" s="3">
        <f ca="1">IFERROR(__xludf.DUMMYFUNCTION("""COMPUTED_VALUE"""),41.17)</f>
        <v>41.17</v>
      </c>
      <c r="AB113" s="3">
        <f ca="1">IFERROR(__xludf.DUMMYFUNCTION("""COMPUTED_VALUE"""),59.75)</f>
        <v>59.75</v>
      </c>
      <c r="AC113" s="3">
        <f ca="1">IFERROR(__xludf.DUMMYFUNCTION("""COMPUTED_VALUE"""),51.21)</f>
        <v>51.21</v>
      </c>
      <c r="AD113" s="3">
        <f ca="1">IFERROR(__xludf.DUMMYFUNCTION("""COMPUTED_VALUE"""),11.17)</f>
        <v>11.17</v>
      </c>
      <c r="AE113" s="3">
        <f ca="1">IFERROR(__xludf.DUMMYFUNCTION("""COMPUTED_VALUE"""),17.95)</f>
        <v>17.95</v>
      </c>
      <c r="AF113" s="3">
        <f ca="1">IFERROR(__xludf.DUMMYFUNCTION("""COMPUTED_VALUE"""),2.38)</f>
        <v>2.38</v>
      </c>
      <c r="AG113" s="3">
        <f ca="1">IFERROR(__xludf.DUMMYFUNCTION("""COMPUTED_VALUE"""),27.84)</f>
        <v>27.84</v>
      </c>
    </row>
    <row r="114" spans="1:33" ht="12.75" x14ac:dyDescent="0.2">
      <c r="A114" s="4">
        <f ca="1">IFERROR(__xludf.DUMMYFUNCTION("""COMPUTED_VALUE"""),44725.6666666666)</f>
        <v>44725.666666666599</v>
      </c>
      <c r="B114" s="3">
        <f ca="1">IFERROR(__xludf.DUMMYFUNCTION("""COMPUTED_VALUE"""),125.28)</f>
        <v>125.28</v>
      </c>
      <c r="C114" s="3">
        <f ca="1">IFERROR(__xludf.DUMMYFUNCTION("""COMPUTED_VALUE"""),321.47)</f>
        <v>321.47000000000003</v>
      </c>
      <c r="D114" s="3">
        <f ca="1">IFERROR(__xludf.DUMMYFUNCTION("""COMPUTED_VALUE"""),78.7)</f>
        <v>78.7</v>
      </c>
      <c r="E114" s="3">
        <f ca="1">IFERROR(__xludf.DUMMYFUNCTION("""COMPUTED_VALUE"""),122.28)</f>
        <v>122.28</v>
      </c>
      <c r="F114" s="3">
        <f ca="1">IFERROR(__xludf.DUMMYFUNCTION("""COMPUTED_VALUE"""),44.27)</f>
        <v>44.27</v>
      </c>
      <c r="G114" s="3">
        <f ca="1">IFERROR(__xludf.DUMMYFUNCTION("""COMPUTED_VALUE"""),21.03)</f>
        <v>21.03</v>
      </c>
      <c r="H114" s="3">
        <f ca="1">IFERROR(__xludf.DUMMYFUNCTION("""COMPUTED_VALUE"""),22.91)</f>
        <v>22.91</v>
      </c>
      <c r="I114" s="3">
        <f ca="1">IFERROR(__xludf.DUMMYFUNCTION("""COMPUTED_VALUE"""),121.69)</f>
        <v>121.69</v>
      </c>
      <c r="J114" s="3">
        <f ca="1">IFERROR(__xludf.DUMMYFUNCTION("""COMPUTED_VALUE"""),222.58)</f>
        <v>222.58</v>
      </c>
      <c r="K114" s="3">
        <f ca="1">IFERROR(__xludf.DUMMYFUNCTION("""COMPUTED_VALUE"""),105.97)</f>
        <v>105.97</v>
      </c>
      <c r="L114" s="3">
        <f ca="1">IFERROR(__xludf.DUMMYFUNCTION("""COMPUTED_VALUE"""),63.32)</f>
        <v>63.32</v>
      </c>
      <c r="M114" s="3">
        <f ca="1">IFERROR(__xludf.DUMMYFUNCTION("""COMPUTED_VALUE"""),52.16)</f>
        <v>52.16</v>
      </c>
      <c r="N114" s="3">
        <f ca="1">IFERROR(__xludf.DUMMYFUNCTION("""COMPUTED_VALUE"""),57.31)</f>
        <v>57.31</v>
      </c>
      <c r="O114" s="3">
        <f ca="1">IFERROR(__xludf.DUMMYFUNCTION("""COMPUTED_VALUE"""),42.64)</f>
        <v>42.64</v>
      </c>
      <c r="P114" s="3">
        <f ca="1">IFERROR(__xludf.DUMMYFUNCTION("""COMPUTED_VALUE"""),84.08)</f>
        <v>84.08</v>
      </c>
      <c r="Q114" s="3">
        <f ca="1">IFERROR(__xludf.DUMMYFUNCTION("""COMPUTED_VALUE"""),117.15)</f>
        <v>117.15</v>
      </c>
      <c r="R114" s="3">
        <f ca="1">IFERROR(__xludf.DUMMYFUNCTION("""COMPUTED_VALUE"""),78.48)</f>
        <v>78.48</v>
      </c>
      <c r="S114" s="3">
        <f ca="1">IFERROR(__xludf.DUMMYFUNCTION("""COMPUTED_VALUE"""),48.28)</f>
        <v>48.28</v>
      </c>
      <c r="T114" s="3">
        <f ca="1">IFERROR(__xludf.DUMMYFUNCTION("""COMPUTED_VALUE"""),29.89)</f>
        <v>29.89</v>
      </c>
      <c r="U114" s="3">
        <f ca="1">IFERROR(__xludf.DUMMYFUNCTION("""COMPUTED_VALUE"""),90.36)</f>
        <v>90.36</v>
      </c>
      <c r="V114" s="3">
        <f ca="1">IFERROR(__xludf.DUMMYFUNCTION("""COMPUTED_VALUE"""),68.83)</f>
        <v>68.83</v>
      </c>
      <c r="W114" s="3">
        <f ca="1">IFERROR(__xludf.DUMMYFUNCTION("""COMPUTED_VALUE"""),31.56)</f>
        <v>31.56</v>
      </c>
      <c r="X114" s="3">
        <f ca="1">IFERROR(__xludf.DUMMYFUNCTION("""COMPUTED_VALUE"""),77.31)</f>
        <v>77.31</v>
      </c>
      <c r="Y114" s="3">
        <f ca="1">IFERROR(__xludf.DUMMYFUNCTION("""COMPUTED_VALUE"""),44.06)</f>
        <v>44.06</v>
      </c>
      <c r="Z114" s="3">
        <f ca="1">IFERROR(__xludf.DUMMYFUNCTION("""COMPUTED_VALUE"""),69.61)</f>
        <v>69.61</v>
      </c>
      <c r="AA114" s="3">
        <f ca="1">IFERROR(__xludf.DUMMYFUNCTION("""COMPUTED_VALUE"""),39.19)</f>
        <v>39.19</v>
      </c>
      <c r="AB114" s="3">
        <f ca="1">IFERROR(__xludf.DUMMYFUNCTION("""COMPUTED_VALUE"""),58.07)</f>
        <v>58.07</v>
      </c>
      <c r="AC114" s="3">
        <f ca="1">IFERROR(__xludf.DUMMYFUNCTION("""COMPUTED_VALUE"""),49.35)</f>
        <v>49.35</v>
      </c>
      <c r="AD114" s="3">
        <f ca="1">IFERROR(__xludf.DUMMYFUNCTION("""COMPUTED_VALUE"""),8.92)</f>
        <v>8.92</v>
      </c>
      <c r="AE114" s="3">
        <f ca="1">IFERROR(__xludf.DUMMYFUNCTION("""COMPUTED_VALUE"""),14.32)</f>
        <v>14.32</v>
      </c>
      <c r="AF114" s="3">
        <f ca="1">IFERROR(__xludf.DUMMYFUNCTION("""COMPUTED_VALUE"""),2.36)</f>
        <v>2.36</v>
      </c>
      <c r="AG114" s="3">
        <f ca="1">IFERROR(__xludf.DUMMYFUNCTION("""COMPUTED_VALUE"""),24)</f>
        <v>24</v>
      </c>
    </row>
    <row r="115" spans="1:33" ht="12.75" x14ac:dyDescent="0.2">
      <c r="A115" s="4">
        <f ca="1">IFERROR(__xludf.DUMMYFUNCTION("""COMPUTED_VALUE"""),44726.6666666666)</f>
        <v>44726.666666666599</v>
      </c>
      <c r="B115" s="3">
        <f ca="1">IFERROR(__xludf.DUMMYFUNCTION("""COMPUTED_VALUE"""),126.07)</f>
        <v>126.07</v>
      </c>
      <c r="C115" s="3">
        <f ca="1">IFERROR(__xludf.DUMMYFUNCTION("""COMPUTED_VALUE"""),323.26)</f>
        <v>323.26</v>
      </c>
      <c r="D115" s="3">
        <f ca="1">IFERROR(__xludf.DUMMYFUNCTION("""COMPUTED_VALUE"""),79.13)</f>
        <v>79.13</v>
      </c>
      <c r="E115" s="3">
        <f ca="1">IFERROR(__xludf.DUMMYFUNCTION("""COMPUTED_VALUE"""),122.96)</f>
        <v>122.96</v>
      </c>
      <c r="F115" s="3">
        <f ca="1">IFERROR(__xludf.DUMMYFUNCTION("""COMPUTED_VALUE"""),44.11)</f>
        <v>44.11</v>
      </c>
      <c r="G115" s="3">
        <f ca="1">IFERROR(__xludf.DUMMYFUNCTION("""COMPUTED_VALUE"""),20.9)</f>
        <v>20.9</v>
      </c>
      <c r="H115" s="3">
        <f ca="1">IFERROR(__xludf.DUMMYFUNCTION("""COMPUTED_VALUE"""),22.96)</f>
        <v>22.96</v>
      </c>
      <c r="I115" s="3">
        <f ca="1">IFERROR(__xludf.DUMMYFUNCTION("""COMPUTED_VALUE"""),120.53)</f>
        <v>120.53</v>
      </c>
      <c r="J115" s="3">
        <f ca="1">IFERROR(__xludf.DUMMYFUNCTION("""COMPUTED_VALUE"""),220.69)</f>
        <v>220.69</v>
      </c>
      <c r="K115" s="3">
        <f ca="1">IFERROR(__xludf.DUMMYFUNCTION("""COMPUTED_VALUE"""),106.23)</f>
        <v>106.23</v>
      </c>
      <c r="L115" s="3">
        <f ca="1">IFERROR(__xludf.DUMMYFUNCTION("""COMPUTED_VALUE"""),63.42)</f>
        <v>63.42</v>
      </c>
      <c r="M115" s="3">
        <f ca="1">IFERROR(__xludf.DUMMYFUNCTION("""COMPUTED_VALUE"""),52.1)</f>
        <v>52.1</v>
      </c>
      <c r="N115" s="3">
        <f ca="1">IFERROR(__xludf.DUMMYFUNCTION("""COMPUTED_VALUE"""),56.83)</f>
        <v>56.83</v>
      </c>
      <c r="O115" s="3">
        <f ca="1">IFERROR(__xludf.DUMMYFUNCTION("""COMPUTED_VALUE"""),42.84)</f>
        <v>42.84</v>
      </c>
      <c r="P115" s="3">
        <f ca="1">IFERROR(__xludf.DUMMYFUNCTION("""COMPUTED_VALUE"""),84.24)</f>
        <v>84.24</v>
      </c>
      <c r="Q115" s="3">
        <f ca="1">IFERROR(__xludf.DUMMYFUNCTION("""COMPUTED_VALUE"""),117.06)</f>
        <v>117.06</v>
      </c>
      <c r="R115" s="3">
        <f ca="1">IFERROR(__xludf.DUMMYFUNCTION("""COMPUTED_VALUE"""),77.88)</f>
        <v>77.88</v>
      </c>
      <c r="S115" s="3">
        <f ca="1">IFERROR(__xludf.DUMMYFUNCTION("""COMPUTED_VALUE"""),47.65)</f>
        <v>47.65</v>
      </c>
      <c r="T115" s="3">
        <f ca="1">IFERROR(__xludf.DUMMYFUNCTION("""COMPUTED_VALUE"""),29.56)</f>
        <v>29.56</v>
      </c>
      <c r="U115" s="3">
        <f ca="1">IFERROR(__xludf.DUMMYFUNCTION("""COMPUTED_VALUE"""),88.45)</f>
        <v>88.45</v>
      </c>
      <c r="V115" s="3">
        <f ca="1">IFERROR(__xludf.DUMMYFUNCTION("""COMPUTED_VALUE"""),68.14)</f>
        <v>68.14</v>
      </c>
      <c r="W115" s="3">
        <f ca="1">IFERROR(__xludf.DUMMYFUNCTION("""COMPUTED_VALUE"""),31.29)</f>
        <v>31.29</v>
      </c>
      <c r="X115" s="3">
        <f ca="1">IFERROR(__xludf.DUMMYFUNCTION("""COMPUTED_VALUE"""),76.82)</f>
        <v>76.819999999999993</v>
      </c>
      <c r="Y115" s="3">
        <f ca="1">IFERROR(__xludf.DUMMYFUNCTION("""COMPUTED_VALUE"""),44.25)</f>
        <v>44.25</v>
      </c>
      <c r="Z115" s="3">
        <f ca="1">IFERROR(__xludf.DUMMYFUNCTION("""COMPUTED_VALUE"""),69.1)</f>
        <v>69.099999999999994</v>
      </c>
      <c r="AA115" s="3">
        <f ca="1">IFERROR(__xludf.DUMMYFUNCTION("""COMPUTED_VALUE"""),38.91)</f>
        <v>38.909999999999997</v>
      </c>
      <c r="AB115" s="3">
        <f ca="1">IFERROR(__xludf.DUMMYFUNCTION("""COMPUTED_VALUE"""),58.5)</f>
        <v>58.5</v>
      </c>
      <c r="AC115" s="3">
        <f ca="1">IFERROR(__xludf.DUMMYFUNCTION("""COMPUTED_VALUE"""),49.08)</f>
        <v>49.08</v>
      </c>
      <c r="AD115" s="3">
        <f ca="1">IFERROR(__xludf.DUMMYFUNCTION("""COMPUTED_VALUE"""),8.54)</f>
        <v>8.5399999999999991</v>
      </c>
      <c r="AE115" s="3">
        <f ca="1">IFERROR(__xludf.DUMMYFUNCTION("""COMPUTED_VALUE"""),13.73)</f>
        <v>13.73</v>
      </c>
      <c r="AF115" s="3">
        <f ca="1">IFERROR(__xludf.DUMMYFUNCTION("""COMPUTED_VALUE"""),2.48)</f>
        <v>2.48</v>
      </c>
      <c r="AG115" s="3">
        <f ca="1">IFERROR(__xludf.DUMMYFUNCTION("""COMPUTED_VALUE"""),23.88)</f>
        <v>23.88</v>
      </c>
    </row>
    <row r="116" spans="1:33" ht="12.75" x14ac:dyDescent="0.2">
      <c r="A116" s="4">
        <f ca="1">IFERROR(__xludf.DUMMYFUNCTION("""COMPUTED_VALUE"""),44727.6666666666)</f>
        <v>44727.666666666599</v>
      </c>
      <c r="B116" s="3">
        <f ca="1">IFERROR(__xludf.DUMMYFUNCTION("""COMPUTED_VALUE"""),128.73)</f>
        <v>128.72999999999999</v>
      </c>
      <c r="C116" s="3">
        <f ca="1">IFERROR(__xludf.DUMMYFUNCTION("""COMPUTED_VALUE"""),330.41)</f>
        <v>330.41</v>
      </c>
      <c r="D116" s="3">
        <f ca="1">IFERROR(__xludf.DUMMYFUNCTION("""COMPUTED_VALUE"""),81.02)</f>
        <v>81.02</v>
      </c>
      <c r="E116" s="3">
        <f ca="1">IFERROR(__xludf.DUMMYFUNCTION("""COMPUTED_VALUE"""),125.07)</f>
        <v>125.07</v>
      </c>
      <c r="F116" s="3">
        <f ca="1">IFERROR(__xludf.DUMMYFUNCTION("""COMPUTED_VALUE"""),45.07)</f>
        <v>45.07</v>
      </c>
      <c r="G116" s="3">
        <f ca="1">IFERROR(__xludf.DUMMYFUNCTION("""COMPUTED_VALUE"""),21.29)</f>
        <v>21.29</v>
      </c>
      <c r="H116" s="3">
        <f ca="1">IFERROR(__xludf.DUMMYFUNCTION("""COMPUTED_VALUE"""),23.44)</f>
        <v>23.44</v>
      </c>
      <c r="I116" s="3">
        <f ca="1">IFERROR(__xludf.DUMMYFUNCTION("""COMPUTED_VALUE"""),121.75)</f>
        <v>121.75</v>
      </c>
      <c r="J116" s="3">
        <f ca="1">IFERROR(__xludf.DUMMYFUNCTION("""COMPUTED_VALUE"""),223.15)</f>
        <v>223.15</v>
      </c>
      <c r="K116" s="3">
        <f ca="1">IFERROR(__xludf.DUMMYFUNCTION("""COMPUTED_VALUE"""),108.66)</f>
        <v>108.66</v>
      </c>
      <c r="L116" s="3">
        <f ca="1">IFERROR(__xludf.DUMMYFUNCTION("""COMPUTED_VALUE"""),65.68)</f>
        <v>65.680000000000007</v>
      </c>
      <c r="M116" s="3">
        <f ca="1">IFERROR(__xludf.DUMMYFUNCTION("""COMPUTED_VALUE"""),53.5)</f>
        <v>53.5</v>
      </c>
      <c r="N116" s="3">
        <f ca="1">IFERROR(__xludf.DUMMYFUNCTION("""COMPUTED_VALUE"""),57.47)</f>
        <v>57.47</v>
      </c>
      <c r="O116" s="3">
        <f ca="1">IFERROR(__xludf.DUMMYFUNCTION("""COMPUTED_VALUE"""),44.48)</f>
        <v>44.48</v>
      </c>
      <c r="P116" s="3">
        <f ca="1">IFERROR(__xludf.DUMMYFUNCTION("""COMPUTED_VALUE"""),82.38)</f>
        <v>82.38</v>
      </c>
      <c r="Q116" s="3">
        <f ca="1">IFERROR(__xludf.DUMMYFUNCTION("""COMPUTED_VALUE"""),114.86)</f>
        <v>114.86</v>
      </c>
      <c r="R116" s="3">
        <f ca="1">IFERROR(__xludf.DUMMYFUNCTION("""COMPUTED_VALUE"""),77.86)</f>
        <v>77.86</v>
      </c>
      <c r="S116" s="3">
        <f ca="1">IFERROR(__xludf.DUMMYFUNCTION("""COMPUTED_VALUE"""),48.65)</f>
        <v>48.65</v>
      </c>
      <c r="T116" s="3">
        <f ca="1">IFERROR(__xludf.DUMMYFUNCTION("""COMPUTED_VALUE"""),29.58)</f>
        <v>29.58</v>
      </c>
      <c r="U116" s="3">
        <f ca="1">IFERROR(__xludf.DUMMYFUNCTION("""COMPUTED_VALUE"""),86.93)</f>
        <v>86.93</v>
      </c>
      <c r="V116" s="3">
        <f ca="1">IFERROR(__xludf.DUMMYFUNCTION("""COMPUTED_VALUE"""),70.19)</f>
        <v>70.19</v>
      </c>
      <c r="W116" s="3">
        <f ca="1">IFERROR(__xludf.DUMMYFUNCTION("""COMPUTED_VALUE"""),31.64)</f>
        <v>31.64</v>
      </c>
      <c r="X116" s="3">
        <f ca="1">IFERROR(__xludf.DUMMYFUNCTION("""COMPUTED_VALUE"""),77.64)</f>
        <v>77.64</v>
      </c>
      <c r="Y116" s="3">
        <f ca="1">IFERROR(__xludf.DUMMYFUNCTION("""COMPUTED_VALUE"""),44.53)</f>
        <v>44.53</v>
      </c>
      <c r="Z116" s="3">
        <f ca="1">IFERROR(__xludf.DUMMYFUNCTION("""COMPUTED_VALUE"""),69.91)</f>
        <v>69.91</v>
      </c>
      <c r="AA116" s="3">
        <f ca="1">IFERROR(__xludf.DUMMYFUNCTION("""COMPUTED_VALUE"""),39.8)</f>
        <v>39.799999999999997</v>
      </c>
      <c r="AB116" s="3">
        <f ca="1">IFERROR(__xludf.DUMMYFUNCTION("""COMPUTED_VALUE"""),58.97)</f>
        <v>58.97</v>
      </c>
      <c r="AC116" s="3">
        <f ca="1">IFERROR(__xludf.DUMMYFUNCTION("""COMPUTED_VALUE"""),49.76)</f>
        <v>49.76</v>
      </c>
      <c r="AD116" s="3">
        <f ca="1">IFERROR(__xludf.DUMMYFUNCTION("""COMPUTED_VALUE"""),8.32)</f>
        <v>8.32</v>
      </c>
      <c r="AE116" s="3">
        <f ca="1">IFERROR(__xludf.DUMMYFUNCTION("""COMPUTED_VALUE"""),13.4)</f>
        <v>13.4</v>
      </c>
      <c r="AF116" s="3">
        <f ca="1">IFERROR(__xludf.DUMMYFUNCTION("""COMPUTED_VALUE"""),2.32)</f>
        <v>2.3199999999999998</v>
      </c>
      <c r="AG116" s="3">
        <f ca="1">IFERROR(__xludf.DUMMYFUNCTION("""COMPUTED_VALUE"""),24.32)</f>
        <v>24.32</v>
      </c>
    </row>
    <row r="117" spans="1:33" ht="12.75" x14ac:dyDescent="0.2">
      <c r="A117" s="4">
        <f ca="1">IFERROR(__xludf.DUMMYFUNCTION("""COMPUTED_VALUE"""),44728.6666666666)</f>
        <v>44728.666666666599</v>
      </c>
      <c r="B117" s="3">
        <f ca="1">IFERROR(__xludf.DUMMYFUNCTION("""COMPUTED_VALUE"""),123.49)</f>
        <v>123.49</v>
      </c>
      <c r="C117" s="3">
        <f ca="1">IFERROR(__xludf.DUMMYFUNCTION("""COMPUTED_VALUE"""),315.97)</f>
        <v>315.97000000000003</v>
      </c>
      <c r="D117" s="3">
        <f ca="1">IFERROR(__xludf.DUMMYFUNCTION("""COMPUTED_VALUE"""),77.53)</f>
        <v>77.53</v>
      </c>
      <c r="E117" s="3">
        <f ca="1">IFERROR(__xludf.DUMMYFUNCTION("""COMPUTED_VALUE"""),117.54)</f>
        <v>117.54</v>
      </c>
      <c r="F117" s="3">
        <f ca="1">IFERROR(__xludf.DUMMYFUNCTION("""COMPUTED_VALUE"""),43.47)</f>
        <v>43.47</v>
      </c>
      <c r="G117" s="3">
        <f ca="1">IFERROR(__xludf.DUMMYFUNCTION("""COMPUTED_VALUE"""),20.54)</f>
        <v>20.54</v>
      </c>
      <c r="H117" s="3">
        <f ca="1">IFERROR(__xludf.DUMMYFUNCTION("""COMPUTED_VALUE"""),22.28)</f>
        <v>22.28</v>
      </c>
      <c r="I117" s="3">
        <f ca="1">IFERROR(__xludf.DUMMYFUNCTION("""COMPUTED_VALUE"""),119.96)</f>
        <v>119.96</v>
      </c>
      <c r="J117" s="3">
        <f ca="1">IFERROR(__xludf.DUMMYFUNCTION("""COMPUTED_VALUE"""),219.51)</f>
        <v>219.51</v>
      </c>
      <c r="K117" s="3">
        <f ca="1">IFERROR(__xludf.DUMMYFUNCTION("""COMPUTED_VALUE"""),105.82)</f>
        <v>105.82</v>
      </c>
      <c r="L117" s="3">
        <f ca="1">IFERROR(__xludf.DUMMYFUNCTION("""COMPUTED_VALUE"""),63.97)</f>
        <v>63.97</v>
      </c>
      <c r="M117" s="3">
        <f ca="1">IFERROR(__xludf.DUMMYFUNCTION("""COMPUTED_VALUE"""),52.26)</f>
        <v>52.26</v>
      </c>
      <c r="N117" s="3">
        <f ca="1">IFERROR(__xludf.DUMMYFUNCTION("""COMPUTED_VALUE"""),56.56)</f>
        <v>56.56</v>
      </c>
      <c r="O117" s="3">
        <f ca="1">IFERROR(__xludf.DUMMYFUNCTION("""COMPUTED_VALUE"""),43.24)</f>
        <v>43.24</v>
      </c>
      <c r="P117" s="3">
        <f ca="1">IFERROR(__xludf.DUMMYFUNCTION("""COMPUTED_VALUE"""),77.74)</f>
        <v>77.739999999999995</v>
      </c>
      <c r="Q117" s="3">
        <f ca="1">IFERROR(__xludf.DUMMYFUNCTION("""COMPUTED_VALUE"""),108.4)</f>
        <v>108.4</v>
      </c>
      <c r="R117" s="3">
        <f ca="1">IFERROR(__xludf.DUMMYFUNCTION("""COMPUTED_VALUE"""),75.05)</f>
        <v>75.05</v>
      </c>
      <c r="S117" s="3">
        <f ca="1">IFERROR(__xludf.DUMMYFUNCTION("""COMPUTED_VALUE"""),46.55)</f>
        <v>46.55</v>
      </c>
      <c r="T117" s="3">
        <f ca="1">IFERROR(__xludf.DUMMYFUNCTION("""COMPUTED_VALUE"""),29.71)</f>
        <v>29.71</v>
      </c>
      <c r="U117" s="3">
        <f ca="1">IFERROR(__xludf.DUMMYFUNCTION("""COMPUTED_VALUE"""),87.66)</f>
        <v>87.66</v>
      </c>
      <c r="V117" s="3">
        <f ca="1">IFERROR(__xludf.DUMMYFUNCTION("""COMPUTED_VALUE"""),66.21)</f>
        <v>66.209999999999994</v>
      </c>
      <c r="W117" s="3">
        <f ca="1">IFERROR(__xludf.DUMMYFUNCTION("""COMPUTED_VALUE"""),30.84)</f>
        <v>30.84</v>
      </c>
      <c r="X117" s="3">
        <f ca="1">IFERROR(__xludf.DUMMYFUNCTION("""COMPUTED_VALUE"""),75.42)</f>
        <v>75.42</v>
      </c>
      <c r="Y117" s="3">
        <f ca="1">IFERROR(__xludf.DUMMYFUNCTION("""COMPUTED_VALUE"""),42.82)</f>
        <v>42.82</v>
      </c>
      <c r="Z117" s="3">
        <f ca="1">IFERROR(__xludf.DUMMYFUNCTION("""COMPUTED_VALUE"""),67.96)</f>
        <v>67.959999999999994</v>
      </c>
      <c r="AA117" s="3">
        <f ca="1">IFERROR(__xludf.DUMMYFUNCTION("""COMPUTED_VALUE"""),38.85)</f>
        <v>38.85</v>
      </c>
      <c r="AB117" s="3">
        <f ca="1">IFERROR(__xludf.DUMMYFUNCTION("""COMPUTED_VALUE"""),56.85)</f>
        <v>56.85</v>
      </c>
      <c r="AC117" s="3">
        <f ca="1">IFERROR(__xludf.DUMMYFUNCTION("""COMPUTED_VALUE"""),48.28)</f>
        <v>48.28</v>
      </c>
      <c r="AD117" s="3">
        <f ca="1">IFERROR(__xludf.DUMMYFUNCTION("""COMPUTED_VALUE"""),8.03)</f>
        <v>8.0299999999999994</v>
      </c>
      <c r="AE117" s="3">
        <f ca="1">IFERROR(__xludf.DUMMYFUNCTION("""COMPUTED_VALUE"""),12.92)</f>
        <v>12.92</v>
      </c>
      <c r="AF117" s="3">
        <f ca="1">IFERROR(__xludf.DUMMYFUNCTION("""COMPUTED_VALUE"""),2.32)</f>
        <v>2.3199999999999998</v>
      </c>
      <c r="AG117" s="3">
        <f ca="1">IFERROR(__xludf.DUMMYFUNCTION("""COMPUTED_VALUE"""),22.72)</f>
        <v>22.72</v>
      </c>
    </row>
    <row r="118" spans="1:33" ht="12.75" x14ac:dyDescent="0.2">
      <c r="A118" s="4">
        <f ca="1">IFERROR(__xludf.DUMMYFUNCTION("""COMPUTED_VALUE"""),44729.6666666666)</f>
        <v>44729.666666666599</v>
      </c>
      <c r="B118" s="3">
        <f ca="1">IFERROR(__xludf.DUMMYFUNCTION("""COMPUTED_VALUE"""),124.62)</f>
        <v>124.62</v>
      </c>
      <c r="C118" s="3">
        <f ca="1">IFERROR(__xludf.DUMMYFUNCTION("""COMPUTED_VALUE"""),319.81)</f>
        <v>319.81</v>
      </c>
      <c r="D118" s="3">
        <f ca="1">IFERROR(__xludf.DUMMYFUNCTION("""COMPUTED_VALUE"""),78.36)</f>
        <v>78.36</v>
      </c>
      <c r="E118" s="3">
        <f ca="1">IFERROR(__xludf.DUMMYFUNCTION("""COMPUTED_VALUE"""),118.01)</f>
        <v>118.01</v>
      </c>
      <c r="F118" s="3">
        <f ca="1">IFERROR(__xludf.DUMMYFUNCTION("""COMPUTED_VALUE"""),44.21)</f>
        <v>44.21</v>
      </c>
      <c r="G118" s="3">
        <f ca="1">IFERROR(__xludf.DUMMYFUNCTION("""COMPUTED_VALUE"""),20.72)</f>
        <v>20.72</v>
      </c>
      <c r="H118" s="3">
        <f ca="1">IFERROR(__xludf.DUMMYFUNCTION("""COMPUTED_VALUE"""),22.75)</f>
        <v>22.75</v>
      </c>
      <c r="I118" s="3">
        <f ca="1">IFERROR(__xludf.DUMMYFUNCTION("""COMPUTED_VALUE"""),119.89)</f>
        <v>119.89</v>
      </c>
      <c r="J118" s="3">
        <f ca="1">IFERROR(__xludf.DUMMYFUNCTION("""COMPUTED_VALUE"""),220.21)</f>
        <v>220.21</v>
      </c>
      <c r="K118" s="3">
        <f ca="1">IFERROR(__xludf.DUMMYFUNCTION("""COMPUTED_VALUE"""),109.56)</f>
        <v>109.56</v>
      </c>
      <c r="L118" s="3">
        <f ca="1">IFERROR(__xludf.DUMMYFUNCTION("""COMPUTED_VALUE"""),67.61)</f>
        <v>67.61</v>
      </c>
      <c r="M118" s="3">
        <f ca="1">IFERROR(__xludf.DUMMYFUNCTION("""COMPUTED_VALUE"""),54.15)</f>
        <v>54.15</v>
      </c>
      <c r="N118" s="3">
        <f ca="1">IFERROR(__xludf.DUMMYFUNCTION("""COMPUTED_VALUE"""),56.57)</f>
        <v>56.57</v>
      </c>
      <c r="O118" s="3">
        <f ca="1">IFERROR(__xludf.DUMMYFUNCTION("""COMPUTED_VALUE"""),45)</f>
        <v>45</v>
      </c>
      <c r="P118" s="3">
        <f ca="1">IFERROR(__xludf.DUMMYFUNCTION("""COMPUTED_VALUE"""),73.49)</f>
        <v>73.489999999999995</v>
      </c>
      <c r="Q118" s="3">
        <f ca="1">IFERROR(__xludf.DUMMYFUNCTION("""COMPUTED_VALUE"""),102.35)</f>
        <v>102.35</v>
      </c>
      <c r="R118" s="3">
        <f ca="1">IFERROR(__xludf.DUMMYFUNCTION("""COMPUTED_VALUE"""),74.92)</f>
        <v>74.92</v>
      </c>
      <c r="S118" s="3">
        <f ca="1">IFERROR(__xludf.DUMMYFUNCTION("""COMPUTED_VALUE"""),46.54)</f>
        <v>46.54</v>
      </c>
      <c r="T118" s="3">
        <f ca="1">IFERROR(__xludf.DUMMYFUNCTION("""COMPUTED_VALUE"""),28.65)</f>
        <v>28.65</v>
      </c>
      <c r="U118" s="3">
        <f ca="1">IFERROR(__xludf.DUMMYFUNCTION("""COMPUTED_VALUE"""),83.34)</f>
        <v>83.34</v>
      </c>
      <c r="V118" s="3">
        <f ca="1">IFERROR(__xludf.DUMMYFUNCTION("""COMPUTED_VALUE"""),70.13)</f>
        <v>70.13</v>
      </c>
      <c r="W118" s="3">
        <f ca="1">IFERROR(__xludf.DUMMYFUNCTION("""COMPUTED_VALUE"""),30.93)</f>
        <v>30.93</v>
      </c>
      <c r="X118" s="3">
        <f ca="1">IFERROR(__xludf.DUMMYFUNCTION("""COMPUTED_VALUE"""),75.85)</f>
        <v>75.849999999999994</v>
      </c>
      <c r="Y118" s="3">
        <f ca="1">IFERROR(__xludf.DUMMYFUNCTION("""COMPUTED_VALUE"""),43.41)</f>
        <v>43.41</v>
      </c>
      <c r="Z118" s="3">
        <f ca="1">IFERROR(__xludf.DUMMYFUNCTION("""COMPUTED_VALUE"""),68.22)</f>
        <v>68.22</v>
      </c>
      <c r="AA118" s="3">
        <f ca="1">IFERROR(__xludf.DUMMYFUNCTION("""COMPUTED_VALUE"""),39.08)</f>
        <v>39.08</v>
      </c>
      <c r="AB118" s="3">
        <f ca="1">IFERROR(__xludf.DUMMYFUNCTION("""COMPUTED_VALUE"""),57.72)</f>
        <v>57.72</v>
      </c>
      <c r="AC118" s="3">
        <f ca="1">IFERROR(__xludf.DUMMYFUNCTION("""COMPUTED_VALUE"""),48.54)</f>
        <v>48.54</v>
      </c>
      <c r="AD118" s="3">
        <f ca="1">IFERROR(__xludf.DUMMYFUNCTION("""COMPUTED_VALUE"""),7.89)</f>
        <v>7.89</v>
      </c>
      <c r="AE118" s="3">
        <f ca="1">IFERROR(__xludf.DUMMYFUNCTION("""COMPUTED_VALUE"""),12.72)</f>
        <v>12.72</v>
      </c>
      <c r="AF118" s="3">
        <f ca="1">IFERROR(__xludf.DUMMYFUNCTION("""COMPUTED_VALUE"""),2.46)</f>
        <v>2.46</v>
      </c>
      <c r="AG118" s="3">
        <f ca="1">IFERROR(__xludf.DUMMYFUNCTION("""COMPUTED_VALUE"""),22.87)</f>
        <v>22.87</v>
      </c>
    </row>
    <row r="119" spans="1:33" ht="12.75" x14ac:dyDescent="0.2">
      <c r="A119" s="4">
        <f ca="1">IFERROR(__xludf.DUMMYFUNCTION("""COMPUTED_VALUE"""),44733.6666666666)</f>
        <v>44733.666666666599</v>
      </c>
      <c r="B119" s="3">
        <f ca="1">IFERROR(__xludf.DUMMYFUNCTION("""COMPUTED_VALUE"""),127.46)</f>
        <v>127.46</v>
      </c>
      <c r="C119" s="3">
        <f ca="1">IFERROR(__xludf.DUMMYFUNCTION("""COMPUTED_VALUE"""),327.89)</f>
        <v>327.89</v>
      </c>
      <c r="D119" s="3">
        <f ca="1">IFERROR(__xludf.DUMMYFUNCTION("""COMPUTED_VALUE"""),80.3)</f>
        <v>80.3</v>
      </c>
      <c r="E119" s="3">
        <f ca="1">IFERROR(__xludf.DUMMYFUNCTION("""COMPUTED_VALUE"""),121.1)</f>
        <v>121.1</v>
      </c>
      <c r="F119" s="3">
        <f ca="1">IFERROR(__xludf.DUMMYFUNCTION("""COMPUTED_VALUE"""),45.28)</f>
        <v>45.28</v>
      </c>
      <c r="G119" s="3">
        <f ca="1">IFERROR(__xludf.DUMMYFUNCTION("""COMPUTED_VALUE"""),20.96)</f>
        <v>20.96</v>
      </c>
      <c r="H119" s="3">
        <f ca="1">IFERROR(__xludf.DUMMYFUNCTION("""COMPUTED_VALUE"""),23.17)</f>
        <v>23.17</v>
      </c>
      <c r="I119" s="3">
        <f ca="1">IFERROR(__xludf.DUMMYFUNCTION("""COMPUTED_VALUE"""),122.6)</f>
        <v>122.6</v>
      </c>
      <c r="J119" s="3">
        <f ca="1">IFERROR(__xludf.DUMMYFUNCTION("""COMPUTED_VALUE"""),225.91)</f>
        <v>225.91</v>
      </c>
      <c r="K119" s="3">
        <f ca="1">IFERROR(__xludf.DUMMYFUNCTION("""COMPUTED_VALUE"""),111.87)</f>
        <v>111.87</v>
      </c>
      <c r="L119" s="3">
        <f ca="1">IFERROR(__xludf.DUMMYFUNCTION("""COMPUTED_VALUE"""),70.03)</f>
        <v>70.03</v>
      </c>
      <c r="M119" s="3">
        <f ca="1">IFERROR(__xludf.DUMMYFUNCTION("""COMPUTED_VALUE"""),54.98)</f>
        <v>54.98</v>
      </c>
      <c r="N119" s="3">
        <f ca="1">IFERROR(__xludf.DUMMYFUNCTION("""COMPUTED_VALUE"""),58)</f>
        <v>58</v>
      </c>
      <c r="O119" s="3">
        <f ca="1">IFERROR(__xludf.DUMMYFUNCTION("""COMPUTED_VALUE"""),46.2)</f>
        <v>46.2</v>
      </c>
      <c r="P119" s="3">
        <f ca="1">IFERROR(__xludf.DUMMYFUNCTION("""COMPUTED_VALUE"""),76.44)</f>
        <v>76.44</v>
      </c>
      <c r="Q119" s="3">
        <f ca="1">IFERROR(__xludf.DUMMYFUNCTION("""COMPUTED_VALUE"""),107.53)</f>
        <v>107.53</v>
      </c>
      <c r="R119" s="3">
        <f ca="1">IFERROR(__xludf.DUMMYFUNCTION("""COMPUTED_VALUE"""),75.53)</f>
        <v>75.53</v>
      </c>
      <c r="S119" s="3">
        <f ca="1">IFERROR(__xludf.DUMMYFUNCTION("""COMPUTED_VALUE"""),47.26)</f>
        <v>47.26</v>
      </c>
      <c r="T119" s="3">
        <f ca="1">IFERROR(__xludf.DUMMYFUNCTION("""COMPUTED_VALUE"""),28.58)</f>
        <v>28.58</v>
      </c>
      <c r="U119" s="3">
        <f ca="1">IFERROR(__xludf.DUMMYFUNCTION("""COMPUTED_VALUE"""),84.05)</f>
        <v>84.05</v>
      </c>
      <c r="V119" s="3">
        <f ca="1">IFERROR(__xludf.DUMMYFUNCTION("""COMPUTED_VALUE"""),71.45)</f>
        <v>71.45</v>
      </c>
      <c r="W119" s="3">
        <f ca="1">IFERROR(__xludf.DUMMYFUNCTION("""COMPUTED_VALUE"""),31.38)</f>
        <v>31.38</v>
      </c>
      <c r="X119" s="3">
        <f ca="1">IFERROR(__xludf.DUMMYFUNCTION("""COMPUTED_VALUE"""),77.32)</f>
        <v>77.319999999999993</v>
      </c>
      <c r="Y119" s="3">
        <f ca="1">IFERROR(__xludf.DUMMYFUNCTION("""COMPUTED_VALUE"""),43.85)</f>
        <v>43.85</v>
      </c>
      <c r="Z119" s="3">
        <f ca="1">IFERROR(__xludf.DUMMYFUNCTION("""COMPUTED_VALUE"""),69.65)</f>
        <v>69.650000000000006</v>
      </c>
      <c r="AA119" s="3">
        <f ca="1">IFERROR(__xludf.DUMMYFUNCTION("""COMPUTED_VALUE"""),39.49)</f>
        <v>39.49</v>
      </c>
      <c r="AB119" s="3">
        <f ca="1">IFERROR(__xludf.DUMMYFUNCTION("""COMPUTED_VALUE"""),58.29)</f>
        <v>58.29</v>
      </c>
      <c r="AC119" s="3">
        <f ca="1">IFERROR(__xludf.DUMMYFUNCTION("""COMPUTED_VALUE"""),49.6)</f>
        <v>49.6</v>
      </c>
      <c r="AD119" s="3">
        <f ca="1">IFERROR(__xludf.DUMMYFUNCTION("""COMPUTED_VALUE"""),8.05)</f>
        <v>8.0500000000000007</v>
      </c>
      <c r="AE119" s="3">
        <f ca="1">IFERROR(__xludf.DUMMYFUNCTION("""COMPUTED_VALUE"""),12.95)</f>
        <v>12.95</v>
      </c>
      <c r="AF119" s="3">
        <f ca="1">IFERROR(__xludf.DUMMYFUNCTION("""COMPUTED_VALUE"""),2.43)</f>
        <v>2.4300000000000002</v>
      </c>
      <c r="AG119" s="3">
        <f ca="1">IFERROR(__xludf.DUMMYFUNCTION("""COMPUTED_VALUE"""),24.76)</f>
        <v>24.76</v>
      </c>
    </row>
    <row r="120" spans="1:33" ht="12.75" x14ac:dyDescent="0.2">
      <c r="A120" s="4">
        <f ca="1">IFERROR(__xludf.DUMMYFUNCTION("""COMPUTED_VALUE"""),44734.6666666666)</f>
        <v>44734.666666666599</v>
      </c>
      <c r="B120" s="3">
        <f ca="1">IFERROR(__xludf.DUMMYFUNCTION("""COMPUTED_VALUE"""),126.92)</f>
        <v>126.92</v>
      </c>
      <c r="C120" s="3">
        <f ca="1">IFERROR(__xludf.DUMMYFUNCTION("""COMPUTED_VALUE"""),326.76)</f>
        <v>326.76</v>
      </c>
      <c r="D120" s="3">
        <f ca="1">IFERROR(__xludf.DUMMYFUNCTION("""COMPUTED_VALUE"""),79.99)</f>
        <v>79.989999999999995</v>
      </c>
      <c r="E120" s="3">
        <f ca="1">IFERROR(__xludf.DUMMYFUNCTION("""COMPUTED_VALUE"""),119.84)</f>
        <v>119.84</v>
      </c>
      <c r="F120" s="3">
        <f ca="1">IFERROR(__xludf.DUMMYFUNCTION("""COMPUTED_VALUE"""),45.23)</f>
        <v>45.23</v>
      </c>
      <c r="G120" s="3">
        <f ca="1">IFERROR(__xludf.DUMMYFUNCTION("""COMPUTED_VALUE"""),20.91)</f>
        <v>20.91</v>
      </c>
      <c r="H120" s="3">
        <f ca="1">IFERROR(__xludf.DUMMYFUNCTION("""COMPUTED_VALUE"""),23.15)</f>
        <v>23.15</v>
      </c>
      <c r="I120" s="3">
        <f ca="1">IFERROR(__xludf.DUMMYFUNCTION("""COMPUTED_VALUE"""),124.3)</f>
        <v>124.3</v>
      </c>
      <c r="J120" s="3">
        <f ca="1">IFERROR(__xludf.DUMMYFUNCTION("""COMPUTED_VALUE"""),229.21)</f>
        <v>229.21</v>
      </c>
      <c r="K120" s="3">
        <f ca="1">IFERROR(__xludf.DUMMYFUNCTION("""COMPUTED_VALUE"""),113.25)</f>
        <v>113.25</v>
      </c>
      <c r="L120" s="3">
        <f ca="1">IFERROR(__xludf.DUMMYFUNCTION("""COMPUTED_VALUE"""),71.79)</f>
        <v>71.790000000000006</v>
      </c>
      <c r="M120" s="3">
        <f ca="1">IFERROR(__xludf.DUMMYFUNCTION("""COMPUTED_VALUE"""),55.89)</f>
        <v>55.89</v>
      </c>
      <c r="N120" s="3">
        <f ca="1">IFERROR(__xludf.DUMMYFUNCTION("""COMPUTED_VALUE"""),58.85)</f>
        <v>58.85</v>
      </c>
      <c r="O120" s="3">
        <f ca="1">IFERROR(__xludf.DUMMYFUNCTION("""COMPUTED_VALUE"""),47.16)</f>
        <v>47.16</v>
      </c>
      <c r="P120" s="3">
        <f ca="1">IFERROR(__xludf.DUMMYFUNCTION("""COMPUTED_VALUE"""),73.38)</f>
        <v>73.38</v>
      </c>
      <c r="Q120" s="3">
        <f ca="1">IFERROR(__xludf.DUMMYFUNCTION("""COMPUTED_VALUE"""),102.75)</f>
        <v>102.75</v>
      </c>
      <c r="R120" s="3">
        <f ca="1">IFERROR(__xludf.DUMMYFUNCTION("""COMPUTED_VALUE"""),74.56)</f>
        <v>74.56</v>
      </c>
      <c r="S120" s="3">
        <f ca="1">IFERROR(__xludf.DUMMYFUNCTION("""COMPUTED_VALUE"""),45.45)</f>
        <v>45.45</v>
      </c>
      <c r="T120" s="3">
        <f ca="1">IFERROR(__xludf.DUMMYFUNCTION("""COMPUTED_VALUE"""),28.07)</f>
        <v>28.07</v>
      </c>
      <c r="U120" s="3">
        <f ca="1">IFERROR(__xludf.DUMMYFUNCTION("""COMPUTED_VALUE"""),80.88)</f>
        <v>80.88</v>
      </c>
      <c r="V120" s="3">
        <f ca="1">IFERROR(__xludf.DUMMYFUNCTION("""COMPUTED_VALUE"""),71.11)</f>
        <v>71.11</v>
      </c>
      <c r="W120" s="3">
        <f ca="1">IFERROR(__xludf.DUMMYFUNCTION("""COMPUTED_VALUE"""),31.31)</f>
        <v>31.31</v>
      </c>
      <c r="X120" s="3">
        <f ca="1">IFERROR(__xludf.DUMMYFUNCTION("""COMPUTED_VALUE"""),77.21)</f>
        <v>77.209999999999994</v>
      </c>
      <c r="Y120" s="3">
        <f ca="1">IFERROR(__xludf.DUMMYFUNCTION("""COMPUTED_VALUE"""),43.88)</f>
        <v>43.88</v>
      </c>
      <c r="Z120" s="3">
        <f ca="1">IFERROR(__xludf.DUMMYFUNCTION("""COMPUTED_VALUE"""),69.48)</f>
        <v>69.48</v>
      </c>
      <c r="AA120" s="3">
        <f ca="1">IFERROR(__xludf.DUMMYFUNCTION("""COMPUTED_VALUE"""),40.13)</f>
        <v>40.130000000000003</v>
      </c>
      <c r="AB120" s="3">
        <f ca="1">IFERROR(__xludf.DUMMYFUNCTION("""COMPUTED_VALUE"""),58.34)</f>
        <v>58.34</v>
      </c>
      <c r="AC120" s="3">
        <f ca="1">IFERROR(__xludf.DUMMYFUNCTION("""COMPUTED_VALUE"""),49.47)</f>
        <v>49.47</v>
      </c>
      <c r="AD120" s="3">
        <f ca="1">IFERROR(__xludf.DUMMYFUNCTION("""COMPUTED_VALUE"""),7.75)</f>
        <v>7.75</v>
      </c>
      <c r="AE120" s="3">
        <f ca="1">IFERROR(__xludf.DUMMYFUNCTION("""COMPUTED_VALUE"""),12.47)</f>
        <v>12.47</v>
      </c>
      <c r="AF120" s="3">
        <f ca="1">IFERROR(__xludf.DUMMYFUNCTION("""COMPUTED_VALUE"""),2.39)</f>
        <v>2.39</v>
      </c>
      <c r="AG120" s="3">
        <f ca="1">IFERROR(__xludf.DUMMYFUNCTION("""COMPUTED_VALUE"""),23)</f>
        <v>23</v>
      </c>
    </row>
    <row r="121" spans="1:33" ht="12.75" x14ac:dyDescent="0.2">
      <c r="A121" s="4">
        <f ca="1">IFERROR(__xludf.DUMMYFUNCTION("""COMPUTED_VALUE"""),44735.6666666666)</f>
        <v>44735.666666666599</v>
      </c>
      <c r="B121" s="3">
        <f ca="1">IFERROR(__xludf.DUMMYFUNCTION("""COMPUTED_VALUE"""),128.82)</f>
        <v>128.82</v>
      </c>
      <c r="C121" s="3">
        <f ca="1">IFERROR(__xludf.DUMMYFUNCTION("""COMPUTED_VALUE"""),331.8)</f>
        <v>331.8</v>
      </c>
      <c r="D121" s="3">
        <f ca="1">IFERROR(__xludf.DUMMYFUNCTION("""COMPUTED_VALUE"""),81.41)</f>
        <v>81.41</v>
      </c>
      <c r="E121" s="3">
        <f ca="1">IFERROR(__xludf.DUMMYFUNCTION("""COMPUTED_VALUE"""),119.03)</f>
        <v>119.03</v>
      </c>
      <c r="F121" s="3">
        <f ca="1">IFERROR(__xludf.DUMMYFUNCTION("""COMPUTED_VALUE"""),46.43)</f>
        <v>46.43</v>
      </c>
      <c r="G121" s="3">
        <f ca="1">IFERROR(__xludf.DUMMYFUNCTION("""COMPUTED_VALUE"""),20.9)</f>
        <v>20.9</v>
      </c>
      <c r="H121" s="3">
        <f ca="1">IFERROR(__xludf.DUMMYFUNCTION("""COMPUTED_VALUE"""),23.65)</f>
        <v>23.65</v>
      </c>
      <c r="I121" s="3">
        <f ca="1">IFERROR(__xludf.DUMMYFUNCTION("""COMPUTED_VALUE"""),127.09)</f>
        <v>127.09</v>
      </c>
      <c r="J121" s="3">
        <f ca="1">IFERROR(__xludf.DUMMYFUNCTION("""COMPUTED_VALUE"""),234.21)</f>
        <v>234.21</v>
      </c>
      <c r="K121" s="3">
        <f ca="1">IFERROR(__xludf.DUMMYFUNCTION("""COMPUTED_VALUE"""),118.01)</f>
        <v>118.01</v>
      </c>
      <c r="L121" s="3">
        <f ca="1">IFERROR(__xludf.DUMMYFUNCTION("""COMPUTED_VALUE"""),76.23)</f>
        <v>76.23</v>
      </c>
      <c r="M121" s="3">
        <f ca="1">IFERROR(__xludf.DUMMYFUNCTION("""COMPUTED_VALUE"""),58.57)</f>
        <v>58.57</v>
      </c>
      <c r="N121" s="3">
        <f ca="1">IFERROR(__xludf.DUMMYFUNCTION("""COMPUTED_VALUE"""),60.34)</f>
        <v>60.34</v>
      </c>
      <c r="O121" s="3">
        <f ca="1">IFERROR(__xludf.DUMMYFUNCTION("""COMPUTED_VALUE"""),50.36)</f>
        <v>50.36</v>
      </c>
      <c r="P121" s="3">
        <f ca="1">IFERROR(__xludf.DUMMYFUNCTION("""COMPUTED_VALUE"""),70.66)</f>
        <v>70.66</v>
      </c>
      <c r="Q121" s="3">
        <f ca="1">IFERROR(__xludf.DUMMYFUNCTION("""COMPUTED_VALUE"""),97.94)</f>
        <v>97.94</v>
      </c>
      <c r="R121" s="3">
        <f ca="1">IFERROR(__xludf.DUMMYFUNCTION("""COMPUTED_VALUE"""),73.54)</f>
        <v>73.540000000000006</v>
      </c>
      <c r="S121" s="3">
        <f ca="1">IFERROR(__xludf.DUMMYFUNCTION("""COMPUTED_VALUE"""),43.76)</f>
        <v>43.76</v>
      </c>
      <c r="T121" s="3">
        <f ca="1">IFERROR(__xludf.DUMMYFUNCTION("""COMPUTED_VALUE"""),27.44)</f>
        <v>27.44</v>
      </c>
      <c r="U121" s="3">
        <f ca="1">IFERROR(__xludf.DUMMYFUNCTION("""COMPUTED_VALUE"""),78.98)</f>
        <v>78.98</v>
      </c>
      <c r="V121" s="3">
        <f ca="1">IFERROR(__xludf.DUMMYFUNCTION("""COMPUTED_VALUE"""),73.03)</f>
        <v>73.03</v>
      </c>
      <c r="W121" s="3">
        <f ca="1">IFERROR(__xludf.DUMMYFUNCTION("""COMPUTED_VALUE"""),31.19)</f>
        <v>31.19</v>
      </c>
      <c r="X121" s="3">
        <f ca="1">IFERROR(__xludf.DUMMYFUNCTION("""COMPUTED_VALUE"""),76.58)</f>
        <v>76.58</v>
      </c>
      <c r="Y121" s="3">
        <f ca="1">IFERROR(__xludf.DUMMYFUNCTION("""COMPUTED_VALUE"""),43.44)</f>
        <v>43.44</v>
      </c>
      <c r="Z121" s="3">
        <f ca="1">IFERROR(__xludf.DUMMYFUNCTION("""COMPUTED_VALUE"""),69.35)</f>
        <v>69.349999999999994</v>
      </c>
      <c r="AA121" s="3">
        <f ca="1">IFERROR(__xludf.DUMMYFUNCTION("""COMPUTED_VALUE"""),40.92)</f>
        <v>40.92</v>
      </c>
      <c r="AB121" s="3">
        <f ca="1">IFERROR(__xludf.DUMMYFUNCTION("""COMPUTED_VALUE"""),57.54)</f>
        <v>57.54</v>
      </c>
      <c r="AC121" s="3">
        <f ca="1">IFERROR(__xludf.DUMMYFUNCTION("""COMPUTED_VALUE"""),49.44)</f>
        <v>49.44</v>
      </c>
      <c r="AD121" s="3">
        <f ca="1">IFERROR(__xludf.DUMMYFUNCTION("""COMPUTED_VALUE"""),8.05)</f>
        <v>8.0500000000000007</v>
      </c>
      <c r="AE121" s="3">
        <f ca="1">IFERROR(__xludf.DUMMYFUNCTION("""COMPUTED_VALUE"""),12.95)</f>
        <v>12.95</v>
      </c>
      <c r="AF121" s="3">
        <f ca="1">IFERROR(__xludf.DUMMYFUNCTION("""COMPUTED_VALUE"""),2.53)</f>
        <v>2.5299999999999998</v>
      </c>
      <c r="AG121" s="3">
        <f ca="1">IFERROR(__xludf.DUMMYFUNCTION("""COMPUTED_VALUE"""),23.96)</f>
        <v>23.96</v>
      </c>
    </row>
    <row r="122" spans="1:33" ht="12.75" x14ac:dyDescent="0.2">
      <c r="A122" s="4">
        <f ca="1">IFERROR(__xludf.DUMMYFUNCTION("""COMPUTED_VALUE"""),44736.6666666666)</f>
        <v>44736.666666666599</v>
      </c>
      <c r="B122" s="3">
        <f ca="1">IFERROR(__xludf.DUMMYFUNCTION("""COMPUTED_VALUE"""),133.45)</f>
        <v>133.44999999999999</v>
      </c>
      <c r="C122" s="3">
        <f ca="1">IFERROR(__xludf.DUMMYFUNCTION("""COMPUTED_VALUE"""),344.03)</f>
        <v>344.03</v>
      </c>
      <c r="D122" s="3">
        <f ca="1">IFERROR(__xludf.DUMMYFUNCTION("""COMPUTED_VALUE"""),84.69)</f>
        <v>84.69</v>
      </c>
      <c r="E122" s="3">
        <f ca="1">IFERROR(__xludf.DUMMYFUNCTION("""COMPUTED_VALUE"""),124.3)</f>
        <v>124.3</v>
      </c>
      <c r="F122" s="3">
        <f ca="1">IFERROR(__xludf.DUMMYFUNCTION("""COMPUTED_VALUE"""),48.13)</f>
        <v>48.13</v>
      </c>
      <c r="G122" s="3">
        <f ca="1">IFERROR(__xludf.DUMMYFUNCTION("""COMPUTED_VALUE"""),21.59)</f>
        <v>21.59</v>
      </c>
      <c r="H122" s="3">
        <f ca="1">IFERROR(__xludf.DUMMYFUNCTION("""COMPUTED_VALUE"""),24.49)</f>
        <v>24.49</v>
      </c>
      <c r="I122" s="3">
        <f ca="1">IFERROR(__xludf.DUMMYFUNCTION("""COMPUTED_VALUE"""),129.2)</f>
        <v>129.19999999999999</v>
      </c>
      <c r="J122" s="3">
        <f ca="1">IFERROR(__xludf.DUMMYFUNCTION("""COMPUTED_VALUE"""),238.19)</f>
        <v>238.19</v>
      </c>
      <c r="K122" s="3">
        <f ca="1">IFERROR(__xludf.DUMMYFUNCTION("""COMPUTED_VALUE"""),120.04)</f>
        <v>120.04</v>
      </c>
      <c r="L122" s="3">
        <f ca="1">IFERROR(__xludf.DUMMYFUNCTION("""COMPUTED_VALUE"""),77.06)</f>
        <v>77.06</v>
      </c>
      <c r="M122" s="3">
        <f ca="1">IFERROR(__xludf.DUMMYFUNCTION("""COMPUTED_VALUE"""),59.38)</f>
        <v>59.38</v>
      </c>
      <c r="N122" s="3">
        <f ca="1">IFERROR(__xludf.DUMMYFUNCTION("""COMPUTED_VALUE"""),61.32)</f>
        <v>61.32</v>
      </c>
      <c r="O122" s="3">
        <f ca="1">IFERROR(__xludf.DUMMYFUNCTION("""COMPUTED_VALUE"""),51.48)</f>
        <v>51.48</v>
      </c>
      <c r="P122" s="3">
        <f ca="1">IFERROR(__xludf.DUMMYFUNCTION("""COMPUTED_VALUE"""),71.59)</f>
        <v>71.59</v>
      </c>
      <c r="Q122" s="3">
        <f ca="1">IFERROR(__xludf.DUMMYFUNCTION("""COMPUTED_VALUE"""),99.6)</f>
        <v>99.6</v>
      </c>
      <c r="R122" s="3">
        <f ca="1">IFERROR(__xludf.DUMMYFUNCTION("""COMPUTED_VALUE"""),76.46)</f>
        <v>76.459999999999994</v>
      </c>
      <c r="S122" s="3">
        <f ca="1">IFERROR(__xludf.DUMMYFUNCTION("""COMPUTED_VALUE"""),46.09)</f>
        <v>46.09</v>
      </c>
      <c r="T122" s="3">
        <f ca="1">IFERROR(__xludf.DUMMYFUNCTION("""COMPUTED_VALUE"""),27.7)</f>
        <v>27.7</v>
      </c>
      <c r="U122" s="3">
        <f ca="1">IFERROR(__xludf.DUMMYFUNCTION("""COMPUTED_VALUE"""),81.27)</f>
        <v>81.27</v>
      </c>
      <c r="V122" s="3">
        <f ca="1">IFERROR(__xludf.DUMMYFUNCTION("""COMPUTED_VALUE"""),73.77)</f>
        <v>73.77</v>
      </c>
      <c r="W122" s="3">
        <f ca="1">IFERROR(__xludf.DUMMYFUNCTION("""COMPUTED_VALUE"""),32.34)</f>
        <v>32.340000000000003</v>
      </c>
      <c r="X122" s="3">
        <f ca="1">IFERROR(__xludf.DUMMYFUNCTION("""COMPUTED_VALUE"""),79.41)</f>
        <v>79.41</v>
      </c>
      <c r="Y122" s="3">
        <f ca="1">IFERROR(__xludf.DUMMYFUNCTION("""COMPUTED_VALUE"""),45)</f>
        <v>45</v>
      </c>
      <c r="Z122" s="3">
        <f ca="1">IFERROR(__xludf.DUMMYFUNCTION("""COMPUTED_VALUE"""),72.01)</f>
        <v>72.010000000000005</v>
      </c>
      <c r="AA122" s="3">
        <f ca="1">IFERROR(__xludf.DUMMYFUNCTION("""COMPUTED_VALUE"""),41.81)</f>
        <v>41.81</v>
      </c>
      <c r="AB122" s="3">
        <f ca="1">IFERROR(__xludf.DUMMYFUNCTION("""COMPUTED_VALUE"""),59.55)</f>
        <v>59.55</v>
      </c>
      <c r="AC122" s="3">
        <f ca="1">IFERROR(__xludf.DUMMYFUNCTION("""COMPUTED_VALUE"""),51.32)</f>
        <v>51.32</v>
      </c>
      <c r="AD122" s="3">
        <f ca="1">IFERROR(__xludf.DUMMYFUNCTION("""COMPUTED_VALUE"""),8.19)</f>
        <v>8.19</v>
      </c>
      <c r="AE122" s="3">
        <f ca="1">IFERROR(__xludf.DUMMYFUNCTION("""COMPUTED_VALUE"""),13.16)</f>
        <v>13.16</v>
      </c>
      <c r="AF122" s="3">
        <f ca="1">IFERROR(__xludf.DUMMYFUNCTION("""COMPUTED_VALUE"""),2.6)</f>
        <v>2.6</v>
      </c>
      <c r="AG122" s="3">
        <f ca="1">IFERROR(__xludf.DUMMYFUNCTION("""COMPUTED_VALUE"""),25.28)</f>
        <v>25.28</v>
      </c>
    </row>
    <row r="123" spans="1:33" ht="12.75" x14ac:dyDescent="0.2">
      <c r="A123" s="4">
        <f ca="1">IFERROR(__xludf.DUMMYFUNCTION("""COMPUTED_VALUE"""),44739.6666666666)</f>
        <v>44739.666666666599</v>
      </c>
      <c r="B123" s="3">
        <f ca="1">IFERROR(__xludf.DUMMYFUNCTION("""COMPUTED_VALUE"""),132.55)</f>
        <v>132.55000000000001</v>
      </c>
      <c r="C123" s="3">
        <f ca="1">IFERROR(__xludf.DUMMYFUNCTION("""COMPUTED_VALUE"""),341.54)</f>
        <v>341.54</v>
      </c>
      <c r="D123" s="3">
        <f ca="1">IFERROR(__xludf.DUMMYFUNCTION("""COMPUTED_VALUE"""),83.96)</f>
        <v>83.96</v>
      </c>
      <c r="E123" s="3">
        <f ca="1">IFERROR(__xludf.DUMMYFUNCTION("""COMPUTED_VALUE"""),123.96)</f>
        <v>123.96</v>
      </c>
      <c r="F123" s="3">
        <f ca="1">IFERROR(__xludf.DUMMYFUNCTION("""COMPUTED_VALUE"""),47.62)</f>
        <v>47.62</v>
      </c>
      <c r="G123" s="3">
        <f ca="1">IFERROR(__xludf.DUMMYFUNCTION("""COMPUTED_VALUE"""),21.47)</f>
        <v>21.47</v>
      </c>
      <c r="H123" s="3">
        <f ca="1">IFERROR(__xludf.DUMMYFUNCTION("""COMPUTED_VALUE"""),24.45)</f>
        <v>24.45</v>
      </c>
      <c r="I123" s="3">
        <f ca="1">IFERROR(__xludf.DUMMYFUNCTION("""COMPUTED_VALUE"""),129.68)</f>
        <v>129.68</v>
      </c>
      <c r="J123" s="3">
        <f ca="1">IFERROR(__xludf.DUMMYFUNCTION("""COMPUTED_VALUE"""),238.95)</f>
        <v>238.95</v>
      </c>
      <c r="K123" s="3">
        <f ca="1">IFERROR(__xludf.DUMMYFUNCTION("""COMPUTED_VALUE"""),120.12)</f>
        <v>120.12</v>
      </c>
      <c r="L123" s="3">
        <f ca="1">IFERROR(__xludf.DUMMYFUNCTION("""COMPUTED_VALUE"""),76.8)</f>
        <v>76.8</v>
      </c>
      <c r="M123" s="3">
        <f ca="1">IFERROR(__xludf.DUMMYFUNCTION("""COMPUTED_VALUE"""),59.44)</f>
        <v>59.44</v>
      </c>
      <c r="N123" s="3">
        <f ca="1">IFERROR(__xludf.DUMMYFUNCTION("""COMPUTED_VALUE"""),61.58)</f>
        <v>61.58</v>
      </c>
      <c r="O123" s="3">
        <f ca="1">IFERROR(__xludf.DUMMYFUNCTION("""COMPUTED_VALUE"""),50.84)</f>
        <v>50.84</v>
      </c>
      <c r="P123" s="3">
        <f ca="1">IFERROR(__xludf.DUMMYFUNCTION("""COMPUTED_VALUE"""),73.69)</f>
        <v>73.69</v>
      </c>
      <c r="Q123" s="3">
        <f ca="1">IFERROR(__xludf.DUMMYFUNCTION("""COMPUTED_VALUE"""),102.66)</f>
        <v>102.66</v>
      </c>
      <c r="R123" s="3">
        <f ca="1">IFERROR(__xludf.DUMMYFUNCTION("""COMPUTED_VALUE"""),75.83)</f>
        <v>75.83</v>
      </c>
      <c r="S123" s="3">
        <f ca="1">IFERROR(__xludf.DUMMYFUNCTION("""COMPUTED_VALUE"""),46.82)</f>
        <v>46.82</v>
      </c>
      <c r="T123" s="3">
        <f ca="1">IFERROR(__xludf.DUMMYFUNCTION("""COMPUTED_VALUE"""),27.64)</f>
        <v>27.64</v>
      </c>
      <c r="U123" s="3">
        <f ca="1">IFERROR(__xludf.DUMMYFUNCTION("""COMPUTED_VALUE"""),82.93)</f>
        <v>82.93</v>
      </c>
      <c r="V123" s="3">
        <f ca="1">IFERROR(__xludf.DUMMYFUNCTION("""COMPUTED_VALUE"""),75.04)</f>
        <v>75.040000000000006</v>
      </c>
      <c r="W123" s="3">
        <f ca="1">IFERROR(__xludf.DUMMYFUNCTION("""COMPUTED_VALUE"""),32.23)</f>
        <v>32.229999999999997</v>
      </c>
      <c r="X123" s="3">
        <f ca="1">IFERROR(__xludf.DUMMYFUNCTION("""COMPUTED_VALUE"""),79.17)</f>
        <v>79.17</v>
      </c>
      <c r="Y123" s="3">
        <f ca="1">IFERROR(__xludf.DUMMYFUNCTION("""COMPUTED_VALUE"""),44.94)</f>
        <v>44.94</v>
      </c>
      <c r="Z123" s="3">
        <f ca="1">IFERROR(__xludf.DUMMYFUNCTION("""COMPUTED_VALUE"""),71.73)</f>
        <v>71.73</v>
      </c>
      <c r="AA123" s="3">
        <f ca="1">IFERROR(__xludf.DUMMYFUNCTION("""COMPUTED_VALUE"""),41.66)</f>
        <v>41.66</v>
      </c>
      <c r="AB123" s="3">
        <f ca="1">IFERROR(__xludf.DUMMYFUNCTION("""COMPUTED_VALUE"""),59.46)</f>
        <v>59.46</v>
      </c>
      <c r="AC123" s="3">
        <f ca="1">IFERROR(__xludf.DUMMYFUNCTION("""COMPUTED_VALUE"""),51.02)</f>
        <v>51.02</v>
      </c>
      <c r="AD123" s="3">
        <f ca="1">IFERROR(__xludf.DUMMYFUNCTION("""COMPUTED_VALUE"""),8.03)</f>
        <v>8.0299999999999994</v>
      </c>
      <c r="AE123" s="3">
        <f ca="1">IFERROR(__xludf.DUMMYFUNCTION("""COMPUTED_VALUE"""),12.87)</f>
        <v>12.87</v>
      </c>
      <c r="AF123" s="3">
        <f ca="1">IFERROR(__xludf.DUMMYFUNCTION("""COMPUTED_VALUE"""),2.5)</f>
        <v>2.5</v>
      </c>
      <c r="AG123" s="3">
        <f ca="1">IFERROR(__xludf.DUMMYFUNCTION("""COMPUTED_VALUE"""),23.8)</f>
        <v>23.8</v>
      </c>
    </row>
    <row r="124" spans="1:33" ht="12.75" x14ac:dyDescent="0.2">
      <c r="A124" s="4">
        <f ca="1">IFERROR(__xludf.DUMMYFUNCTION("""COMPUTED_VALUE"""),44740.6666666666)</f>
        <v>44740.666666666599</v>
      </c>
      <c r="B124" s="3">
        <f ca="1">IFERROR(__xludf.DUMMYFUNCTION("""COMPUTED_VALUE"""),128.58)</f>
        <v>128.58000000000001</v>
      </c>
      <c r="C124" s="3">
        <f ca="1">IFERROR(__xludf.DUMMYFUNCTION("""COMPUTED_VALUE"""),330.98)</f>
        <v>330.98</v>
      </c>
      <c r="D124" s="3">
        <f ca="1">IFERROR(__xludf.DUMMYFUNCTION("""COMPUTED_VALUE"""),81.21)</f>
        <v>81.209999999999994</v>
      </c>
      <c r="E124" s="3">
        <f ca="1">IFERROR(__xludf.DUMMYFUNCTION("""COMPUTED_VALUE"""),120.94)</f>
        <v>120.94</v>
      </c>
      <c r="F124" s="3">
        <f ca="1">IFERROR(__xludf.DUMMYFUNCTION("""COMPUTED_VALUE"""),46.39)</f>
        <v>46.39</v>
      </c>
      <c r="G124" s="3">
        <f ca="1">IFERROR(__xludf.DUMMYFUNCTION("""COMPUTED_VALUE"""),20.99)</f>
        <v>20.99</v>
      </c>
      <c r="H124" s="3">
        <f ca="1">IFERROR(__xludf.DUMMYFUNCTION("""COMPUTED_VALUE"""),23.78)</f>
        <v>23.78</v>
      </c>
      <c r="I124" s="3">
        <f ca="1">IFERROR(__xludf.DUMMYFUNCTION("""COMPUTED_VALUE"""),127.42)</f>
        <v>127.42</v>
      </c>
      <c r="J124" s="3">
        <f ca="1">IFERROR(__xludf.DUMMYFUNCTION("""COMPUTED_VALUE"""),234.64)</f>
        <v>234.64</v>
      </c>
      <c r="K124" s="3">
        <f ca="1">IFERROR(__xludf.DUMMYFUNCTION("""COMPUTED_VALUE"""),117.36)</f>
        <v>117.36</v>
      </c>
      <c r="L124" s="3">
        <f ca="1">IFERROR(__xludf.DUMMYFUNCTION("""COMPUTED_VALUE"""),74.06)</f>
        <v>74.06</v>
      </c>
      <c r="M124" s="3">
        <f ca="1">IFERROR(__xludf.DUMMYFUNCTION("""COMPUTED_VALUE"""),57.85)</f>
        <v>57.85</v>
      </c>
      <c r="N124" s="3">
        <f ca="1">IFERROR(__xludf.DUMMYFUNCTION("""COMPUTED_VALUE"""),60.39)</f>
        <v>60.39</v>
      </c>
      <c r="O124" s="3">
        <f ca="1">IFERROR(__xludf.DUMMYFUNCTION("""COMPUTED_VALUE"""),49.16)</f>
        <v>49.16</v>
      </c>
      <c r="P124" s="3">
        <f ca="1">IFERROR(__xludf.DUMMYFUNCTION("""COMPUTED_VALUE"""),75.68)</f>
        <v>75.680000000000007</v>
      </c>
      <c r="Q124" s="3">
        <f ca="1">IFERROR(__xludf.DUMMYFUNCTION("""COMPUTED_VALUE"""),105.39)</f>
        <v>105.39</v>
      </c>
      <c r="R124" s="3">
        <f ca="1">IFERROR(__xludf.DUMMYFUNCTION("""COMPUTED_VALUE"""),75.02)</f>
        <v>75.02</v>
      </c>
      <c r="S124" s="3">
        <f ca="1">IFERROR(__xludf.DUMMYFUNCTION("""COMPUTED_VALUE"""),46.04)</f>
        <v>46.04</v>
      </c>
      <c r="T124" s="3">
        <f ca="1">IFERROR(__xludf.DUMMYFUNCTION("""COMPUTED_VALUE"""),27.97)</f>
        <v>27.97</v>
      </c>
      <c r="U124" s="3">
        <f ca="1">IFERROR(__xludf.DUMMYFUNCTION("""COMPUTED_VALUE"""),84.72)</f>
        <v>84.72</v>
      </c>
      <c r="V124" s="3">
        <f ca="1">IFERROR(__xludf.DUMMYFUNCTION("""COMPUTED_VALUE"""),72.21)</f>
        <v>72.209999999999994</v>
      </c>
      <c r="W124" s="3">
        <f ca="1">IFERROR(__xludf.DUMMYFUNCTION("""COMPUTED_VALUE"""),31.91)</f>
        <v>31.91</v>
      </c>
      <c r="X124" s="3">
        <f ca="1">IFERROR(__xludf.DUMMYFUNCTION("""COMPUTED_VALUE"""),78.42)</f>
        <v>78.42</v>
      </c>
      <c r="Y124" s="3">
        <f ca="1">IFERROR(__xludf.DUMMYFUNCTION("""COMPUTED_VALUE"""),44.66)</f>
        <v>44.66</v>
      </c>
      <c r="Z124" s="3">
        <f ca="1">IFERROR(__xludf.DUMMYFUNCTION("""COMPUTED_VALUE"""),71.07)</f>
        <v>71.069999999999993</v>
      </c>
      <c r="AA124" s="3">
        <f ca="1">IFERROR(__xludf.DUMMYFUNCTION("""COMPUTED_VALUE"""),41.09)</f>
        <v>41.09</v>
      </c>
      <c r="AB124" s="3">
        <f ca="1">IFERROR(__xludf.DUMMYFUNCTION("""COMPUTED_VALUE"""),59.11)</f>
        <v>59.11</v>
      </c>
      <c r="AC124" s="3">
        <f ca="1">IFERROR(__xludf.DUMMYFUNCTION("""COMPUTED_VALUE"""),50.39)</f>
        <v>50.39</v>
      </c>
      <c r="AD124" s="3">
        <f ca="1">IFERROR(__xludf.DUMMYFUNCTION("""COMPUTED_VALUE"""),7.77)</f>
        <v>7.77</v>
      </c>
      <c r="AE124" s="3">
        <f ca="1">IFERROR(__xludf.DUMMYFUNCTION("""COMPUTED_VALUE"""),12.47)</f>
        <v>12.47</v>
      </c>
      <c r="AF124" s="3">
        <f ca="1">IFERROR(__xludf.DUMMYFUNCTION("""COMPUTED_VALUE"""),2.34)</f>
        <v>2.34</v>
      </c>
      <c r="AG124" s="3">
        <f ca="1">IFERROR(__xludf.DUMMYFUNCTION("""COMPUTED_VALUE"""),22.4)</f>
        <v>22.4</v>
      </c>
    </row>
    <row r="125" spans="1:33" ht="12.75" x14ac:dyDescent="0.2">
      <c r="A125" s="4">
        <f ca="1">IFERROR(__xludf.DUMMYFUNCTION("""COMPUTED_VALUE"""),44741.6666666666)</f>
        <v>44741.666666666599</v>
      </c>
      <c r="B125" s="3">
        <f ca="1">IFERROR(__xludf.DUMMYFUNCTION("""COMPUTED_VALUE"""),128.84)</f>
        <v>128.84</v>
      </c>
      <c r="C125" s="3">
        <f ca="1">IFERROR(__xludf.DUMMYFUNCTION("""COMPUTED_VALUE"""),331.24)</f>
        <v>331.24</v>
      </c>
      <c r="D125" s="3">
        <f ca="1">IFERROR(__xludf.DUMMYFUNCTION("""COMPUTED_VALUE"""),81.2)</f>
        <v>81.2</v>
      </c>
      <c r="E125" s="3">
        <f ca="1">IFERROR(__xludf.DUMMYFUNCTION("""COMPUTED_VALUE"""),118.08)</f>
        <v>118.08</v>
      </c>
      <c r="F125" s="3">
        <f ca="1">IFERROR(__xludf.DUMMYFUNCTION("""COMPUTED_VALUE"""),46.36)</f>
        <v>46.36</v>
      </c>
      <c r="G125" s="3">
        <f ca="1">IFERROR(__xludf.DUMMYFUNCTION("""COMPUTED_VALUE"""),20.6)</f>
        <v>20.6</v>
      </c>
      <c r="H125" s="3">
        <f ca="1">IFERROR(__xludf.DUMMYFUNCTION("""COMPUTED_VALUE"""),23.56)</f>
        <v>23.56</v>
      </c>
      <c r="I125" s="3">
        <f ca="1">IFERROR(__xludf.DUMMYFUNCTION("""COMPUTED_VALUE"""),128.53)</f>
        <v>128.53</v>
      </c>
      <c r="J125" s="3">
        <f ca="1">IFERROR(__xludf.DUMMYFUNCTION("""COMPUTED_VALUE"""),236.47)</f>
        <v>236.47</v>
      </c>
      <c r="K125" s="3">
        <f ca="1">IFERROR(__xludf.DUMMYFUNCTION("""COMPUTED_VALUE"""),117.99)</f>
        <v>117.99</v>
      </c>
      <c r="L125" s="3">
        <f ca="1">IFERROR(__xludf.DUMMYFUNCTION("""COMPUTED_VALUE"""),74.8)</f>
        <v>74.8</v>
      </c>
      <c r="M125" s="3">
        <f ca="1">IFERROR(__xludf.DUMMYFUNCTION("""COMPUTED_VALUE"""),58.24)</f>
        <v>58.24</v>
      </c>
      <c r="N125" s="3">
        <f ca="1">IFERROR(__xludf.DUMMYFUNCTION("""COMPUTED_VALUE"""),60.89)</f>
        <v>60.89</v>
      </c>
      <c r="O125" s="3">
        <f ca="1">IFERROR(__xludf.DUMMYFUNCTION("""COMPUTED_VALUE"""),49.4)</f>
        <v>49.4</v>
      </c>
      <c r="P125" s="3">
        <f ca="1">IFERROR(__xludf.DUMMYFUNCTION("""COMPUTED_VALUE"""),73.05)</f>
        <v>73.05</v>
      </c>
      <c r="Q125" s="3">
        <f ca="1">IFERROR(__xludf.DUMMYFUNCTION("""COMPUTED_VALUE"""),101.81)</f>
        <v>101.81</v>
      </c>
      <c r="R125" s="3">
        <f ca="1">IFERROR(__xludf.DUMMYFUNCTION("""COMPUTED_VALUE"""),74.48)</f>
        <v>74.48</v>
      </c>
      <c r="S125" s="3">
        <f ca="1">IFERROR(__xludf.DUMMYFUNCTION("""COMPUTED_VALUE"""),44.75)</f>
        <v>44.75</v>
      </c>
      <c r="T125" s="3">
        <f ca="1">IFERROR(__xludf.DUMMYFUNCTION("""COMPUTED_VALUE"""),27.49)</f>
        <v>27.49</v>
      </c>
      <c r="U125" s="3">
        <f ca="1">IFERROR(__xludf.DUMMYFUNCTION("""COMPUTED_VALUE"""),82.95)</f>
        <v>82.95</v>
      </c>
      <c r="V125" s="3">
        <f ca="1">IFERROR(__xludf.DUMMYFUNCTION("""COMPUTED_VALUE"""),69.32)</f>
        <v>69.319999999999993</v>
      </c>
      <c r="W125" s="3">
        <f ca="1">IFERROR(__xludf.DUMMYFUNCTION("""COMPUTED_VALUE"""),31.73)</f>
        <v>31.73</v>
      </c>
      <c r="X125" s="3">
        <f ca="1">IFERROR(__xludf.DUMMYFUNCTION("""COMPUTED_VALUE"""),77.79)</f>
        <v>77.790000000000006</v>
      </c>
      <c r="Y125" s="3">
        <f ca="1">IFERROR(__xludf.DUMMYFUNCTION("""COMPUTED_VALUE"""),44.29)</f>
        <v>44.29</v>
      </c>
      <c r="Z125" s="3">
        <f ca="1">IFERROR(__xludf.DUMMYFUNCTION("""COMPUTED_VALUE"""),70.53)</f>
        <v>70.53</v>
      </c>
      <c r="AA125" s="3">
        <f ca="1">IFERROR(__xludf.DUMMYFUNCTION("""COMPUTED_VALUE"""),40.83)</f>
        <v>40.83</v>
      </c>
      <c r="AB125" s="3">
        <f ca="1">IFERROR(__xludf.DUMMYFUNCTION("""COMPUTED_VALUE"""),58.61)</f>
        <v>58.61</v>
      </c>
      <c r="AC125" s="3">
        <f ca="1">IFERROR(__xludf.DUMMYFUNCTION("""COMPUTED_VALUE"""),50.1)</f>
        <v>50.1</v>
      </c>
      <c r="AD125" s="3">
        <f ca="1">IFERROR(__xludf.DUMMYFUNCTION("""COMPUTED_VALUE"""),7.77)</f>
        <v>7.77</v>
      </c>
      <c r="AE125" s="3">
        <f ca="1">IFERROR(__xludf.DUMMYFUNCTION("""COMPUTED_VALUE"""),12.48)</f>
        <v>12.48</v>
      </c>
      <c r="AF125" s="3">
        <f ca="1">IFERROR(__xludf.DUMMYFUNCTION("""COMPUTED_VALUE"""),2.23)</f>
        <v>2.23</v>
      </c>
      <c r="AG125" s="3">
        <f ca="1">IFERROR(__xludf.DUMMYFUNCTION("""COMPUTED_VALUE"""),21.4)</f>
        <v>21.4</v>
      </c>
    </row>
    <row r="126" spans="1:33" ht="12.75" x14ac:dyDescent="0.2">
      <c r="A126" s="4">
        <f ca="1">IFERROR(__xludf.DUMMYFUNCTION("""COMPUTED_VALUE"""),44742.6666666666)</f>
        <v>44742.666666666599</v>
      </c>
      <c r="B126" s="3">
        <f ca="1">IFERROR(__xludf.DUMMYFUNCTION("""COMPUTED_VALUE"""),127.12)</f>
        <v>127.12</v>
      </c>
      <c r="C126" s="3">
        <f ca="1">IFERROR(__xludf.DUMMYFUNCTION("""COMPUTED_VALUE"""),326.55)</f>
        <v>326.55</v>
      </c>
      <c r="D126" s="3">
        <f ca="1">IFERROR(__xludf.DUMMYFUNCTION("""COMPUTED_VALUE"""),79.95)</f>
        <v>79.95</v>
      </c>
      <c r="E126" s="3">
        <f ca="1">IFERROR(__xludf.DUMMYFUNCTION("""COMPUTED_VALUE"""),116.54)</f>
        <v>116.54</v>
      </c>
      <c r="F126" s="3">
        <f ca="1">IFERROR(__xludf.DUMMYFUNCTION("""COMPUTED_VALUE"""),45.8)</f>
        <v>45.8</v>
      </c>
      <c r="G126" s="3">
        <f ca="1">IFERROR(__xludf.DUMMYFUNCTION("""COMPUTED_VALUE"""),20.32)</f>
        <v>20.32</v>
      </c>
      <c r="H126" s="3">
        <f ca="1">IFERROR(__xludf.DUMMYFUNCTION("""COMPUTED_VALUE"""),23.28)</f>
        <v>23.28</v>
      </c>
      <c r="I126" s="3">
        <f ca="1">IFERROR(__xludf.DUMMYFUNCTION("""COMPUTED_VALUE"""),128.24)</f>
        <v>128.24</v>
      </c>
      <c r="J126" s="3">
        <f ca="1">IFERROR(__xludf.DUMMYFUNCTION("""COMPUTED_VALUE"""),235.5)</f>
        <v>235.5</v>
      </c>
      <c r="K126" s="3">
        <f ca="1">IFERROR(__xludf.DUMMYFUNCTION("""COMPUTED_VALUE"""),117.63)</f>
        <v>117.63</v>
      </c>
      <c r="L126" s="3">
        <f ca="1">IFERROR(__xludf.DUMMYFUNCTION("""COMPUTED_VALUE"""),74.27)</f>
        <v>74.27</v>
      </c>
      <c r="M126" s="3">
        <f ca="1">IFERROR(__xludf.DUMMYFUNCTION("""COMPUTED_VALUE"""),57.74)</f>
        <v>57.74</v>
      </c>
      <c r="N126" s="3">
        <f ca="1">IFERROR(__xludf.DUMMYFUNCTION("""COMPUTED_VALUE"""),60.67)</f>
        <v>60.67</v>
      </c>
      <c r="O126" s="3">
        <f ca="1">IFERROR(__xludf.DUMMYFUNCTION("""COMPUTED_VALUE"""),48.88)</f>
        <v>48.88</v>
      </c>
      <c r="P126" s="3">
        <f ca="1">IFERROR(__xludf.DUMMYFUNCTION("""COMPUTED_VALUE"""),71.51)</f>
        <v>71.510000000000005</v>
      </c>
      <c r="Q126" s="3">
        <f ca="1">IFERROR(__xludf.DUMMYFUNCTION("""COMPUTED_VALUE"""),99.47)</f>
        <v>99.47</v>
      </c>
      <c r="R126" s="3">
        <f ca="1">IFERROR(__xludf.DUMMYFUNCTION("""COMPUTED_VALUE"""),73.6)</f>
        <v>73.599999999999994</v>
      </c>
      <c r="S126" s="3">
        <f ca="1">IFERROR(__xludf.DUMMYFUNCTION("""COMPUTED_VALUE"""),43.4)</f>
        <v>43.4</v>
      </c>
      <c r="T126" s="3">
        <f ca="1">IFERROR(__xludf.DUMMYFUNCTION("""COMPUTED_VALUE"""),26.64)</f>
        <v>26.64</v>
      </c>
      <c r="U126" s="3">
        <f ca="1">IFERROR(__xludf.DUMMYFUNCTION("""COMPUTED_VALUE"""),80.35)</f>
        <v>80.349999999999994</v>
      </c>
      <c r="V126" s="3">
        <f ca="1">IFERROR(__xludf.DUMMYFUNCTION("""COMPUTED_VALUE"""),71.39)</f>
        <v>71.39</v>
      </c>
      <c r="W126" s="3">
        <f ca="1">IFERROR(__xludf.DUMMYFUNCTION("""COMPUTED_VALUE"""),31.45)</f>
        <v>31.45</v>
      </c>
      <c r="X126" s="3">
        <f ca="1">IFERROR(__xludf.DUMMYFUNCTION("""COMPUTED_VALUE"""),77.19)</f>
        <v>77.19</v>
      </c>
      <c r="Y126" s="3">
        <f ca="1">IFERROR(__xludf.DUMMYFUNCTION("""COMPUTED_VALUE"""),43.88)</f>
        <v>43.88</v>
      </c>
      <c r="Z126" s="3">
        <f ca="1">IFERROR(__xludf.DUMMYFUNCTION("""COMPUTED_VALUE"""),69.98)</f>
        <v>69.98</v>
      </c>
      <c r="AA126" s="3">
        <f ca="1">IFERROR(__xludf.DUMMYFUNCTION("""COMPUTED_VALUE"""),40.86)</f>
        <v>40.86</v>
      </c>
      <c r="AB126" s="3">
        <f ca="1">IFERROR(__xludf.DUMMYFUNCTION("""COMPUTED_VALUE"""),58.09)</f>
        <v>58.09</v>
      </c>
      <c r="AC126" s="3">
        <f ca="1">IFERROR(__xludf.DUMMYFUNCTION("""COMPUTED_VALUE"""),49.41)</f>
        <v>49.41</v>
      </c>
      <c r="AD126" s="3">
        <f ca="1">IFERROR(__xludf.DUMMYFUNCTION("""COMPUTED_VALUE"""),7.24)</f>
        <v>7.24</v>
      </c>
      <c r="AE126" s="3">
        <f ca="1">IFERROR(__xludf.DUMMYFUNCTION("""COMPUTED_VALUE"""),11.61)</f>
        <v>11.61</v>
      </c>
      <c r="AF126" s="3">
        <f ca="1">IFERROR(__xludf.DUMMYFUNCTION("""COMPUTED_VALUE"""),2.18)</f>
        <v>2.1800000000000002</v>
      </c>
      <c r="AG126" s="3">
        <f ca="1">IFERROR(__xludf.DUMMYFUNCTION("""COMPUTED_VALUE"""),20.2)</f>
        <v>20.2</v>
      </c>
    </row>
    <row r="127" spans="1:33" ht="12.75" x14ac:dyDescent="0.2">
      <c r="A127" s="4">
        <f ca="1">IFERROR(__xludf.DUMMYFUNCTION("""COMPUTED_VALUE"""),44743.6666666666)</f>
        <v>44743.666666666599</v>
      </c>
      <c r="B127" s="3">
        <f ca="1">IFERROR(__xludf.DUMMYFUNCTION("""COMPUTED_VALUE"""),127.41)</f>
        <v>127.41</v>
      </c>
      <c r="C127" s="3">
        <f ca="1">IFERROR(__xludf.DUMMYFUNCTION("""COMPUTED_VALUE"""),327.53)</f>
        <v>327.52999999999997</v>
      </c>
      <c r="D127" s="3">
        <f ca="1">IFERROR(__xludf.DUMMYFUNCTION("""COMPUTED_VALUE"""),79.93)</f>
        <v>79.930000000000007</v>
      </c>
      <c r="E127" s="3">
        <f ca="1">IFERROR(__xludf.DUMMYFUNCTION("""COMPUTED_VALUE"""),112.41)</f>
        <v>112.41</v>
      </c>
      <c r="F127" s="3">
        <f ca="1">IFERROR(__xludf.DUMMYFUNCTION("""COMPUTED_VALUE"""),46.74)</f>
        <v>46.74</v>
      </c>
      <c r="G127" s="3">
        <f ca="1">IFERROR(__xludf.DUMMYFUNCTION("""COMPUTED_VALUE"""),20.57)</f>
        <v>20.57</v>
      </c>
      <c r="H127" s="3">
        <f ca="1">IFERROR(__xludf.DUMMYFUNCTION("""COMPUTED_VALUE"""),23.5)</f>
        <v>23.5</v>
      </c>
      <c r="I127" s="3">
        <f ca="1">IFERROR(__xludf.DUMMYFUNCTION("""COMPUTED_VALUE"""),129.68)</f>
        <v>129.68</v>
      </c>
      <c r="J127" s="3">
        <f ca="1">IFERROR(__xludf.DUMMYFUNCTION("""COMPUTED_VALUE"""),238.5)</f>
        <v>238.5</v>
      </c>
      <c r="K127" s="3">
        <f ca="1">IFERROR(__xludf.DUMMYFUNCTION("""COMPUTED_VALUE"""),120.17)</f>
        <v>120.17</v>
      </c>
      <c r="L127" s="3">
        <f ca="1">IFERROR(__xludf.DUMMYFUNCTION("""COMPUTED_VALUE"""),76.54)</f>
        <v>76.540000000000006</v>
      </c>
      <c r="M127" s="3">
        <f ca="1">IFERROR(__xludf.DUMMYFUNCTION("""COMPUTED_VALUE"""),59.11)</f>
        <v>59.11</v>
      </c>
      <c r="N127" s="3">
        <f ca="1">IFERROR(__xludf.DUMMYFUNCTION("""COMPUTED_VALUE"""),61.45)</f>
        <v>61.45</v>
      </c>
      <c r="O127" s="3">
        <f ca="1">IFERROR(__xludf.DUMMYFUNCTION("""COMPUTED_VALUE"""),50.44)</f>
        <v>50.44</v>
      </c>
      <c r="P127" s="3">
        <f ca="1">IFERROR(__xludf.DUMMYFUNCTION("""COMPUTED_VALUE"""),72.58)</f>
        <v>72.58</v>
      </c>
      <c r="Q127" s="3">
        <f ca="1">IFERROR(__xludf.DUMMYFUNCTION("""COMPUTED_VALUE"""),100.69)</f>
        <v>100.69</v>
      </c>
      <c r="R127" s="3">
        <f ca="1">IFERROR(__xludf.DUMMYFUNCTION("""COMPUTED_VALUE"""),74.12)</f>
        <v>74.12</v>
      </c>
      <c r="S127" s="3">
        <f ca="1">IFERROR(__xludf.DUMMYFUNCTION("""COMPUTED_VALUE"""),43.61)</f>
        <v>43.61</v>
      </c>
      <c r="T127" s="3">
        <f ca="1">IFERROR(__xludf.DUMMYFUNCTION("""COMPUTED_VALUE"""),26.77)</f>
        <v>26.77</v>
      </c>
      <c r="U127" s="3">
        <f ca="1">IFERROR(__xludf.DUMMYFUNCTION("""COMPUTED_VALUE"""),81.67)</f>
        <v>81.67</v>
      </c>
      <c r="V127" s="3">
        <f ca="1">IFERROR(__xludf.DUMMYFUNCTION("""COMPUTED_VALUE"""),72)</f>
        <v>72</v>
      </c>
      <c r="W127" s="3">
        <f ca="1">IFERROR(__xludf.DUMMYFUNCTION("""COMPUTED_VALUE"""),31.88)</f>
        <v>31.88</v>
      </c>
      <c r="X127" s="3">
        <f ca="1">IFERROR(__xludf.DUMMYFUNCTION("""COMPUTED_VALUE"""),78.24)</f>
        <v>78.239999999999995</v>
      </c>
      <c r="Y127" s="3">
        <f ca="1">IFERROR(__xludf.DUMMYFUNCTION("""COMPUTED_VALUE"""),44.62)</f>
        <v>44.62</v>
      </c>
      <c r="Z127" s="3">
        <f ca="1">IFERROR(__xludf.DUMMYFUNCTION("""COMPUTED_VALUE"""),70.91)</f>
        <v>70.91</v>
      </c>
      <c r="AA127" s="3">
        <f ca="1">IFERROR(__xludf.DUMMYFUNCTION("""COMPUTED_VALUE"""),41.59)</f>
        <v>41.59</v>
      </c>
      <c r="AB127" s="3">
        <f ca="1">IFERROR(__xludf.DUMMYFUNCTION("""COMPUTED_VALUE"""),59.06)</f>
        <v>59.06</v>
      </c>
      <c r="AC127" s="3">
        <f ca="1">IFERROR(__xludf.DUMMYFUNCTION("""COMPUTED_VALUE"""),50.01)</f>
        <v>50.01</v>
      </c>
      <c r="AD127" s="3">
        <f ca="1">IFERROR(__xludf.DUMMYFUNCTION("""COMPUTED_VALUE"""),7.44)</f>
        <v>7.44</v>
      </c>
      <c r="AE127" s="3">
        <f ca="1">IFERROR(__xludf.DUMMYFUNCTION("""COMPUTED_VALUE"""),11.96)</f>
        <v>11.96</v>
      </c>
      <c r="AF127" s="3">
        <f ca="1">IFERROR(__xludf.DUMMYFUNCTION("""COMPUTED_VALUE"""),2.18)</f>
        <v>2.1800000000000002</v>
      </c>
      <c r="AG127" s="3">
        <f ca="1">IFERROR(__xludf.DUMMYFUNCTION("""COMPUTED_VALUE"""),20.56)</f>
        <v>20.56</v>
      </c>
    </row>
    <row r="128" spans="1:33" ht="12.75" x14ac:dyDescent="0.2">
      <c r="A128" s="4">
        <f ca="1">IFERROR(__xludf.DUMMYFUNCTION("""COMPUTED_VALUE"""),44747.6666666666)</f>
        <v>44747.666666666599</v>
      </c>
      <c r="B128" s="3">
        <f ca="1">IFERROR(__xludf.DUMMYFUNCTION("""COMPUTED_VALUE"""),129.01)</f>
        <v>129.01</v>
      </c>
      <c r="C128" s="3">
        <f ca="1">IFERROR(__xludf.DUMMYFUNCTION("""COMPUTED_VALUE"""),332.54)</f>
        <v>332.54</v>
      </c>
      <c r="D128" s="3">
        <f ca="1">IFERROR(__xludf.DUMMYFUNCTION("""COMPUTED_VALUE"""),81.72)</f>
        <v>81.72</v>
      </c>
      <c r="E128" s="3">
        <f ca="1">IFERROR(__xludf.DUMMYFUNCTION("""COMPUTED_VALUE"""),113.3)</f>
        <v>113.3</v>
      </c>
      <c r="F128" s="3">
        <f ca="1">IFERROR(__xludf.DUMMYFUNCTION("""COMPUTED_VALUE"""),47.49)</f>
        <v>47.49</v>
      </c>
      <c r="G128" s="3">
        <f ca="1">IFERROR(__xludf.DUMMYFUNCTION("""COMPUTED_VALUE"""),20.71)</f>
        <v>20.71</v>
      </c>
      <c r="H128" s="3">
        <f ca="1">IFERROR(__xludf.DUMMYFUNCTION("""COMPUTED_VALUE"""),23.91)</f>
        <v>23.91</v>
      </c>
      <c r="I128" s="3">
        <f ca="1">IFERROR(__xludf.DUMMYFUNCTION("""COMPUTED_VALUE"""),128.93)</f>
        <v>128.93</v>
      </c>
      <c r="J128" s="3">
        <f ca="1">IFERROR(__xludf.DUMMYFUNCTION("""COMPUTED_VALUE"""),238.15)</f>
        <v>238.15</v>
      </c>
      <c r="K128" s="3">
        <f ca="1">IFERROR(__xludf.DUMMYFUNCTION("""COMPUTED_VALUE"""),122.81)</f>
        <v>122.81</v>
      </c>
      <c r="L128" s="3">
        <f ca="1">IFERROR(__xludf.DUMMYFUNCTION("""COMPUTED_VALUE"""),80.99)</f>
        <v>80.989999999999995</v>
      </c>
      <c r="M128" s="3">
        <f ca="1">IFERROR(__xludf.DUMMYFUNCTION("""COMPUTED_VALUE"""),60.49)</f>
        <v>60.49</v>
      </c>
      <c r="N128" s="3">
        <f ca="1">IFERROR(__xludf.DUMMYFUNCTION("""COMPUTED_VALUE"""),61.38)</f>
        <v>61.38</v>
      </c>
      <c r="O128" s="3">
        <f ca="1">IFERROR(__xludf.DUMMYFUNCTION("""COMPUTED_VALUE"""),53.8)</f>
        <v>53.8</v>
      </c>
      <c r="P128" s="3">
        <f ca="1">IFERROR(__xludf.DUMMYFUNCTION("""COMPUTED_VALUE"""),69.7)</f>
        <v>69.7</v>
      </c>
      <c r="Q128" s="3">
        <f ca="1">IFERROR(__xludf.DUMMYFUNCTION("""COMPUTED_VALUE"""),96.5)</f>
        <v>96.5</v>
      </c>
      <c r="R128" s="3">
        <f ca="1">IFERROR(__xludf.DUMMYFUNCTION("""COMPUTED_VALUE"""),72.63)</f>
        <v>72.63</v>
      </c>
      <c r="S128" s="3">
        <f ca="1">IFERROR(__xludf.DUMMYFUNCTION("""COMPUTED_VALUE"""),41.47)</f>
        <v>41.47</v>
      </c>
      <c r="T128" s="3">
        <f ca="1">IFERROR(__xludf.DUMMYFUNCTION("""COMPUTED_VALUE"""),24.97)</f>
        <v>24.97</v>
      </c>
      <c r="U128" s="3">
        <f ca="1">IFERROR(__xludf.DUMMYFUNCTION("""COMPUTED_VALUE"""),74.78)</f>
        <v>74.78</v>
      </c>
      <c r="V128" s="3">
        <f ca="1">IFERROR(__xludf.DUMMYFUNCTION("""COMPUTED_VALUE"""),71.62)</f>
        <v>71.62</v>
      </c>
      <c r="W128" s="3">
        <f ca="1">IFERROR(__xludf.DUMMYFUNCTION("""COMPUTED_VALUE"""),31.77)</f>
        <v>31.77</v>
      </c>
      <c r="X128" s="3">
        <f ca="1">IFERROR(__xludf.DUMMYFUNCTION("""COMPUTED_VALUE"""),78.15)</f>
        <v>78.150000000000006</v>
      </c>
      <c r="Y128" s="3">
        <f ca="1">IFERROR(__xludf.DUMMYFUNCTION("""COMPUTED_VALUE"""),44.78)</f>
        <v>44.78</v>
      </c>
      <c r="Z128" s="3">
        <f ca="1">IFERROR(__xludf.DUMMYFUNCTION("""COMPUTED_VALUE"""),70.78)</f>
        <v>70.78</v>
      </c>
      <c r="AA128" s="3">
        <f ca="1">IFERROR(__xludf.DUMMYFUNCTION("""COMPUTED_VALUE"""),41.42)</f>
        <v>41.42</v>
      </c>
      <c r="AB128" s="3">
        <f ca="1">IFERROR(__xludf.DUMMYFUNCTION("""COMPUTED_VALUE"""),59.26)</f>
        <v>59.26</v>
      </c>
      <c r="AC128" s="3">
        <f ca="1">IFERROR(__xludf.DUMMYFUNCTION("""COMPUTED_VALUE"""),50.12)</f>
        <v>50.12</v>
      </c>
      <c r="AD128" s="3">
        <f ca="1">IFERROR(__xludf.DUMMYFUNCTION("""COMPUTED_VALUE"""),7.87)</f>
        <v>7.87</v>
      </c>
      <c r="AE128" s="3">
        <f ca="1">IFERROR(__xludf.DUMMYFUNCTION("""COMPUTED_VALUE"""),12.63)</f>
        <v>12.63</v>
      </c>
      <c r="AF128" s="3">
        <f ca="1">IFERROR(__xludf.DUMMYFUNCTION("""COMPUTED_VALUE"""),2.25)</f>
        <v>2.25</v>
      </c>
      <c r="AG128" s="3">
        <f ca="1">IFERROR(__xludf.DUMMYFUNCTION("""COMPUTED_VALUE"""),21.96)</f>
        <v>21.96</v>
      </c>
    </row>
    <row r="129" spans="1:33" ht="12.75" x14ac:dyDescent="0.2">
      <c r="A129" s="4">
        <f ca="1">IFERROR(__xludf.DUMMYFUNCTION("""COMPUTED_VALUE"""),44748.6666666666)</f>
        <v>44748.666666666599</v>
      </c>
      <c r="B129" s="3">
        <f ca="1">IFERROR(__xludf.DUMMYFUNCTION("""COMPUTED_VALUE"""),130.12)</f>
        <v>130.12</v>
      </c>
      <c r="C129" s="3">
        <f ca="1">IFERROR(__xludf.DUMMYFUNCTION("""COMPUTED_VALUE"""),334.85)</f>
        <v>334.85</v>
      </c>
      <c r="D129" s="3">
        <f ca="1">IFERROR(__xludf.DUMMYFUNCTION("""COMPUTED_VALUE"""),82.3)</f>
        <v>82.3</v>
      </c>
      <c r="E129" s="3">
        <f ca="1">IFERROR(__xludf.DUMMYFUNCTION("""COMPUTED_VALUE"""),113.85)</f>
        <v>113.85</v>
      </c>
      <c r="F129" s="3">
        <f ca="1">IFERROR(__xludf.DUMMYFUNCTION("""COMPUTED_VALUE"""),47.7)</f>
        <v>47.7</v>
      </c>
      <c r="G129" s="3">
        <f ca="1">IFERROR(__xludf.DUMMYFUNCTION("""COMPUTED_VALUE"""),20.69)</f>
        <v>20.69</v>
      </c>
      <c r="H129" s="3">
        <f ca="1">IFERROR(__xludf.DUMMYFUNCTION("""COMPUTED_VALUE"""),23.75)</f>
        <v>23.75</v>
      </c>
      <c r="I129" s="3">
        <f ca="1">IFERROR(__xludf.DUMMYFUNCTION("""COMPUTED_VALUE"""),129.8)</f>
        <v>129.80000000000001</v>
      </c>
      <c r="J129" s="3">
        <f ca="1">IFERROR(__xludf.DUMMYFUNCTION("""COMPUTED_VALUE"""),239.42)</f>
        <v>239.42</v>
      </c>
      <c r="K129" s="3">
        <f ca="1">IFERROR(__xludf.DUMMYFUNCTION("""COMPUTED_VALUE"""),122.79)</f>
        <v>122.79</v>
      </c>
      <c r="L129" s="3">
        <f ca="1">IFERROR(__xludf.DUMMYFUNCTION("""COMPUTED_VALUE"""),81.01)</f>
        <v>81.010000000000005</v>
      </c>
      <c r="M129" s="3">
        <f ca="1">IFERROR(__xludf.DUMMYFUNCTION("""COMPUTED_VALUE"""),60.57)</f>
        <v>60.57</v>
      </c>
      <c r="N129" s="3">
        <f ca="1">IFERROR(__xludf.DUMMYFUNCTION("""COMPUTED_VALUE"""),61.66)</f>
        <v>61.66</v>
      </c>
      <c r="O129" s="3">
        <f ca="1">IFERROR(__xludf.DUMMYFUNCTION("""COMPUTED_VALUE"""),53.92)</f>
        <v>53.92</v>
      </c>
      <c r="P129" s="3">
        <f ca="1">IFERROR(__xludf.DUMMYFUNCTION("""COMPUTED_VALUE"""),68.51)</f>
        <v>68.510000000000005</v>
      </c>
      <c r="Q129" s="3">
        <f ca="1">IFERROR(__xludf.DUMMYFUNCTION("""COMPUTED_VALUE"""),94.63)</f>
        <v>94.63</v>
      </c>
      <c r="R129" s="3">
        <f ca="1">IFERROR(__xludf.DUMMYFUNCTION("""COMPUTED_VALUE"""),73.09)</f>
        <v>73.09</v>
      </c>
      <c r="S129" s="3">
        <f ca="1">IFERROR(__xludf.DUMMYFUNCTION("""COMPUTED_VALUE"""),41.18)</f>
        <v>41.18</v>
      </c>
      <c r="T129" s="3">
        <f ca="1">IFERROR(__xludf.DUMMYFUNCTION("""COMPUTED_VALUE"""),24.6)</f>
        <v>24.6</v>
      </c>
      <c r="U129" s="3">
        <f ca="1">IFERROR(__xludf.DUMMYFUNCTION("""COMPUTED_VALUE"""),73.67)</f>
        <v>73.67</v>
      </c>
      <c r="V129" s="3">
        <f ca="1">IFERROR(__xludf.DUMMYFUNCTION("""COMPUTED_VALUE"""),71.06)</f>
        <v>71.06</v>
      </c>
      <c r="W129" s="3">
        <f ca="1">IFERROR(__xludf.DUMMYFUNCTION("""COMPUTED_VALUE"""),31.69)</f>
        <v>31.69</v>
      </c>
      <c r="X129" s="3">
        <f ca="1">IFERROR(__xludf.DUMMYFUNCTION("""COMPUTED_VALUE"""),77.8)</f>
        <v>77.8</v>
      </c>
      <c r="Y129" s="3">
        <f ca="1">IFERROR(__xludf.DUMMYFUNCTION("""COMPUTED_VALUE"""),44.44)</f>
        <v>44.44</v>
      </c>
      <c r="Z129" s="3">
        <f ca="1">IFERROR(__xludf.DUMMYFUNCTION("""COMPUTED_VALUE"""),70.53)</f>
        <v>70.53</v>
      </c>
      <c r="AA129" s="3">
        <f ca="1">IFERROR(__xludf.DUMMYFUNCTION("""COMPUTED_VALUE"""),41.39)</f>
        <v>41.39</v>
      </c>
      <c r="AB129" s="3">
        <f ca="1">IFERROR(__xludf.DUMMYFUNCTION("""COMPUTED_VALUE"""),58.82)</f>
        <v>58.82</v>
      </c>
      <c r="AC129" s="3">
        <f ca="1">IFERROR(__xludf.DUMMYFUNCTION("""COMPUTED_VALUE"""),49.85)</f>
        <v>49.85</v>
      </c>
      <c r="AD129" s="3">
        <f ca="1">IFERROR(__xludf.DUMMYFUNCTION("""COMPUTED_VALUE"""),7.81)</f>
        <v>7.81</v>
      </c>
      <c r="AE129" s="3">
        <f ca="1">IFERROR(__xludf.DUMMYFUNCTION("""COMPUTED_VALUE"""),12.56)</f>
        <v>12.56</v>
      </c>
      <c r="AF129" s="3">
        <f ca="1">IFERROR(__xludf.DUMMYFUNCTION("""COMPUTED_VALUE"""),2.34)</f>
        <v>2.34</v>
      </c>
      <c r="AG129" s="3">
        <f ca="1">IFERROR(__xludf.DUMMYFUNCTION("""COMPUTED_VALUE"""),21.08)</f>
        <v>21.08</v>
      </c>
    </row>
    <row r="130" spans="1:33" ht="12.75" x14ac:dyDescent="0.2">
      <c r="A130" s="4">
        <f ca="1">IFERROR(__xludf.DUMMYFUNCTION("""COMPUTED_VALUE"""),44749.6666666666)</f>
        <v>44749.666666666599</v>
      </c>
      <c r="B130" s="3">
        <f ca="1">IFERROR(__xludf.DUMMYFUNCTION("""COMPUTED_VALUE"""),132.81)</f>
        <v>132.81</v>
      </c>
      <c r="C130" s="3">
        <f ca="1">IFERROR(__xludf.DUMMYFUNCTION("""COMPUTED_VALUE"""),342.3)</f>
        <v>342.3</v>
      </c>
      <c r="D130" s="3">
        <f ca="1">IFERROR(__xludf.DUMMYFUNCTION("""COMPUTED_VALUE"""),84.38)</f>
        <v>84.38</v>
      </c>
      <c r="E130" s="3">
        <f ca="1">IFERROR(__xludf.DUMMYFUNCTION("""COMPUTED_VALUE"""),118.95)</f>
        <v>118.95</v>
      </c>
      <c r="F130" s="3">
        <f ca="1">IFERROR(__xludf.DUMMYFUNCTION("""COMPUTED_VALUE"""),48.61)</f>
        <v>48.61</v>
      </c>
      <c r="G130" s="3">
        <f ca="1">IFERROR(__xludf.DUMMYFUNCTION("""COMPUTED_VALUE"""),21.32)</f>
        <v>21.32</v>
      </c>
      <c r="H130" s="3">
        <f ca="1">IFERROR(__xludf.DUMMYFUNCTION("""COMPUTED_VALUE"""),24.41)</f>
        <v>24.41</v>
      </c>
      <c r="I130" s="3">
        <f ca="1">IFERROR(__xludf.DUMMYFUNCTION("""COMPUTED_VALUE"""),130.35)</f>
        <v>130.35</v>
      </c>
      <c r="J130" s="3">
        <f ca="1">IFERROR(__xludf.DUMMYFUNCTION("""COMPUTED_VALUE"""),241.21)</f>
        <v>241.21</v>
      </c>
      <c r="K130" s="3">
        <f ca="1">IFERROR(__xludf.DUMMYFUNCTION("""COMPUTED_VALUE"""),125.82)</f>
        <v>125.82</v>
      </c>
      <c r="L130" s="3">
        <f ca="1">IFERROR(__xludf.DUMMYFUNCTION("""COMPUTED_VALUE"""),83.46)</f>
        <v>83.46</v>
      </c>
      <c r="M130" s="3">
        <f ca="1">IFERROR(__xludf.DUMMYFUNCTION("""COMPUTED_VALUE"""),61.61)</f>
        <v>61.61</v>
      </c>
      <c r="N130" s="3">
        <f ca="1">IFERROR(__xludf.DUMMYFUNCTION("""COMPUTED_VALUE"""),62.14)</f>
        <v>62.14</v>
      </c>
      <c r="O130" s="3">
        <f ca="1">IFERROR(__xludf.DUMMYFUNCTION("""COMPUTED_VALUE"""),56.36)</f>
        <v>56.36</v>
      </c>
      <c r="P130" s="3">
        <f ca="1">IFERROR(__xludf.DUMMYFUNCTION("""COMPUTED_VALUE"""),70.98)</f>
        <v>70.98</v>
      </c>
      <c r="Q130" s="3">
        <f ca="1">IFERROR(__xludf.DUMMYFUNCTION("""COMPUTED_VALUE"""),98.44)</f>
        <v>98.44</v>
      </c>
      <c r="R130" s="3">
        <f ca="1">IFERROR(__xludf.DUMMYFUNCTION("""COMPUTED_VALUE"""),73.74)</f>
        <v>73.739999999999995</v>
      </c>
      <c r="S130" s="3">
        <f ca="1">IFERROR(__xludf.DUMMYFUNCTION("""COMPUTED_VALUE"""),43.33)</f>
        <v>43.33</v>
      </c>
      <c r="T130" s="3">
        <f ca="1">IFERROR(__xludf.DUMMYFUNCTION("""COMPUTED_VALUE"""),25.62)</f>
        <v>25.62</v>
      </c>
      <c r="U130" s="3">
        <f ca="1">IFERROR(__xludf.DUMMYFUNCTION("""COMPUTED_VALUE"""),76.55)</f>
        <v>76.55</v>
      </c>
      <c r="V130" s="3">
        <f ca="1">IFERROR(__xludf.DUMMYFUNCTION("""COMPUTED_VALUE"""),75.02)</f>
        <v>75.02</v>
      </c>
      <c r="W130" s="3">
        <f ca="1">IFERROR(__xludf.DUMMYFUNCTION("""COMPUTED_VALUE"""),32.15)</f>
        <v>32.15</v>
      </c>
      <c r="X130" s="3">
        <f ca="1">IFERROR(__xludf.DUMMYFUNCTION("""COMPUTED_VALUE"""),78.98)</f>
        <v>78.98</v>
      </c>
      <c r="Y130" s="3">
        <f ca="1">IFERROR(__xludf.DUMMYFUNCTION("""COMPUTED_VALUE"""),44.98)</f>
        <v>44.98</v>
      </c>
      <c r="Z130" s="3">
        <f ca="1">IFERROR(__xludf.DUMMYFUNCTION("""COMPUTED_VALUE"""),71.57)</f>
        <v>71.569999999999993</v>
      </c>
      <c r="AA130" s="3">
        <f ca="1">IFERROR(__xludf.DUMMYFUNCTION("""COMPUTED_VALUE"""),41.42)</f>
        <v>41.42</v>
      </c>
      <c r="AB130" s="3">
        <f ca="1">IFERROR(__xludf.DUMMYFUNCTION("""COMPUTED_VALUE"""),59.45)</f>
        <v>59.45</v>
      </c>
      <c r="AC130" s="3">
        <f ca="1">IFERROR(__xludf.DUMMYFUNCTION("""COMPUTED_VALUE"""),50.75)</f>
        <v>50.75</v>
      </c>
      <c r="AD130" s="3">
        <f ca="1">IFERROR(__xludf.DUMMYFUNCTION("""COMPUTED_VALUE"""),8.41)</f>
        <v>8.41</v>
      </c>
      <c r="AE130" s="3">
        <f ca="1">IFERROR(__xludf.DUMMYFUNCTION("""COMPUTED_VALUE"""),13.53)</f>
        <v>13.53</v>
      </c>
      <c r="AF130" s="3">
        <f ca="1">IFERROR(__xludf.DUMMYFUNCTION("""COMPUTED_VALUE"""),2.32)</f>
        <v>2.3199999999999998</v>
      </c>
      <c r="AG130" s="3">
        <f ca="1">IFERROR(__xludf.DUMMYFUNCTION("""COMPUTED_VALUE"""),23.28)</f>
        <v>23.28</v>
      </c>
    </row>
    <row r="131" spans="1:33" ht="12.75" x14ac:dyDescent="0.2">
      <c r="A131" s="4">
        <f ca="1">IFERROR(__xludf.DUMMYFUNCTION("""COMPUTED_VALUE"""),44750.6666666666)</f>
        <v>44750.666666666599</v>
      </c>
      <c r="B131" s="3">
        <f ca="1">IFERROR(__xludf.DUMMYFUNCTION("""COMPUTED_VALUE"""),132.87)</f>
        <v>132.87</v>
      </c>
      <c r="C131" s="3">
        <f ca="1">IFERROR(__xludf.DUMMYFUNCTION("""COMPUTED_VALUE"""),342.54)</f>
        <v>342.54</v>
      </c>
      <c r="D131" s="3">
        <f ca="1">IFERROR(__xludf.DUMMYFUNCTION("""COMPUTED_VALUE"""),84.46)</f>
        <v>84.46</v>
      </c>
      <c r="E131" s="3">
        <f ca="1">IFERROR(__xludf.DUMMYFUNCTION("""COMPUTED_VALUE"""),119.52)</f>
        <v>119.52</v>
      </c>
      <c r="F131" s="3">
        <f ca="1">IFERROR(__xludf.DUMMYFUNCTION("""COMPUTED_VALUE"""),48.63)</f>
        <v>48.63</v>
      </c>
      <c r="G131" s="3">
        <f ca="1">IFERROR(__xludf.DUMMYFUNCTION("""COMPUTED_VALUE"""),21.25)</f>
        <v>21.25</v>
      </c>
      <c r="H131" s="3">
        <f ca="1">IFERROR(__xludf.DUMMYFUNCTION("""COMPUTED_VALUE"""),24.37)</f>
        <v>24.37</v>
      </c>
      <c r="I131" s="3">
        <f ca="1">IFERROR(__xludf.DUMMYFUNCTION("""COMPUTED_VALUE"""),130.74)</f>
        <v>130.74</v>
      </c>
      <c r="J131" s="3">
        <f ca="1">IFERROR(__xludf.DUMMYFUNCTION("""COMPUTED_VALUE"""),242)</f>
        <v>242</v>
      </c>
      <c r="K131" s="3">
        <f ca="1">IFERROR(__xludf.DUMMYFUNCTION("""COMPUTED_VALUE"""),126.66)</f>
        <v>126.66</v>
      </c>
      <c r="L131" s="3">
        <f ca="1">IFERROR(__xludf.DUMMYFUNCTION("""COMPUTED_VALUE"""),84.43)</f>
        <v>84.43</v>
      </c>
      <c r="M131" s="3">
        <f ca="1">IFERROR(__xludf.DUMMYFUNCTION("""COMPUTED_VALUE"""),61.95)</f>
        <v>61.95</v>
      </c>
      <c r="N131" s="3">
        <f ca="1">IFERROR(__xludf.DUMMYFUNCTION("""COMPUTED_VALUE"""),62.34)</f>
        <v>62.34</v>
      </c>
      <c r="O131" s="3">
        <f ca="1">IFERROR(__xludf.DUMMYFUNCTION("""COMPUTED_VALUE"""),56.36)</f>
        <v>56.36</v>
      </c>
      <c r="P131" s="3">
        <f ca="1">IFERROR(__xludf.DUMMYFUNCTION("""COMPUTED_VALUE"""),70.95)</f>
        <v>70.95</v>
      </c>
      <c r="Q131" s="3">
        <f ca="1">IFERROR(__xludf.DUMMYFUNCTION("""COMPUTED_VALUE"""),98.4)</f>
        <v>98.4</v>
      </c>
      <c r="R131" s="3">
        <f ca="1">IFERROR(__xludf.DUMMYFUNCTION("""COMPUTED_VALUE"""),73.02)</f>
        <v>73.02</v>
      </c>
      <c r="S131" s="3">
        <f ca="1">IFERROR(__xludf.DUMMYFUNCTION("""COMPUTED_VALUE"""),42.96)</f>
        <v>42.96</v>
      </c>
      <c r="T131" s="3">
        <f ca="1">IFERROR(__xludf.DUMMYFUNCTION("""COMPUTED_VALUE"""),26.07)</f>
        <v>26.07</v>
      </c>
      <c r="U131" s="3">
        <f ca="1">IFERROR(__xludf.DUMMYFUNCTION("""COMPUTED_VALUE"""),78.54)</f>
        <v>78.540000000000006</v>
      </c>
      <c r="V131" s="3">
        <f ca="1">IFERROR(__xludf.DUMMYFUNCTION("""COMPUTED_VALUE"""),76.68)</f>
        <v>76.680000000000007</v>
      </c>
      <c r="W131" s="3">
        <f ca="1">IFERROR(__xludf.DUMMYFUNCTION("""COMPUTED_VALUE"""),32.08)</f>
        <v>32.08</v>
      </c>
      <c r="X131" s="3">
        <f ca="1">IFERROR(__xludf.DUMMYFUNCTION("""COMPUTED_VALUE"""),78.75)</f>
        <v>78.75</v>
      </c>
      <c r="Y131" s="3">
        <f ca="1">IFERROR(__xludf.DUMMYFUNCTION("""COMPUTED_VALUE"""),44.85)</f>
        <v>44.85</v>
      </c>
      <c r="Z131" s="3">
        <f ca="1">IFERROR(__xludf.DUMMYFUNCTION("""COMPUTED_VALUE"""),71.35)</f>
        <v>71.349999999999994</v>
      </c>
      <c r="AA131" s="3">
        <f ca="1">IFERROR(__xludf.DUMMYFUNCTION("""COMPUTED_VALUE"""),41.23)</f>
        <v>41.23</v>
      </c>
      <c r="AB131" s="3">
        <f ca="1">IFERROR(__xludf.DUMMYFUNCTION("""COMPUTED_VALUE"""),59.27)</f>
        <v>59.27</v>
      </c>
      <c r="AC131" s="3">
        <f ca="1">IFERROR(__xludf.DUMMYFUNCTION("""COMPUTED_VALUE"""),50.62)</f>
        <v>50.62</v>
      </c>
      <c r="AD131" s="3">
        <f ca="1">IFERROR(__xludf.DUMMYFUNCTION("""COMPUTED_VALUE"""),8.39)</f>
        <v>8.39</v>
      </c>
      <c r="AE131" s="3">
        <f ca="1">IFERROR(__xludf.DUMMYFUNCTION("""COMPUTED_VALUE"""),13.48)</f>
        <v>13.48</v>
      </c>
      <c r="AF131" s="3">
        <f ca="1">IFERROR(__xludf.DUMMYFUNCTION("""COMPUTED_VALUE"""),2.52)</f>
        <v>2.52</v>
      </c>
      <c r="AG131" s="3">
        <f ca="1">IFERROR(__xludf.DUMMYFUNCTION("""COMPUTED_VALUE"""),24.28)</f>
        <v>24.28</v>
      </c>
    </row>
    <row r="132" spans="1:33" ht="12.75" x14ac:dyDescent="0.2">
      <c r="A132" s="4">
        <f ca="1">IFERROR(__xludf.DUMMYFUNCTION("""COMPUTED_VALUE"""),44753.6666666666)</f>
        <v>44753.666666666599</v>
      </c>
      <c r="B132" s="3">
        <f ca="1">IFERROR(__xludf.DUMMYFUNCTION("""COMPUTED_VALUE"""),131.04)</f>
        <v>131.04</v>
      </c>
      <c r="C132" s="3">
        <f ca="1">IFERROR(__xludf.DUMMYFUNCTION("""COMPUTED_VALUE"""),337.06)</f>
        <v>337.06</v>
      </c>
      <c r="D132" s="3">
        <f ca="1">IFERROR(__xludf.DUMMYFUNCTION("""COMPUTED_VALUE"""),82.65)</f>
        <v>82.65</v>
      </c>
      <c r="E132" s="3">
        <f ca="1">IFERROR(__xludf.DUMMYFUNCTION("""COMPUTED_VALUE"""),116.76)</f>
        <v>116.76</v>
      </c>
      <c r="F132" s="3">
        <f ca="1">IFERROR(__xludf.DUMMYFUNCTION("""COMPUTED_VALUE"""),47.83)</f>
        <v>47.83</v>
      </c>
      <c r="G132" s="3">
        <f ca="1">IFERROR(__xludf.DUMMYFUNCTION("""COMPUTED_VALUE"""),20.66)</f>
        <v>20.66</v>
      </c>
      <c r="H132" s="3">
        <f ca="1">IFERROR(__xludf.DUMMYFUNCTION("""COMPUTED_VALUE"""),23.82)</f>
        <v>23.82</v>
      </c>
      <c r="I132" s="3">
        <f ca="1">IFERROR(__xludf.DUMMYFUNCTION("""COMPUTED_VALUE"""),130.41)</f>
        <v>130.41</v>
      </c>
      <c r="J132" s="3">
        <f ca="1">IFERROR(__xludf.DUMMYFUNCTION("""COMPUTED_VALUE"""),240.54)</f>
        <v>240.54</v>
      </c>
      <c r="K132" s="3">
        <f ca="1">IFERROR(__xludf.DUMMYFUNCTION("""COMPUTED_VALUE"""),124.31)</f>
        <v>124.31</v>
      </c>
      <c r="L132" s="3">
        <f ca="1">IFERROR(__xludf.DUMMYFUNCTION("""COMPUTED_VALUE"""),80.69)</f>
        <v>80.69</v>
      </c>
      <c r="M132" s="3">
        <f ca="1">IFERROR(__xludf.DUMMYFUNCTION("""COMPUTED_VALUE"""),60.6)</f>
        <v>60.6</v>
      </c>
      <c r="N132" s="3">
        <f ca="1">IFERROR(__xludf.DUMMYFUNCTION("""COMPUTED_VALUE"""),61.99)</f>
        <v>61.99</v>
      </c>
      <c r="O132" s="3">
        <f ca="1">IFERROR(__xludf.DUMMYFUNCTION("""COMPUTED_VALUE"""),54.28)</f>
        <v>54.28</v>
      </c>
      <c r="P132" s="3">
        <f ca="1">IFERROR(__xludf.DUMMYFUNCTION("""COMPUTED_VALUE"""),70.27)</f>
        <v>70.27</v>
      </c>
      <c r="Q132" s="3">
        <f ca="1">IFERROR(__xludf.DUMMYFUNCTION("""COMPUTED_VALUE"""),97.42)</f>
        <v>97.42</v>
      </c>
      <c r="R132" s="3">
        <f ca="1">IFERROR(__xludf.DUMMYFUNCTION("""COMPUTED_VALUE"""),72.82)</f>
        <v>72.819999999999993</v>
      </c>
      <c r="S132" s="3">
        <f ca="1">IFERROR(__xludf.DUMMYFUNCTION("""COMPUTED_VALUE"""),42.25)</f>
        <v>42.25</v>
      </c>
      <c r="T132" s="3">
        <f ca="1">IFERROR(__xludf.DUMMYFUNCTION("""COMPUTED_VALUE"""),26.02)</f>
        <v>26.02</v>
      </c>
      <c r="U132" s="3">
        <f ca="1">IFERROR(__xludf.DUMMYFUNCTION("""COMPUTED_VALUE"""),78.23)</f>
        <v>78.23</v>
      </c>
      <c r="V132" s="3">
        <f ca="1">IFERROR(__xludf.DUMMYFUNCTION("""COMPUTED_VALUE"""),73.05)</f>
        <v>73.05</v>
      </c>
      <c r="W132" s="3">
        <f ca="1">IFERROR(__xludf.DUMMYFUNCTION("""COMPUTED_VALUE"""),31.82)</f>
        <v>31.82</v>
      </c>
      <c r="X132" s="3">
        <f ca="1">IFERROR(__xludf.DUMMYFUNCTION("""COMPUTED_VALUE"""),78.03)</f>
        <v>78.03</v>
      </c>
      <c r="Y132" s="3">
        <f ca="1">IFERROR(__xludf.DUMMYFUNCTION("""COMPUTED_VALUE"""),44.39)</f>
        <v>44.39</v>
      </c>
      <c r="Z132" s="3">
        <f ca="1">IFERROR(__xludf.DUMMYFUNCTION("""COMPUTED_VALUE"""),70.77)</f>
        <v>70.77</v>
      </c>
      <c r="AA132" s="3">
        <f ca="1">IFERROR(__xludf.DUMMYFUNCTION("""COMPUTED_VALUE"""),41.23)</f>
        <v>41.23</v>
      </c>
      <c r="AB132" s="3">
        <f ca="1">IFERROR(__xludf.DUMMYFUNCTION("""COMPUTED_VALUE"""),58.68)</f>
        <v>58.68</v>
      </c>
      <c r="AC132" s="3">
        <f ca="1">IFERROR(__xludf.DUMMYFUNCTION("""COMPUTED_VALUE"""),50.22)</f>
        <v>50.22</v>
      </c>
      <c r="AD132" s="3">
        <f ca="1">IFERROR(__xludf.DUMMYFUNCTION("""COMPUTED_VALUE"""),7.88)</f>
        <v>7.88</v>
      </c>
      <c r="AE132" s="3">
        <f ca="1">IFERROR(__xludf.DUMMYFUNCTION("""COMPUTED_VALUE"""),12.66)</f>
        <v>12.66</v>
      </c>
      <c r="AF132" s="3">
        <f ca="1">IFERROR(__xludf.DUMMYFUNCTION("""COMPUTED_VALUE"""),2.47)</f>
        <v>2.4700000000000002</v>
      </c>
      <c r="AG132" s="3">
        <f ca="1">IFERROR(__xludf.DUMMYFUNCTION("""COMPUTED_VALUE"""),22.6)</f>
        <v>22.6</v>
      </c>
    </row>
    <row r="133" spans="1:33" ht="12.75" x14ac:dyDescent="0.2">
      <c r="A133" s="4">
        <f ca="1">IFERROR(__xludf.DUMMYFUNCTION("""COMPUTED_VALUE"""),44754.6666666666)</f>
        <v>44754.666666666599</v>
      </c>
      <c r="B133" s="3">
        <f ca="1">IFERROR(__xludf.DUMMYFUNCTION("""COMPUTED_VALUE"""),129.25)</f>
        <v>129.25</v>
      </c>
      <c r="C133" s="3">
        <f ca="1">IFERROR(__xludf.DUMMYFUNCTION("""COMPUTED_VALUE"""),332.44)</f>
        <v>332.44</v>
      </c>
      <c r="D133" s="3">
        <f ca="1">IFERROR(__xludf.DUMMYFUNCTION("""COMPUTED_VALUE"""),81.38)</f>
        <v>81.38</v>
      </c>
      <c r="E133" s="3">
        <f ca="1">IFERROR(__xludf.DUMMYFUNCTION("""COMPUTED_VALUE"""),117.09)</f>
        <v>117.09</v>
      </c>
      <c r="F133" s="3">
        <f ca="1">IFERROR(__xludf.DUMMYFUNCTION("""COMPUTED_VALUE"""),46.43)</f>
        <v>46.43</v>
      </c>
      <c r="G133" s="3">
        <f ca="1">IFERROR(__xludf.DUMMYFUNCTION("""COMPUTED_VALUE"""),20.23)</f>
        <v>20.23</v>
      </c>
      <c r="H133" s="3">
        <f ca="1">IFERROR(__xludf.DUMMYFUNCTION("""COMPUTED_VALUE"""),23.61)</f>
        <v>23.61</v>
      </c>
      <c r="I133" s="3">
        <f ca="1">IFERROR(__xludf.DUMMYFUNCTION("""COMPUTED_VALUE"""),128.75)</f>
        <v>128.75</v>
      </c>
      <c r="J133" s="3">
        <f ca="1">IFERROR(__xludf.DUMMYFUNCTION("""COMPUTED_VALUE"""),237.65)</f>
        <v>237.65</v>
      </c>
      <c r="K133" s="3">
        <f ca="1">IFERROR(__xludf.DUMMYFUNCTION("""COMPUTED_VALUE"""),123.5)</f>
        <v>123.5</v>
      </c>
      <c r="L133" s="3">
        <f ca="1">IFERROR(__xludf.DUMMYFUNCTION("""COMPUTED_VALUE"""),81.87)</f>
        <v>81.87</v>
      </c>
      <c r="M133" s="3">
        <f ca="1">IFERROR(__xludf.DUMMYFUNCTION("""COMPUTED_VALUE"""),60.4)</f>
        <v>60.4</v>
      </c>
      <c r="N133" s="3">
        <f ca="1">IFERROR(__xludf.DUMMYFUNCTION("""COMPUTED_VALUE"""),61.21)</f>
        <v>61.21</v>
      </c>
      <c r="O133" s="3">
        <f ca="1">IFERROR(__xludf.DUMMYFUNCTION("""COMPUTED_VALUE"""),55.08)</f>
        <v>55.08</v>
      </c>
      <c r="P133" s="3">
        <f ca="1">IFERROR(__xludf.DUMMYFUNCTION("""COMPUTED_VALUE"""),68.9)</f>
        <v>68.900000000000006</v>
      </c>
      <c r="Q133" s="3">
        <f ca="1">IFERROR(__xludf.DUMMYFUNCTION("""COMPUTED_VALUE"""),95.49)</f>
        <v>95.49</v>
      </c>
      <c r="R133" s="3">
        <f ca="1">IFERROR(__xludf.DUMMYFUNCTION("""COMPUTED_VALUE"""),72.68)</f>
        <v>72.680000000000007</v>
      </c>
      <c r="S133" s="3">
        <f ca="1">IFERROR(__xludf.DUMMYFUNCTION("""COMPUTED_VALUE"""),42.45)</f>
        <v>42.45</v>
      </c>
      <c r="T133" s="3">
        <f ca="1">IFERROR(__xludf.DUMMYFUNCTION("""COMPUTED_VALUE"""),24.84)</f>
        <v>24.84</v>
      </c>
      <c r="U133" s="3">
        <f ca="1">IFERROR(__xludf.DUMMYFUNCTION("""COMPUTED_VALUE"""),72.81)</f>
        <v>72.81</v>
      </c>
      <c r="V133" s="3">
        <f ca="1">IFERROR(__xludf.DUMMYFUNCTION("""COMPUTED_VALUE"""),70.61)</f>
        <v>70.61</v>
      </c>
      <c r="W133" s="3">
        <f ca="1">IFERROR(__xludf.DUMMYFUNCTION("""COMPUTED_VALUE"""),31.62)</f>
        <v>31.62</v>
      </c>
      <c r="X133" s="3">
        <f ca="1">IFERROR(__xludf.DUMMYFUNCTION("""COMPUTED_VALUE"""),77.61)</f>
        <v>77.61</v>
      </c>
      <c r="Y133" s="3">
        <f ca="1">IFERROR(__xludf.DUMMYFUNCTION("""COMPUTED_VALUE"""),44.46)</f>
        <v>44.46</v>
      </c>
      <c r="Z133" s="3">
        <f ca="1">IFERROR(__xludf.DUMMYFUNCTION("""COMPUTED_VALUE"""),70.32)</f>
        <v>70.319999999999993</v>
      </c>
      <c r="AA133" s="3">
        <f ca="1">IFERROR(__xludf.DUMMYFUNCTION("""COMPUTED_VALUE"""),40.97)</f>
        <v>40.97</v>
      </c>
      <c r="AB133" s="3">
        <f ca="1">IFERROR(__xludf.DUMMYFUNCTION("""COMPUTED_VALUE"""),58.66)</f>
        <v>58.66</v>
      </c>
      <c r="AC133" s="3">
        <f ca="1">IFERROR(__xludf.DUMMYFUNCTION("""COMPUTED_VALUE"""),50.01)</f>
        <v>50.01</v>
      </c>
      <c r="AD133" s="3">
        <f ca="1">IFERROR(__xludf.DUMMYFUNCTION("""COMPUTED_VALUE"""),7.44)</f>
        <v>7.44</v>
      </c>
      <c r="AE133" s="3">
        <f ca="1">IFERROR(__xludf.DUMMYFUNCTION("""COMPUTED_VALUE"""),11.95)</f>
        <v>11.95</v>
      </c>
      <c r="AF133" s="3">
        <f ca="1">IFERROR(__xludf.DUMMYFUNCTION("""COMPUTED_VALUE"""),2.38)</f>
        <v>2.38</v>
      </c>
      <c r="AG133" s="3">
        <f ca="1">IFERROR(__xludf.DUMMYFUNCTION("""COMPUTED_VALUE"""),22.28)</f>
        <v>22.28</v>
      </c>
    </row>
    <row r="134" spans="1:33" ht="12.75" x14ac:dyDescent="0.2">
      <c r="A134" s="4">
        <f ca="1">IFERROR(__xludf.DUMMYFUNCTION("""COMPUTED_VALUE"""),44755.6666666666)</f>
        <v>44755.666666666599</v>
      </c>
      <c r="B134" s="3">
        <f ca="1">IFERROR(__xludf.DUMMYFUNCTION("""COMPUTED_VALUE"""),128.91)</f>
        <v>128.91</v>
      </c>
      <c r="C134" s="3">
        <f ca="1">IFERROR(__xludf.DUMMYFUNCTION("""COMPUTED_VALUE"""),331.67)</f>
        <v>331.67</v>
      </c>
      <c r="D134" s="3">
        <f ca="1">IFERROR(__xludf.DUMMYFUNCTION("""COMPUTED_VALUE"""),80.99)</f>
        <v>80.989999999999995</v>
      </c>
      <c r="E134" s="3">
        <f ca="1">IFERROR(__xludf.DUMMYFUNCTION("""COMPUTED_VALUE"""),117.75)</f>
        <v>117.75</v>
      </c>
      <c r="F134" s="3">
        <f ca="1">IFERROR(__xludf.DUMMYFUNCTION("""COMPUTED_VALUE"""),46.24)</f>
        <v>46.24</v>
      </c>
      <c r="G134" s="3">
        <f ca="1">IFERROR(__xludf.DUMMYFUNCTION("""COMPUTED_VALUE"""),20.14)</f>
        <v>20.14</v>
      </c>
      <c r="H134" s="3">
        <f ca="1">IFERROR(__xludf.DUMMYFUNCTION("""COMPUTED_VALUE"""),23.53)</f>
        <v>23.53</v>
      </c>
      <c r="I134" s="3">
        <f ca="1">IFERROR(__xludf.DUMMYFUNCTION("""COMPUTED_VALUE"""),127.5)</f>
        <v>127.5</v>
      </c>
      <c r="J134" s="3">
        <f ca="1">IFERROR(__xludf.DUMMYFUNCTION("""COMPUTED_VALUE"""),235.82)</f>
        <v>235.82</v>
      </c>
      <c r="K134" s="3">
        <f ca="1">IFERROR(__xludf.DUMMYFUNCTION("""COMPUTED_VALUE"""),123.55)</f>
        <v>123.55</v>
      </c>
      <c r="L134" s="3">
        <f ca="1">IFERROR(__xludf.DUMMYFUNCTION("""COMPUTED_VALUE"""),83.24)</f>
        <v>83.24</v>
      </c>
      <c r="M134" s="3">
        <f ca="1">IFERROR(__xludf.DUMMYFUNCTION("""COMPUTED_VALUE"""),60.67)</f>
        <v>60.67</v>
      </c>
      <c r="N134" s="3">
        <f ca="1">IFERROR(__xludf.DUMMYFUNCTION("""COMPUTED_VALUE"""),60.75)</f>
        <v>60.75</v>
      </c>
      <c r="O134" s="3">
        <f ca="1">IFERROR(__xludf.DUMMYFUNCTION("""COMPUTED_VALUE"""),56.24)</f>
        <v>56.24</v>
      </c>
      <c r="P134" s="3">
        <f ca="1">IFERROR(__xludf.DUMMYFUNCTION("""COMPUTED_VALUE"""),68.79)</f>
        <v>68.790000000000006</v>
      </c>
      <c r="Q134" s="3">
        <f ca="1">IFERROR(__xludf.DUMMYFUNCTION("""COMPUTED_VALUE"""),95.49)</f>
        <v>95.49</v>
      </c>
      <c r="R134" s="3">
        <f ca="1">IFERROR(__xludf.DUMMYFUNCTION("""COMPUTED_VALUE"""),72.26)</f>
        <v>72.260000000000005</v>
      </c>
      <c r="S134" s="3">
        <f ca="1">IFERROR(__xludf.DUMMYFUNCTION("""COMPUTED_VALUE"""),43.37)</f>
        <v>43.37</v>
      </c>
      <c r="T134" s="3">
        <f ca="1">IFERROR(__xludf.DUMMYFUNCTION("""COMPUTED_VALUE"""),24.98)</f>
        <v>24.98</v>
      </c>
      <c r="U134" s="3">
        <f ca="1">IFERROR(__xludf.DUMMYFUNCTION("""COMPUTED_VALUE"""),73.19)</f>
        <v>73.19</v>
      </c>
      <c r="V134" s="3">
        <f ca="1">IFERROR(__xludf.DUMMYFUNCTION("""COMPUTED_VALUE"""),71.12)</f>
        <v>71.12</v>
      </c>
      <c r="W134" s="3">
        <f ca="1">IFERROR(__xludf.DUMMYFUNCTION("""COMPUTED_VALUE"""),31.34)</f>
        <v>31.34</v>
      </c>
      <c r="X134" s="3">
        <f ca="1">IFERROR(__xludf.DUMMYFUNCTION("""COMPUTED_VALUE"""),76.78)</f>
        <v>76.78</v>
      </c>
      <c r="Y134" s="3">
        <f ca="1">IFERROR(__xludf.DUMMYFUNCTION("""COMPUTED_VALUE"""),43.79)</f>
        <v>43.79</v>
      </c>
      <c r="Z134" s="3">
        <f ca="1">IFERROR(__xludf.DUMMYFUNCTION("""COMPUTED_VALUE"""),69.62)</f>
        <v>69.62</v>
      </c>
      <c r="AA134" s="3">
        <f ca="1">IFERROR(__xludf.DUMMYFUNCTION("""COMPUTED_VALUE"""),40.75)</f>
        <v>40.75</v>
      </c>
      <c r="AB134" s="3">
        <f ca="1">IFERROR(__xludf.DUMMYFUNCTION("""COMPUTED_VALUE"""),57.67)</f>
        <v>57.67</v>
      </c>
      <c r="AC134" s="3">
        <f ca="1">IFERROR(__xludf.DUMMYFUNCTION("""COMPUTED_VALUE"""),49.52)</f>
        <v>49.52</v>
      </c>
      <c r="AD134" s="3">
        <f ca="1">IFERROR(__xludf.DUMMYFUNCTION("""COMPUTED_VALUE"""),7.56)</f>
        <v>7.56</v>
      </c>
      <c r="AE134" s="3">
        <f ca="1">IFERROR(__xludf.DUMMYFUNCTION("""COMPUTED_VALUE"""),12.12)</f>
        <v>12.12</v>
      </c>
      <c r="AF134" s="3">
        <f ca="1">IFERROR(__xludf.DUMMYFUNCTION("""COMPUTED_VALUE"""),2.41)</f>
        <v>2.41</v>
      </c>
      <c r="AG134" s="3">
        <f ca="1">IFERROR(__xludf.DUMMYFUNCTION("""COMPUTED_VALUE"""),22.12)</f>
        <v>22.12</v>
      </c>
    </row>
    <row r="135" spans="1:33" ht="12.75" x14ac:dyDescent="0.2">
      <c r="A135" s="4">
        <f ca="1">IFERROR(__xludf.DUMMYFUNCTION("""COMPUTED_VALUE"""),44756.6666666666)</f>
        <v>44756.666666666599</v>
      </c>
      <c r="B135" s="3">
        <f ca="1">IFERROR(__xludf.DUMMYFUNCTION("""COMPUTED_VALUE"""),130.09)</f>
        <v>130.09</v>
      </c>
      <c r="C135" s="3">
        <f ca="1">IFERROR(__xludf.DUMMYFUNCTION("""COMPUTED_VALUE"""),333.9)</f>
        <v>333.9</v>
      </c>
      <c r="D135" s="3">
        <f ca="1">IFERROR(__xludf.DUMMYFUNCTION("""COMPUTED_VALUE"""),81.3)</f>
        <v>81.3</v>
      </c>
      <c r="E135" s="3">
        <f ca="1">IFERROR(__xludf.DUMMYFUNCTION("""COMPUTED_VALUE"""),120.25)</f>
        <v>120.25</v>
      </c>
      <c r="F135" s="3">
        <f ca="1">IFERROR(__xludf.DUMMYFUNCTION("""COMPUTED_VALUE"""),45.61)</f>
        <v>45.61</v>
      </c>
      <c r="G135" s="3">
        <f ca="1">IFERROR(__xludf.DUMMYFUNCTION("""COMPUTED_VALUE"""),20.08)</f>
        <v>20.079999999999998</v>
      </c>
      <c r="H135" s="3">
        <f ca="1">IFERROR(__xludf.DUMMYFUNCTION("""COMPUTED_VALUE"""),23.29)</f>
        <v>23.29</v>
      </c>
      <c r="I135" s="3">
        <f ca="1">IFERROR(__xludf.DUMMYFUNCTION("""COMPUTED_VALUE"""),127.13)</f>
        <v>127.13</v>
      </c>
      <c r="J135" s="3">
        <f ca="1">IFERROR(__xludf.DUMMYFUNCTION("""COMPUTED_VALUE"""),234.92)</f>
        <v>234.92</v>
      </c>
      <c r="K135" s="3">
        <f ca="1">IFERROR(__xludf.DUMMYFUNCTION("""COMPUTED_VALUE"""),121.47)</f>
        <v>121.47</v>
      </c>
      <c r="L135" s="3">
        <f ca="1">IFERROR(__xludf.DUMMYFUNCTION("""COMPUTED_VALUE"""),81.32)</f>
        <v>81.319999999999993</v>
      </c>
      <c r="M135" s="3">
        <f ca="1">IFERROR(__xludf.DUMMYFUNCTION("""COMPUTED_VALUE"""),59.72)</f>
        <v>59.72</v>
      </c>
      <c r="N135" s="3">
        <f ca="1">IFERROR(__xludf.DUMMYFUNCTION("""COMPUTED_VALUE"""),60.52)</f>
        <v>60.52</v>
      </c>
      <c r="O135" s="3">
        <f ca="1">IFERROR(__xludf.DUMMYFUNCTION("""COMPUTED_VALUE"""),55.48)</f>
        <v>55.48</v>
      </c>
      <c r="P135" s="3">
        <f ca="1">IFERROR(__xludf.DUMMYFUNCTION("""COMPUTED_VALUE"""),67.49)</f>
        <v>67.489999999999995</v>
      </c>
      <c r="Q135" s="3">
        <f ca="1">IFERROR(__xludf.DUMMYFUNCTION("""COMPUTED_VALUE"""),93.77)</f>
        <v>93.77</v>
      </c>
      <c r="R135" s="3">
        <f ca="1">IFERROR(__xludf.DUMMYFUNCTION("""COMPUTED_VALUE"""),70.93)</f>
        <v>70.930000000000007</v>
      </c>
      <c r="S135" s="3">
        <f ca="1">IFERROR(__xludf.DUMMYFUNCTION("""COMPUTED_VALUE"""),42.09)</f>
        <v>42.09</v>
      </c>
      <c r="T135" s="3">
        <f ca="1">IFERROR(__xludf.DUMMYFUNCTION("""COMPUTED_VALUE"""),24.75)</f>
        <v>24.75</v>
      </c>
      <c r="U135" s="3">
        <f ca="1">IFERROR(__xludf.DUMMYFUNCTION("""COMPUTED_VALUE"""),72.85)</f>
        <v>72.849999999999994</v>
      </c>
      <c r="V135" s="3">
        <f ca="1">IFERROR(__xludf.DUMMYFUNCTION("""COMPUTED_VALUE"""),71.14)</f>
        <v>71.14</v>
      </c>
      <c r="W135" s="3">
        <f ca="1">IFERROR(__xludf.DUMMYFUNCTION("""COMPUTED_VALUE"""),30.74)</f>
        <v>30.74</v>
      </c>
      <c r="X135" s="3">
        <f ca="1">IFERROR(__xludf.DUMMYFUNCTION("""COMPUTED_VALUE"""),75.35)</f>
        <v>75.349999999999994</v>
      </c>
      <c r="Y135" s="3">
        <f ca="1">IFERROR(__xludf.DUMMYFUNCTION("""COMPUTED_VALUE"""),43.11)</f>
        <v>43.11</v>
      </c>
      <c r="Z135" s="3">
        <f ca="1">IFERROR(__xludf.DUMMYFUNCTION("""COMPUTED_VALUE"""),68.29)</f>
        <v>68.290000000000006</v>
      </c>
      <c r="AA135" s="3">
        <f ca="1">IFERROR(__xludf.DUMMYFUNCTION("""COMPUTED_VALUE"""),40.35)</f>
        <v>40.35</v>
      </c>
      <c r="AB135" s="3">
        <f ca="1">IFERROR(__xludf.DUMMYFUNCTION("""COMPUTED_VALUE"""),56.83)</f>
        <v>56.83</v>
      </c>
      <c r="AC135" s="3">
        <f ca="1">IFERROR(__xludf.DUMMYFUNCTION("""COMPUTED_VALUE"""),48.85)</f>
        <v>48.85</v>
      </c>
      <c r="AD135" s="3">
        <f ca="1">IFERROR(__xludf.DUMMYFUNCTION("""COMPUTED_VALUE"""),7.95)</f>
        <v>7.95</v>
      </c>
      <c r="AE135" s="3">
        <f ca="1">IFERROR(__xludf.DUMMYFUNCTION("""COMPUTED_VALUE"""),12.75)</f>
        <v>12.75</v>
      </c>
      <c r="AF135" s="3">
        <f ca="1">IFERROR(__xludf.DUMMYFUNCTION("""COMPUTED_VALUE"""),2.41)</f>
        <v>2.41</v>
      </c>
      <c r="AG135" s="3">
        <f ca="1">IFERROR(__xludf.DUMMYFUNCTION("""COMPUTED_VALUE"""),22.4)</f>
        <v>22.4</v>
      </c>
    </row>
    <row r="136" spans="1:33" ht="12.75" x14ac:dyDescent="0.2">
      <c r="A136" s="4">
        <f ca="1">IFERROR(__xludf.DUMMYFUNCTION("""COMPUTED_VALUE"""),44757.6666666666)</f>
        <v>44757.666666666599</v>
      </c>
      <c r="B136" s="3">
        <f ca="1">IFERROR(__xludf.DUMMYFUNCTION("""COMPUTED_VALUE"""),132.38)</f>
        <v>132.38</v>
      </c>
      <c r="C136" s="3">
        <f ca="1">IFERROR(__xludf.DUMMYFUNCTION("""COMPUTED_VALUE"""),340.03)</f>
        <v>340.03</v>
      </c>
      <c r="D136" s="3">
        <f ca="1">IFERROR(__xludf.DUMMYFUNCTION("""COMPUTED_VALUE"""),82.8)</f>
        <v>82.8</v>
      </c>
      <c r="E136" s="3">
        <f ca="1">IFERROR(__xludf.DUMMYFUNCTION("""COMPUTED_VALUE"""),123.12)</f>
        <v>123.12</v>
      </c>
      <c r="F136" s="3">
        <f ca="1">IFERROR(__xludf.DUMMYFUNCTION("""COMPUTED_VALUE"""),46.46)</f>
        <v>46.46</v>
      </c>
      <c r="G136" s="3">
        <f ca="1">IFERROR(__xludf.DUMMYFUNCTION("""COMPUTED_VALUE"""),20.52)</f>
        <v>20.52</v>
      </c>
      <c r="H136" s="3">
        <f ca="1">IFERROR(__xludf.DUMMYFUNCTION("""COMPUTED_VALUE"""),23.74)</f>
        <v>23.74</v>
      </c>
      <c r="I136" s="3">
        <f ca="1">IFERROR(__xludf.DUMMYFUNCTION("""COMPUTED_VALUE"""),130.2)</f>
        <v>130.19999999999999</v>
      </c>
      <c r="J136" s="3">
        <f ca="1">IFERROR(__xludf.DUMMYFUNCTION("""COMPUTED_VALUE"""),240.3)</f>
        <v>240.3</v>
      </c>
      <c r="K136" s="3">
        <f ca="1">IFERROR(__xludf.DUMMYFUNCTION("""COMPUTED_VALUE"""),123.25)</f>
        <v>123.25</v>
      </c>
      <c r="L136" s="3">
        <f ca="1">IFERROR(__xludf.DUMMYFUNCTION("""COMPUTED_VALUE"""),82.37)</f>
        <v>82.37</v>
      </c>
      <c r="M136" s="3">
        <f ca="1">IFERROR(__xludf.DUMMYFUNCTION("""COMPUTED_VALUE"""),60.63)</f>
        <v>60.63</v>
      </c>
      <c r="N136" s="3">
        <f ca="1">IFERROR(__xludf.DUMMYFUNCTION("""COMPUTED_VALUE"""),61.92)</f>
        <v>61.92</v>
      </c>
      <c r="O136" s="3">
        <f ca="1">IFERROR(__xludf.DUMMYFUNCTION("""COMPUTED_VALUE"""),56.36)</f>
        <v>56.36</v>
      </c>
      <c r="P136" s="3">
        <f ca="1">IFERROR(__xludf.DUMMYFUNCTION("""COMPUTED_VALUE"""),68.59)</f>
        <v>68.59</v>
      </c>
      <c r="Q136" s="3">
        <f ca="1">IFERROR(__xludf.DUMMYFUNCTION("""COMPUTED_VALUE"""),95.55)</f>
        <v>95.55</v>
      </c>
      <c r="R136" s="3">
        <f ca="1">IFERROR(__xludf.DUMMYFUNCTION("""COMPUTED_VALUE"""),72.04)</f>
        <v>72.040000000000006</v>
      </c>
      <c r="S136" s="3">
        <f ca="1">IFERROR(__xludf.DUMMYFUNCTION("""COMPUTED_VALUE"""),42.91)</f>
        <v>42.91</v>
      </c>
      <c r="T136" s="3">
        <f ca="1">IFERROR(__xludf.DUMMYFUNCTION("""COMPUTED_VALUE"""),25.07)</f>
        <v>25.07</v>
      </c>
      <c r="U136" s="3">
        <f ca="1">IFERROR(__xludf.DUMMYFUNCTION("""COMPUTED_VALUE"""),73.74)</f>
        <v>73.739999999999995</v>
      </c>
      <c r="V136" s="3">
        <f ca="1">IFERROR(__xludf.DUMMYFUNCTION("""COMPUTED_VALUE"""),69.71)</f>
        <v>69.709999999999994</v>
      </c>
      <c r="W136" s="3">
        <f ca="1">IFERROR(__xludf.DUMMYFUNCTION("""COMPUTED_VALUE"""),31.78)</f>
        <v>31.78</v>
      </c>
      <c r="X136" s="3">
        <f ca="1">IFERROR(__xludf.DUMMYFUNCTION("""COMPUTED_VALUE"""),77.87)</f>
        <v>77.87</v>
      </c>
      <c r="Y136" s="3">
        <f ca="1">IFERROR(__xludf.DUMMYFUNCTION("""COMPUTED_VALUE"""),44.65)</f>
        <v>44.65</v>
      </c>
      <c r="Z136" s="3">
        <f ca="1">IFERROR(__xludf.DUMMYFUNCTION("""COMPUTED_VALUE"""),70.55)</f>
        <v>70.55</v>
      </c>
      <c r="AA136" s="3">
        <f ca="1">IFERROR(__xludf.DUMMYFUNCTION("""COMPUTED_VALUE"""),41)</f>
        <v>41</v>
      </c>
      <c r="AB136" s="3">
        <f ca="1">IFERROR(__xludf.DUMMYFUNCTION("""COMPUTED_VALUE"""),58.73)</f>
        <v>58.73</v>
      </c>
      <c r="AC136" s="3">
        <f ca="1">IFERROR(__xludf.DUMMYFUNCTION("""COMPUTED_VALUE"""),50.77)</f>
        <v>50.77</v>
      </c>
      <c r="AD136" s="3">
        <f ca="1">IFERROR(__xludf.DUMMYFUNCTION("""COMPUTED_VALUE"""),8.15)</f>
        <v>8.15</v>
      </c>
      <c r="AE136" s="3">
        <f ca="1">IFERROR(__xludf.DUMMYFUNCTION("""COMPUTED_VALUE"""),13.1)</f>
        <v>13.1</v>
      </c>
      <c r="AF136" s="3">
        <f ca="1">IFERROR(__xludf.DUMMYFUNCTION("""COMPUTED_VALUE"""),2.43)</f>
        <v>2.4300000000000002</v>
      </c>
      <c r="AG136" s="3">
        <f ca="1">IFERROR(__xludf.DUMMYFUNCTION("""COMPUTED_VALUE"""),22.92)</f>
        <v>22.92</v>
      </c>
    </row>
    <row r="137" spans="1:33" ht="12.75" x14ac:dyDescent="0.2">
      <c r="A137" s="4">
        <f ca="1">IFERROR(__xludf.DUMMYFUNCTION("""COMPUTED_VALUE"""),44760.6666666666)</f>
        <v>44760.666666666599</v>
      </c>
      <c r="B137" s="3">
        <f ca="1">IFERROR(__xludf.DUMMYFUNCTION("""COMPUTED_VALUE"""),131.1)</f>
        <v>131.1</v>
      </c>
      <c r="C137" s="3">
        <f ca="1">IFERROR(__xludf.DUMMYFUNCTION("""COMPUTED_VALUE"""),336.96)</f>
        <v>336.96</v>
      </c>
      <c r="D137" s="3">
        <f ca="1">IFERROR(__xludf.DUMMYFUNCTION("""COMPUTED_VALUE"""),82.02)</f>
        <v>82.02</v>
      </c>
      <c r="E137" s="3">
        <f ca="1">IFERROR(__xludf.DUMMYFUNCTION("""COMPUTED_VALUE"""),122.72)</f>
        <v>122.72</v>
      </c>
      <c r="F137" s="3">
        <f ca="1">IFERROR(__xludf.DUMMYFUNCTION("""COMPUTED_VALUE"""),46.53)</f>
        <v>46.53</v>
      </c>
      <c r="G137" s="3">
        <f ca="1">IFERROR(__xludf.DUMMYFUNCTION("""COMPUTED_VALUE"""),20.57)</f>
        <v>20.57</v>
      </c>
      <c r="H137" s="3">
        <f ca="1">IFERROR(__xludf.DUMMYFUNCTION("""COMPUTED_VALUE"""),23.69)</f>
        <v>23.69</v>
      </c>
      <c r="I137" s="3">
        <f ca="1">IFERROR(__xludf.DUMMYFUNCTION("""COMPUTED_VALUE"""),127.45)</f>
        <v>127.45</v>
      </c>
      <c r="J137" s="3">
        <f ca="1">IFERROR(__xludf.DUMMYFUNCTION("""COMPUTED_VALUE"""),235.27)</f>
        <v>235.27</v>
      </c>
      <c r="K137" s="3">
        <f ca="1">IFERROR(__xludf.DUMMYFUNCTION("""COMPUTED_VALUE"""),120.52)</f>
        <v>120.52</v>
      </c>
      <c r="L137" s="3">
        <f ca="1">IFERROR(__xludf.DUMMYFUNCTION("""COMPUTED_VALUE"""),79.74)</f>
        <v>79.739999999999995</v>
      </c>
      <c r="M137" s="3">
        <f ca="1">IFERROR(__xludf.DUMMYFUNCTION("""COMPUTED_VALUE"""),59.36)</f>
        <v>59.36</v>
      </c>
      <c r="N137" s="3">
        <f ca="1">IFERROR(__xludf.DUMMYFUNCTION("""COMPUTED_VALUE"""),60.55)</f>
        <v>60.55</v>
      </c>
      <c r="O137" s="3">
        <f ca="1">IFERROR(__xludf.DUMMYFUNCTION("""COMPUTED_VALUE"""),54.88)</f>
        <v>54.88</v>
      </c>
      <c r="P137" s="3">
        <f ca="1">IFERROR(__xludf.DUMMYFUNCTION("""COMPUTED_VALUE"""),70.16)</f>
        <v>70.16</v>
      </c>
      <c r="Q137" s="3">
        <f ca="1">IFERROR(__xludf.DUMMYFUNCTION("""COMPUTED_VALUE"""),97.62)</f>
        <v>97.62</v>
      </c>
      <c r="R137" s="3">
        <f ca="1">IFERROR(__xludf.DUMMYFUNCTION("""COMPUTED_VALUE"""),72.21)</f>
        <v>72.209999999999994</v>
      </c>
      <c r="S137" s="3">
        <f ca="1">IFERROR(__xludf.DUMMYFUNCTION("""COMPUTED_VALUE"""),43.63)</f>
        <v>43.63</v>
      </c>
      <c r="T137" s="3">
        <f ca="1">IFERROR(__xludf.DUMMYFUNCTION("""COMPUTED_VALUE"""),25.54)</f>
        <v>25.54</v>
      </c>
      <c r="U137" s="3">
        <f ca="1">IFERROR(__xludf.DUMMYFUNCTION("""COMPUTED_VALUE"""),76.81)</f>
        <v>76.81</v>
      </c>
      <c r="V137" s="3">
        <f ca="1">IFERROR(__xludf.DUMMYFUNCTION("""COMPUTED_VALUE"""),71.37)</f>
        <v>71.37</v>
      </c>
      <c r="W137" s="3">
        <f ca="1">IFERROR(__xludf.DUMMYFUNCTION("""COMPUTED_VALUE"""),31.66)</f>
        <v>31.66</v>
      </c>
      <c r="X137" s="3">
        <f ca="1">IFERROR(__xludf.DUMMYFUNCTION("""COMPUTED_VALUE"""),77.59)</f>
        <v>77.59</v>
      </c>
      <c r="Y137" s="3">
        <f ca="1">IFERROR(__xludf.DUMMYFUNCTION("""COMPUTED_VALUE"""),44.82)</f>
        <v>44.82</v>
      </c>
      <c r="Z137" s="3">
        <f ca="1">IFERROR(__xludf.DUMMYFUNCTION("""COMPUTED_VALUE"""),70.27)</f>
        <v>70.27</v>
      </c>
      <c r="AA137" s="3">
        <f ca="1">IFERROR(__xludf.DUMMYFUNCTION("""COMPUTED_VALUE"""),40.6)</f>
        <v>40.6</v>
      </c>
      <c r="AB137" s="3">
        <f ca="1">IFERROR(__xludf.DUMMYFUNCTION("""COMPUTED_VALUE"""),59.08)</f>
        <v>59.08</v>
      </c>
      <c r="AC137" s="3">
        <f ca="1">IFERROR(__xludf.DUMMYFUNCTION("""COMPUTED_VALUE"""),50.68)</f>
        <v>50.68</v>
      </c>
      <c r="AD137" s="3">
        <f ca="1">IFERROR(__xludf.DUMMYFUNCTION("""COMPUTED_VALUE"""),8.32)</f>
        <v>8.32</v>
      </c>
      <c r="AE137" s="3">
        <f ca="1">IFERROR(__xludf.DUMMYFUNCTION("""COMPUTED_VALUE"""),13.37)</f>
        <v>13.37</v>
      </c>
      <c r="AF137" s="3">
        <f ca="1">IFERROR(__xludf.DUMMYFUNCTION("""COMPUTED_VALUE"""),2.54)</f>
        <v>2.54</v>
      </c>
      <c r="AG137" s="3">
        <f ca="1">IFERROR(__xludf.DUMMYFUNCTION("""COMPUTED_VALUE"""),24.8)</f>
        <v>24.8</v>
      </c>
    </row>
    <row r="138" spans="1:33" ht="12.75" x14ac:dyDescent="0.2">
      <c r="A138" s="4">
        <f ca="1">IFERROR(__xludf.DUMMYFUNCTION("""COMPUTED_VALUE"""),44761.6666666666)</f>
        <v>44761.666666666599</v>
      </c>
      <c r="B138" s="3">
        <f ca="1">IFERROR(__xludf.DUMMYFUNCTION("""COMPUTED_VALUE"""),135.1)</f>
        <v>135.1</v>
      </c>
      <c r="C138" s="3">
        <f ca="1">IFERROR(__xludf.DUMMYFUNCTION("""COMPUTED_VALUE"""),347.1)</f>
        <v>347.1</v>
      </c>
      <c r="D138" s="3">
        <f ca="1">IFERROR(__xludf.DUMMYFUNCTION("""COMPUTED_VALUE"""),84.7)</f>
        <v>84.7</v>
      </c>
      <c r="E138" s="3">
        <f ca="1">IFERROR(__xludf.DUMMYFUNCTION("""COMPUTED_VALUE"""),128.13)</f>
        <v>128.13</v>
      </c>
      <c r="F138" s="3">
        <f ca="1">IFERROR(__xludf.DUMMYFUNCTION("""COMPUTED_VALUE"""),47.52)</f>
        <v>47.52</v>
      </c>
      <c r="G138" s="3">
        <f ca="1">IFERROR(__xludf.DUMMYFUNCTION("""COMPUTED_VALUE"""),21.3)</f>
        <v>21.3</v>
      </c>
      <c r="H138" s="3">
        <f ca="1">IFERROR(__xludf.DUMMYFUNCTION("""COMPUTED_VALUE"""),24.51)</f>
        <v>24.51</v>
      </c>
      <c r="I138" s="3">
        <f ca="1">IFERROR(__xludf.DUMMYFUNCTION("""COMPUTED_VALUE"""),129.62)</f>
        <v>129.62</v>
      </c>
      <c r="J138" s="3">
        <f ca="1">IFERROR(__xludf.DUMMYFUNCTION("""COMPUTED_VALUE"""),239.6)</f>
        <v>239.6</v>
      </c>
      <c r="K138" s="3">
        <f ca="1">IFERROR(__xludf.DUMMYFUNCTION("""COMPUTED_VALUE"""),123.62)</f>
        <v>123.62</v>
      </c>
      <c r="L138" s="3">
        <f ca="1">IFERROR(__xludf.DUMMYFUNCTION("""COMPUTED_VALUE"""),83.34)</f>
        <v>83.34</v>
      </c>
      <c r="M138" s="3">
        <f ca="1">IFERROR(__xludf.DUMMYFUNCTION("""COMPUTED_VALUE"""),60.87)</f>
        <v>60.87</v>
      </c>
      <c r="N138" s="3">
        <f ca="1">IFERROR(__xludf.DUMMYFUNCTION("""COMPUTED_VALUE"""),61.79)</f>
        <v>61.79</v>
      </c>
      <c r="O138" s="3">
        <f ca="1">IFERROR(__xludf.DUMMYFUNCTION("""COMPUTED_VALUE"""),57)</f>
        <v>57</v>
      </c>
      <c r="P138" s="3">
        <f ca="1">IFERROR(__xludf.DUMMYFUNCTION("""COMPUTED_VALUE"""),72.32)</f>
        <v>72.319999999999993</v>
      </c>
      <c r="Q138" s="3">
        <f ca="1">IFERROR(__xludf.DUMMYFUNCTION("""COMPUTED_VALUE"""),100.74)</f>
        <v>100.74</v>
      </c>
      <c r="R138" s="3">
        <f ca="1">IFERROR(__xludf.DUMMYFUNCTION("""COMPUTED_VALUE"""),74.41)</f>
        <v>74.41</v>
      </c>
      <c r="S138" s="3">
        <f ca="1">IFERROR(__xludf.DUMMYFUNCTION("""COMPUTED_VALUE"""),44.8)</f>
        <v>44.8</v>
      </c>
      <c r="T138" s="3">
        <f ca="1">IFERROR(__xludf.DUMMYFUNCTION("""COMPUTED_VALUE"""),25.64)</f>
        <v>25.64</v>
      </c>
      <c r="U138" s="3">
        <f ca="1">IFERROR(__xludf.DUMMYFUNCTION("""COMPUTED_VALUE"""),78.05)</f>
        <v>78.05</v>
      </c>
      <c r="V138" s="3">
        <f ca="1">IFERROR(__xludf.DUMMYFUNCTION("""COMPUTED_VALUE"""),72.61)</f>
        <v>72.61</v>
      </c>
      <c r="W138" s="3">
        <f ca="1">IFERROR(__xludf.DUMMYFUNCTION("""COMPUTED_VALUE"""),32.61)</f>
        <v>32.61</v>
      </c>
      <c r="X138" s="3">
        <f ca="1">IFERROR(__xludf.DUMMYFUNCTION("""COMPUTED_VALUE"""),79.99)</f>
        <v>79.989999999999995</v>
      </c>
      <c r="Y138" s="3">
        <f ca="1">IFERROR(__xludf.DUMMYFUNCTION("""COMPUTED_VALUE"""),46.22)</f>
        <v>46.22</v>
      </c>
      <c r="Z138" s="3">
        <f ca="1">IFERROR(__xludf.DUMMYFUNCTION("""COMPUTED_VALUE"""),72.46)</f>
        <v>72.459999999999994</v>
      </c>
      <c r="AA138" s="3">
        <f ca="1">IFERROR(__xludf.DUMMYFUNCTION("""COMPUTED_VALUE"""),41.72)</f>
        <v>41.72</v>
      </c>
      <c r="AB138" s="3">
        <f ca="1">IFERROR(__xludf.DUMMYFUNCTION("""COMPUTED_VALUE"""),60.91)</f>
        <v>60.91</v>
      </c>
      <c r="AC138" s="3">
        <f ca="1">IFERROR(__xludf.DUMMYFUNCTION("""COMPUTED_VALUE"""),52.3)</f>
        <v>52.3</v>
      </c>
      <c r="AD138" s="3">
        <f ca="1">IFERROR(__xludf.DUMMYFUNCTION("""COMPUTED_VALUE"""),9.02)</f>
        <v>9.02</v>
      </c>
      <c r="AE138" s="3">
        <f ca="1">IFERROR(__xludf.DUMMYFUNCTION("""COMPUTED_VALUE"""),14.51)</f>
        <v>14.51</v>
      </c>
      <c r="AF138" s="3">
        <f ca="1">IFERROR(__xludf.DUMMYFUNCTION("""COMPUTED_VALUE"""),2.69)</f>
        <v>2.69</v>
      </c>
      <c r="AG138" s="3">
        <f ca="1">IFERROR(__xludf.DUMMYFUNCTION("""COMPUTED_VALUE"""),27.92)</f>
        <v>27.92</v>
      </c>
    </row>
    <row r="139" spans="1:33" ht="12.75" x14ac:dyDescent="0.2">
      <c r="A139" s="4">
        <f ca="1">IFERROR(__xludf.DUMMYFUNCTION("""COMPUTED_VALUE"""),44762.6666666666)</f>
        <v>44762.666666666599</v>
      </c>
      <c r="B139" s="3">
        <f ca="1">IFERROR(__xludf.DUMMYFUNCTION("""COMPUTED_VALUE"""),137.21)</f>
        <v>137.21</v>
      </c>
      <c r="C139" s="3">
        <f ca="1">IFERROR(__xludf.DUMMYFUNCTION("""COMPUTED_VALUE"""),353.59)</f>
        <v>353.59</v>
      </c>
      <c r="D139" s="3">
        <f ca="1">IFERROR(__xludf.DUMMYFUNCTION("""COMPUTED_VALUE"""),86.46)</f>
        <v>86.46</v>
      </c>
      <c r="E139" s="3">
        <f ca="1">IFERROR(__xludf.DUMMYFUNCTION("""COMPUTED_VALUE"""),131.4)</f>
        <v>131.4</v>
      </c>
      <c r="F139" s="3">
        <f ca="1">IFERROR(__xludf.DUMMYFUNCTION("""COMPUTED_VALUE"""),48.35)</f>
        <v>48.35</v>
      </c>
      <c r="G139" s="3">
        <f ca="1">IFERROR(__xludf.DUMMYFUNCTION("""COMPUTED_VALUE"""),21.95)</f>
        <v>21.95</v>
      </c>
      <c r="H139" s="3">
        <f ca="1">IFERROR(__xludf.DUMMYFUNCTION("""COMPUTED_VALUE"""),25.01)</f>
        <v>25.01</v>
      </c>
      <c r="I139" s="3">
        <f ca="1">IFERROR(__xludf.DUMMYFUNCTION("""COMPUTED_VALUE"""),128.34)</f>
        <v>128.34</v>
      </c>
      <c r="J139" s="3">
        <f ca="1">IFERROR(__xludf.DUMMYFUNCTION("""COMPUTED_VALUE"""),238.06)</f>
        <v>238.06</v>
      </c>
      <c r="K139" s="3">
        <f ca="1">IFERROR(__xludf.DUMMYFUNCTION("""COMPUTED_VALUE"""),123.94)</f>
        <v>123.94</v>
      </c>
      <c r="L139" s="3">
        <f ca="1">IFERROR(__xludf.DUMMYFUNCTION("""COMPUTED_VALUE"""),84.52)</f>
        <v>84.52</v>
      </c>
      <c r="M139" s="3">
        <f ca="1">IFERROR(__xludf.DUMMYFUNCTION("""COMPUTED_VALUE"""),61.14)</f>
        <v>61.14</v>
      </c>
      <c r="N139" s="3">
        <f ca="1">IFERROR(__xludf.DUMMYFUNCTION("""COMPUTED_VALUE"""),61.34)</f>
        <v>61.34</v>
      </c>
      <c r="O139" s="3">
        <f ca="1">IFERROR(__xludf.DUMMYFUNCTION("""COMPUTED_VALUE"""),58.4)</f>
        <v>58.4</v>
      </c>
      <c r="P139" s="3">
        <f ca="1">IFERROR(__xludf.DUMMYFUNCTION("""COMPUTED_VALUE"""),73.02)</f>
        <v>73.02</v>
      </c>
      <c r="Q139" s="3">
        <f ca="1">IFERROR(__xludf.DUMMYFUNCTION("""COMPUTED_VALUE"""),102.13)</f>
        <v>102.13</v>
      </c>
      <c r="R139" s="3">
        <f ca="1">IFERROR(__xludf.DUMMYFUNCTION("""COMPUTED_VALUE"""),74.54)</f>
        <v>74.540000000000006</v>
      </c>
      <c r="S139" s="3">
        <f ca="1">IFERROR(__xludf.DUMMYFUNCTION("""COMPUTED_VALUE"""),44.91)</f>
        <v>44.91</v>
      </c>
      <c r="T139" s="3">
        <f ca="1">IFERROR(__xludf.DUMMYFUNCTION("""COMPUTED_VALUE"""),25.62)</f>
        <v>25.62</v>
      </c>
      <c r="U139" s="3">
        <f ca="1">IFERROR(__xludf.DUMMYFUNCTION("""COMPUTED_VALUE"""),77.64)</f>
        <v>77.64</v>
      </c>
      <c r="V139" s="3">
        <f ca="1">IFERROR(__xludf.DUMMYFUNCTION("""COMPUTED_VALUE"""),73.35)</f>
        <v>73.349999999999994</v>
      </c>
      <c r="W139" s="3">
        <f ca="1">IFERROR(__xludf.DUMMYFUNCTION("""COMPUTED_VALUE"""),32.73)</f>
        <v>32.729999999999997</v>
      </c>
      <c r="X139" s="3">
        <f ca="1">IFERROR(__xludf.DUMMYFUNCTION("""COMPUTED_VALUE"""),80.5)</f>
        <v>80.5</v>
      </c>
      <c r="Y139" s="3">
        <f ca="1">IFERROR(__xludf.DUMMYFUNCTION("""COMPUTED_VALUE"""),46.79)</f>
        <v>46.79</v>
      </c>
      <c r="Z139" s="3">
        <f ca="1">IFERROR(__xludf.DUMMYFUNCTION("""COMPUTED_VALUE"""),72.81)</f>
        <v>72.81</v>
      </c>
      <c r="AA139" s="3">
        <f ca="1">IFERROR(__xludf.DUMMYFUNCTION("""COMPUTED_VALUE"""),41.51)</f>
        <v>41.51</v>
      </c>
      <c r="AB139" s="3">
        <f ca="1">IFERROR(__xludf.DUMMYFUNCTION("""COMPUTED_VALUE"""),61.75)</f>
        <v>61.75</v>
      </c>
      <c r="AC139" s="3">
        <f ca="1">IFERROR(__xludf.DUMMYFUNCTION("""COMPUTED_VALUE"""),52.57)</f>
        <v>52.57</v>
      </c>
      <c r="AD139" s="3">
        <f ca="1">IFERROR(__xludf.DUMMYFUNCTION("""COMPUTED_VALUE"""),9.13)</f>
        <v>9.1300000000000008</v>
      </c>
      <c r="AE139" s="3">
        <f ca="1">IFERROR(__xludf.DUMMYFUNCTION("""COMPUTED_VALUE"""),14.64)</f>
        <v>14.64</v>
      </c>
      <c r="AF139" s="3">
        <f ca="1">IFERROR(__xludf.DUMMYFUNCTION("""COMPUTED_VALUE"""),3)</f>
        <v>3</v>
      </c>
      <c r="AG139" s="3">
        <f ca="1">IFERROR(__xludf.DUMMYFUNCTION("""COMPUTED_VALUE"""),29.16)</f>
        <v>29.16</v>
      </c>
    </row>
    <row r="140" spans="1:33" ht="12.75" x14ac:dyDescent="0.2">
      <c r="A140" s="4">
        <f ca="1">IFERROR(__xludf.DUMMYFUNCTION("""COMPUTED_VALUE"""),44763.6666666666)</f>
        <v>44763.666666666599</v>
      </c>
      <c r="B140" s="3">
        <f ca="1">IFERROR(__xludf.DUMMYFUNCTION("""COMPUTED_VALUE"""),139.14)</f>
        <v>139.13999999999999</v>
      </c>
      <c r="C140" s="3">
        <f ca="1">IFERROR(__xludf.DUMMYFUNCTION("""COMPUTED_VALUE"""),358.73)</f>
        <v>358.73</v>
      </c>
      <c r="D140" s="3">
        <f ca="1">IFERROR(__xludf.DUMMYFUNCTION("""COMPUTED_VALUE"""),87.53)</f>
        <v>87.53</v>
      </c>
      <c r="E140" s="3">
        <f ca="1">IFERROR(__xludf.DUMMYFUNCTION("""COMPUTED_VALUE"""),133.55)</f>
        <v>133.55000000000001</v>
      </c>
      <c r="F140" s="3">
        <f ca="1">IFERROR(__xludf.DUMMYFUNCTION("""COMPUTED_VALUE"""),49.17)</f>
        <v>49.17</v>
      </c>
      <c r="G140" s="3">
        <f ca="1">IFERROR(__xludf.DUMMYFUNCTION("""COMPUTED_VALUE"""),22.37)</f>
        <v>22.37</v>
      </c>
      <c r="H140" s="3">
        <f ca="1">IFERROR(__xludf.DUMMYFUNCTION("""COMPUTED_VALUE"""),25.25)</f>
        <v>25.25</v>
      </c>
      <c r="I140" s="3">
        <f ca="1">IFERROR(__xludf.DUMMYFUNCTION("""COMPUTED_VALUE"""),130.37)</f>
        <v>130.37</v>
      </c>
      <c r="J140" s="3">
        <f ca="1">IFERROR(__xludf.DUMMYFUNCTION("""COMPUTED_VALUE"""),241.62)</f>
        <v>241.62</v>
      </c>
      <c r="K140" s="3">
        <f ca="1">IFERROR(__xludf.DUMMYFUNCTION("""COMPUTED_VALUE"""),125.1)</f>
        <v>125.1</v>
      </c>
      <c r="L140" s="3">
        <f ca="1">IFERROR(__xludf.DUMMYFUNCTION("""COMPUTED_VALUE"""),84.2)</f>
        <v>84.2</v>
      </c>
      <c r="M140" s="3">
        <f ca="1">IFERROR(__xludf.DUMMYFUNCTION("""COMPUTED_VALUE"""),61.34)</f>
        <v>61.34</v>
      </c>
      <c r="N140" s="3">
        <f ca="1">IFERROR(__xludf.DUMMYFUNCTION("""COMPUTED_VALUE"""),62.26)</f>
        <v>62.26</v>
      </c>
      <c r="O140" s="3">
        <f ca="1">IFERROR(__xludf.DUMMYFUNCTION("""COMPUTED_VALUE"""),58.64)</f>
        <v>58.64</v>
      </c>
      <c r="P140" s="3">
        <f ca="1">IFERROR(__xludf.DUMMYFUNCTION("""COMPUTED_VALUE"""),71.74)</f>
        <v>71.739999999999995</v>
      </c>
      <c r="Q140" s="3">
        <f ca="1">IFERROR(__xludf.DUMMYFUNCTION("""COMPUTED_VALUE"""),100.28)</f>
        <v>100.28</v>
      </c>
      <c r="R140" s="3">
        <f ca="1">IFERROR(__xludf.DUMMYFUNCTION("""COMPUTED_VALUE"""),75.6)</f>
        <v>75.599999999999994</v>
      </c>
      <c r="S140" s="3">
        <f ca="1">IFERROR(__xludf.DUMMYFUNCTION("""COMPUTED_VALUE"""),44.96)</f>
        <v>44.96</v>
      </c>
      <c r="T140" s="3">
        <f ca="1">IFERROR(__xludf.DUMMYFUNCTION("""COMPUTED_VALUE"""),25.19)</f>
        <v>25.19</v>
      </c>
      <c r="U140" s="3">
        <f ca="1">IFERROR(__xludf.DUMMYFUNCTION("""COMPUTED_VALUE"""),75.49)</f>
        <v>75.489999999999995</v>
      </c>
      <c r="V140" s="3">
        <f ca="1">IFERROR(__xludf.DUMMYFUNCTION("""COMPUTED_VALUE"""),73.12)</f>
        <v>73.12</v>
      </c>
      <c r="W140" s="3">
        <f ca="1">IFERROR(__xludf.DUMMYFUNCTION("""COMPUTED_VALUE"""),32.94)</f>
        <v>32.94</v>
      </c>
      <c r="X140" s="3">
        <f ca="1">IFERROR(__xludf.DUMMYFUNCTION("""COMPUTED_VALUE"""),80.95)</f>
        <v>80.95</v>
      </c>
      <c r="Y140" s="3">
        <f ca="1">IFERROR(__xludf.DUMMYFUNCTION("""COMPUTED_VALUE"""),46.97)</f>
        <v>46.97</v>
      </c>
      <c r="Z140" s="3">
        <f ca="1">IFERROR(__xludf.DUMMYFUNCTION("""COMPUTED_VALUE"""),73.26)</f>
        <v>73.260000000000005</v>
      </c>
      <c r="AA140" s="3">
        <f ca="1">IFERROR(__xludf.DUMMYFUNCTION("""COMPUTED_VALUE"""),41.94)</f>
        <v>41.94</v>
      </c>
      <c r="AB140" s="3">
        <f ca="1">IFERROR(__xludf.DUMMYFUNCTION("""COMPUTED_VALUE"""),61.85)</f>
        <v>61.85</v>
      </c>
      <c r="AC140" s="3">
        <f ca="1">IFERROR(__xludf.DUMMYFUNCTION("""COMPUTED_VALUE"""),52.97)</f>
        <v>52.97</v>
      </c>
      <c r="AD140" s="3">
        <f ca="1">IFERROR(__xludf.DUMMYFUNCTION("""COMPUTED_VALUE"""),8.94)</f>
        <v>8.94</v>
      </c>
      <c r="AE140" s="3">
        <f ca="1">IFERROR(__xludf.DUMMYFUNCTION("""COMPUTED_VALUE"""),14.39)</f>
        <v>14.39</v>
      </c>
      <c r="AF140" s="3">
        <f ca="1">IFERROR(__xludf.DUMMYFUNCTION("""COMPUTED_VALUE"""),3.07)</f>
        <v>3.07</v>
      </c>
      <c r="AG140" s="3">
        <f ca="1">IFERROR(__xludf.DUMMYFUNCTION("""COMPUTED_VALUE"""),29.56)</f>
        <v>29.56</v>
      </c>
    </row>
    <row r="141" spans="1:33" ht="12.75" x14ac:dyDescent="0.2">
      <c r="A141" s="4">
        <f ca="1">IFERROR(__xludf.DUMMYFUNCTION("""COMPUTED_VALUE"""),44764.6666666666)</f>
        <v>44764.666666666599</v>
      </c>
      <c r="B141" s="3">
        <f ca="1">IFERROR(__xludf.DUMMYFUNCTION("""COMPUTED_VALUE"""),137.22)</f>
        <v>137.22</v>
      </c>
      <c r="C141" s="3">
        <f ca="1">IFERROR(__xludf.DUMMYFUNCTION("""COMPUTED_VALUE"""),353.13)</f>
        <v>353.13</v>
      </c>
      <c r="D141" s="3">
        <f ca="1">IFERROR(__xludf.DUMMYFUNCTION("""COMPUTED_VALUE"""),85.37)</f>
        <v>85.37</v>
      </c>
      <c r="E141" s="3">
        <f ca="1">IFERROR(__xludf.DUMMYFUNCTION("""COMPUTED_VALUE"""),130.26)</f>
        <v>130.26</v>
      </c>
      <c r="F141" s="3">
        <f ca="1">IFERROR(__xludf.DUMMYFUNCTION("""COMPUTED_VALUE"""),48.62)</f>
        <v>48.62</v>
      </c>
      <c r="G141" s="3">
        <f ca="1">IFERROR(__xludf.DUMMYFUNCTION("""COMPUTED_VALUE"""),21.88)</f>
        <v>21.88</v>
      </c>
      <c r="H141" s="3">
        <f ca="1">IFERROR(__xludf.DUMMYFUNCTION("""COMPUTED_VALUE"""),24.71)</f>
        <v>24.71</v>
      </c>
      <c r="I141" s="3">
        <f ca="1">IFERROR(__xludf.DUMMYFUNCTION("""COMPUTED_VALUE"""),129.83)</f>
        <v>129.83000000000001</v>
      </c>
      <c r="J141" s="3">
        <f ca="1">IFERROR(__xludf.DUMMYFUNCTION("""COMPUTED_VALUE"""),240.15)</f>
        <v>240.15</v>
      </c>
      <c r="K141" s="3">
        <f ca="1">IFERROR(__xludf.DUMMYFUNCTION("""COMPUTED_VALUE"""),122.62)</f>
        <v>122.62</v>
      </c>
      <c r="L141" s="3">
        <f ca="1">IFERROR(__xludf.DUMMYFUNCTION("""COMPUTED_VALUE"""),80.68)</f>
        <v>80.680000000000007</v>
      </c>
      <c r="M141" s="3">
        <f ca="1">IFERROR(__xludf.DUMMYFUNCTION("""COMPUTED_VALUE"""),60.22)</f>
        <v>60.22</v>
      </c>
      <c r="N141" s="3">
        <f ca="1">IFERROR(__xludf.DUMMYFUNCTION("""COMPUTED_VALUE"""),61.87)</f>
        <v>61.87</v>
      </c>
      <c r="O141" s="3">
        <f ca="1">IFERROR(__xludf.DUMMYFUNCTION("""COMPUTED_VALUE"""),56.36)</f>
        <v>56.36</v>
      </c>
      <c r="P141" s="3">
        <f ca="1">IFERROR(__xludf.DUMMYFUNCTION("""COMPUTED_VALUE"""),71.15)</f>
        <v>71.150000000000006</v>
      </c>
      <c r="Q141" s="3">
        <f ca="1">IFERROR(__xludf.DUMMYFUNCTION("""COMPUTED_VALUE"""),99.29)</f>
        <v>99.29</v>
      </c>
      <c r="R141" s="3">
        <f ca="1">IFERROR(__xludf.DUMMYFUNCTION("""COMPUTED_VALUE"""),75.06)</f>
        <v>75.06</v>
      </c>
      <c r="S141" s="3">
        <f ca="1">IFERROR(__xludf.DUMMYFUNCTION("""COMPUTED_VALUE"""),43.74)</f>
        <v>43.74</v>
      </c>
      <c r="T141" s="3">
        <f ca="1">IFERROR(__xludf.DUMMYFUNCTION("""COMPUTED_VALUE"""),24.89)</f>
        <v>24.89</v>
      </c>
      <c r="U141" s="3">
        <f ca="1">IFERROR(__xludf.DUMMYFUNCTION("""COMPUTED_VALUE"""),74.53)</f>
        <v>74.53</v>
      </c>
      <c r="V141" s="3">
        <f ca="1">IFERROR(__xludf.DUMMYFUNCTION("""COMPUTED_VALUE"""),72.04)</f>
        <v>72.040000000000006</v>
      </c>
      <c r="W141" s="3">
        <f ca="1">IFERROR(__xludf.DUMMYFUNCTION("""COMPUTED_VALUE"""),32.75)</f>
        <v>32.75</v>
      </c>
      <c r="X141" s="3">
        <f ca="1">IFERROR(__xludf.DUMMYFUNCTION("""COMPUTED_VALUE"""),80.36)</f>
        <v>80.36</v>
      </c>
      <c r="Y141" s="3">
        <f ca="1">IFERROR(__xludf.DUMMYFUNCTION("""COMPUTED_VALUE"""),46.5)</f>
        <v>46.5</v>
      </c>
      <c r="Z141" s="3">
        <f ca="1">IFERROR(__xludf.DUMMYFUNCTION("""COMPUTED_VALUE"""),72.72)</f>
        <v>72.72</v>
      </c>
      <c r="AA141" s="3">
        <f ca="1">IFERROR(__xludf.DUMMYFUNCTION("""COMPUTED_VALUE"""),42.26)</f>
        <v>42.26</v>
      </c>
      <c r="AB141" s="3">
        <f ca="1">IFERROR(__xludf.DUMMYFUNCTION("""COMPUTED_VALUE"""),61.21)</f>
        <v>61.21</v>
      </c>
      <c r="AC141" s="3">
        <f ca="1">IFERROR(__xludf.DUMMYFUNCTION("""COMPUTED_VALUE"""),52.56)</f>
        <v>52.56</v>
      </c>
      <c r="AD141" s="3">
        <f ca="1">IFERROR(__xludf.DUMMYFUNCTION("""COMPUTED_VALUE"""),8.71)</f>
        <v>8.7100000000000009</v>
      </c>
      <c r="AE141" s="3">
        <f ca="1">IFERROR(__xludf.DUMMYFUNCTION("""COMPUTED_VALUE"""),13.98)</f>
        <v>13.98</v>
      </c>
      <c r="AF141" s="3">
        <f ca="1">IFERROR(__xludf.DUMMYFUNCTION("""COMPUTED_VALUE"""),3.15)</f>
        <v>3.15</v>
      </c>
      <c r="AG141" s="3">
        <f ca="1">IFERROR(__xludf.DUMMYFUNCTION("""COMPUTED_VALUE"""),27.72)</f>
        <v>27.72</v>
      </c>
    </row>
    <row r="142" spans="1:33" ht="12.75" x14ac:dyDescent="0.2">
      <c r="A142" s="4">
        <f ca="1">IFERROR(__xludf.DUMMYFUNCTION("""COMPUTED_VALUE"""),44767.6666666666)</f>
        <v>44767.666666666599</v>
      </c>
      <c r="B142" s="3">
        <f ca="1">IFERROR(__xludf.DUMMYFUNCTION("""COMPUTED_VALUE"""),136.35)</f>
        <v>136.35</v>
      </c>
      <c r="C142" s="3">
        <f ca="1">IFERROR(__xludf.DUMMYFUNCTION("""COMPUTED_VALUE"""),350.86)</f>
        <v>350.86</v>
      </c>
      <c r="D142" s="3">
        <f ca="1">IFERROR(__xludf.DUMMYFUNCTION("""COMPUTED_VALUE"""),84.64)</f>
        <v>84.64</v>
      </c>
      <c r="E142" s="3">
        <f ca="1">IFERROR(__xludf.DUMMYFUNCTION("""COMPUTED_VALUE"""),129.43)</f>
        <v>129.43</v>
      </c>
      <c r="F142" s="3">
        <f ca="1">IFERROR(__xludf.DUMMYFUNCTION("""COMPUTED_VALUE"""),48.14)</f>
        <v>48.14</v>
      </c>
      <c r="G142" s="3">
        <f ca="1">IFERROR(__xludf.DUMMYFUNCTION("""COMPUTED_VALUE"""),21.64)</f>
        <v>21.64</v>
      </c>
      <c r="H142" s="3">
        <f ca="1">IFERROR(__xludf.DUMMYFUNCTION("""COMPUTED_VALUE"""),24.65)</f>
        <v>24.65</v>
      </c>
      <c r="I142" s="3">
        <f ca="1">IFERROR(__xludf.DUMMYFUNCTION("""COMPUTED_VALUE"""),130.51)</f>
        <v>130.51</v>
      </c>
      <c r="J142" s="3">
        <f ca="1">IFERROR(__xludf.DUMMYFUNCTION("""COMPUTED_VALUE"""),241.26)</f>
        <v>241.26</v>
      </c>
      <c r="K142" s="3">
        <f ca="1">IFERROR(__xludf.DUMMYFUNCTION("""COMPUTED_VALUE"""),122.62)</f>
        <v>122.62</v>
      </c>
      <c r="L142" s="3">
        <f ca="1">IFERROR(__xludf.DUMMYFUNCTION("""COMPUTED_VALUE"""),80.94)</f>
        <v>80.94</v>
      </c>
      <c r="M142" s="3">
        <f ca="1">IFERROR(__xludf.DUMMYFUNCTION("""COMPUTED_VALUE"""),60.27)</f>
        <v>60.27</v>
      </c>
      <c r="N142" s="3">
        <f ca="1">IFERROR(__xludf.DUMMYFUNCTION("""COMPUTED_VALUE"""),62.15)</f>
        <v>62.15</v>
      </c>
      <c r="O142" s="3">
        <f ca="1">IFERROR(__xludf.DUMMYFUNCTION("""COMPUTED_VALUE"""),56.16)</f>
        <v>56.16</v>
      </c>
      <c r="P142" s="3">
        <f ca="1">IFERROR(__xludf.DUMMYFUNCTION("""COMPUTED_VALUE"""),73.76)</f>
        <v>73.760000000000005</v>
      </c>
      <c r="Q142" s="3">
        <f ca="1">IFERROR(__xludf.DUMMYFUNCTION("""COMPUTED_VALUE"""),103.24)</f>
        <v>103.24</v>
      </c>
      <c r="R142" s="3">
        <f ca="1">IFERROR(__xludf.DUMMYFUNCTION("""COMPUTED_VALUE"""),75.37)</f>
        <v>75.37</v>
      </c>
      <c r="S142" s="3">
        <f ca="1">IFERROR(__xludf.DUMMYFUNCTION("""COMPUTED_VALUE"""),45.23)</f>
        <v>45.23</v>
      </c>
      <c r="T142" s="3">
        <f ca="1">IFERROR(__xludf.DUMMYFUNCTION("""COMPUTED_VALUE"""),25.34)</f>
        <v>25.34</v>
      </c>
      <c r="U142" s="3">
        <f ca="1">IFERROR(__xludf.DUMMYFUNCTION("""COMPUTED_VALUE"""),76.22)</f>
        <v>76.22</v>
      </c>
      <c r="V142" s="3">
        <f ca="1">IFERROR(__xludf.DUMMYFUNCTION("""COMPUTED_VALUE"""),73.21)</f>
        <v>73.209999999999994</v>
      </c>
      <c r="W142" s="3">
        <f ca="1">IFERROR(__xludf.DUMMYFUNCTION("""COMPUTED_VALUE"""),32.96)</f>
        <v>32.96</v>
      </c>
      <c r="X142" s="3">
        <f ca="1">IFERROR(__xludf.DUMMYFUNCTION("""COMPUTED_VALUE"""),80.91)</f>
        <v>80.91</v>
      </c>
      <c r="Y142" s="3">
        <f ca="1">IFERROR(__xludf.DUMMYFUNCTION("""COMPUTED_VALUE"""),47.19)</f>
        <v>47.19</v>
      </c>
      <c r="Z142" s="3">
        <f ca="1">IFERROR(__xludf.DUMMYFUNCTION("""COMPUTED_VALUE"""),73.18)</f>
        <v>73.180000000000007</v>
      </c>
      <c r="AA142" s="3">
        <f ca="1">IFERROR(__xludf.DUMMYFUNCTION("""COMPUTED_VALUE"""),42.29)</f>
        <v>42.29</v>
      </c>
      <c r="AB142" s="3">
        <f ca="1">IFERROR(__xludf.DUMMYFUNCTION("""COMPUTED_VALUE"""),62.24)</f>
        <v>62.24</v>
      </c>
      <c r="AC142" s="3">
        <f ca="1">IFERROR(__xludf.DUMMYFUNCTION("""COMPUTED_VALUE"""),52.78)</f>
        <v>52.78</v>
      </c>
      <c r="AD142" s="3">
        <f ca="1">IFERROR(__xludf.DUMMYFUNCTION("""COMPUTED_VALUE"""),8.43)</f>
        <v>8.43</v>
      </c>
      <c r="AE142" s="3">
        <f ca="1">IFERROR(__xludf.DUMMYFUNCTION("""COMPUTED_VALUE"""),13.54)</f>
        <v>13.54</v>
      </c>
      <c r="AF142" s="3">
        <f ca="1">IFERROR(__xludf.DUMMYFUNCTION("""COMPUTED_VALUE"""),2.96)</f>
        <v>2.96</v>
      </c>
      <c r="AG142" s="3">
        <f ca="1">IFERROR(__xludf.DUMMYFUNCTION("""COMPUTED_VALUE"""),26.4)</f>
        <v>26.4</v>
      </c>
    </row>
    <row r="143" spans="1:33" ht="12.75" x14ac:dyDescent="0.2">
      <c r="A143" s="4">
        <f ca="1">IFERROR(__xludf.DUMMYFUNCTION("""COMPUTED_VALUE"""),44768.6666666666)</f>
        <v>44768.666666666599</v>
      </c>
      <c r="B143" s="3">
        <f ca="1">IFERROR(__xludf.DUMMYFUNCTION("""COMPUTED_VALUE"""),134.14)</f>
        <v>134.13999999999999</v>
      </c>
      <c r="C143" s="3">
        <f ca="1">IFERROR(__xludf.DUMMYFUNCTION("""COMPUTED_VALUE"""),344.25)</f>
        <v>344.25</v>
      </c>
      <c r="D143" s="3">
        <f ca="1">IFERROR(__xludf.DUMMYFUNCTION("""COMPUTED_VALUE"""),82.74)</f>
        <v>82.74</v>
      </c>
      <c r="E143" s="3">
        <f ca="1">IFERROR(__xludf.DUMMYFUNCTION("""COMPUTED_VALUE"""),127.28)</f>
        <v>127.28</v>
      </c>
      <c r="F143" s="3">
        <f ca="1">IFERROR(__xludf.DUMMYFUNCTION("""COMPUTED_VALUE"""),46.45)</f>
        <v>46.45</v>
      </c>
      <c r="G143" s="3">
        <f ca="1">IFERROR(__xludf.DUMMYFUNCTION("""COMPUTED_VALUE"""),21.14)</f>
        <v>21.14</v>
      </c>
      <c r="H143" s="3">
        <f ca="1">IFERROR(__xludf.DUMMYFUNCTION("""COMPUTED_VALUE"""),24.2)</f>
        <v>24.2</v>
      </c>
      <c r="I143" s="3">
        <f ca="1">IFERROR(__xludf.DUMMYFUNCTION("""COMPUTED_VALUE"""),131.18)</f>
        <v>131.18</v>
      </c>
      <c r="J143" s="3">
        <f ca="1">IFERROR(__xludf.DUMMYFUNCTION("""COMPUTED_VALUE"""),242.33)</f>
        <v>242.33</v>
      </c>
      <c r="K143" s="3">
        <f ca="1">IFERROR(__xludf.DUMMYFUNCTION("""COMPUTED_VALUE"""),122.87)</f>
        <v>122.87</v>
      </c>
      <c r="L143" s="3">
        <f ca="1">IFERROR(__xludf.DUMMYFUNCTION("""COMPUTED_VALUE"""),81.3)</f>
        <v>81.3</v>
      </c>
      <c r="M143" s="3">
        <f ca="1">IFERROR(__xludf.DUMMYFUNCTION("""COMPUTED_VALUE"""),60.72)</f>
        <v>60.72</v>
      </c>
      <c r="N143" s="3">
        <f ca="1">IFERROR(__xludf.DUMMYFUNCTION("""COMPUTED_VALUE"""),62.47)</f>
        <v>62.47</v>
      </c>
      <c r="O143" s="3">
        <f ca="1">IFERROR(__xludf.DUMMYFUNCTION("""COMPUTED_VALUE"""),55.8)</f>
        <v>55.8</v>
      </c>
      <c r="P143" s="3">
        <f ca="1">IFERROR(__xludf.DUMMYFUNCTION("""COMPUTED_VALUE"""),73.09)</f>
        <v>73.09</v>
      </c>
      <c r="Q143" s="3">
        <f ca="1">IFERROR(__xludf.DUMMYFUNCTION("""COMPUTED_VALUE"""),102.53)</f>
        <v>102.53</v>
      </c>
      <c r="R143" s="3">
        <f ca="1">IFERROR(__xludf.DUMMYFUNCTION("""COMPUTED_VALUE"""),74.86)</f>
        <v>74.86</v>
      </c>
      <c r="S143" s="3">
        <f ca="1">IFERROR(__xludf.DUMMYFUNCTION("""COMPUTED_VALUE"""),45.16)</f>
        <v>45.16</v>
      </c>
      <c r="T143" s="3">
        <f ca="1">IFERROR(__xludf.DUMMYFUNCTION("""COMPUTED_VALUE"""),25.39)</f>
        <v>25.39</v>
      </c>
      <c r="U143" s="3">
        <f ca="1">IFERROR(__xludf.DUMMYFUNCTION("""COMPUTED_VALUE"""),75.16)</f>
        <v>75.16</v>
      </c>
      <c r="V143" s="3">
        <f ca="1">IFERROR(__xludf.DUMMYFUNCTION("""COMPUTED_VALUE"""),72.63)</f>
        <v>72.63</v>
      </c>
      <c r="W143" s="3">
        <f ca="1">IFERROR(__xludf.DUMMYFUNCTION("""COMPUTED_VALUE"""),32.5)</f>
        <v>32.5</v>
      </c>
      <c r="X143" s="3">
        <f ca="1">IFERROR(__xludf.DUMMYFUNCTION("""COMPUTED_VALUE"""),79.86)</f>
        <v>79.86</v>
      </c>
      <c r="Y143" s="3">
        <f ca="1">IFERROR(__xludf.DUMMYFUNCTION("""COMPUTED_VALUE"""),46.74)</f>
        <v>46.74</v>
      </c>
      <c r="Z143" s="3">
        <f ca="1">IFERROR(__xludf.DUMMYFUNCTION("""COMPUTED_VALUE"""),72.19)</f>
        <v>72.19</v>
      </c>
      <c r="AA143" s="3">
        <f ca="1">IFERROR(__xludf.DUMMYFUNCTION("""COMPUTED_VALUE"""),42.37)</f>
        <v>42.37</v>
      </c>
      <c r="AB143" s="3">
        <f ca="1">IFERROR(__xludf.DUMMYFUNCTION("""COMPUTED_VALUE"""),61.76)</f>
        <v>61.76</v>
      </c>
      <c r="AC143" s="3">
        <f ca="1">IFERROR(__xludf.DUMMYFUNCTION("""COMPUTED_VALUE"""),51.97)</f>
        <v>51.97</v>
      </c>
      <c r="AD143" s="3">
        <f ca="1">IFERROR(__xludf.DUMMYFUNCTION("""COMPUTED_VALUE"""),8.04)</f>
        <v>8.0399999999999991</v>
      </c>
      <c r="AE143" s="3">
        <f ca="1">IFERROR(__xludf.DUMMYFUNCTION("""COMPUTED_VALUE"""),12.92)</f>
        <v>12.92</v>
      </c>
      <c r="AF143" s="3">
        <f ca="1">IFERROR(__xludf.DUMMYFUNCTION("""COMPUTED_VALUE"""),2.8)</f>
        <v>2.8</v>
      </c>
      <c r="AG143" s="3">
        <f ca="1">IFERROR(__xludf.DUMMYFUNCTION("""COMPUTED_VALUE"""),24.08)</f>
        <v>24.08</v>
      </c>
    </row>
    <row r="144" spans="1:33" ht="12.75" x14ac:dyDescent="0.2">
      <c r="A144" s="4">
        <f ca="1">IFERROR(__xludf.DUMMYFUNCTION("""COMPUTED_VALUE"""),44769.6666666666)</f>
        <v>44769.666666666599</v>
      </c>
      <c r="B144" s="3">
        <f ca="1">IFERROR(__xludf.DUMMYFUNCTION("""COMPUTED_VALUE"""),139.91)</f>
        <v>139.91</v>
      </c>
      <c r="C144" s="3">
        <f ca="1">IFERROR(__xludf.DUMMYFUNCTION("""COMPUTED_VALUE"""),359.14)</f>
        <v>359.14</v>
      </c>
      <c r="D144" s="3">
        <f ca="1">IFERROR(__xludf.DUMMYFUNCTION("""COMPUTED_VALUE"""),86.86)</f>
        <v>86.86</v>
      </c>
      <c r="E144" s="3">
        <f ca="1">IFERROR(__xludf.DUMMYFUNCTION("""COMPUTED_VALUE"""),133.1)</f>
        <v>133.1</v>
      </c>
      <c r="F144" s="3">
        <f ca="1">IFERROR(__xludf.DUMMYFUNCTION("""COMPUTED_VALUE"""),47.19)</f>
        <v>47.19</v>
      </c>
      <c r="G144" s="3">
        <f ca="1">IFERROR(__xludf.DUMMYFUNCTION("""COMPUTED_VALUE"""),21.96)</f>
        <v>21.96</v>
      </c>
      <c r="H144" s="3">
        <f ca="1">IFERROR(__xludf.DUMMYFUNCTION("""COMPUTED_VALUE"""),25.1)</f>
        <v>25.1</v>
      </c>
      <c r="I144" s="3">
        <f ca="1">IFERROR(__xludf.DUMMYFUNCTION("""COMPUTED_VALUE"""),132)</f>
        <v>132</v>
      </c>
      <c r="J144" s="3">
        <f ca="1">IFERROR(__xludf.DUMMYFUNCTION("""COMPUTED_VALUE"""),244.39)</f>
        <v>244.39</v>
      </c>
      <c r="K144" s="3">
        <f ca="1">IFERROR(__xludf.DUMMYFUNCTION("""COMPUTED_VALUE"""),124)</f>
        <v>124</v>
      </c>
      <c r="L144" s="3">
        <f ca="1">IFERROR(__xludf.DUMMYFUNCTION("""COMPUTED_VALUE"""),83.4)</f>
        <v>83.4</v>
      </c>
      <c r="M144" s="3">
        <f ca="1">IFERROR(__xludf.DUMMYFUNCTION("""COMPUTED_VALUE"""),61.57)</f>
        <v>61.57</v>
      </c>
      <c r="N144" s="3">
        <f ca="1">IFERROR(__xludf.DUMMYFUNCTION("""COMPUTED_VALUE"""),62.97)</f>
        <v>62.97</v>
      </c>
      <c r="O144" s="3">
        <f ca="1">IFERROR(__xludf.DUMMYFUNCTION("""COMPUTED_VALUE"""),57.6)</f>
        <v>57.6</v>
      </c>
      <c r="P144" s="3">
        <f ca="1">IFERROR(__xludf.DUMMYFUNCTION("""COMPUTED_VALUE"""),74.74)</f>
        <v>74.739999999999995</v>
      </c>
      <c r="Q144" s="3">
        <f ca="1">IFERROR(__xludf.DUMMYFUNCTION("""COMPUTED_VALUE"""),105.04)</f>
        <v>105.04</v>
      </c>
      <c r="R144" s="3">
        <f ca="1">IFERROR(__xludf.DUMMYFUNCTION("""COMPUTED_VALUE"""),75.76)</f>
        <v>75.760000000000005</v>
      </c>
      <c r="S144" s="3">
        <f ca="1">IFERROR(__xludf.DUMMYFUNCTION("""COMPUTED_VALUE"""),46.69)</f>
        <v>46.69</v>
      </c>
      <c r="T144" s="3">
        <f ca="1">IFERROR(__xludf.DUMMYFUNCTION("""COMPUTED_VALUE"""),25.97)</f>
        <v>25.97</v>
      </c>
      <c r="U144" s="3">
        <f ca="1">IFERROR(__xludf.DUMMYFUNCTION("""COMPUTED_VALUE"""),77.87)</f>
        <v>77.87</v>
      </c>
      <c r="V144" s="3">
        <f ca="1">IFERROR(__xludf.DUMMYFUNCTION("""COMPUTED_VALUE"""),77.09)</f>
        <v>77.09</v>
      </c>
      <c r="W144" s="3">
        <f ca="1">IFERROR(__xludf.DUMMYFUNCTION("""COMPUTED_VALUE"""),33)</f>
        <v>33</v>
      </c>
      <c r="X144" s="3">
        <f ca="1">IFERROR(__xludf.DUMMYFUNCTION("""COMPUTED_VALUE"""),81.13)</f>
        <v>81.13</v>
      </c>
      <c r="Y144" s="3">
        <f ca="1">IFERROR(__xludf.DUMMYFUNCTION("""COMPUTED_VALUE"""),47.72)</f>
        <v>47.72</v>
      </c>
      <c r="Z144" s="3">
        <f ca="1">IFERROR(__xludf.DUMMYFUNCTION("""COMPUTED_VALUE"""),73.32)</f>
        <v>73.319999999999993</v>
      </c>
      <c r="AA144" s="3">
        <f ca="1">IFERROR(__xludf.DUMMYFUNCTION("""COMPUTED_VALUE"""),42.6)</f>
        <v>42.6</v>
      </c>
      <c r="AB144" s="3">
        <f ca="1">IFERROR(__xludf.DUMMYFUNCTION("""COMPUTED_VALUE"""),62.89)</f>
        <v>62.89</v>
      </c>
      <c r="AC144" s="3">
        <f ca="1">IFERROR(__xludf.DUMMYFUNCTION("""COMPUTED_VALUE"""),52.69)</f>
        <v>52.69</v>
      </c>
      <c r="AD144" s="3">
        <f ca="1">IFERROR(__xludf.DUMMYFUNCTION("""COMPUTED_VALUE"""),8.78)</f>
        <v>8.7799999999999994</v>
      </c>
      <c r="AE144" s="3">
        <f ca="1">IFERROR(__xludf.DUMMYFUNCTION("""COMPUTED_VALUE"""),14.12)</f>
        <v>14.12</v>
      </c>
      <c r="AF144" s="3">
        <f ca="1">IFERROR(__xludf.DUMMYFUNCTION("""COMPUTED_VALUE"""),2.72)</f>
        <v>2.72</v>
      </c>
      <c r="AG144" s="3">
        <f ca="1">IFERROR(__xludf.DUMMYFUNCTION("""COMPUTED_VALUE"""),27.12)</f>
        <v>27.12</v>
      </c>
    </row>
    <row r="145" spans="1:33" ht="12.75" x14ac:dyDescent="0.2">
      <c r="A145" s="4">
        <f ca="1">IFERROR(__xludf.DUMMYFUNCTION("""COMPUTED_VALUE"""),44770.6666666666)</f>
        <v>44770.666666666599</v>
      </c>
      <c r="B145" s="3">
        <f ca="1">IFERROR(__xludf.DUMMYFUNCTION("""COMPUTED_VALUE"""),142.04)</f>
        <v>142.04</v>
      </c>
      <c r="C145" s="3">
        <f ca="1">IFERROR(__xludf.DUMMYFUNCTION("""COMPUTED_VALUE"""),364.26)</f>
        <v>364.26</v>
      </c>
      <c r="D145" s="3">
        <f ca="1">IFERROR(__xludf.DUMMYFUNCTION("""COMPUTED_VALUE"""),87.79)</f>
        <v>87.79</v>
      </c>
      <c r="E145" s="3">
        <f ca="1">IFERROR(__xludf.DUMMYFUNCTION("""COMPUTED_VALUE"""),134.74)</f>
        <v>134.74</v>
      </c>
      <c r="F145" s="3">
        <f ca="1">IFERROR(__xludf.DUMMYFUNCTION("""COMPUTED_VALUE"""),47.82)</f>
        <v>47.82</v>
      </c>
      <c r="G145" s="3">
        <f ca="1">IFERROR(__xludf.DUMMYFUNCTION("""COMPUTED_VALUE"""),22.19)</f>
        <v>22.19</v>
      </c>
      <c r="H145" s="3">
        <f ca="1">IFERROR(__xludf.DUMMYFUNCTION("""COMPUTED_VALUE"""),25.5)</f>
        <v>25.5</v>
      </c>
      <c r="I145" s="3">
        <f ca="1">IFERROR(__xludf.DUMMYFUNCTION("""COMPUTED_VALUE"""),132.84)</f>
        <v>132.84</v>
      </c>
      <c r="J145" s="3">
        <f ca="1">IFERROR(__xludf.DUMMYFUNCTION("""COMPUTED_VALUE"""),245.69)</f>
        <v>245.69</v>
      </c>
      <c r="K145" s="3">
        <f ca="1">IFERROR(__xludf.DUMMYFUNCTION("""COMPUTED_VALUE"""),124.12)</f>
        <v>124.12</v>
      </c>
      <c r="L145" s="3">
        <f ca="1">IFERROR(__xludf.DUMMYFUNCTION("""COMPUTED_VALUE"""),82.5)</f>
        <v>82.5</v>
      </c>
      <c r="M145" s="3">
        <f ca="1">IFERROR(__xludf.DUMMYFUNCTION("""COMPUTED_VALUE"""),61.25)</f>
        <v>61.25</v>
      </c>
      <c r="N145" s="3">
        <f ca="1">IFERROR(__xludf.DUMMYFUNCTION("""COMPUTED_VALUE"""),63.3)</f>
        <v>63.3</v>
      </c>
      <c r="O145" s="3">
        <f ca="1">IFERROR(__xludf.DUMMYFUNCTION("""COMPUTED_VALUE"""),57.6)</f>
        <v>57.6</v>
      </c>
      <c r="P145" s="3">
        <f ca="1">IFERROR(__xludf.DUMMYFUNCTION("""COMPUTED_VALUE"""),75.16)</f>
        <v>75.16</v>
      </c>
      <c r="Q145" s="3">
        <f ca="1">IFERROR(__xludf.DUMMYFUNCTION("""COMPUTED_VALUE"""),105.43)</f>
        <v>105.43</v>
      </c>
      <c r="R145" s="3">
        <f ca="1">IFERROR(__xludf.DUMMYFUNCTION("""COMPUTED_VALUE"""),77.1)</f>
        <v>77.099999999999994</v>
      </c>
      <c r="S145" s="3">
        <f ca="1">IFERROR(__xludf.DUMMYFUNCTION("""COMPUTED_VALUE"""),47.04)</f>
        <v>47.04</v>
      </c>
      <c r="T145" s="3">
        <f ca="1">IFERROR(__xludf.DUMMYFUNCTION("""COMPUTED_VALUE"""),25.99)</f>
        <v>25.99</v>
      </c>
      <c r="U145" s="3">
        <f ca="1">IFERROR(__xludf.DUMMYFUNCTION("""COMPUTED_VALUE"""),77.13)</f>
        <v>77.13</v>
      </c>
      <c r="V145" s="3">
        <f ca="1">IFERROR(__xludf.DUMMYFUNCTION("""COMPUTED_VALUE"""),82.88)</f>
        <v>82.88</v>
      </c>
      <c r="W145" s="3">
        <f ca="1">IFERROR(__xludf.DUMMYFUNCTION("""COMPUTED_VALUE"""),33.24)</f>
        <v>33.24</v>
      </c>
      <c r="X145" s="3">
        <f ca="1">IFERROR(__xludf.DUMMYFUNCTION("""COMPUTED_VALUE"""),81.79)</f>
        <v>81.790000000000006</v>
      </c>
      <c r="Y145" s="3">
        <f ca="1">IFERROR(__xludf.DUMMYFUNCTION("""COMPUTED_VALUE"""),47.91)</f>
        <v>47.91</v>
      </c>
      <c r="Z145" s="3">
        <f ca="1">IFERROR(__xludf.DUMMYFUNCTION("""COMPUTED_VALUE"""),73.99)</f>
        <v>73.989999999999995</v>
      </c>
      <c r="AA145" s="3">
        <f ca="1">IFERROR(__xludf.DUMMYFUNCTION("""COMPUTED_VALUE"""),44.17)</f>
        <v>44.17</v>
      </c>
      <c r="AB145" s="3">
        <f ca="1">IFERROR(__xludf.DUMMYFUNCTION("""COMPUTED_VALUE"""),62.9)</f>
        <v>62.9</v>
      </c>
      <c r="AC145" s="3">
        <f ca="1">IFERROR(__xludf.DUMMYFUNCTION("""COMPUTED_VALUE"""),53.27)</f>
        <v>53.27</v>
      </c>
      <c r="AD145" s="3">
        <f ca="1">IFERROR(__xludf.DUMMYFUNCTION("""COMPUTED_VALUE"""),9.18)</f>
        <v>9.18</v>
      </c>
      <c r="AE145" s="3">
        <f ca="1">IFERROR(__xludf.DUMMYFUNCTION("""COMPUTED_VALUE"""),14.79)</f>
        <v>14.79</v>
      </c>
      <c r="AF145" s="3">
        <f ca="1">IFERROR(__xludf.DUMMYFUNCTION("""COMPUTED_VALUE"""),2.91)</f>
        <v>2.91</v>
      </c>
      <c r="AG145" s="3">
        <f ca="1">IFERROR(__xludf.DUMMYFUNCTION("""COMPUTED_VALUE"""),28.28)</f>
        <v>28.28</v>
      </c>
    </row>
    <row r="146" spans="1:33" ht="12.75" x14ac:dyDescent="0.2">
      <c r="A146" s="4">
        <f ca="1">IFERROR(__xludf.DUMMYFUNCTION("""COMPUTED_VALUE"""),44771.6666666666)</f>
        <v>44771.666666666599</v>
      </c>
      <c r="B146" s="3">
        <f ca="1">IFERROR(__xludf.DUMMYFUNCTION("""COMPUTED_VALUE"""),144.22)</f>
        <v>144.22</v>
      </c>
      <c r="C146" s="3">
        <f ca="1">IFERROR(__xludf.DUMMYFUNCTION("""COMPUTED_VALUE"""),370.2)</f>
        <v>370.2</v>
      </c>
      <c r="D146" s="3">
        <f ca="1">IFERROR(__xludf.DUMMYFUNCTION("""COMPUTED_VALUE"""),89.14)</f>
        <v>89.14</v>
      </c>
      <c r="E146" s="3">
        <f ca="1">IFERROR(__xludf.DUMMYFUNCTION("""COMPUTED_VALUE"""),135.78)</f>
        <v>135.78</v>
      </c>
      <c r="F146" s="3">
        <f ca="1">IFERROR(__xludf.DUMMYFUNCTION("""COMPUTED_VALUE"""),48.13)</f>
        <v>48.13</v>
      </c>
      <c r="G146" s="3">
        <f ca="1">IFERROR(__xludf.DUMMYFUNCTION("""COMPUTED_VALUE"""),22.52)</f>
        <v>22.52</v>
      </c>
      <c r="H146" s="3">
        <f ca="1">IFERROR(__xludf.DUMMYFUNCTION("""COMPUTED_VALUE"""),25.67)</f>
        <v>25.67</v>
      </c>
      <c r="I146" s="3">
        <f ca="1">IFERROR(__xludf.DUMMYFUNCTION("""COMPUTED_VALUE"""),132.4)</f>
        <v>132.4</v>
      </c>
      <c r="J146" s="3">
        <f ca="1">IFERROR(__xludf.DUMMYFUNCTION("""COMPUTED_VALUE"""),244.79)</f>
        <v>244.79</v>
      </c>
      <c r="K146" s="3">
        <f ca="1">IFERROR(__xludf.DUMMYFUNCTION("""COMPUTED_VALUE"""),124.08)</f>
        <v>124.08</v>
      </c>
      <c r="L146" s="3">
        <f ca="1">IFERROR(__xludf.DUMMYFUNCTION("""COMPUTED_VALUE"""),81.13)</f>
        <v>81.13</v>
      </c>
      <c r="M146" s="3">
        <f ca="1">IFERROR(__xludf.DUMMYFUNCTION("""COMPUTED_VALUE"""),61.02)</f>
        <v>61.02</v>
      </c>
      <c r="N146" s="3">
        <f ca="1">IFERROR(__xludf.DUMMYFUNCTION("""COMPUTED_VALUE"""),63.08)</f>
        <v>63.08</v>
      </c>
      <c r="O146" s="3">
        <f ca="1">IFERROR(__xludf.DUMMYFUNCTION("""COMPUTED_VALUE"""),56.96)</f>
        <v>56.96</v>
      </c>
      <c r="P146" s="3">
        <f ca="1">IFERROR(__xludf.DUMMYFUNCTION("""COMPUTED_VALUE"""),78.42)</f>
        <v>78.42</v>
      </c>
      <c r="Q146" s="3">
        <f ca="1">IFERROR(__xludf.DUMMYFUNCTION("""COMPUTED_VALUE"""),109.97)</f>
        <v>109.97</v>
      </c>
      <c r="R146" s="3">
        <f ca="1">IFERROR(__xludf.DUMMYFUNCTION("""COMPUTED_VALUE"""),78.13)</f>
        <v>78.13</v>
      </c>
      <c r="S146" s="3">
        <f ca="1">IFERROR(__xludf.DUMMYFUNCTION("""COMPUTED_VALUE"""),48.24)</f>
        <v>48.24</v>
      </c>
      <c r="T146" s="3">
        <f ca="1">IFERROR(__xludf.DUMMYFUNCTION("""COMPUTED_VALUE"""),26.11)</f>
        <v>26.11</v>
      </c>
      <c r="U146" s="3">
        <f ca="1">IFERROR(__xludf.DUMMYFUNCTION("""COMPUTED_VALUE"""),78.05)</f>
        <v>78.05</v>
      </c>
      <c r="V146" s="3">
        <f ca="1">IFERROR(__xludf.DUMMYFUNCTION("""COMPUTED_VALUE"""),85.57)</f>
        <v>85.57</v>
      </c>
      <c r="W146" s="3">
        <f ca="1">IFERROR(__xludf.DUMMYFUNCTION("""COMPUTED_VALUE"""),33.71)</f>
        <v>33.71</v>
      </c>
      <c r="X146" s="3">
        <f ca="1">IFERROR(__xludf.DUMMYFUNCTION("""COMPUTED_VALUE"""),82.94)</f>
        <v>82.94</v>
      </c>
      <c r="Y146" s="3">
        <f ca="1">IFERROR(__xludf.DUMMYFUNCTION("""COMPUTED_VALUE"""),48.55)</f>
        <v>48.55</v>
      </c>
      <c r="Z146" s="3">
        <f ca="1">IFERROR(__xludf.DUMMYFUNCTION("""COMPUTED_VALUE"""),75.05)</f>
        <v>75.05</v>
      </c>
      <c r="AA146" s="3">
        <f ca="1">IFERROR(__xludf.DUMMYFUNCTION("""COMPUTED_VALUE"""),44.34)</f>
        <v>44.34</v>
      </c>
      <c r="AB146" s="3">
        <f ca="1">IFERROR(__xludf.DUMMYFUNCTION("""COMPUTED_VALUE"""),63.78)</f>
        <v>63.78</v>
      </c>
      <c r="AC146" s="3">
        <f ca="1">IFERROR(__xludf.DUMMYFUNCTION("""COMPUTED_VALUE"""),53.89)</f>
        <v>53.89</v>
      </c>
      <c r="AD146" s="3">
        <f ca="1">IFERROR(__xludf.DUMMYFUNCTION("""COMPUTED_VALUE"""),9.21)</f>
        <v>9.2100000000000009</v>
      </c>
      <c r="AE146" s="3">
        <f ca="1">IFERROR(__xludf.DUMMYFUNCTION("""COMPUTED_VALUE"""),14.83)</f>
        <v>14.83</v>
      </c>
      <c r="AF146" s="3">
        <f ca="1">IFERROR(__xludf.DUMMYFUNCTION("""COMPUTED_VALUE"""),3.05)</f>
        <v>3.05</v>
      </c>
      <c r="AG146" s="3">
        <f ca="1">IFERROR(__xludf.DUMMYFUNCTION("""COMPUTED_VALUE"""),27.96)</f>
        <v>27.96</v>
      </c>
    </row>
    <row r="147" spans="1:33" ht="12.75" x14ac:dyDescent="0.2">
      <c r="A147" s="4">
        <f ca="1">IFERROR(__xludf.DUMMYFUNCTION("""COMPUTED_VALUE"""),44774.6666666666)</f>
        <v>44774.666666666599</v>
      </c>
      <c r="B147" s="3">
        <f ca="1">IFERROR(__xludf.DUMMYFUNCTION("""COMPUTED_VALUE"""),143.91)</f>
        <v>143.91</v>
      </c>
      <c r="C147" s="3">
        <f ca="1">IFERROR(__xludf.DUMMYFUNCTION("""COMPUTED_VALUE"""),369.54)</f>
        <v>369.54</v>
      </c>
      <c r="D147" s="3">
        <f ca="1">IFERROR(__xludf.DUMMYFUNCTION("""COMPUTED_VALUE"""),89.01)</f>
        <v>89.01</v>
      </c>
      <c r="E147" s="3">
        <f ca="1">IFERROR(__xludf.DUMMYFUNCTION("""COMPUTED_VALUE"""),136.3)</f>
        <v>136.30000000000001</v>
      </c>
      <c r="F147" s="3">
        <f ca="1">IFERROR(__xludf.DUMMYFUNCTION("""COMPUTED_VALUE"""),48.17)</f>
        <v>48.17</v>
      </c>
      <c r="G147" s="3">
        <f ca="1">IFERROR(__xludf.DUMMYFUNCTION("""COMPUTED_VALUE"""),22.77)</f>
        <v>22.77</v>
      </c>
      <c r="H147" s="3">
        <f ca="1">IFERROR(__xludf.DUMMYFUNCTION("""COMPUTED_VALUE"""),25.57)</f>
        <v>25.57</v>
      </c>
      <c r="I147" s="3">
        <f ca="1">IFERROR(__xludf.DUMMYFUNCTION("""COMPUTED_VALUE"""),131.42)</f>
        <v>131.41999999999999</v>
      </c>
      <c r="J147" s="3">
        <f ca="1">IFERROR(__xludf.DUMMYFUNCTION("""COMPUTED_VALUE"""),242.82)</f>
        <v>242.82</v>
      </c>
      <c r="K147" s="3">
        <f ca="1">IFERROR(__xludf.DUMMYFUNCTION("""COMPUTED_VALUE"""),122.27)</f>
        <v>122.27</v>
      </c>
      <c r="L147" s="3">
        <f ca="1">IFERROR(__xludf.DUMMYFUNCTION("""COMPUTED_VALUE"""),79.47)</f>
        <v>79.47</v>
      </c>
      <c r="M147" s="3">
        <f ca="1">IFERROR(__xludf.DUMMYFUNCTION("""COMPUTED_VALUE"""),60.4)</f>
        <v>60.4</v>
      </c>
      <c r="N147" s="3">
        <f ca="1">IFERROR(__xludf.DUMMYFUNCTION("""COMPUTED_VALUE"""),62.6)</f>
        <v>62.6</v>
      </c>
      <c r="O147" s="3">
        <f ca="1">IFERROR(__xludf.DUMMYFUNCTION("""COMPUTED_VALUE"""),55.84)</f>
        <v>55.84</v>
      </c>
      <c r="P147" s="3">
        <f ca="1">IFERROR(__xludf.DUMMYFUNCTION("""COMPUTED_VALUE"""),76.8)</f>
        <v>76.8</v>
      </c>
      <c r="Q147" s="3">
        <f ca="1">IFERROR(__xludf.DUMMYFUNCTION("""COMPUTED_VALUE"""),107.62)</f>
        <v>107.62</v>
      </c>
      <c r="R147" s="3">
        <f ca="1">IFERROR(__xludf.DUMMYFUNCTION("""COMPUTED_VALUE"""),77.5)</f>
        <v>77.5</v>
      </c>
      <c r="S147" s="3">
        <f ca="1">IFERROR(__xludf.DUMMYFUNCTION("""COMPUTED_VALUE"""),47.73)</f>
        <v>47.73</v>
      </c>
      <c r="T147" s="3">
        <f ca="1">IFERROR(__xludf.DUMMYFUNCTION("""COMPUTED_VALUE"""),25.58)</f>
        <v>25.58</v>
      </c>
      <c r="U147" s="3">
        <f ca="1">IFERROR(__xludf.DUMMYFUNCTION("""COMPUTED_VALUE"""),75.13)</f>
        <v>75.13</v>
      </c>
      <c r="V147" s="3">
        <f ca="1">IFERROR(__xludf.DUMMYFUNCTION("""COMPUTED_VALUE"""),83.35)</f>
        <v>83.35</v>
      </c>
      <c r="W147" s="3">
        <f ca="1">IFERROR(__xludf.DUMMYFUNCTION("""COMPUTED_VALUE"""),33.43)</f>
        <v>33.43</v>
      </c>
      <c r="X147" s="3">
        <f ca="1">IFERROR(__xludf.DUMMYFUNCTION("""COMPUTED_VALUE"""),82.38)</f>
        <v>82.38</v>
      </c>
      <c r="Y147" s="3">
        <f ca="1">IFERROR(__xludf.DUMMYFUNCTION("""COMPUTED_VALUE"""),48.64)</f>
        <v>48.64</v>
      </c>
      <c r="Z147" s="3">
        <f ca="1">IFERROR(__xludf.DUMMYFUNCTION("""COMPUTED_VALUE"""),74.43)</f>
        <v>74.430000000000007</v>
      </c>
      <c r="AA147" s="3">
        <f ca="1">IFERROR(__xludf.DUMMYFUNCTION("""COMPUTED_VALUE"""),43.94)</f>
        <v>43.94</v>
      </c>
      <c r="AB147" s="3">
        <f ca="1">IFERROR(__xludf.DUMMYFUNCTION("""COMPUTED_VALUE"""),63.83)</f>
        <v>63.83</v>
      </c>
      <c r="AC147" s="3">
        <f ca="1">IFERROR(__xludf.DUMMYFUNCTION("""COMPUTED_VALUE"""),53.65)</f>
        <v>53.65</v>
      </c>
      <c r="AD147" s="3">
        <f ca="1">IFERROR(__xludf.DUMMYFUNCTION("""COMPUTED_VALUE"""),8.83)</f>
        <v>8.83</v>
      </c>
      <c r="AE147" s="3">
        <f ca="1">IFERROR(__xludf.DUMMYFUNCTION("""COMPUTED_VALUE"""),14.21)</f>
        <v>14.21</v>
      </c>
      <c r="AF147" s="3">
        <f ca="1">IFERROR(__xludf.DUMMYFUNCTION("""COMPUTED_VALUE"""),2.95)</f>
        <v>2.95</v>
      </c>
      <c r="AG147" s="3">
        <f ca="1">IFERROR(__xludf.DUMMYFUNCTION("""COMPUTED_VALUE"""),27.68)</f>
        <v>27.68</v>
      </c>
    </row>
    <row r="148" spans="1:33" ht="12.75" x14ac:dyDescent="0.2">
      <c r="A148" s="4">
        <f ca="1">IFERROR(__xludf.DUMMYFUNCTION("""COMPUTED_VALUE"""),44775.6666666666)</f>
        <v>44775.666666666599</v>
      </c>
      <c r="B148" s="3">
        <f ca="1">IFERROR(__xludf.DUMMYFUNCTION("""COMPUTED_VALUE"""),142.89)</f>
        <v>142.88999999999999</v>
      </c>
      <c r="C148" s="3">
        <f ca="1">IFERROR(__xludf.DUMMYFUNCTION("""COMPUTED_VALUE"""),367.63)</f>
        <v>367.63</v>
      </c>
      <c r="D148" s="3">
        <f ca="1">IFERROR(__xludf.DUMMYFUNCTION("""COMPUTED_VALUE"""),88.78)</f>
        <v>88.78</v>
      </c>
      <c r="E148" s="3">
        <f ca="1">IFERROR(__xludf.DUMMYFUNCTION("""COMPUTED_VALUE"""),136.04)</f>
        <v>136.04</v>
      </c>
      <c r="F148" s="3">
        <f ca="1">IFERROR(__xludf.DUMMYFUNCTION("""COMPUTED_VALUE"""),48.43)</f>
        <v>48.43</v>
      </c>
      <c r="G148" s="3">
        <f ca="1">IFERROR(__xludf.DUMMYFUNCTION("""COMPUTED_VALUE"""),22.65)</f>
        <v>22.65</v>
      </c>
      <c r="H148" s="3">
        <f ca="1">IFERROR(__xludf.DUMMYFUNCTION("""COMPUTED_VALUE"""),25.73)</f>
        <v>25.73</v>
      </c>
      <c r="I148" s="3">
        <f ca="1">IFERROR(__xludf.DUMMYFUNCTION("""COMPUTED_VALUE"""),130.95)</f>
        <v>130.94999999999999</v>
      </c>
      <c r="J148" s="3">
        <f ca="1">IFERROR(__xludf.DUMMYFUNCTION("""COMPUTED_VALUE"""),242.63)</f>
        <v>242.63</v>
      </c>
      <c r="K148" s="3">
        <f ca="1">IFERROR(__xludf.DUMMYFUNCTION("""COMPUTED_VALUE"""),122.63)</f>
        <v>122.63</v>
      </c>
      <c r="L148" s="3">
        <f ca="1">IFERROR(__xludf.DUMMYFUNCTION("""COMPUTED_VALUE"""),80.98)</f>
        <v>80.98</v>
      </c>
      <c r="M148" s="3">
        <f ca="1">IFERROR(__xludf.DUMMYFUNCTION("""COMPUTED_VALUE"""),61)</f>
        <v>61</v>
      </c>
      <c r="N148" s="3">
        <f ca="1">IFERROR(__xludf.DUMMYFUNCTION("""COMPUTED_VALUE"""),62.52)</f>
        <v>62.52</v>
      </c>
      <c r="O148" s="3">
        <f ca="1">IFERROR(__xludf.DUMMYFUNCTION("""COMPUTED_VALUE"""),56.88)</f>
        <v>56.88</v>
      </c>
      <c r="P148" s="3">
        <f ca="1">IFERROR(__xludf.DUMMYFUNCTION("""COMPUTED_VALUE"""),76.62)</f>
        <v>76.62</v>
      </c>
      <c r="Q148" s="3">
        <f ca="1">IFERROR(__xludf.DUMMYFUNCTION("""COMPUTED_VALUE"""),107.45)</f>
        <v>107.45</v>
      </c>
      <c r="R148" s="3">
        <f ca="1">IFERROR(__xludf.DUMMYFUNCTION("""COMPUTED_VALUE"""),76.71)</f>
        <v>76.709999999999994</v>
      </c>
      <c r="S148" s="3">
        <f ca="1">IFERROR(__xludf.DUMMYFUNCTION("""COMPUTED_VALUE"""),47.09)</f>
        <v>47.09</v>
      </c>
      <c r="T148" s="3">
        <f ca="1">IFERROR(__xludf.DUMMYFUNCTION("""COMPUTED_VALUE"""),25.45)</f>
        <v>25.45</v>
      </c>
      <c r="U148" s="3">
        <f ca="1">IFERROR(__xludf.DUMMYFUNCTION("""COMPUTED_VALUE"""),75.93)</f>
        <v>75.930000000000007</v>
      </c>
      <c r="V148" s="3">
        <f ca="1">IFERROR(__xludf.DUMMYFUNCTION("""COMPUTED_VALUE"""),84.17)</f>
        <v>84.17</v>
      </c>
      <c r="W148" s="3">
        <f ca="1">IFERROR(__xludf.DUMMYFUNCTION("""COMPUTED_VALUE"""),33.06)</f>
        <v>33.06</v>
      </c>
      <c r="X148" s="3">
        <f ca="1">IFERROR(__xludf.DUMMYFUNCTION("""COMPUTED_VALUE"""),81.4)</f>
        <v>81.400000000000006</v>
      </c>
      <c r="Y148" s="3">
        <f ca="1">IFERROR(__xludf.DUMMYFUNCTION("""COMPUTED_VALUE"""),48.04)</f>
        <v>48.04</v>
      </c>
      <c r="Z148" s="3">
        <f ca="1">IFERROR(__xludf.DUMMYFUNCTION("""COMPUTED_VALUE"""),73.66)</f>
        <v>73.66</v>
      </c>
      <c r="AA148" s="3">
        <f ca="1">IFERROR(__xludf.DUMMYFUNCTION("""COMPUTED_VALUE"""),43.36)</f>
        <v>43.36</v>
      </c>
      <c r="AB148" s="3">
        <f ca="1">IFERROR(__xludf.DUMMYFUNCTION("""COMPUTED_VALUE"""),63.09)</f>
        <v>63.09</v>
      </c>
      <c r="AC148" s="3">
        <f ca="1">IFERROR(__xludf.DUMMYFUNCTION("""COMPUTED_VALUE"""),52.94)</f>
        <v>52.94</v>
      </c>
      <c r="AD148" s="3">
        <f ca="1">IFERROR(__xludf.DUMMYFUNCTION("""COMPUTED_VALUE"""),8.83)</f>
        <v>8.83</v>
      </c>
      <c r="AE148" s="3">
        <f ca="1">IFERROR(__xludf.DUMMYFUNCTION("""COMPUTED_VALUE"""),14.19)</f>
        <v>14.19</v>
      </c>
      <c r="AF148" s="3">
        <f ca="1">IFERROR(__xludf.DUMMYFUNCTION("""COMPUTED_VALUE"""),2.96)</f>
        <v>2.96</v>
      </c>
      <c r="AG148" s="3">
        <f ca="1">IFERROR(__xludf.DUMMYFUNCTION("""COMPUTED_VALUE"""),29.04)</f>
        <v>29.04</v>
      </c>
    </row>
    <row r="149" spans="1:33" ht="12.75" x14ac:dyDescent="0.2">
      <c r="A149" s="4">
        <f ca="1">IFERROR(__xludf.DUMMYFUNCTION("""COMPUTED_VALUE"""),44776.6666666666)</f>
        <v>44776.666666666599</v>
      </c>
      <c r="B149" s="3">
        <f ca="1">IFERROR(__xludf.DUMMYFUNCTION("""COMPUTED_VALUE"""),146.69)</f>
        <v>146.69</v>
      </c>
      <c r="C149" s="3">
        <f ca="1">IFERROR(__xludf.DUMMYFUNCTION("""COMPUTED_VALUE"""),378.29)</f>
        <v>378.29</v>
      </c>
      <c r="D149" s="3">
        <f ca="1">IFERROR(__xludf.DUMMYFUNCTION("""COMPUTED_VALUE"""),91.35)</f>
        <v>91.35</v>
      </c>
      <c r="E149" s="3">
        <f ca="1">IFERROR(__xludf.DUMMYFUNCTION("""COMPUTED_VALUE"""),139.82)</f>
        <v>139.82</v>
      </c>
      <c r="F149" s="3">
        <f ca="1">IFERROR(__xludf.DUMMYFUNCTION("""COMPUTED_VALUE"""),50.19)</f>
        <v>50.19</v>
      </c>
      <c r="G149" s="3">
        <f ca="1">IFERROR(__xludf.DUMMYFUNCTION("""COMPUTED_VALUE"""),23.04)</f>
        <v>23.04</v>
      </c>
      <c r="H149" s="3">
        <f ca="1">IFERROR(__xludf.DUMMYFUNCTION("""COMPUTED_VALUE"""),26.19)</f>
        <v>26.19</v>
      </c>
      <c r="I149" s="3">
        <f ca="1">IFERROR(__xludf.DUMMYFUNCTION("""COMPUTED_VALUE"""),132.15)</f>
        <v>132.15</v>
      </c>
      <c r="J149" s="3">
        <f ca="1">IFERROR(__xludf.DUMMYFUNCTION("""COMPUTED_VALUE"""),245.06)</f>
        <v>245.06</v>
      </c>
      <c r="K149" s="3">
        <f ca="1">IFERROR(__xludf.DUMMYFUNCTION("""COMPUTED_VALUE"""),127.33)</f>
        <v>127.33</v>
      </c>
      <c r="L149" s="3">
        <f ca="1">IFERROR(__xludf.DUMMYFUNCTION("""COMPUTED_VALUE"""),84.06)</f>
        <v>84.06</v>
      </c>
      <c r="M149" s="3">
        <f ca="1">IFERROR(__xludf.DUMMYFUNCTION("""COMPUTED_VALUE"""),62.36)</f>
        <v>62.36</v>
      </c>
      <c r="N149" s="3">
        <f ca="1">IFERROR(__xludf.DUMMYFUNCTION("""COMPUTED_VALUE"""),63.17)</f>
        <v>63.17</v>
      </c>
      <c r="O149" s="3">
        <f ca="1">IFERROR(__xludf.DUMMYFUNCTION("""COMPUTED_VALUE"""),59.88)</f>
        <v>59.88</v>
      </c>
      <c r="P149" s="3">
        <f ca="1">IFERROR(__xludf.DUMMYFUNCTION("""COMPUTED_VALUE"""),74.42)</f>
        <v>74.42</v>
      </c>
      <c r="Q149" s="3">
        <f ca="1">IFERROR(__xludf.DUMMYFUNCTION("""COMPUTED_VALUE"""),104.51)</f>
        <v>104.51</v>
      </c>
      <c r="R149" s="3">
        <f ca="1">IFERROR(__xludf.DUMMYFUNCTION("""COMPUTED_VALUE"""),76.79)</f>
        <v>76.790000000000006</v>
      </c>
      <c r="S149" s="3">
        <f ca="1">IFERROR(__xludf.DUMMYFUNCTION("""COMPUTED_VALUE"""),46.92)</f>
        <v>46.92</v>
      </c>
      <c r="T149" s="3">
        <f ca="1">IFERROR(__xludf.DUMMYFUNCTION("""COMPUTED_VALUE"""),25.23)</f>
        <v>25.23</v>
      </c>
      <c r="U149" s="3">
        <f ca="1">IFERROR(__xludf.DUMMYFUNCTION("""COMPUTED_VALUE"""),73.53)</f>
        <v>73.53</v>
      </c>
      <c r="V149" s="3">
        <f ca="1">IFERROR(__xludf.DUMMYFUNCTION("""COMPUTED_VALUE"""),81.77)</f>
        <v>81.77</v>
      </c>
      <c r="W149" s="3">
        <f ca="1">IFERROR(__xludf.DUMMYFUNCTION("""COMPUTED_VALUE"""),33.56)</f>
        <v>33.56</v>
      </c>
      <c r="X149" s="3">
        <f ca="1">IFERROR(__xludf.DUMMYFUNCTION("""COMPUTED_VALUE"""),82.65)</f>
        <v>82.65</v>
      </c>
      <c r="Y149" s="3">
        <f ca="1">IFERROR(__xludf.DUMMYFUNCTION("""COMPUTED_VALUE"""),48.65)</f>
        <v>48.65</v>
      </c>
      <c r="Z149" s="3">
        <f ca="1">IFERROR(__xludf.DUMMYFUNCTION("""COMPUTED_VALUE"""),74.8)</f>
        <v>74.8</v>
      </c>
      <c r="AA149" s="3">
        <f ca="1">IFERROR(__xludf.DUMMYFUNCTION("""COMPUTED_VALUE"""),43.54)</f>
        <v>43.54</v>
      </c>
      <c r="AB149" s="3">
        <f ca="1">IFERROR(__xludf.DUMMYFUNCTION("""COMPUTED_VALUE"""),63.78)</f>
        <v>63.78</v>
      </c>
      <c r="AC149" s="3">
        <f ca="1">IFERROR(__xludf.DUMMYFUNCTION("""COMPUTED_VALUE"""),53.78)</f>
        <v>53.78</v>
      </c>
      <c r="AD149" s="3">
        <f ca="1">IFERROR(__xludf.DUMMYFUNCTION("""COMPUTED_VALUE"""),9.04)</f>
        <v>9.0399999999999991</v>
      </c>
      <c r="AE149" s="3">
        <f ca="1">IFERROR(__xludf.DUMMYFUNCTION("""COMPUTED_VALUE"""),14.53)</f>
        <v>14.53</v>
      </c>
      <c r="AF149" s="3">
        <f ca="1">IFERROR(__xludf.DUMMYFUNCTION("""COMPUTED_VALUE"""),3.15)</f>
        <v>3.15</v>
      </c>
      <c r="AG149" s="3">
        <f ca="1">IFERROR(__xludf.DUMMYFUNCTION("""COMPUTED_VALUE"""),30.68)</f>
        <v>30.68</v>
      </c>
    </row>
    <row r="150" spans="1:33" ht="12.75" x14ac:dyDescent="0.2">
      <c r="A150" s="4">
        <f ca="1">IFERROR(__xludf.DUMMYFUNCTION("""COMPUTED_VALUE"""),44777.6666666666)</f>
        <v>44777.666666666599</v>
      </c>
      <c r="B150" s="3">
        <f ca="1">IFERROR(__xludf.DUMMYFUNCTION("""COMPUTED_VALUE"""),147.36)</f>
        <v>147.36000000000001</v>
      </c>
      <c r="C150" s="3">
        <f ca="1">IFERROR(__xludf.DUMMYFUNCTION("""COMPUTED_VALUE"""),379.49)</f>
        <v>379.49</v>
      </c>
      <c r="D150" s="3">
        <f ca="1">IFERROR(__xludf.DUMMYFUNCTION("""COMPUTED_VALUE"""),91.8)</f>
        <v>91.8</v>
      </c>
      <c r="E150" s="3">
        <f ca="1">IFERROR(__xludf.DUMMYFUNCTION("""COMPUTED_VALUE"""),140.83)</f>
        <v>140.83000000000001</v>
      </c>
      <c r="F150" s="3">
        <f ca="1">IFERROR(__xludf.DUMMYFUNCTION("""COMPUTED_VALUE"""),49.48)</f>
        <v>49.48</v>
      </c>
      <c r="G150" s="3">
        <f ca="1">IFERROR(__xludf.DUMMYFUNCTION("""COMPUTED_VALUE"""),23.23)</f>
        <v>23.23</v>
      </c>
      <c r="H150" s="3">
        <f ca="1">IFERROR(__xludf.DUMMYFUNCTION("""COMPUTED_VALUE"""),26.28)</f>
        <v>26.28</v>
      </c>
      <c r="I150" s="3">
        <f ca="1">IFERROR(__xludf.DUMMYFUNCTION("""COMPUTED_VALUE"""),131.5)</f>
        <v>131.5</v>
      </c>
      <c r="J150" s="3">
        <f ca="1">IFERROR(__xludf.DUMMYFUNCTION("""COMPUTED_VALUE"""),244.51)</f>
        <v>244.51</v>
      </c>
      <c r="K150" s="3">
        <f ca="1">IFERROR(__xludf.DUMMYFUNCTION("""COMPUTED_VALUE"""),130.18)</f>
        <v>130.18</v>
      </c>
      <c r="L150" s="3">
        <f ca="1">IFERROR(__xludf.DUMMYFUNCTION("""COMPUTED_VALUE"""),88.71)</f>
        <v>88.71</v>
      </c>
      <c r="M150" s="3">
        <f ca="1">IFERROR(__xludf.DUMMYFUNCTION("""COMPUTED_VALUE"""),65.12)</f>
        <v>65.12</v>
      </c>
      <c r="N150" s="3">
        <f ca="1">IFERROR(__xludf.DUMMYFUNCTION("""COMPUTED_VALUE"""),63.01)</f>
        <v>63.01</v>
      </c>
      <c r="O150" s="3">
        <f ca="1">IFERROR(__xludf.DUMMYFUNCTION("""COMPUTED_VALUE"""),61.36)</f>
        <v>61.36</v>
      </c>
      <c r="P150" s="3">
        <f ca="1">IFERROR(__xludf.DUMMYFUNCTION("""COMPUTED_VALUE"""),71.66)</f>
        <v>71.66</v>
      </c>
      <c r="Q150" s="3">
        <f ca="1">IFERROR(__xludf.DUMMYFUNCTION("""COMPUTED_VALUE"""),100.66)</f>
        <v>100.66</v>
      </c>
      <c r="R150" s="3">
        <f ca="1">IFERROR(__xludf.DUMMYFUNCTION("""COMPUTED_VALUE"""),76.84)</f>
        <v>76.84</v>
      </c>
      <c r="S150" s="3">
        <f ca="1">IFERROR(__xludf.DUMMYFUNCTION("""COMPUTED_VALUE"""),47.39)</f>
        <v>47.39</v>
      </c>
      <c r="T150" s="3">
        <f ca="1">IFERROR(__xludf.DUMMYFUNCTION("""COMPUTED_VALUE"""),24.96)</f>
        <v>24.96</v>
      </c>
      <c r="U150" s="3">
        <f ca="1">IFERROR(__xludf.DUMMYFUNCTION("""COMPUTED_VALUE"""),71.53)</f>
        <v>71.53</v>
      </c>
      <c r="V150" s="3">
        <f ca="1">IFERROR(__xludf.DUMMYFUNCTION("""COMPUTED_VALUE"""),83.46)</f>
        <v>83.46</v>
      </c>
      <c r="W150" s="3">
        <f ca="1">IFERROR(__xludf.DUMMYFUNCTION("""COMPUTED_VALUE"""),33.45)</f>
        <v>33.450000000000003</v>
      </c>
      <c r="X150" s="3">
        <f ca="1">IFERROR(__xludf.DUMMYFUNCTION("""COMPUTED_VALUE"""),82.38)</f>
        <v>82.38</v>
      </c>
      <c r="Y150" s="3">
        <f ca="1">IFERROR(__xludf.DUMMYFUNCTION("""COMPUTED_VALUE"""),48.37)</f>
        <v>48.37</v>
      </c>
      <c r="Z150" s="3">
        <f ca="1">IFERROR(__xludf.DUMMYFUNCTION("""COMPUTED_VALUE"""),74.59)</f>
        <v>74.59</v>
      </c>
      <c r="AA150" s="3">
        <f ca="1">IFERROR(__xludf.DUMMYFUNCTION("""COMPUTED_VALUE"""),43.58)</f>
        <v>43.58</v>
      </c>
      <c r="AB150" s="3">
        <f ca="1">IFERROR(__xludf.DUMMYFUNCTION("""COMPUTED_VALUE"""),63.28)</f>
        <v>63.28</v>
      </c>
      <c r="AC150" s="3">
        <f ca="1">IFERROR(__xludf.DUMMYFUNCTION("""COMPUTED_VALUE"""),53.84)</f>
        <v>53.84</v>
      </c>
      <c r="AD150" s="3">
        <f ca="1">IFERROR(__xludf.DUMMYFUNCTION("""COMPUTED_VALUE"""),8.62)</f>
        <v>8.6199999999999992</v>
      </c>
      <c r="AE150" s="3">
        <f ca="1">IFERROR(__xludf.DUMMYFUNCTION("""COMPUTED_VALUE"""),13.83)</f>
        <v>13.83</v>
      </c>
      <c r="AF150" s="3">
        <f ca="1">IFERROR(__xludf.DUMMYFUNCTION("""COMPUTED_VALUE"""),3.31)</f>
        <v>3.31</v>
      </c>
      <c r="AG150" s="3">
        <f ca="1">IFERROR(__xludf.DUMMYFUNCTION("""COMPUTED_VALUE"""),30.84)</f>
        <v>30.84</v>
      </c>
    </row>
    <row r="151" spans="1:33" ht="12.75" x14ac:dyDescent="0.2">
      <c r="A151" s="4">
        <f ca="1">IFERROR(__xludf.DUMMYFUNCTION("""COMPUTED_VALUE"""),44778.6666666666)</f>
        <v>44778.666666666599</v>
      </c>
      <c r="B151" s="3">
        <f ca="1">IFERROR(__xludf.DUMMYFUNCTION("""COMPUTED_VALUE"""),147.02)</f>
        <v>147.02000000000001</v>
      </c>
      <c r="C151" s="3">
        <f ca="1">IFERROR(__xludf.DUMMYFUNCTION("""COMPUTED_VALUE"""),378.9)</f>
        <v>378.9</v>
      </c>
      <c r="D151" s="3">
        <f ca="1">IFERROR(__xludf.DUMMYFUNCTION("""COMPUTED_VALUE"""),91.57)</f>
        <v>91.57</v>
      </c>
      <c r="E151" s="3">
        <f ca="1">IFERROR(__xludf.DUMMYFUNCTION("""COMPUTED_VALUE"""),139.73)</f>
        <v>139.72999999999999</v>
      </c>
      <c r="F151" s="3">
        <f ca="1">IFERROR(__xludf.DUMMYFUNCTION("""COMPUTED_VALUE"""),49.98)</f>
        <v>49.98</v>
      </c>
      <c r="G151" s="3">
        <f ca="1">IFERROR(__xludf.DUMMYFUNCTION("""COMPUTED_VALUE"""),23.08)</f>
        <v>23.08</v>
      </c>
      <c r="H151" s="3">
        <f ca="1">IFERROR(__xludf.DUMMYFUNCTION("""COMPUTED_VALUE"""),26.43)</f>
        <v>26.43</v>
      </c>
      <c r="I151" s="3">
        <f ca="1">IFERROR(__xludf.DUMMYFUNCTION("""COMPUTED_VALUE"""),131.45)</f>
        <v>131.44999999999999</v>
      </c>
      <c r="J151" s="3">
        <f ca="1">IFERROR(__xludf.DUMMYFUNCTION("""COMPUTED_VALUE"""),244.84)</f>
        <v>244.84</v>
      </c>
      <c r="K151" s="3">
        <f ca="1">IFERROR(__xludf.DUMMYFUNCTION("""COMPUTED_VALUE"""),131.44)</f>
        <v>131.44</v>
      </c>
      <c r="L151" s="3">
        <f ca="1">IFERROR(__xludf.DUMMYFUNCTION("""COMPUTED_VALUE"""),92.3)</f>
        <v>92.3</v>
      </c>
      <c r="M151" s="3">
        <f ca="1">IFERROR(__xludf.DUMMYFUNCTION("""COMPUTED_VALUE"""),66.31)</f>
        <v>66.31</v>
      </c>
      <c r="N151" s="3">
        <f ca="1">IFERROR(__xludf.DUMMYFUNCTION("""COMPUTED_VALUE"""),63.1)</f>
        <v>63.1</v>
      </c>
      <c r="O151" s="3">
        <f ca="1">IFERROR(__xludf.DUMMYFUNCTION("""COMPUTED_VALUE"""),62.4)</f>
        <v>62.4</v>
      </c>
      <c r="P151" s="3">
        <f ca="1">IFERROR(__xludf.DUMMYFUNCTION("""COMPUTED_VALUE"""),73.08)</f>
        <v>73.08</v>
      </c>
      <c r="Q151" s="3">
        <f ca="1">IFERROR(__xludf.DUMMYFUNCTION("""COMPUTED_VALUE"""),102.77)</f>
        <v>102.77</v>
      </c>
      <c r="R151" s="3">
        <f ca="1">IFERROR(__xludf.DUMMYFUNCTION("""COMPUTED_VALUE"""),77.11)</f>
        <v>77.11</v>
      </c>
      <c r="S151" s="3">
        <f ca="1">IFERROR(__xludf.DUMMYFUNCTION("""COMPUTED_VALUE"""),48.47)</f>
        <v>48.47</v>
      </c>
      <c r="T151" s="3">
        <f ca="1">IFERROR(__xludf.DUMMYFUNCTION("""COMPUTED_VALUE"""),24.87)</f>
        <v>24.87</v>
      </c>
      <c r="U151" s="3">
        <f ca="1">IFERROR(__xludf.DUMMYFUNCTION("""COMPUTED_VALUE"""),71.54)</f>
        <v>71.540000000000006</v>
      </c>
      <c r="V151" s="3">
        <f ca="1">IFERROR(__xludf.DUMMYFUNCTION("""COMPUTED_VALUE"""),84.77)</f>
        <v>84.77</v>
      </c>
      <c r="W151" s="3">
        <f ca="1">IFERROR(__xludf.DUMMYFUNCTION("""COMPUTED_VALUE"""),33.69)</f>
        <v>33.69</v>
      </c>
      <c r="X151" s="3">
        <f ca="1">IFERROR(__xludf.DUMMYFUNCTION("""COMPUTED_VALUE"""),83)</f>
        <v>83</v>
      </c>
      <c r="Y151" s="3">
        <f ca="1">IFERROR(__xludf.DUMMYFUNCTION("""COMPUTED_VALUE"""),48.81)</f>
        <v>48.81</v>
      </c>
      <c r="Z151" s="3">
        <f ca="1">IFERROR(__xludf.DUMMYFUNCTION("""COMPUTED_VALUE"""),75.13)</f>
        <v>75.13</v>
      </c>
      <c r="AA151" s="3">
        <f ca="1">IFERROR(__xludf.DUMMYFUNCTION("""COMPUTED_VALUE"""),43.72)</f>
        <v>43.72</v>
      </c>
      <c r="AB151" s="3">
        <f ca="1">IFERROR(__xludf.DUMMYFUNCTION("""COMPUTED_VALUE"""),64.04)</f>
        <v>64.040000000000006</v>
      </c>
      <c r="AC151" s="3">
        <f ca="1">IFERROR(__xludf.DUMMYFUNCTION("""COMPUTED_VALUE"""),54.33)</f>
        <v>54.33</v>
      </c>
      <c r="AD151" s="3">
        <f ca="1">IFERROR(__xludf.DUMMYFUNCTION("""COMPUTED_VALUE"""),8.81)</f>
        <v>8.81</v>
      </c>
      <c r="AE151" s="3">
        <f ca="1">IFERROR(__xludf.DUMMYFUNCTION("""COMPUTED_VALUE"""),14.17)</f>
        <v>14.17</v>
      </c>
      <c r="AF151" s="3">
        <f ca="1">IFERROR(__xludf.DUMMYFUNCTION("""COMPUTED_VALUE"""),3.43)</f>
        <v>3.43</v>
      </c>
      <c r="AG151" s="3">
        <f ca="1">IFERROR(__xludf.DUMMYFUNCTION("""COMPUTED_VALUE"""),31.32)</f>
        <v>31.32</v>
      </c>
    </row>
    <row r="152" spans="1:33" ht="12.75" x14ac:dyDescent="0.2">
      <c r="A152" s="4">
        <f ca="1">IFERROR(__xludf.DUMMYFUNCTION("""COMPUTED_VALUE"""),44781.6666666666)</f>
        <v>44781.666666666599</v>
      </c>
      <c r="B152" s="3">
        <f ca="1">IFERROR(__xludf.DUMMYFUNCTION("""COMPUTED_VALUE"""),145.77)</f>
        <v>145.77000000000001</v>
      </c>
      <c r="C152" s="3">
        <f ca="1">IFERROR(__xludf.DUMMYFUNCTION("""COMPUTED_VALUE"""),376.27)</f>
        <v>376.27</v>
      </c>
      <c r="D152" s="3">
        <f ca="1">IFERROR(__xludf.DUMMYFUNCTION("""COMPUTED_VALUE"""),91.02)</f>
        <v>91.02</v>
      </c>
      <c r="E152" s="3">
        <f ca="1">IFERROR(__xludf.DUMMYFUNCTION("""COMPUTED_VALUE"""),137.62)</f>
        <v>137.62</v>
      </c>
      <c r="F152" s="3">
        <f ca="1">IFERROR(__xludf.DUMMYFUNCTION("""COMPUTED_VALUE"""),49.96)</f>
        <v>49.96</v>
      </c>
      <c r="G152" s="3">
        <f ca="1">IFERROR(__xludf.DUMMYFUNCTION("""COMPUTED_VALUE"""),22.98)</f>
        <v>22.98</v>
      </c>
      <c r="H152" s="3">
        <f ca="1">IFERROR(__xludf.DUMMYFUNCTION("""COMPUTED_VALUE"""),26.59)</f>
        <v>26.59</v>
      </c>
      <c r="I152" s="3">
        <f ca="1">IFERROR(__xludf.DUMMYFUNCTION("""COMPUTED_VALUE"""),131.76)</f>
        <v>131.76</v>
      </c>
      <c r="J152" s="3">
        <f ca="1">IFERROR(__xludf.DUMMYFUNCTION("""COMPUTED_VALUE"""),245.92)</f>
        <v>245.92</v>
      </c>
      <c r="K152" s="3">
        <f ca="1">IFERROR(__xludf.DUMMYFUNCTION("""COMPUTED_VALUE"""),132.03)</f>
        <v>132.03</v>
      </c>
      <c r="L152" s="3">
        <f ca="1">IFERROR(__xludf.DUMMYFUNCTION("""COMPUTED_VALUE"""),93.89)</f>
        <v>93.89</v>
      </c>
      <c r="M152" s="3">
        <f ca="1">IFERROR(__xludf.DUMMYFUNCTION("""COMPUTED_VALUE"""),66.56)</f>
        <v>66.56</v>
      </c>
      <c r="N152" s="3">
        <f ca="1">IFERROR(__xludf.DUMMYFUNCTION("""COMPUTED_VALUE"""),63.38)</f>
        <v>63.38</v>
      </c>
      <c r="O152" s="3">
        <f ca="1">IFERROR(__xludf.DUMMYFUNCTION("""COMPUTED_VALUE"""),62.16)</f>
        <v>62.16</v>
      </c>
      <c r="P152" s="3">
        <f ca="1">IFERROR(__xludf.DUMMYFUNCTION("""COMPUTED_VALUE"""),73.46)</f>
        <v>73.459999999999994</v>
      </c>
      <c r="Q152" s="3">
        <f ca="1">IFERROR(__xludf.DUMMYFUNCTION("""COMPUTED_VALUE"""),103.19)</f>
        <v>103.19</v>
      </c>
      <c r="R152" s="3">
        <f ca="1">IFERROR(__xludf.DUMMYFUNCTION("""COMPUTED_VALUE"""),77.54)</f>
        <v>77.540000000000006</v>
      </c>
      <c r="S152" s="3">
        <f ca="1">IFERROR(__xludf.DUMMYFUNCTION("""COMPUTED_VALUE"""),48.89)</f>
        <v>48.89</v>
      </c>
      <c r="T152" s="3">
        <f ca="1">IFERROR(__xludf.DUMMYFUNCTION("""COMPUTED_VALUE"""),25.17)</f>
        <v>25.17</v>
      </c>
      <c r="U152" s="3">
        <f ca="1">IFERROR(__xludf.DUMMYFUNCTION("""COMPUTED_VALUE"""),73.54)</f>
        <v>73.540000000000006</v>
      </c>
      <c r="V152" s="3">
        <f ca="1">IFERROR(__xludf.DUMMYFUNCTION("""COMPUTED_VALUE"""),85.37)</f>
        <v>85.37</v>
      </c>
      <c r="W152" s="3">
        <f ca="1">IFERROR(__xludf.DUMMYFUNCTION("""COMPUTED_VALUE"""),33.67)</f>
        <v>33.67</v>
      </c>
      <c r="X152" s="3">
        <f ca="1">IFERROR(__xludf.DUMMYFUNCTION("""COMPUTED_VALUE"""),82.97)</f>
        <v>82.97</v>
      </c>
      <c r="Y152" s="3">
        <f ca="1">IFERROR(__xludf.DUMMYFUNCTION("""COMPUTED_VALUE"""),48.81)</f>
        <v>48.81</v>
      </c>
      <c r="Z152" s="3">
        <f ca="1">IFERROR(__xludf.DUMMYFUNCTION("""COMPUTED_VALUE"""),75.13)</f>
        <v>75.13</v>
      </c>
      <c r="AA152" s="3">
        <f ca="1">IFERROR(__xludf.DUMMYFUNCTION("""COMPUTED_VALUE"""),44.04)</f>
        <v>44.04</v>
      </c>
      <c r="AB152" s="3">
        <f ca="1">IFERROR(__xludf.DUMMYFUNCTION("""COMPUTED_VALUE"""),64.01)</f>
        <v>64.010000000000005</v>
      </c>
      <c r="AC152" s="3">
        <f ca="1">IFERROR(__xludf.DUMMYFUNCTION("""COMPUTED_VALUE"""),54.05)</f>
        <v>54.05</v>
      </c>
      <c r="AD152" s="3">
        <f ca="1">IFERROR(__xludf.DUMMYFUNCTION("""COMPUTED_VALUE"""),9.2)</f>
        <v>9.1999999999999993</v>
      </c>
      <c r="AE152" s="3">
        <f ca="1">IFERROR(__xludf.DUMMYFUNCTION("""COMPUTED_VALUE"""),14.79)</f>
        <v>14.79</v>
      </c>
      <c r="AF152" s="3">
        <f ca="1">IFERROR(__xludf.DUMMYFUNCTION("""COMPUTED_VALUE"""),3.48)</f>
        <v>3.48</v>
      </c>
      <c r="AG152" s="3">
        <f ca="1">IFERROR(__xludf.DUMMYFUNCTION("""COMPUTED_VALUE"""),32.68)</f>
        <v>32.68</v>
      </c>
    </row>
    <row r="153" spans="1:33" ht="12.75" x14ac:dyDescent="0.2">
      <c r="A153" s="4">
        <f ca="1">IFERROR(__xludf.DUMMYFUNCTION("""COMPUTED_VALUE"""),44782.6666666666)</f>
        <v>44782.666666666599</v>
      </c>
      <c r="B153" s="3">
        <f ca="1">IFERROR(__xludf.DUMMYFUNCTION("""COMPUTED_VALUE"""),144.31)</f>
        <v>144.31</v>
      </c>
      <c r="C153" s="3">
        <f ca="1">IFERROR(__xludf.DUMMYFUNCTION("""COMPUTED_VALUE"""),371.65)</f>
        <v>371.65</v>
      </c>
      <c r="D153" s="3">
        <f ca="1">IFERROR(__xludf.DUMMYFUNCTION("""COMPUTED_VALUE"""),89.71)</f>
        <v>89.71</v>
      </c>
      <c r="E153" s="3">
        <f ca="1">IFERROR(__xludf.DUMMYFUNCTION("""COMPUTED_VALUE"""),131.31)</f>
        <v>131.31</v>
      </c>
      <c r="F153" s="3">
        <f ca="1">IFERROR(__xludf.DUMMYFUNCTION("""COMPUTED_VALUE"""),49.57)</f>
        <v>49.57</v>
      </c>
      <c r="G153" s="3">
        <f ca="1">IFERROR(__xludf.DUMMYFUNCTION("""COMPUTED_VALUE"""),22.39)</f>
        <v>22.39</v>
      </c>
      <c r="H153" s="3">
        <f ca="1">IFERROR(__xludf.DUMMYFUNCTION("""COMPUTED_VALUE"""),26.06)</f>
        <v>26.06</v>
      </c>
      <c r="I153" s="3">
        <f ca="1">IFERROR(__xludf.DUMMYFUNCTION("""COMPUTED_VALUE"""),131.36)</f>
        <v>131.36000000000001</v>
      </c>
      <c r="J153" s="3">
        <f ca="1">IFERROR(__xludf.DUMMYFUNCTION("""COMPUTED_VALUE"""),244.42)</f>
        <v>244.42</v>
      </c>
      <c r="K153" s="3">
        <f ca="1">IFERROR(__xludf.DUMMYFUNCTION("""COMPUTED_VALUE"""),129.91)</f>
        <v>129.91</v>
      </c>
      <c r="L153" s="3">
        <f ca="1">IFERROR(__xludf.DUMMYFUNCTION("""COMPUTED_VALUE"""),90.75)</f>
        <v>90.75</v>
      </c>
      <c r="M153" s="3">
        <f ca="1">IFERROR(__xludf.DUMMYFUNCTION("""COMPUTED_VALUE"""),65.49)</f>
        <v>65.489999999999995</v>
      </c>
      <c r="N153" s="3">
        <f ca="1">IFERROR(__xludf.DUMMYFUNCTION("""COMPUTED_VALUE"""),62.95)</f>
        <v>62.95</v>
      </c>
      <c r="O153" s="3">
        <f ca="1">IFERROR(__xludf.DUMMYFUNCTION("""COMPUTED_VALUE"""),60)</f>
        <v>60</v>
      </c>
      <c r="P153" s="3">
        <f ca="1">IFERROR(__xludf.DUMMYFUNCTION("""COMPUTED_VALUE"""),74.75)</f>
        <v>74.75</v>
      </c>
      <c r="Q153" s="3">
        <f ca="1">IFERROR(__xludf.DUMMYFUNCTION("""COMPUTED_VALUE"""),105.12)</f>
        <v>105.12</v>
      </c>
      <c r="R153" s="3">
        <f ca="1">IFERROR(__xludf.DUMMYFUNCTION("""COMPUTED_VALUE"""),77.16)</f>
        <v>77.16</v>
      </c>
      <c r="S153" s="3">
        <f ca="1">IFERROR(__xludf.DUMMYFUNCTION("""COMPUTED_VALUE"""),49.28)</f>
        <v>49.28</v>
      </c>
      <c r="T153" s="3">
        <f ca="1">IFERROR(__xludf.DUMMYFUNCTION("""COMPUTED_VALUE"""),25.38)</f>
        <v>25.38</v>
      </c>
      <c r="U153" s="3">
        <f ca="1">IFERROR(__xludf.DUMMYFUNCTION("""COMPUTED_VALUE"""),73.45)</f>
        <v>73.45</v>
      </c>
      <c r="V153" s="3">
        <f ca="1">IFERROR(__xludf.DUMMYFUNCTION("""COMPUTED_VALUE"""),85.85)</f>
        <v>85.85</v>
      </c>
      <c r="W153" s="3">
        <f ca="1">IFERROR(__xludf.DUMMYFUNCTION("""COMPUTED_VALUE"""),33.84)</f>
        <v>33.840000000000003</v>
      </c>
      <c r="X153" s="3">
        <f ca="1">IFERROR(__xludf.DUMMYFUNCTION("""COMPUTED_VALUE"""),83.34)</f>
        <v>83.34</v>
      </c>
      <c r="Y153" s="3">
        <f ca="1">IFERROR(__xludf.DUMMYFUNCTION("""COMPUTED_VALUE"""),48.94)</f>
        <v>48.94</v>
      </c>
      <c r="Z153" s="3">
        <f ca="1">IFERROR(__xludf.DUMMYFUNCTION("""COMPUTED_VALUE"""),75.39)</f>
        <v>75.39</v>
      </c>
      <c r="AA153" s="3">
        <f ca="1">IFERROR(__xludf.DUMMYFUNCTION("""COMPUTED_VALUE"""),44.39)</f>
        <v>44.39</v>
      </c>
      <c r="AB153" s="3">
        <f ca="1">IFERROR(__xludf.DUMMYFUNCTION("""COMPUTED_VALUE"""),64.23)</f>
        <v>64.23</v>
      </c>
      <c r="AC153" s="3">
        <f ca="1">IFERROR(__xludf.DUMMYFUNCTION("""COMPUTED_VALUE"""),54)</f>
        <v>54</v>
      </c>
      <c r="AD153" s="3">
        <f ca="1">IFERROR(__xludf.DUMMYFUNCTION("""COMPUTED_VALUE"""),8.84)</f>
        <v>8.84</v>
      </c>
      <c r="AE153" s="3">
        <f ca="1">IFERROR(__xludf.DUMMYFUNCTION("""COMPUTED_VALUE"""),14.23)</f>
        <v>14.23</v>
      </c>
      <c r="AF153" s="3">
        <f ca="1">IFERROR(__xludf.DUMMYFUNCTION("""COMPUTED_VALUE"""),3.54)</f>
        <v>3.54</v>
      </c>
      <c r="AG153" s="3">
        <f ca="1">IFERROR(__xludf.DUMMYFUNCTION("""COMPUTED_VALUE"""),30.92)</f>
        <v>30.92</v>
      </c>
    </row>
    <row r="154" spans="1:33" ht="12.75" x14ac:dyDescent="0.2">
      <c r="A154" s="4">
        <f ca="1">IFERROR(__xludf.DUMMYFUNCTION("""COMPUTED_VALUE"""),44783.6666666666)</f>
        <v>44783.666666666599</v>
      </c>
      <c r="B154" s="3">
        <f ca="1">IFERROR(__xludf.DUMMYFUNCTION("""COMPUTED_VALUE"""),148.25)</f>
        <v>148.25</v>
      </c>
      <c r="C154" s="3">
        <f ca="1">IFERROR(__xludf.DUMMYFUNCTION("""COMPUTED_VALUE"""),382.99)</f>
        <v>382.99</v>
      </c>
      <c r="D154" s="3">
        <f ca="1">IFERROR(__xludf.DUMMYFUNCTION("""COMPUTED_VALUE"""),92.67)</f>
        <v>92.67</v>
      </c>
      <c r="E154" s="3">
        <f ca="1">IFERROR(__xludf.DUMMYFUNCTION("""COMPUTED_VALUE"""),136.76)</f>
        <v>136.76</v>
      </c>
      <c r="F154" s="3">
        <f ca="1">IFERROR(__xludf.DUMMYFUNCTION("""COMPUTED_VALUE"""),51.18)</f>
        <v>51.18</v>
      </c>
      <c r="G154" s="3">
        <f ca="1">IFERROR(__xludf.DUMMYFUNCTION("""COMPUTED_VALUE"""),23.39)</f>
        <v>23.39</v>
      </c>
      <c r="H154" s="3">
        <f ca="1">IFERROR(__xludf.DUMMYFUNCTION("""COMPUTED_VALUE"""),27.06)</f>
        <v>27.06</v>
      </c>
      <c r="I154" s="3">
        <f ca="1">IFERROR(__xludf.DUMMYFUNCTION("""COMPUTED_VALUE"""),132.79)</f>
        <v>132.79</v>
      </c>
      <c r="J154" s="3">
        <f ca="1">IFERROR(__xludf.DUMMYFUNCTION("""COMPUTED_VALUE"""),247.63)</f>
        <v>247.63</v>
      </c>
      <c r="K154" s="3">
        <f ca="1">IFERROR(__xludf.DUMMYFUNCTION("""COMPUTED_VALUE"""),133.04)</f>
        <v>133.04</v>
      </c>
      <c r="L154" s="3">
        <f ca="1">IFERROR(__xludf.DUMMYFUNCTION("""COMPUTED_VALUE"""),93.75)</f>
        <v>93.75</v>
      </c>
      <c r="M154" s="3">
        <f ca="1">IFERROR(__xludf.DUMMYFUNCTION("""COMPUTED_VALUE"""),66.84)</f>
        <v>66.84</v>
      </c>
      <c r="N154" s="3">
        <f ca="1">IFERROR(__xludf.DUMMYFUNCTION("""COMPUTED_VALUE"""),63.81)</f>
        <v>63.81</v>
      </c>
      <c r="O154" s="3">
        <f ca="1">IFERROR(__xludf.DUMMYFUNCTION("""COMPUTED_VALUE"""),64.4)</f>
        <v>64.400000000000006</v>
      </c>
      <c r="P154" s="3">
        <f ca="1">IFERROR(__xludf.DUMMYFUNCTION("""COMPUTED_VALUE"""),75.29)</f>
        <v>75.290000000000006</v>
      </c>
      <c r="Q154" s="3">
        <f ca="1">IFERROR(__xludf.DUMMYFUNCTION("""COMPUTED_VALUE"""),105.97)</f>
        <v>105.97</v>
      </c>
      <c r="R154" s="3">
        <f ca="1">IFERROR(__xludf.DUMMYFUNCTION("""COMPUTED_VALUE"""),79.35)</f>
        <v>79.349999999999994</v>
      </c>
      <c r="S154" s="3">
        <f ca="1">IFERROR(__xludf.DUMMYFUNCTION("""COMPUTED_VALUE"""),51.03)</f>
        <v>51.03</v>
      </c>
      <c r="T154" s="3">
        <f ca="1">IFERROR(__xludf.DUMMYFUNCTION("""COMPUTED_VALUE"""),25.73)</f>
        <v>25.73</v>
      </c>
      <c r="U154" s="3">
        <f ca="1">IFERROR(__xludf.DUMMYFUNCTION("""COMPUTED_VALUE"""),74.32)</f>
        <v>74.319999999999993</v>
      </c>
      <c r="V154" s="3">
        <f ca="1">IFERROR(__xludf.DUMMYFUNCTION("""COMPUTED_VALUE"""),90.13)</f>
        <v>90.13</v>
      </c>
      <c r="W154" s="3">
        <f ca="1">IFERROR(__xludf.DUMMYFUNCTION("""COMPUTED_VALUE"""),34.6)</f>
        <v>34.6</v>
      </c>
      <c r="X154" s="3">
        <f ca="1">IFERROR(__xludf.DUMMYFUNCTION("""COMPUTED_VALUE"""),85.33)</f>
        <v>85.33</v>
      </c>
      <c r="Y154" s="3">
        <f ca="1">IFERROR(__xludf.DUMMYFUNCTION("""COMPUTED_VALUE"""),50.19)</f>
        <v>50.19</v>
      </c>
      <c r="Z154" s="3">
        <f ca="1">IFERROR(__xludf.DUMMYFUNCTION("""COMPUTED_VALUE"""),77.23)</f>
        <v>77.23</v>
      </c>
      <c r="AA154" s="3">
        <f ca="1">IFERROR(__xludf.DUMMYFUNCTION("""COMPUTED_VALUE"""),44.99)</f>
        <v>44.99</v>
      </c>
      <c r="AB154" s="3">
        <f ca="1">IFERROR(__xludf.DUMMYFUNCTION("""COMPUTED_VALUE"""),65.65)</f>
        <v>65.650000000000006</v>
      </c>
      <c r="AC154" s="3">
        <f ca="1">IFERROR(__xludf.DUMMYFUNCTION("""COMPUTED_VALUE"""),55.41)</f>
        <v>55.41</v>
      </c>
      <c r="AD154" s="3">
        <f ca="1">IFERROR(__xludf.DUMMYFUNCTION("""COMPUTED_VALUE"""),9.08)</f>
        <v>9.08</v>
      </c>
      <c r="AE154" s="3">
        <f ca="1">IFERROR(__xludf.DUMMYFUNCTION("""COMPUTED_VALUE"""),14.6)</f>
        <v>14.6</v>
      </c>
      <c r="AF154" s="3">
        <f ca="1">IFERROR(__xludf.DUMMYFUNCTION("""COMPUTED_VALUE"""),3.32)</f>
        <v>3.32</v>
      </c>
      <c r="AG154" s="3">
        <f ca="1">IFERROR(__xludf.DUMMYFUNCTION("""COMPUTED_VALUE"""),33.96)</f>
        <v>33.96</v>
      </c>
    </row>
    <row r="155" spans="1:33" ht="12.75" x14ac:dyDescent="0.2">
      <c r="A155" s="4">
        <f ca="1">IFERROR(__xludf.DUMMYFUNCTION("""COMPUTED_VALUE"""),44784.6666666666)</f>
        <v>44784.666666666599</v>
      </c>
      <c r="B155" s="3">
        <f ca="1">IFERROR(__xludf.DUMMYFUNCTION("""COMPUTED_VALUE"""),147.67)</f>
        <v>147.66999999999999</v>
      </c>
      <c r="C155" s="3">
        <f ca="1">IFERROR(__xludf.DUMMYFUNCTION("""COMPUTED_VALUE"""),380.77)</f>
        <v>380.77</v>
      </c>
      <c r="D155" s="3">
        <f ca="1">IFERROR(__xludf.DUMMYFUNCTION("""COMPUTED_VALUE"""),92.04)</f>
        <v>92.04</v>
      </c>
      <c r="E155" s="3">
        <f ca="1">IFERROR(__xludf.DUMMYFUNCTION("""COMPUTED_VALUE"""),136.59)</f>
        <v>136.59</v>
      </c>
      <c r="F155" s="3">
        <f ca="1">IFERROR(__xludf.DUMMYFUNCTION("""COMPUTED_VALUE"""),50.43)</f>
        <v>50.43</v>
      </c>
      <c r="G155" s="3">
        <f ca="1">IFERROR(__xludf.DUMMYFUNCTION("""COMPUTED_VALUE"""),23.24)</f>
        <v>23.24</v>
      </c>
      <c r="H155" s="3">
        <f ca="1">IFERROR(__xludf.DUMMYFUNCTION("""COMPUTED_VALUE"""),26.92)</f>
        <v>26.92</v>
      </c>
      <c r="I155" s="3">
        <f ca="1">IFERROR(__xludf.DUMMYFUNCTION("""COMPUTED_VALUE"""),131.93)</f>
        <v>131.93</v>
      </c>
      <c r="J155" s="3">
        <f ca="1">IFERROR(__xludf.DUMMYFUNCTION("""COMPUTED_VALUE"""),245.91)</f>
        <v>245.91</v>
      </c>
      <c r="K155" s="3">
        <f ca="1">IFERROR(__xludf.DUMMYFUNCTION("""COMPUTED_VALUE"""),131.29)</f>
        <v>131.29</v>
      </c>
      <c r="L155" s="3">
        <f ca="1">IFERROR(__xludf.DUMMYFUNCTION("""COMPUTED_VALUE"""),90.78)</f>
        <v>90.78</v>
      </c>
      <c r="M155" s="3">
        <f ca="1">IFERROR(__xludf.DUMMYFUNCTION("""COMPUTED_VALUE"""),65.31)</f>
        <v>65.31</v>
      </c>
      <c r="N155" s="3">
        <f ca="1">IFERROR(__xludf.DUMMYFUNCTION("""COMPUTED_VALUE"""),63.38)</f>
        <v>63.38</v>
      </c>
      <c r="O155" s="3">
        <f ca="1">IFERROR(__xludf.DUMMYFUNCTION("""COMPUTED_VALUE"""),62.92)</f>
        <v>62.92</v>
      </c>
      <c r="P155" s="3">
        <f ca="1">IFERROR(__xludf.DUMMYFUNCTION("""COMPUTED_VALUE"""),77.88)</f>
        <v>77.88</v>
      </c>
      <c r="Q155" s="3">
        <f ca="1">IFERROR(__xludf.DUMMYFUNCTION("""COMPUTED_VALUE"""),109.74)</f>
        <v>109.74</v>
      </c>
      <c r="R155" s="3">
        <f ca="1">IFERROR(__xludf.DUMMYFUNCTION("""COMPUTED_VALUE"""),79.62)</f>
        <v>79.62</v>
      </c>
      <c r="S155" s="3">
        <f ca="1">IFERROR(__xludf.DUMMYFUNCTION("""COMPUTED_VALUE"""),51.45)</f>
        <v>51.45</v>
      </c>
      <c r="T155" s="3">
        <f ca="1">IFERROR(__xludf.DUMMYFUNCTION("""COMPUTED_VALUE"""),26.23)</f>
        <v>26.23</v>
      </c>
      <c r="U155" s="3">
        <f ca="1">IFERROR(__xludf.DUMMYFUNCTION("""COMPUTED_VALUE"""),76.28)</f>
        <v>76.28</v>
      </c>
      <c r="V155" s="3">
        <f ca="1">IFERROR(__xludf.DUMMYFUNCTION("""COMPUTED_VALUE"""),87.93)</f>
        <v>87.93</v>
      </c>
      <c r="W155" s="3">
        <f ca="1">IFERROR(__xludf.DUMMYFUNCTION("""COMPUTED_VALUE"""),35.01)</f>
        <v>35.01</v>
      </c>
      <c r="X155" s="3">
        <f ca="1">IFERROR(__xludf.DUMMYFUNCTION("""COMPUTED_VALUE"""),86.25)</f>
        <v>86.25</v>
      </c>
      <c r="Y155" s="3">
        <f ca="1">IFERROR(__xludf.DUMMYFUNCTION("""COMPUTED_VALUE"""),50.87)</f>
        <v>50.87</v>
      </c>
      <c r="Z155" s="3">
        <f ca="1">IFERROR(__xludf.DUMMYFUNCTION("""COMPUTED_VALUE"""),78)</f>
        <v>78</v>
      </c>
      <c r="AA155" s="3">
        <f ca="1">IFERROR(__xludf.DUMMYFUNCTION("""COMPUTED_VALUE"""),44.78)</f>
        <v>44.78</v>
      </c>
      <c r="AB155" s="3">
        <f ca="1">IFERROR(__xludf.DUMMYFUNCTION("""COMPUTED_VALUE"""),66.56)</f>
        <v>66.56</v>
      </c>
      <c r="AC155" s="3">
        <f ca="1">IFERROR(__xludf.DUMMYFUNCTION("""COMPUTED_VALUE"""),55.89)</f>
        <v>55.89</v>
      </c>
      <c r="AD155" s="3">
        <f ca="1">IFERROR(__xludf.DUMMYFUNCTION("""COMPUTED_VALUE"""),9.32)</f>
        <v>9.32</v>
      </c>
      <c r="AE155" s="3">
        <f ca="1">IFERROR(__xludf.DUMMYFUNCTION("""COMPUTED_VALUE"""),14.98)</f>
        <v>14.98</v>
      </c>
      <c r="AF155" s="3">
        <f ca="1">IFERROR(__xludf.DUMMYFUNCTION("""COMPUTED_VALUE"""),3.69)</f>
        <v>3.69</v>
      </c>
      <c r="AG155" s="3">
        <f ca="1">IFERROR(__xludf.DUMMYFUNCTION("""COMPUTED_VALUE"""),34.56)</f>
        <v>34.56</v>
      </c>
    </row>
    <row r="156" spans="1:33" ht="12.75" x14ac:dyDescent="0.2">
      <c r="A156" s="4">
        <f ca="1">IFERROR(__xludf.DUMMYFUNCTION("""COMPUTED_VALUE"""),44785.6666666666)</f>
        <v>44785.666666666599</v>
      </c>
      <c r="B156" s="3">
        <f ca="1">IFERROR(__xludf.DUMMYFUNCTION("""COMPUTED_VALUE"""),150.61)</f>
        <v>150.61000000000001</v>
      </c>
      <c r="C156" s="3">
        <f ca="1">IFERROR(__xludf.DUMMYFUNCTION("""COMPUTED_VALUE"""),388.68)</f>
        <v>388.68</v>
      </c>
      <c r="D156" s="3">
        <f ca="1">IFERROR(__xludf.DUMMYFUNCTION("""COMPUTED_VALUE"""),94.07)</f>
        <v>94.07</v>
      </c>
      <c r="E156" s="3">
        <f ca="1">IFERROR(__xludf.DUMMYFUNCTION("""COMPUTED_VALUE"""),140.58)</f>
        <v>140.58000000000001</v>
      </c>
      <c r="F156" s="3">
        <f ca="1">IFERROR(__xludf.DUMMYFUNCTION("""COMPUTED_VALUE"""),51.2)</f>
        <v>51.2</v>
      </c>
      <c r="G156" s="3">
        <f ca="1">IFERROR(__xludf.DUMMYFUNCTION("""COMPUTED_VALUE"""),23.76)</f>
        <v>23.76</v>
      </c>
      <c r="H156" s="3">
        <f ca="1">IFERROR(__xludf.DUMMYFUNCTION("""COMPUTED_VALUE"""),27.45)</f>
        <v>27.45</v>
      </c>
      <c r="I156" s="3">
        <f ca="1">IFERROR(__xludf.DUMMYFUNCTION("""COMPUTED_VALUE"""),133.62)</f>
        <v>133.62</v>
      </c>
      <c r="J156" s="3">
        <f ca="1">IFERROR(__xludf.DUMMYFUNCTION("""COMPUTED_VALUE"""),249.05)</f>
        <v>249.05</v>
      </c>
      <c r="K156" s="3">
        <f ca="1">IFERROR(__xludf.DUMMYFUNCTION("""COMPUTED_VALUE"""),132.52)</f>
        <v>132.52000000000001</v>
      </c>
      <c r="L156" s="3">
        <f ca="1">IFERROR(__xludf.DUMMYFUNCTION("""COMPUTED_VALUE"""),93.78)</f>
        <v>93.78</v>
      </c>
      <c r="M156" s="3">
        <f ca="1">IFERROR(__xludf.DUMMYFUNCTION("""COMPUTED_VALUE"""),66.02)</f>
        <v>66.02</v>
      </c>
      <c r="N156" s="3">
        <f ca="1">IFERROR(__xludf.DUMMYFUNCTION("""COMPUTED_VALUE"""),64.18)</f>
        <v>64.180000000000007</v>
      </c>
      <c r="O156" s="3">
        <f ca="1">IFERROR(__xludf.DUMMYFUNCTION("""COMPUTED_VALUE"""),64.6)</f>
        <v>64.599999999999994</v>
      </c>
      <c r="P156" s="3">
        <f ca="1">IFERROR(__xludf.DUMMYFUNCTION("""COMPUTED_VALUE"""),78.47)</f>
        <v>78.47</v>
      </c>
      <c r="Q156" s="3">
        <f ca="1">IFERROR(__xludf.DUMMYFUNCTION("""COMPUTED_VALUE"""),110.74)</f>
        <v>110.74</v>
      </c>
      <c r="R156" s="3">
        <f ca="1">IFERROR(__xludf.DUMMYFUNCTION("""COMPUTED_VALUE"""),81.12)</f>
        <v>81.12</v>
      </c>
      <c r="S156" s="3">
        <f ca="1">IFERROR(__xludf.DUMMYFUNCTION("""COMPUTED_VALUE"""),52.49)</f>
        <v>52.49</v>
      </c>
      <c r="T156" s="3">
        <f ca="1">IFERROR(__xludf.DUMMYFUNCTION("""COMPUTED_VALUE"""),26.09)</f>
        <v>26.09</v>
      </c>
      <c r="U156" s="3">
        <f ca="1">IFERROR(__xludf.DUMMYFUNCTION("""COMPUTED_VALUE"""),74.98)</f>
        <v>74.98</v>
      </c>
      <c r="V156" s="3">
        <f ca="1">IFERROR(__xludf.DUMMYFUNCTION("""COMPUTED_VALUE"""),89.08)</f>
        <v>89.08</v>
      </c>
      <c r="W156" s="3">
        <f ca="1">IFERROR(__xludf.DUMMYFUNCTION("""COMPUTED_VALUE"""),35.56)</f>
        <v>35.56</v>
      </c>
      <c r="X156" s="3">
        <f ca="1">IFERROR(__xludf.DUMMYFUNCTION("""COMPUTED_VALUE"""),87.6)</f>
        <v>87.6</v>
      </c>
      <c r="Y156" s="3">
        <f ca="1">IFERROR(__xludf.DUMMYFUNCTION("""COMPUTED_VALUE"""),51.63)</f>
        <v>51.63</v>
      </c>
      <c r="Z156" s="3">
        <f ca="1">IFERROR(__xludf.DUMMYFUNCTION("""COMPUTED_VALUE"""),79.3)</f>
        <v>79.3</v>
      </c>
      <c r="AA156" s="3">
        <f ca="1">IFERROR(__xludf.DUMMYFUNCTION("""COMPUTED_VALUE"""),45.54)</f>
        <v>45.54</v>
      </c>
      <c r="AB156" s="3">
        <f ca="1">IFERROR(__xludf.DUMMYFUNCTION("""COMPUTED_VALUE"""),67.58)</f>
        <v>67.58</v>
      </c>
      <c r="AC156" s="3">
        <f ca="1">IFERROR(__xludf.DUMMYFUNCTION("""COMPUTED_VALUE"""),56.64)</f>
        <v>56.64</v>
      </c>
      <c r="AD156" s="3">
        <f ca="1">IFERROR(__xludf.DUMMYFUNCTION("""COMPUTED_VALUE"""),9.3)</f>
        <v>9.3000000000000007</v>
      </c>
      <c r="AE156" s="3">
        <f ca="1">IFERROR(__xludf.DUMMYFUNCTION("""COMPUTED_VALUE"""),14.96)</f>
        <v>14.96</v>
      </c>
      <c r="AF156" s="3">
        <f ca="1">IFERROR(__xludf.DUMMYFUNCTION("""COMPUTED_VALUE"""),3.55)</f>
        <v>3.55</v>
      </c>
      <c r="AG156" s="3">
        <f ca="1">IFERROR(__xludf.DUMMYFUNCTION("""COMPUTED_VALUE"""),36.56)</f>
        <v>36.56</v>
      </c>
    </row>
    <row r="157" spans="1:33" ht="12.75" x14ac:dyDescent="0.2">
      <c r="A157" s="4">
        <f ca="1">IFERROR(__xludf.DUMMYFUNCTION("""COMPUTED_VALUE"""),44788.6666666666)</f>
        <v>44788.666666666599</v>
      </c>
      <c r="B157" s="3">
        <f ca="1">IFERROR(__xludf.DUMMYFUNCTION("""COMPUTED_VALUE"""),151.56)</f>
        <v>151.56</v>
      </c>
      <c r="C157" s="3">
        <f ca="1">IFERROR(__xludf.DUMMYFUNCTION("""COMPUTED_VALUE"""),391.03)</f>
        <v>391.03</v>
      </c>
      <c r="D157" s="3">
        <f ca="1">IFERROR(__xludf.DUMMYFUNCTION("""COMPUTED_VALUE"""),94.5)</f>
        <v>94.5</v>
      </c>
      <c r="E157" s="3">
        <f ca="1">IFERROR(__xludf.DUMMYFUNCTION("""COMPUTED_VALUE"""),141.11)</f>
        <v>141.11000000000001</v>
      </c>
      <c r="F157" s="3">
        <f ca="1">IFERROR(__xludf.DUMMYFUNCTION("""COMPUTED_VALUE"""),51.65)</f>
        <v>51.65</v>
      </c>
      <c r="G157" s="3">
        <f ca="1">IFERROR(__xludf.DUMMYFUNCTION("""COMPUTED_VALUE"""),23.8)</f>
        <v>23.8</v>
      </c>
      <c r="H157" s="3">
        <f ca="1">IFERROR(__xludf.DUMMYFUNCTION("""COMPUTED_VALUE"""),27.51)</f>
        <v>27.51</v>
      </c>
      <c r="I157" s="3">
        <f ca="1">IFERROR(__xludf.DUMMYFUNCTION("""COMPUTED_VALUE"""),134.29)</f>
        <v>134.29</v>
      </c>
      <c r="J157" s="3">
        <f ca="1">IFERROR(__xludf.DUMMYFUNCTION("""COMPUTED_VALUE"""),250.44)</f>
        <v>250.44</v>
      </c>
      <c r="K157" s="3">
        <f ca="1">IFERROR(__xludf.DUMMYFUNCTION("""COMPUTED_VALUE"""),134.82)</f>
        <v>134.82</v>
      </c>
      <c r="L157" s="3">
        <f ca="1">IFERROR(__xludf.DUMMYFUNCTION("""COMPUTED_VALUE"""),94.9)</f>
        <v>94.9</v>
      </c>
      <c r="M157" s="3">
        <f ca="1">IFERROR(__xludf.DUMMYFUNCTION("""COMPUTED_VALUE"""),66.7)</f>
        <v>66.7</v>
      </c>
      <c r="N157" s="3">
        <f ca="1">IFERROR(__xludf.DUMMYFUNCTION("""COMPUTED_VALUE"""),64.58)</f>
        <v>64.58</v>
      </c>
      <c r="O157" s="3">
        <f ca="1">IFERROR(__xludf.DUMMYFUNCTION("""COMPUTED_VALUE"""),65.12)</f>
        <v>65.12</v>
      </c>
      <c r="P157" s="3">
        <f ca="1">IFERROR(__xludf.DUMMYFUNCTION("""COMPUTED_VALUE"""),76.94)</f>
        <v>76.94</v>
      </c>
      <c r="Q157" s="3">
        <f ca="1">IFERROR(__xludf.DUMMYFUNCTION("""COMPUTED_VALUE"""),108.45)</f>
        <v>108.45</v>
      </c>
      <c r="R157" s="3">
        <f ca="1">IFERROR(__xludf.DUMMYFUNCTION("""COMPUTED_VALUE"""),81.07)</f>
        <v>81.069999999999993</v>
      </c>
      <c r="S157" s="3">
        <f ca="1">IFERROR(__xludf.DUMMYFUNCTION("""COMPUTED_VALUE"""),51.66)</f>
        <v>51.66</v>
      </c>
      <c r="T157" s="3">
        <f ca="1">IFERROR(__xludf.DUMMYFUNCTION("""COMPUTED_VALUE"""),25.77)</f>
        <v>25.77</v>
      </c>
      <c r="U157" s="3">
        <f ca="1">IFERROR(__xludf.DUMMYFUNCTION("""COMPUTED_VALUE"""),72.88)</f>
        <v>72.88</v>
      </c>
      <c r="V157" s="3">
        <f ca="1">IFERROR(__xludf.DUMMYFUNCTION("""COMPUTED_VALUE"""),88.89)</f>
        <v>88.89</v>
      </c>
      <c r="W157" s="3">
        <f ca="1">IFERROR(__xludf.DUMMYFUNCTION("""COMPUTED_VALUE"""),35.55)</f>
        <v>35.549999999999997</v>
      </c>
      <c r="X157" s="3">
        <f ca="1">IFERROR(__xludf.DUMMYFUNCTION("""COMPUTED_VALUE"""),87.68)</f>
        <v>87.68</v>
      </c>
      <c r="Y157" s="3">
        <f ca="1">IFERROR(__xludf.DUMMYFUNCTION("""COMPUTED_VALUE"""),51.82)</f>
        <v>51.82</v>
      </c>
      <c r="Z157" s="3">
        <f ca="1">IFERROR(__xludf.DUMMYFUNCTION("""COMPUTED_VALUE"""),79.37)</f>
        <v>79.37</v>
      </c>
      <c r="AA157" s="3">
        <f ca="1">IFERROR(__xludf.DUMMYFUNCTION("""COMPUTED_VALUE"""),45.74)</f>
        <v>45.74</v>
      </c>
      <c r="AB157" s="3">
        <f ca="1">IFERROR(__xludf.DUMMYFUNCTION("""COMPUTED_VALUE"""),67.93)</f>
        <v>67.930000000000007</v>
      </c>
      <c r="AC157" s="3">
        <f ca="1">IFERROR(__xludf.DUMMYFUNCTION("""COMPUTED_VALUE"""),56.86)</f>
        <v>56.86</v>
      </c>
      <c r="AD157" s="3">
        <f ca="1">IFERROR(__xludf.DUMMYFUNCTION("""COMPUTED_VALUE"""),9.22)</f>
        <v>9.2200000000000006</v>
      </c>
      <c r="AE157" s="3">
        <f ca="1">IFERROR(__xludf.DUMMYFUNCTION("""COMPUTED_VALUE"""),14.8)</f>
        <v>14.8</v>
      </c>
      <c r="AF157" s="3">
        <f ca="1">IFERROR(__xludf.DUMMYFUNCTION("""COMPUTED_VALUE"""),3.8)</f>
        <v>3.8</v>
      </c>
      <c r="AG157" s="3">
        <f ca="1">IFERROR(__xludf.DUMMYFUNCTION("""COMPUTED_VALUE"""),36.76)</f>
        <v>36.76</v>
      </c>
    </row>
    <row r="158" spans="1:33" ht="12.75" x14ac:dyDescent="0.2">
      <c r="A158" s="4">
        <f ca="1">IFERROR(__xludf.DUMMYFUNCTION("""COMPUTED_VALUE"""),44789.6666666666)</f>
        <v>44789.666666666599</v>
      </c>
      <c r="B158" s="3">
        <f ca="1">IFERROR(__xludf.DUMMYFUNCTION("""COMPUTED_VALUE"""),151.15)</f>
        <v>151.15</v>
      </c>
      <c r="C158" s="3">
        <f ca="1">IFERROR(__xludf.DUMMYFUNCTION("""COMPUTED_VALUE"""),389.67)</f>
        <v>389.67</v>
      </c>
      <c r="D158" s="3">
        <f ca="1">IFERROR(__xludf.DUMMYFUNCTION("""COMPUTED_VALUE"""),94.06)</f>
        <v>94.06</v>
      </c>
      <c r="E158" s="3">
        <f ca="1">IFERROR(__xludf.DUMMYFUNCTION("""COMPUTED_VALUE"""),139.66)</f>
        <v>139.66</v>
      </c>
      <c r="F158" s="3">
        <f ca="1">IFERROR(__xludf.DUMMYFUNCTION("""COMPUTED_VALUE"""),51.68)</f>
        <v>51.68</v>
      </c>
      <c r="G158" s="3">
        <f ca="1">IFERROR(__xludf.DUMMYFUNCTION("""COMPUTED_VALUE"""),23.55)</f>
        <v>23.55</v>
      </c>
      <c r="H158" s="3">
        <f ca="1">IFERROR(__xludf.DUMMYFUNCTION("""COMPUTED_VALUE"""),27.46)</f>
        <v>27.46</v>
      </c>
      <c r="I158" s="3">
        <f ca="1">IFERROR(__xludf.DUMMYFUNCTION("""COMPUTED_VALUE"""),133.93)</f>
        <v>133.93</v>
      </c>
      <c r="J158" s="3">
        <f ca="1">IFERROR(__xludf.DUMMYFUNCTION("""COMPUTED_VALUE"""),249.22)</f>
        <v>249.22</v>
      </c>
      <c r="K158" s="3">
        <f ca="1">IFERROR(__xludf.DUMMYFUNCTION("""COMPUTED_VALUE"""),132.99)</f>
        <v>132.99</v>
      </c>
      <c r="L158" s="3">
        <f ca="1">IFERROR(__xludf.DUMMYFUNCTION("""COMPUTED_VALUE"""),92.39)</f>
        <v>92.39</v>
      </c>
      <c r="M158" s="3">
        <f ca="1">IFERROR(__xludf.DUMMYFUNCTION("""COMPUTED_VALUE"""),66)</f>
        <v>66</v>
      </c>
      <c r="N158" s="3">
        <f ca="1">IFERROR(__xludf.DUMMYFUNCTION("""COMPUTED_VALUE"""),64.27)</f>
        <v>64.27</v>
      </c>
      <c r="O158" s="3">
        <f ca="1">IFERROR(__xludf.DUMMYFUNCTION("""COMPUTED_VALUE"""),62.68)</f>
        <v>62.68</v>
      </c>
      <c r="P158" s="3">
        <f ca="1">IFERROR(__xludf.DUMMYFUNCTION("""COMPUTED_VALUE"""),76.76)</f>
        <v>76.760000000000005</v>
      </c>
      <c r="Q158" s="3">
        <f ca="1">IFERROR(__xludf.DUMMYFUNCTION("""COMPUTED_VALUE"""),108.34)</f>
        <v>108.34</v>
      </c>
      <c r="R158" s="3">
        <f ca="1">IFERROR(__xludf.DUMMYFUNCTION("""COMPUTED_VALUE"""),81.52)</f>
        <v>81.52</v>
      </c>
      <c r="S158" s="3">
        <f ca="1">IFERROR(__xludf.DUMMYFUNCTION("""COMPUTED_VALUE"""),52.11)</f>
        <v>52.11</v>
      </c>
      <c r="T158" s="3">
        <f ca="1">IFERROR(__xludf.DUMMYFUNCTION("""COMPUTED_VALUE"""),25.48)</f>
        <v>25.48</v>
      </c>
      <c r="U158" s="3">
        <f ca="1">IFERROR(__xludf.DUMMYFUNCTION("""COMPUTED_VALUE"""),71.24)</f>
        <v>71.239999999999995</v>
      </c>
      <c r="V158" s="3">
        <f ca="1">IFERROR(__xludf.DUMMYFUNCTION("""COMPUTED_VALUE"""),87.65)</f>
        <v>87.65</v>
      </c>
      <c r="W158" s="3">
        <f ca="1">IFERROR(__xludf.DUMMYFUNCTION("""COMPUTED_VALUE"""),35.81)</f>
        <v>35.81</v>
      </c>
      <c r="X158" s="3">
        <f ca="1">IFERROR(__xludf.DUMMYFUNCTION("""COMPUTED_VALUE"""),88.21)</f>
        <v>88.21</v>
      </c>
      <c r="Y158" s="3">
        <f ca="1">IFERROR(__xludf.DUMMYFUNCTION("""COMPUTED_VALUE"""),52.32)</f>
        <v>52.32</v>
      </c>
      <c r="Z158" s="3">
        <f ca="1">IFERROR(__xludf.DUMMYFUNCTION("""COMPUTED_VALUE"""),79.83)</f>
        <v>79.83</v>
      </c>
      <c r="AA158" s="3">
        <f ca="1">IFERROR(__xludf.DUMMYFUNCTION("""COMPUTED_VALUE"""),45.56)</f>
        <v>45.56</v>
      </c>
      <c r="AB158" s="3">
        <f ca="1">IFERROR(__xludf.DUMMYFUNCTION("""COMPUTED_VALUE"""),68.54)</f>
        <v>68.540000000000006</v>
      </c>
      <c r="AC158" s="3">
        <f ca="1">IFERROR(__xludf.DUMMYFUNCTION("""COMPUTED_VALUE"""),57.16)</f>
        <v>57.16</v>
      </c>
      <c r="AD158" s="3">
        <f ca="1">IFERROR(__xludf.DUMMYFUNCTION("""COMPUTED_VALUE"""),9.2)</f>
        <v>9.1999999999999993</v>
      </c>
      <c r="AE158" s="3">
        <f ca="1">IFERROR(__xludf.DUMMYFUNCTION("""COMPUTED_VALUE"""),14.77)</f>
        <v>14.77</v>
      </c>
      <c r="AF158" s="3">
        <f ca="1">IFERROR(__xludf.DUMMYFUNCTION("""COMPUTED_VALUE"""),3.78)</f>
        <v>3.78</v>
      </c>
      <c r="AG158" s="3">
        <f ca="1">IFERROR(__xludf.DUMMYFUNCTION("""COMPUTED_VALUE"""),34.92)</f>
        <v>34.92</v>
      </c>
    </row>
    <row r="159" spans="1:33" ht="12.75" x14ac:dyDescent="0.2">
      <c r="A159" s="4">
        <f ca="1">IFERROR(__xludf.DUMMYFUNCTION("""COMPUTED_VALUE"""),44790.6666666666)</f>
        <v>44790.666666666599</v>
      </c>
      <c r="B159" s="3">
        <f ca="1">IFERROR(__xludf.DUMMYFUNCTION("""COMPUTED_VALUE"""),150.07)</f>
        <v>150.07</v>
      </c>
      <c r="C159" s="3">
        <f ca="1">IFERROR(__xludf.DUMMYFUNCTION("""COMPUTED_VALUE"""),386.39)</f>
        <v>386.39</v>
      </c>
      <c r="D159" s="3">
        <f ca="1">IFERROR(__xludf.DUMMYFUNCTION("""COMPUTED_VALUE"""),93.01)</f>
        <v>93.01</v>
      </c>
      <c r="E159" s="3">
        <f ca="1">IFERROR(__xludf.DUMMYFUNCTION("""COMPUTED_VALUE"""),136.29)</f>
        <v>136.29</v>
      </c>
      <c r="F159" s="3">
        <f ca="1">IFERROR(__xludf.DUMMYFUNCTION("""COMPUTED_VALUE"""),50.83)</f>
        <v>50.83</v>
      </c>
      <c r="G159" s="3">
        <f ca="1">IFERROR(__xludf.DUMMYFUNCTION("""COMPUTED_VALUE"""),23.05)</f>
        <v>23.05</v>
      </c>
      <c r="H159" s="3">
        <f ca="1">IFERROR(__xludf.DUMMYFUNCTION("""COMPUTED_VALUE"""),26.84)</f>
        <v>26.84</v>
      </c>
      <c r="I159" s="3">
        <f ca="1">IFERROR(__xludf.DUMMYFUNCTION("""COMPUTED_VALUE"""),133.15)</f>
        <v>133.15</v>
      </c>
      <c r="J159" s="3">
        <f ca="1">IFERROR(__xludf.DUMMYFUNCTION("""COMPUTED_VALUE"""),247.28)</f>
        <v>247.28</v>
      </c>
      <c r="K159" s="3">
        <f ca="1">IFERROR(__xludf.DUMMYFUNCTION("""COMPUTED_VALUE"""),130.4)</f>
        <v>130.4</v>
      </c>
      <c r="L159" s="3">
        <f ca="1">IFERROR(__xludf.DUMMYFUNCTION("""COMPUTED_VALUE"""),89.57)</f>
        <v>89.57</v>
      </c>
      <c r="M159" s="3">
        <f ca="1">IFERROR(__xludf.DUMMYFUNCTION("""COMPUTED_VALUE"""),64.92)</f>
        <v>64.92</v>
      </c>
      <c r="N159" s="3">
        <f ca="1">IFERROR(__xludf.DUMMYFUNCTION("""COMPUTED_VALUE"""),63.76)</f>
        <v>63.76</v>
      </c>
      <c r="O159" s="3">
        <f ca="1">IFERROR(__xludf.DUMMYFUNCTION("""COMPUTED_VALUE"""),60.56)</f>
        <v>60.56</v>
      </c>
      <c r="P159" s="3">
        <f ca="1">IFERROR(__xludf.DUMMYFUNCTION("""COMPUTED_VALUE"""),77.4)</f>
        <v>77.400000000000006</v>
      </c>
      <c r="Q159" s="3">
        <f ca="1">IFERROR(__xludf.DUMMYFUNCTION("""COMPUTED_VALUE"""),109.18)</f>
        <v>109.18</v>
      </c>
      <c r="R159" s="3">
        <f ca="1">IFERROR(__xludf.DUMMYFUNCTION("""COMPUTED_VALUE"""),80.4)</f>
        <v>80.400000000000006</v>
      </c>
      <c r="S159" s="3">
        <f ca="1">IFERROR(__xludf.DUMMYFUNCTION("""COMPUTED_VALUE"""),50.72)</f>
        <v>50.72</v>
      </c>
      <c r="T159" s="3">
        <f ca="1">IFERROR(__xludf.DUMMYFUNCTION("""COMPUTED_VALUE"""),25.58)</f>
        <v>25.58</v>
      </c>
      <c r="U159" s="3">
        <f ca="1">IFERROR(__xludf.DUMMYFUNCTION("""COMPUTED_VALUE"""),72.05)</f>
        <v>72.05</v>
      </c>
      <c r="V159" s="3">
        <f ca="1">IFERROR(__xludf.DUMMYFUNCTION("""COMPUTED_VALUE"""),86.63)</f>
        <v>86.63</v>
      </c>
      <c r="W159" s="3">
        <f ca="1">IFERROR(__xludf.DUMMYFUNCTION("""COMPUTED_VALUE"""),35.63)</f>
        <v>35.630000000000003</v>
      </c>
      <c r="X159" s="3">
        <f ca="1">IFERROR(__xludf.DUMMYFUNCTION("""COMPUTED_VALUE"""),87.72)</f>
        <v>87.72</v>
      </c>
      <c r="Y159" s="3">
        <f ca="1">IFERROR(__xludf.DUMMYFUNCTION("""COMPUTED_VALUE"""),51.72)</f>
        <v>51.72</v>
      </c>
      <c r="Z159" s="3">
        <f ca="1">IFERROR(__xludf.DUMMYFUNCTION("""COMPUTED_VALUE"""),79.4)</f>
        <v>79.400000000000006</v>
      </c>
      <c r="AA159" s="3">
        <f ca="1">IFERROR(__xludf.DUMMYFUNCTION("""COMPUTED_VALUE"""),45.43)</f>
        <v>45.43</v>
      </c>
      <c r="AB159" s="3">
        <f ca="1">IFERROR(__xludf.DUMMYFUNCTION("""COMPUTED_VALUE"""),67.74)</f>
        <v>67.739999999999995</v>
      </c>
      <c r="AC159" s="3">
        <f ca="1">IFERROR(__xludf.DUMMYFUNCTION("""COMPUTED_VALUE"""),56.69)</f>
        <v>56.69</v>
      </c>
      <c r="AD159" s="3">
        <f ca="1">IFERROR(__xludf.DUMMYFUNCTION("""COMPUTED_VALUE"""),8.92)</f>
        <v>8.92</v>
      </c>
      <c r="AE159" s="3">
        <f ca="1">IFERROR(__xludf.DUMMYFUNCTION("""COMPUTED_VALUE"""),14.31)</f>
        <v>14.31</v>
      </c>
      <c r="AF159" s="3">
        <f ca="1">IFERROR(__xludf.DUMMYFUNCTION("""COMPUTED_VALUE"""),3.66)</f>
        <v>3.66</v>
      </c>
      <c r="AG159" s="3">
        <f ca="1">IFERROR(__xludf.DUMMYFUNCTION("""COMPUTED_VALUE"""),32.56)</f>
        <v>32.56</v>
      </c>
    </row>
    <row r="160" spans="1:33" ht="12.75" x14ac:dyDescent="0.2">
      <c r="A160" s="4">
        <f ca="1">IFERROR(__xludf.DUMMYFUNCTION("""COMPUTED_VALUE"""),44791.6666666666)</f>
        <v>44791.666666666599</v>
      </c>
      <c r="B160" s="3">
        <f ca="1">IFERROR(__xludf.DUMMYFUNCTION("""COMPUTED_VALUE"""),150.85)</f>
        <v>150.85</v>
      </c>
      <c r="C160" s="3">
        <f ca="1">IFERROR(__xludf.DUMMYFUNCTION("""COMPUTED_VALUE"""),388.41)</f>
        <v>388.41</v>
      </c>
      <c r="D160" s="3">
        <f ca="1">IFERROR(__xludf.DUMMYFUNCTION("""COMPUTED_VALUE"""),93.41)</f>
        <v>93.41</v>
      </c>
      <c r="E160" s="3">
        <f ca="1">IFERROR(__xludf.DUMMYFUNCTION("""COMPUTED_VALUE"""),139.4)</f>
        <v>139.4</v>
      </c>
      <c r="F160" s="3">
        <f ca="1">IFERROR(__xludf.DUMMYFUNCTION("""COMPUTED_VALUE"""),51.15)</f>
        <v>51.15</v>
      </c>
      <c r="G160" s="3">
        <f ca="1">IFERROR(__xludf.DUMMYFUNCTION("""COMPUTED_VALUE"""),23.05)</f>
        <v>23.05</v>
      </c>
      <c r="H160" s="3">
        <f ca="1">IFERROR(__xludf.DUMMYFUNCTION("""COMPUTED_VALUE"""),26.93)</f>
        <v>26.93</v>
      </c>
      <c r="I160" s="3">
        <f ca="1">IFERROR(__xludf.DUMMYFUNCTION("""COMPUTED_VALUE"""),132.56)</f>
        <v>132.56</v>
      </c>
      <c r="J160" s="3">
        <f ca="1">IFERROR(__xludf.DUMMYFUNCTION("""COMPUTED_VALUE"""),246.19)</f>
        <v>246.19</v>
      </c>
      <c r="K160" s="3">
        <f ca="1">IFERROR(__xludf.DUMMYFUNCTION("""COMPUTED_VALUE"""),128.92)</f>
        <v>128.91999999999999</v>
      </c>
      <c r="L160" s="3">
        <f ca="1">IFERROR(__xludf.DUMMYFUNCTION("""COMPUTED_VALUE"""),88.87)</f>
        <v>88.87</v>
      </c>
      <c r="M160" s="3">
        <f ca="1">IFERROR(__xludf.DUMMYFUNCTION("""COMPUTED_VALUE"""),64.74)</f>
        <v>64.739999999999995</v>
      </c>
      <c r="N160" s="3">
        <f ca="1">IFERROR(__xludf.DUMMYFUNCTION("""COMPUTED_VALUE"""),63.45)</f>
        <v>63.45</v>
      </c>
      <c r="O160" s="3">
        <f ca="1">IFERROR(__xludf.DUMMYFUNCTION("""COMPUTED_VALUE"""),59.6)</f>
        <v>59.6</v>
      </c>
      <c r="P160" s="3">
        <f ca="1">IFERROR(__xludf.DUMMYFUNCTION("""COMPUTED_VALUE"""),79.48)</f>
        <v>79.48</v>
      </c>
      <c r="Q160" s="3">
        <f ca="1">IFERROR(__xludf.DUMMYFUNCTION("""COMPUTED_VALUE"""),112.41)</f>
        <v>112.41</v>
      </c>
      <c r="R160" s="3">
        <f ca="1">IFERROR(__xludf.DUMMYFUNCTION("""COMPUTED_VALUE"""),80.65)</f>
        <v>80.650000000000006</v>
      </c>
      <c r="S160" s="3">
        <f ca="1">IFERROR(__xludf.DUMMYFUNCTION("""COMPUTED_VALUE"""),51.94)</f>
        <v>51.94</v>
      </c>
      <c r="T160" s="3">
        <f ca="1">IFERROR(__xludf.DUMMYFUNCTION("""COMPUTED_VALUE"""),25.97)</f>
        <v>25.97</v>
      </c>
      <c r="U160" s="3">
        <f ca="1">IFERROR(__xludf.DUMMYFUNCTION("""COMPUTED_VALUE"""),74.21)</f>
        <v>74.209999999999994</v>
      </c>
      <c r="V160" s="3">
        <f ca="1">IFERROR(__xludf.DUMMYFUNCTION("""COMPUTED_VALUE"""),87.67)</f>
        <v>87.67</v>
      </c>
      <c r="W160" s="3">
        <f ca="1">IFERROR(__xludf.DUMMYFUNCTION("""COMPUTED_VALUE"""),35.67)</f>
        <v>35.67</v>
      </c>
      <c r="X160" s="3">
        <f ca="1">IFERROR(__xludf.DUMMYFUNCTION("""COMPUTED_VALUE"""),87.85)</f>
        <v>87.85</v>
      </c>
      <c r="Y160" s="3">
        <f ca="1">IFERROR(__xludf.DUMMYFUNCTION("""COMPUTED_VALUE"""),51.88)</f>
        <v>51.88</v>
      </c>
      <c r="Z160" s="3">
        <f ca="1">IFERROR(__xludf.DUMMYFUNCTION("""COMPUTED_VALUE"""),79.6)</f>
        <v>79.599999999999994</v>
      </c>
      <c r="AA160" s="3">
        <f ca="1">IFERROR(__xludf.DUMMYFUNCTION("""COMPUTED_VALUE"""),45.12)</f>
        <v>45.12</v>
      </c>
      <c r="AB160" s="3">
        <f ca="1">IFERROR(__xludf.DUMMYFUNCTION("""COMPUTED_VALUE"""),67.95)</f>
        <v>67.95</v>
      </c>
      <c r="AC160" s="3">
        <f ca="1">IFERROR(__xludf.DUMMYFUNCTION("""COMPUTED_VALUE"""),56.75)</f>
        <v>56.75</v>
      </c>
      <c r="AD160" s="3">
        <f ca="1">IFERROR(__xludf.DUMMYFUNCTION("""COMPUTED_VALUE"""),8.96)</f>
        <v>8.9600000000000009</v>
      </c>
      <c r="AE160" s="3">
        <f ca="1">IFERROR(__xludf.DUMMYFUNCTION("""COMPUTED_VALUE"""),14.39)</f>
        <v>14.39</v>
      </c>
      <c r="AF160" s="3">
        <f ca="1">IFERROR(__xludf.DUMMYFUNCTION("""COMPUTED_VALUE"""),3.46)</f>
        <v>3.46</v>
      </c>
      <c r="AG160" s="3">
        <f ca="1">IFERROR(__xludf.DUMMYFUNCTION("""COMPUTED_VALUE"""),32.04)</f>
        <v>32.04</v>
      </c>
    </row>
    <row r="161" spans="1:33" ht="12.75" x14ac:dyDescent="0.2">
      <c r="A161" s="4">
        <f ca="1">IFERROR(__xludf.DUMMYFUNCTION("""COMPUTED_VALUE"""),44792.6666666666)</f>
        <v>44792.666666666599</v>
      </c>
      <c r="B161" s="3">
        <f ca="1">IFERROR(__xludf.DUMMYFUNCTION("""COMPUTED_VALUE"""),148.11)</f>
        <v>148.11000000000001</v>
      </c>
      <c r="C161" s="3">
        <f ca="1">IFERROR(__xludf.DUMMYFUNCTION("""COMPUTED_VALUE"""),380.93)</f>
        <v>380.93</v>
      </c>
      <c r="D161" s="3">
        <f ca="1">IFERROR(__xludf.DUMMYFUNCTION("""COMPUTED_VALUE"""),91.35)</f>
        <v>91.35</v>
      </c>
      <c r="E161" s="3">
        <f ca="1">IFERROR(__xludf.DUMMYFUNCTION("""COMPUTED_VALUE"""),135.63)</f>
        <v>135.63</v>
      </c>
      <c r="F161" s="3">
        <f ca="1">IFERROR(__xludf.DUMMYFUNCTION("""COMPUTED_VALUE"""),50.09)</f>
        <v>50.09</v>
      </c>
      <c r="G161" s="3">
        <f ca="1">IFERROR(__xludf.DUMMYFUNCTION("""COMPUTED_VALUE"""),22.32)</f>
        <v>22.32</v>
      </c>
      <c r="H161" s="3">
        <f ca="1">IFERROR(__xludf.DUMMYFUNCTION("""COMPUTED_VALUE"""),26.31)</f>
        <v>26.31</v>
      </c>
      <c r="I161" s="3">
        <f ca="1">IFERROR(__xludf.DUMMYFUNCTION("""COMPUTED_VALUE"""),132.92)</f>
        <v>132.91999999999999</v>
      </c>
      <c r="J161" s="3">
        <f ca="1">IFERROR(__xludf.DUMMYFUNCTION("""COMPUTED_VALUE"""),246.26)</f>
        <v>246.26</v>
      </c>
      <c r="K161" s="3">
        <f ca="1">IFERROR(__xludf.DUMMYFUNCTION("""COMPUTED_VALUE"""),127.65)</f>
        <v>127.65</v>
      </c>
      <c r="L161" s="3">
        <f ca="1">IFERROR(__xludf.DUMMYFUNCTION("""COMPUTED_VALUE"""),87.27)</f>
        <v>87.27</v>
      </c>
      <c r="M161" s="3">
        <f ca="1">IFERROR(__xludf.DUMMYFUNCTION("""COMPUTED_VALUE"""),64.59)</f>
        <v>64.59</v>
      </c>
      <c r="N161" s="3">
        <f ca="1">IFERROR(__xludf.DUMMYFUNCTION("""COMPUTED_VALUE"""),63.5)</f>
        <v>63.5</v>
      </c>
      <c r="O161" s="3">
        <f ca="1">IFERROR(__xludf.DUMMYFUNCTION("""COMPUTED_VALUE"""),57.6)</f>
        <v>57.6</v>
      </c>
      <c r="P161" s="3">
        <f ca="1">IFERROR(__xludf.DUMMYFUNCTION("""COMPUTED_VALUE"""),79.46)</f>
        <v>79.459999999999994</v>
      </c>
      <c r="Q161" s="3">
        <f ca="1">IFERROR(__xludf.DUMMYFUNCTION("""COMPUTED_VALUE"""),112.15)</f>
        <v>112.15</v>
      </c>
      <c r="R161" s="3">
        <f ca="1">IFERROR(__xludf.DUMMYFUNCTION("""COMPUTED_VALUE"""),79.17)</f>
        <v>79.17</v>
      </c>
      <c r="S161" s="3">
        <f ca="1">IFERROR(__xludf.DUMMYFUNCTION("""COMPUTED_VALUE"""),50.27)</f>
        <v>50.27</v>
      </c>
      <c r="T161" s="3">
        <f ca="1">IFERROR(__xludf.DUMMYFUNCTION("""COMPUTED_VALUE"""),25.96)</f>
        <v>25.96</v>
      </c>
      <c r="U161" s="3">
        <f ca="1">IFERROR(__xludf.DUMMYFUNCTION("""COMPUTED_VALUE"""),74.06)</f>
        <v>74.06</v>
      </c>
      <c r="V161" s="3">
        <f ca="1">IFERROR(__xludf.DUMMYFUNCTION("""COMPUTED_VALUE"""),84.82)</f>
        <v>84.82</v>
      </c>
      <c r="W161" s="3">
        <f ca="1">IFERROR(__xludf.DUMMYFUNCTION("""COMPUTED_VALUE"""),34.96)</f>
        <v>34.96</v>
      </c>
      <c r="X161" s="3">
        <f ca="1">IFERROR(__xludf.DUMMYFUNCTION("""COMPUTED_VALUE"""),86.09)</f>
        <v>86.09</v>
      </c>
      <c r="Y161" s="3">
        <f ca="1">IFERROR(__xludf.DUMMYFUNCTION("""COMPUTED_VALUE"""),50.96)</f>
        <v>50.96</v>
      </c>
      <c r="Z161" s="3">
        <f ca="1">IFERROR(__xludf.DUMMYFUNCTION("""COMPUTED_VALUE"""),77.89)</f>
        <v>77.89</v>
      </c>
      <c r="AA161" s="3">
        <f ca="1">IFERROR(__xludf.DUMMYFUNCTION("""COMPUTED_VALUE"""),44.68)</f>
        <v>44.68</v>
      </c>
      <c r="AB161" s="3">
        <f ca="1">IFERROR(__xludf.DUMMYFUNCTION("""COMPUTED_VALUE"""),66.84)</f>
        <v>66.84</v>
      </c>
      <c r="AC161" s="3">
        <f ca="1">IFERROR(__xludf.DUMMYFUNCTION("""COMPUTED_VALUE"""),55.59)</f>
        <v>55.59</v>
      </c>
      <c r="AD161" s="3">
        <f ca="1">IFERROR(__xludf.DUMMYFUNCTION("""COMPUTED_VALUE"""),8.15)</f>
        <v>8.15</v>
      </c>
      <c r="AE161" s="3">
        <f ca="1">IFERROR(__xludf.DUMMYFUNCTION("""COMPUTED_VALUE"""),13.08)</f>
        <v>13.08</v>
      </c>
      <c r="AF161" s="3">
        <f ca="1">IFERROR(__xludf.DUMMYFUNCTION("""COMPUTED_VALUE"""),3.39)</f>
        <v>3.39</v>
      </c>
      <c r="AG161" s="3">
        <f ca="1">IFERROR(__xludf.DUMMYFUNCTION("""COMPUTED_VALUE"""),28.6)</f>
        <v>28.6</v>
      </c>
    </row>
    <row r="162" spans="1:33" ht="12.75" x14ac:dyDescent="0.2">
      <c r="A162" s="4">
        <f ca="1">IFERROR(__xludf.DUMMYFUNCTION("""COMPUTED_VALUE"""),44795.6666666666)</f>
        <v>44795.666666666599</v>
      </c>
      <c r="B162" s="3">
        <f ca="1">IFERROR(__xludf.DUMMYFUNCTION("""COMPUTED_VALUE"""),143.98)</f>
        <v>143.97999999999999</v>
      </c>
      <c r="C162" s="3">
        <f ca="1">IFERROR(__xludf.DUMMYFUNCTION("""COMPUTED_VALUE"""),370.48)</f>
        <v>370.48</v>
      </c>
      <c r="D162" s="3">
        <f ca="1">IFERROR(__xludf.DUMMYFUNCTION("""COMPUTED_VALUE"""),88.72)</f>
        <v>88.72</v>
      </c>
      <c r="E162" s="3">
        <f ca="1">IFERROR(__xludf.DUMMYFUNCTION("""COMPUTED_VALUE"""),130.53)</f>
        <v>130.53</v>
      </c>
      <c r="F162" s="3">
        <f ca="1">IFERROR(__xludf.DUMMYFUNCTION("""COMPUTED_VALUE"""),49.14)</f>
        <v>49.14</v>
      </c>
      <c r="G162" s="3">
        <f ca="1">IFERROR(__xludf.DUMMYFUNCTION("""COMPUTED_VALUE"""),21.61)</f>
        <v>21.61</v>
      </c>
      <c r="H162" s="3">
        <f ca="1">IFERROR(__xludf.DUMMYFUNCTION("""COMPUTED_VALUE"""),25.71)</f>
        <v>25.71</v>
      </c>
      <c r="I162" s="3">
        <f ca="1">IFERROR(__xludf.DUMMYFUNCTION("""COMPUTED_VALUE"""),131.18)</f>
        <v>131.18</v>
      </c>
      <c r="J162" s="3">
        <f ca="1">IFERROR(__xludf.DUMMYFUNCTION("""COMPUTED_VALUE"""),242.96)</f>
        <v>242.96</v>
      </c>
      <c r="K162" s="3">
        <f ca="1">IFERROR(__xludf.DUMMYFUNCTION("""COMPUTED_VALUE"""),125.61)</f>
        <v>125.61</v>
      </c>
      <c r="L162" s="3">
        <f ca="1">IFERROR(__xludf.DUMMYFUNCTION("""COMPUTED_VALUE"""),85.93)</f>
        <v>85.93</v>
      </c>
      <c r="M162" s="3">
        <f ca="1">IFERROR(__xludf.DUMMYFUNCTION("""COMPUTED_VALUE"""),63.51)</f>
        <v>63.51</v>
      </c>
      <c r="N162" s="3">
        <f ca="1">IFERROR(__xludf.DUMMYFUNCTION("""COMPUTED_VALUE"""),62.63)</f>
        <v>62.63</v>
      </c>
      <c r="O162" s="3">
        <f ca="1">IFERROR(__xludf.DUMMYFUNCTION("""COMPUTED_VALUE"""),56.32)</f>
        <v>56.32</v>
      </c>
      <c r="P162" s="3">
        <f ca="1">IFERROR(__xludf.DUMMYFUNCTION("""COMPUTED_VALUE"""),79.31)</f>
        <v>79.31</v>
      </c>
      <c r="Q162" s="3">
        <f ca="1">IFERROR(__xludf.DUMMYFUNCTION("""COMPUTED_VALUE"""),112.02)</f>
        <v>112.02</v>
      </c>
      <c r="R162" s="3">
        <f ca="1">IFERROR(__xludf.DUMMYFUNCTION("""COMPUTED_VALUE"""),77.91)</f>
        <v>77.91</v>
      </c>
      <c r="S162" s="3">
        <f ca="1">IFERROR(__xludf.DUMMYFUNCTION("""COMPUTED_VALUE"""),49.78)</f>
        <v>49.78</v>
      </c>
      <c r="T162" s="3">
        <f ca="1">IFERROR(__xludf.DUMMYFUNCTION("""COMPUTED_VALUE"""),26.19)</f>
        <v>26.19</v>
      </c>
      <c r="U162" s="3">
        <f ca="1">IFERROR(__xludf.DUMMYFUNCTION("""COMPUTED_VALUE"""),74.68)</f>
        <v>74.680000000000007</v>
      </c>
      <c r="V162" s="3">
        <f ca="1">IFERROR(__xludf.DUMMYFUNCTION("""COMPUTED_VALUE"""),83.33)</f>
        <v>83.33</v>
      </c>
      <c r="W162" s="3">
        <f ca="1">IFERROR(__xludf.DUMMYFUNCTION("""COMPUTED_VALUE"""),34.19)</f>
        <v>34.19</v>
      </c>
      <c r="X162" s="3">
        <f ca="1">IFERROR(__xludf.DUMMYFUNCTION("""COMPUTED_VALUE"""),84.21)</f>
        <v>84.21</v>
      </c>
      <c r="Y162" s="3">
        <f ca="1">IFERROR(__xludf.DUMMYFUNCTION("""COMPUTED_VALUE"""),49.71)</f>
        <v>49.71</v>
      </c>
      <c r="Z162" s="3">
        <f ca="1">IFERROR(__xludf.DUMMYFUNCTION("""COMPUTED_VALUE"""),76.25)</f>
        <v>76.25</v>
      </c>
      <c r="AA162" s="3">
        <f ca="1">IFERROR(__xludf.DUMMYFUNCTION("""COMPUTED_VALUE"""),43.75)</f>
        <v>43.75</v>
      </c>
      <c r="AB162" s="3">
        <f ca="1">IFERROR(__xludf.DUMMYFUNCTION("""COMPUTED_VALUE"""),65.26)</f>
        <v>65.260000000000005</v>
      </c>
      <c r="AC162" s="3">
        <f ca="1">IFERROR(__xludf.DUMMYFUNCTION("""COMPUTED_VALUE"""),54.42)</f>
        <v>54.42</v>
      </c>
      <c r="AD162" s="3">
        <f ca="1">IFERROR(__xludf.DUMMYFUNCTION("""COMPUTED_VALUE"""),8.05)</f>
        <v>8.0500000000000007</v>
      </c>
      <c r="AE162" s="3">
        <f ca="1">IFERROR(__xludf.DUMMYFUNCTION("""COMPUTED_VALUE"""),12.93)</f>
        <v>12.93</v>
      </c>
      <c r="AF162" s="3">
        <f ca="1">IFERROR(__xludf.DUMMYFUNCTION("""COMPUTED_VALUE"""),3.1)</f>
        <v>3.1</v>
      </c>
      <c r="AG162" s="3">
        <f ca="1">IFERROR(__xludf.DUMMYFUNCTION("""COMPUTED_VALUE"""),27.32)</f>
        <v>27.32</v>
      </c>
    </row>
    <row r="163" spans="1:33" ht="12.75" x14ac:dyDescent="0.2">
      <c r="A163" s="4">
        <f ca="1">IFERROR(__xludf.DUMMYFUNCTION("""COMPUTED_VALUE"""),44796.6666666666)</f>
        <v>44796.666666666599</v>
      </c>
      <c r="B163" s="3">
        <f ca="1">IFERROR(__xludf.DUMMYFUNCTION("""COMPUTED_VALUE"""),143.6)</f>
        <v>143.6</v>
      </c>
      <c r="C163" s="3">
        <f ca="1">IFERROR(__xludf.DUMMYFUNCTION("""COMPUTED_VALUE"""),369.61)</f>
        <v>369.61</v>
      </c>
      <c r="D163" s="3">
        <f ca="1">IFERROR(__xludf.DUMMYFUNCTION("""COMPUTED_VALUE"""),88.52)</f>
        <v>88.52</v>
      </c>
      <c r="E163" s="3">
        <f ca="1">IFERROR(__xludf.DUMMYFUNCTION("""COMPUTED_VALUE"""),131.18)</f>
        <v>131.18</v>
      </c>
      <c r="F163" s="3">
        <f ca="1">IFERROR(__xludf.DUMMYFUNCTION("""COMPUTED_VALUE"""),49.54)</f>
        <v>49.54</v>
      </c>
      <c r="G163" s="3">
        <f ca="1">IFERROR(__xludf.DUMMYFUNCTION("""COMPUTED_VALUE"""),21.6)</f>
        <v>21.6</v>
      </c>
      <c r="H163" s="3">
        <f ca="1">IFERROR(__xludf.DUMMYFUNCTION("""COMPUTED_VALUE"""),25.72)</f>
        <v>25.72</v>
      </c>
      <c r="I163" s="3">
        <f ca="1">IFERROR(__xludf.DUMMYFUNCTION("""COMPUTED_VALUE"""),129.35)</f>
        <v>129.35</v>
      </c>
      <c r="J163" s="3">
        <f ca="1">IFERROR(__xludf.DUMMYFUNCTION("""COMPUTED_VALUE"""),240.09)</f>
        <v>240.09</v>
      </c>
      <c r="K163" s="3">
        <f ca="1">IFERROR(__xludf.DUMMYFUNCTION("""COMPUTED_VALUE"""),125.37)</f>
        <v>125.37</v>
      </c>
      <c r="L163" s="3">
        <f ca="1">IFERROR(__xludf.DUMMYFUNCTION("""COMPUTED_VALUE"""),87.78)</f>
        <v>87.78</v>
      </c>
      <c r="M163" s="3">
        <f ca="1">IFERROR(__xludf.DUMMYFUNCTION("""COMPUTED_VALUE"""),63.31)</f>
        <v>63.31</v>
      </c>
      <c r="N163" s="3">
        <f ca="1">IFERROR(__xludf.DUMMYFUNCTION("""COMPUTED_VALUE"""),61.88)</f>
        <v>61.88</v>
      </c>
      <c r="O163" s="3">
        <f ca="1">IFERROR(__xludf.DUMMYFUNCTION("""COMPUTED_VALUE"""),57.14)</f>
        <v>57.14</v>
      </c>
      <c r="P163" s="3">
        <f ca="1">IFERROR(__xludf.DUMMYFUNCTION("""COMPUTED_VALUE"""),82.17)</f>
        <v>82.17</v>
      </c>
      <c r="Q163" s="3">
        <f ca="1">IFERROR(__xludf.DUMMYFUNCTION("""COMPUTED_VALUE"""),115.83)</f>
        <v>115.83</v>
      </c>
      <c r="R163" s="3">
        <f ca="1">IFERROR(__xludf.DUMMYFUNCTION("""COMPUTED_VALUE"""),78.68)</f>
        <v>78.680000000000007</v>
      </c>
      <c r="S163" s="3">
        <f ca="1">IFERROR(__xludf.DUMMYFUNCTION("""COMPUTED_VALUE"""),51)</f>
        <v>51</v>
      </c>
      <c r="T163" s="3">
        <f ca="1">IFERROR(__xludf.DUMMYFUNCTION("""COMPUTED_VALUE"""),26.62)</f>
        <v>26.62</v>
      </c>
      <c r="U163" s="3">
        <f ca="1">IFERROR(__xludf.DUMMYFUNCTION("""COMPUTED_VALUE"""),76.83)</f>
        <v>76.83</v>
      </c>
      <c r="V163" s="3">
        <f ca="1">IFERROR(__xludf.DUMMYFUNCTION("""COMPUTED_VALUE"""),83.92)</f>
        <v>83.92</v>
      </c>
      <c r="W163" s="3">
        <f ca="1">IFERROR(__xludf.DUMMYFUNCTION("""COMPUTED_VALUE"""),34.05)</f>
        <v>34.049999999999997</v>
      </c>
      <c r="X163" s="3">
        <f ca="1">IFERROR(__xludf.DUMMYFUNCTION("""COMPUTED_VALUE"""),83.93)</f>
        <v>83.93</v>
      </c>
      <c r="Y163" s="3">
        <f ca="1">IFERROR(__xludf.DUMMYFUNCTION("""COMPUTED_VALUE"""),49.55)</f>
        <v>49.55</v>
      </c>
      <c r="Z163" s="3">
        <f ca="1">IFERROR(__xludf.DUMMYFUNCTION("""COMPUTED_VALUE"""),76)</f>
        <v>76</v>
      </c>
      <c r="AA163" s="3">
        <f ca="1">IFERROR(__xludf.DUMMYFUNCTION("""COMPUTED_VALUE"""),43.09)</f>
        <v>43.09</v>
      </c>
      <c r="AB163" s="3">
        <f ca="1">IFERROR(__xludf.DUMMYFUNCTION("""COMPUTED_VALUE"""),64.89)</f>
        <v>64.89</v>
      </c>
      <c r="AC163" s="3">
        <f ca="1">IFERROR(__xludf.DUMMYFUNCTION("""COMPUTED_VALUE"""),54.18)</f>
        <v>54.18</v>
      </c>
      <c r="AD163" s="3">
        <f ca="1">IFERROR(__xludf.DUMMYFUNCTION("""COMPUTED_VALUE"""),8.25)</f>
        <v>8.25</v>
      </c>
      <c r="AE163" s="3">
        <f ca="1">IFERROR(__xludf.DUMMYFUNCTION("""COMPUTED_VALUE"""),13.25)</f>
        <v>13.25</v>
      </c>
      <c r="AF163" s="3">
        <f ca="1">IFERROR(__xludf.DUMMYFUNCTION("""COMPUTED_VALUE"""),3.02)</f>
        <v>3.02</v>
      </c>
      <c r="AG163" s="3">
        <f ca="1">IFERROR(__xludf.DUMMYFUNCTION("""COMPUTED_VALUE"""),28.12)</f>
        <v>28.12</v>
      </c>
    </row>
    <row r="164" spans="1:33" ht="12.75" x14ac:dyDescent="0.2">
      <c r="A164" s="4">
        <f ca="1">IFERROR(__xludf.DUMMYFUNCTION("""COMPUTED_VALUE"""),44797.6666666666)</f>
        <v>44797.666666666599</v>
      </c>
      <c r="B164" s="3">
        <f ca="1">IFERROR(__xludf.DUMMYFUNCTION("""COMPUTED_VALUE"""),143.69)</f>
        <v>143.69</v>
      </c>
      <c r="C164" s="3">
        <f ca="1">IFERROR(__xludf.DUMMYFUNCTION("""COMPUTED_VALUE"""),370.21)</f>
        <v>370.21</v>
      </c>
      <c r="D164" s="3">
        <f ca="1">IFERROR(__xludf.DUMMYFUNCTION("""COMPUTED_VALUE"""),88.73)</f>
        <v>88.73</v>
      </c>
      <c r="E164" s="3">
        <f ca="1">IFERROR(__xludf.DUMMYFUNCTION("""COMPUTED_VALUE"""),131.51)</f>
        <v>131.51</v>
      </c>
      <c r="F164" s="3">
        <f ca="1">IFERROR(__xludf.DUMMYFUNCTION("""COMPUTED_VALUE"""),49.78)</f>
        <v>49.78</v>
      </c>
      <c r="G164" s="3">
        <f ca="1">IFERROR(__xludf.DUMMYFUNCTION("""COMPUTED_VALUE"""),21.77)</f>
        <v>21.77</v>
      </c>
      <c r="H164" s="3">
        <f ca="1">IFERROR(__xludf.DUMMYFUNCTION("""COMPUTED_VALUE"""),25.92)</f>
        <v>25.92</v>
      </c>
      <c r="I164" s="3">
        <f ca="1">IFERROR(__xludf.DUMMYFUNCTION("""COMPUTED_VALUE"""),129.51)</f>
        <v>129.51</v>
      </c>
      <c r="J164" s="3">
        <f ca="1">IFERROR(__xludf.DUMMYFUNCTION("""COMPUTED_VALUE"""),240.91)</f>
        <v>240.91</v>
      </c>
      <c r="K164" s="3">
        <f ca="1">IFERROR(__xludf.DUMMYFUNCTION("""COMPUTED_VALUE"""),127.07)</f>
        <v>127.07</v>
      </c>
      <c r="L164" s="3">
        <f ca="1">IFERROR(__xludf.DUMMYFUNCTION("""COMPUTED_VALUE"""),89.63)</f>
        <v>89.63</v>
      </c>
      <c r="M164" s="3">
        <f ca="1">IFERROR(__xludf.DUMMYFUNCTION("""COMPUTED_VALUE"""),64.05)</f>
        <v>64.05</v>
      </c>
      <c r="N164" s="3">
        <f ca="1">IFERROR(__xludf.DUMMYFUNCTION("""COMPUTED_VALUE"""),62.13)</f>
        <v>62.13</v>
      </c>
      <c r="O164" s="3">
        <f ca="1">IFERROR(__xludf.DUMMYFUNCTION("""COMPUTED_VALUE"""),59.28)</f>
        <v>59.28</v>
      </c>
      <c r="P164" s="3">
        <f ca="1">IFERROR(__xludf.DUMMYFUNCTION("""COMPUTED_VALUE"""),83.18)</f>
        <v>83.18</v>
      </c>
      <c r="Q164" s="3">
        <f ca="1">IFERROR(__xludf.DUMMYFUNCTION("""COMPUTED_VALUE"""),117.32)</f>
        <v>117.32</v>
      </c>
      <c r="R164" s="3">
        <f ca="1">IFERROR(__xludf.DUMMYFUNCTION("""COMPUTED_VALUE"""),78.85)</f>
        <v>78.849999999999994</v>
      </c>
      <c r="S164" s="3">
        <f ca="1">IFERROR(__xludf.DUMMYFUNCTION("""COMPUTED_VALUE"""),52.09)</f>
        <v>52.09</v>
      </c>
      <c r="T164" s="3">
        <f ca="1">IFERROR(__xludf.DUMMYFUNCTION("""COMPUTED_VALUE"""),26.9)</f>
        <v>26.9</v>
      </c>
      <c r="U164" s="3">
        <f ca="1">IFERROR(__xludf.DUMMYFUNCTION("""COMPUTED_VALUE"""),78.04)</f>
        <v>78.040000000000006</v>
      </c>
      <c r="V164" s="3">
        <f ca="1">IFERROR(__xludf.DUMMYFUNCTION("""COMPUTED_VALUE"""),85.65)</f>
        <v>85.65</v>
      </c>
      <c r="W164" s="3">
        <f ca="1">IFERROR(__xludf.DUMMYFUNCTION("""COMPUTED_VALUE"""),34.23)</f>
        <v>34.229999999999997</v>
      </c>
      <c r="X164" s="3">
        <f ca="1">IFERROR(__xludf.DUMMYFUNCTION("""COMPUTED_VALUE"""),84.26)</f>
        <v>84.26</v>
      </c>
      <c r="Y164" s="3">
        <f ca="1">IFERROR(__xludf.DUMMYFUNCTION("""COMPUTED_VALUE"""),49.43)</f>
        <v>49.43</v>
      </c>
      <c r="Z164" s="3">
        <f ca="1">IFERROR(__xludf.DUMMYFUNCTION("""COMPUTED_VALUE"""),76.38)</f>
        <v>76.38</v>
      </c>
      <c r="AA164" s="3">
        <f ca="1">IFERROR(__xludf.DUMMYFUNCTION("""COMPUTED_VALUE"""),43.43)</f>
        <v>43.43</v>
      </c>
      <c r="AB164" s="3">
        <f ca="1">IFERROR(__xludf.DUMMYFUNCTION("""COMPUTED_VALUE"""),64.75)</f>
        <v>64.75</v>
      </c>
      <c r="AC164" s="3">
        <f ca="1">IFERROR(__xludf.DUMMYFUNCTION("""COMPUTED_VALUE"""),54.35)</f>
        <v>54.35</v>
      </c>
      <c r="AD164" s="3">
        <f ca="1">IFERROR(__xludf.DUMMYFUNCTION("""COMPUTED_VALUE"""),8.33)</f>
        <v>8.33</v>
      </c>
      <c r="AE164" s="3">
        <f ca="1">IFERROR(__xludf.DUMMYFUNCTION("""COMPUTED_VALUE"""),13.35)</f>
        <v>13.35</v>
      </c>
      <c r="AF164" s="3">
        <f ca="1">IFERROR(__xludf.DUMMYFUNCTION("""COMPUTED_VALUE"""),3.05)</f>
        <v>3.05</v>
      </c>
      <c r="AG164" s="3">
        <f ca="1">IFERROR(__xludf.DUMMYFUNCTION("""COMPUTED_VALUE"""),28.48)</f>
        <v>28.48</v>
      </c>
    </row>
    <row r="165" spans="1:33" ht="12.75" x14ac:dyDescent="0.2">
      <c r="A165" s="4">
        <f ca="1">IFERROR(__xludf.DUMMYFUNCTION("""COMPUTED_VALUE"""),44798.6666666666)</f>
        <v>44798.666666666599</v>
      </c>
      <c r="B165" s="3">
        <f ca="1">IFERROR(__xludf.DUMMYFUNCTION("""COMPUTED_VALUE"""),146.12)</f>
        <v>146.12</v>
      </c>
      <c r="C165" s="3">
        <f ca="1">IFERROR(__xludf.DUMMYFUNCTION("""COMPUTED_VALUE"""),376.93)</f>
        <v>376.93</v>
      </c>
      <c r="D165" s="3">
        <f ca="1">IFERROR(__xludf.DUMMYFUNCTION("""COMPUTED_VALUE"""),90.59)</f>
        <v>90.59</v>
      </c>
      <c r="E165" s="3">
        <f ca="1">IFERROR(__xludf.DUMMYFUNCTION("""COMPUTED_VALUE"""),136.33)</f>
        <v>136.33000000000001</v>
      </c>
      <c r="F165" s="3">
        <f ca="1">IFERROR(__xludf.DUMMYFUNCTION("""COMPUTED_VALUE"""),50.15)</f>
        <v>50.15</v>
      </c>
      <c r="G165" s="3">
        <f ca="1">IFERROR(__xludf.DUMMYFUNCTION("""COMPUTED_VALUE"""),22.12)</f>
        <v>22.12</v>
      </c>
      <c r="H165" s="3">
        <f ca="1">IFERROR(__xludf.DUMMYFUNCTION("""COMPUTED_VALUE"""),26.5)</f>
        <v>26.5</v>
      </c>
      <c r="I165" s="3">
        <f ca="1">IFERROR(__xludf.DUMMYFUNCTION("""COMPUTED_VALUE"""),130.94)</f>
        <v>130.94</v>
      </c>
      <c r="J165" s="3">
        <f ca="1">IFERROR(__xludf.DUMMYFUNCTION("""COMPUTED_VALUE"""),243.63)</f>
        <v>243.63</v>
      </c>
      <c r="K165" s="3">
        <f ca="1">IFERROR(__xludf.DUMMYFUNCTION("""COMPUTED_VALUE"""),127.45)</f>
        <v>127.45</v>
      </c>
      <c r="L165" s="3">
        <f ca="1">IFERROR(__xludf.DUMMYFUNCTION("""COMPUTED_VALUE"""),89.37)</f>
        <v>89.37</v>
      </c>
      <c r="M165" s="3">
        <f ca="1">IFERROR(__xludf.DUMMYFUNCTION("""COMPUTED_VALUE"""),63.95)</f>
        <v>63.95</v>
      </c>
      <c r="N165" s="3">
        <f ca="1">IFERROR(__xludf.DUMMYFUNCTION("""COMPUTED_VALUE"""),62.78)</f>
        <v>62.78</v>
      </c>
      <c r="O165" s="3">
        <f ca="1">IFERROR(__xludf.DUMMYFUNCTION("""COMPUTED_VALUE"""),60.12)</f>
        <v>60.12</v>
      </c>
      <c r="P165" s="3">
        <f ca="1">IFERROR(__xludf.DUMMYFUNCTION("""COMPUTED_VALUE"""),83.82)</f>
        <v>83.82</v>
      </c>
      <c r="Q165" s="3">
        <f ca="1">IFERROR(__xludf.DUMMYFUNCTION("""COMPUTED_VALUE"""),118.1)</f>
        <v>118.1</v>
      </c>
      <c r="R165" s="3">
        <f ca="1">IFERROR(__xludf.DUMMYFUNCTION("""COMPUTED_VALUE"""),80.64)</f>
        <v>80.64</v>
      </c>
      <c r="S165" s="3">
        <f ca="1">IFERROR(__xludf.DUMMYFUNCTION("""COMPUTED_VALUE"""),53.45)</f>
        <v>53.45</v>
      </c>
      <c r="T165" s="3">
        <f ca="1">IFERROR(__xludf.DUMMYFUNCTION("""COMPUTED_VALUE"""),26.52)</f>
        <v>26.52</v>
      </c>
      <c r="U165" s="3">
        <f ca="1">IFERROR(__xludf.DUMMYFUNCTION("""COMPUTED_VALUE"""),76.5)</f>
        <v>76.5</v>
      </c>
      <c r="V165" s="3">
        <f ca="1">IFERROR(__xludf.DUMMYFUNCTION("""COMPUTED_VALUE"""),87.49)</f>
        <v>87.49</v>
      </c>
      <c r="W165" s="3">
        <f ca="1">IFERROR(__xludf.DUMMYFUNCTION("""COMPUTED_VALUE"""),34.76)</f>
        <v>34.76</v>
      </c>
      <c r="X165" s="3">
        <f ca="1">IFERROR(__xludf.DUMMYFUNCTION("""COMPUTED_VALUE"""),85.58)</f>
        <v>85.58</v>
      </c>
      <c r="Y165" s="3">
        <f ca="1">IFERROR(__xludf.DUMMYFUNCTION("""COMPUTED_VALUE"""),50.21)</f>
        <v>50.21</v>
      </c>
      <c r="Z165" s="3">
        <f ca="1">IFERROR(__xludf.DUMMYFUNCTION("""COMPUTED_VALUE"""),77.53)</f>
        <v>77.53</v>
      </c>
      <c r="AA165" s="3">
        <f ca="1">IFERROR(__xludf.DUMMYFUNCTION("""COMPUTED_VALUE"""),44.1)</f>
        <v>44.1</v>
      </c>
      <c r="AB165" s="3">
        <f ca="1">IFERROR(__xludf.DUMMYFUNCTION("""COMPUTED_VALUE"""),65.72)</f>
        <v>65.72</v>
      </c>
      <c r="AC165" s="3">
        <f ca="1">IFERROR(__xludf.DUMMYFUNCTION("""COMPUTED_VALUE"""),55.21)</f>
        <v>55.21</v>
      </c>
      <c r="AD165" s="3">
        <f ca="1">IFERROR(__xludf.DUMMYFUNCTION("""COMPUTED_VALUE"""),8.28)</f>
        <v>8.2799999999999994</v>
      </c>
      <c r="AE165" s="3">
        <f ca="1">IFERROR(__xludf.DUMMYFUNCTION("""COMPUTED_VALUE"""),13.24)</f>
        <v>13.24</v>
      </c>
      <c r="AF165" s="3">
        <f ca="1">IFERROR(__xludf.DUMMYFUNCTION("""COMPUTED_VALUE"""),3.1)</f>
        <v>3.1</v>
      </c>
      <c r="AG165" s="3">
        <f ca="1">IFERROR(__xludf.DUMMYFUNCTION("""COMPUTED_VALUE"""),28.64)</f>
        <v>28.64</v>
      </c>
    </row>
    <row r="166" spans="1:33" ht="12.75" x14ac:dyDescent="0.2">
      <c r="A166" s="4">
        <f ca="1">IFERROR(__xludf.DUMMYFUNCTION("""COMPUTED_VALUE"""),44799.6666666666)</f>
        <v>44799.666666666599</v>
      </c>
      <c r="B166" s="3">
        <f ca="1">IFERROR(__xludf.DUMMYFUNCTION("""COMPUTED_VALUE"""),139.88)</f>
        <v>139.88</v>
      </c>
      <c r="C166" s="3">
        <f ca="1">IFERROR(__xludf.DUMMYFUNCTION("""COMPUTED_VALUE"""),360.97)</f>
        <v>360.97</v>
      </c>
      <c r="D166" s="3">
        <f ca="1">IFERROR(__xludf.DUMMYFUNCTION("""COMPUTED_VALUE"""),86.52)</f>
        <v>86.52</v>
      </c>
      <c r="E166" s="3">
        <f ca="1">IFERROR(__xludf.DUMMYFUNCTION("""COMPUTED_VALUE"""),128.6)</f>
        <v>128.6</v>
      </c>
      <c r="F166" s="3">
        <f ca="1">IFERROR(__xludf.DUMMYFUNCTION("""COMPUTED_VALUE"""),48.81)</f>
        <v>48.81</v>
      </c>
      <c r="G166" s="3">
        <f ca="1">IFERROR(__xludf.DUMMYFUNCTION("""COMPUTED_VALUE"""),21.22)</f>
        <v>21.22</v>
      </c>
      <c r="H166" s="3">
        <f ca="1">IFERROR(__xludf.DUMMYFUNCTION("""COMPUTED_VALUE"""),25.51)</f>
        <v>25.51</v>
      </c>
      <c r="I166" s="3">
        <f ca="1">IFERROR(__xludf.DUMMYFUNCTION("""COMPUTED_VALUE"""),127.29)</f>
        <v>127.29</v>
      </c>
      <c r="J166" s="3">
        <f ca="1">IFERROR(__xludf.DUMMYFUNCTION("""COMPUTED_VALUE"""),236.39)</f>
        <v>236.39</v>
      </c>
      <c r="K166" s="3">
        <f ca="1">IFERROR(__xludf.DUMMYFUNCTION("""COMPUTED_VALUE"""),122.95)</f>
        <v>122.95</v>
      </c>
      <c r="L166" s="3">
        <f ca="1">IFERROR(__xludf.DUMMYFUNCTION("""COMPUTED_VALUE"""),85.04)</f>
        <v>85.04</v>
      </c>
      <c r="M166" s="3">
        <f ca="1">IFERROR(__xludf.DUMMYFUNCTION("""COMPUTED_VALUE"""),61.87)</f>
        <v>61.87</v>
      </c>
      <c r="N166" s="3">
        <f ca="1">IFERROR(__xludf.DUMMYFUNCTION("""COMPUTED_VALUE"""),60.96)</f>
        <v>60.96</v>
      </c>
      <c r="O166" s="3">
        <f ca="1">IFERROR(__xludf.DUMMYFUNCTION("""COMPUTED_VALUE"""),56.6)</f>
        <v>56.6</v>
      </c>
      <c r="P166" s="3">
        <f ca="1">IFERROR(__xludf.DUMMYFUNCTION("""COMPUTED_VALUE"""),82.84)</f>
        <v>82.84</v>
      </c>
      <c r="Q166" s="3">
        <f ca="1">IFERROR(__xludf.DUMMYFUNCTION("""COMPUTED_VALUE"""),116.83)</f>
        <v>116.83</v>
      </c>
      <c r="R166" s="3">
        <f ca="1">IFERROR(__xludf.DUMMYFUNCTION("""COMPUTED_VALUE"""),78.17)</f>
        <v>78.17</v>
      </c>
      <c r="S166" s="3">
        <f ca="1">IFERROR(__xludf.DUMMYFUNCTION("""COMPUTED_VALUE"""),52.05)</f>
        <v>52.05</v>
      </c>
      <c r="T166" s="3">
        <f ca="1">IFERROR(__xludf.DUMMYFUNCTION("""COMPUTED_VALUE"""),26.63)</f>
        <v>26.63</v>
      </c>
      <c r="U166" s="3">
        <f ca="1">IFERROR(__xludf.DUMMYFUNCTION("""COMPUTED_VALUE"""),75.85)</f>
        <v>75.849999999999994</v>
      </c>
      <c r="V166" s="3">
        <f ca="1">IFERROR(__xludf.DUMMYFUNCTION("""COMPUTED_VALUE"""),85.72)</f>
        <v>85.72</v>
      </c>
      <c r="W166" s="3">
        <f ca="1">IFERROR(__xludf.DUMMYFUNCTION("""COMPUTED_VALUE"""),33.72)</f>
        <v>33.72</v>
      </c>
      <c r="X166" s="3">
        <f ca="1">IFERROR(__xludf.DUMMYFUNCTION("""COMPUTED_VALUE"""),83.01)</f>
        <v>83.01</v>
      </c>
      <c r="Y166" s="3">
        <f ca="1">IFERROR(__xludf.DUMMYFUNCTION("""COMPUTED_VALUE"""),48.83)</f>
        <v>48.83</v>
      </c>
      <c r="Z166" s="3">
        <f ca="1">IFERROR(__xludf.DUMMYFUNCTION("""COMPUTED_VALUE"""),75.17)</f>
        <v>75.17</v>
      </c>
      <c r="AA166" s="3">
        <f ca="1">IFERROR(__xludf.DUMMYFUNCTION("""COMPUTED_VALUE"""),42.98)</f>
        <v>42.98</v>
      </c>
      <c r="AB166" s="3">
        <f ca="1">IFERROR(__xludf.DUMMYFUNCTION("""COMPUTED_VALUE"""),64.12)</f>
        <v>64.12</v>
      </c>
      <c r="AC166" s="3">
        <f ca="1">IFERROR(__xludf.DUMMYFUNCTION("""COMPUTED_VALUE"""),53.33)</f>
        <v>53.33</v>
      </c>
      <c r="AD166" s="3">
        <f ca="1">IFERROR(__xludf.DUMMYFUNCTION("""COMPUTED_VALUE"""),7.84)</f>
        <v>7.84</v>
      </c>
      <c r="AE166" s="3">
        <f ca="1">IFERROR(__xludf.DUMMYFUNCTION("""COMPUTED_VALUE"""),12.59)</f>
        <v>12.59</v>
      </c>
      <c r="AF166" s="3">
        <f ca="1">IFERROR(__xludf.DUMMYFUNCTION("""COMPUTED_VALUE"""),3.1)</f>
        <v>3.1</v>
      </c>
      <c r="AG166" s="3">
        <f ca="1">IFERROR(__xludf.DUMMYFUNCTION("""COMPUTED_VALUE"""),26.48)</f>
        <v>26.48</v>
      </c>
    </row>
    <row r="167" spans="1:33" ht="12.75" x14ac:dyDescent="0.2">
      <c r="A167" s="4">
        <f ca="1">IFERROR(__xludf.DUMMYFUNCTION("""COMPUTED_VALUE"""),44802.6666666666)</f>
        <v>44802.666666666599</v>
      </c>
      <c r="B167" s="3">
        <f ca="1">IFERROR(__xludf.DUMMYFUNCTION("""COMPUTED_VALUE"""),138.03)</f>
        <v>138.03</v>
      </c>
      <c r="C167" s="3">
        <f ca="1">IFERROR(__xludf.DUMMYFUNCTION("""COMPUTED_VALUE"""),356.31)</f>
        <v>356.31</v>
      </c>
      <c r="D167" s="3">
        <f ca="1">IFERROR(__xludf.DUMMYFUNCTION("""COMPUTED_VALUE"""),85.26)</f>
        <v>85.26</v>
      </c>
      <c r="E167" s="3">
        <f ca="1">IFERROR(__xludf.DUMMYFUNCTION("""COMPUTED_VALUE"""),126)</f>
        <v>126</v>
      </c>
      <c r="F167" s="3">
        <f ca="1">IFERROR(__xludf.DUMMYFUNCTION("""COMPUTED_VALUE"""),48.4)</f>
        <v>48.4</v>
      </c>
      <c r="G167" s="3">
        <f ca="1">IFERROR(__xludf.DUMMYFUNCTION("""COMPUTED_VALUE"""),20.92)</f>
        <v>20.92</v>
      </c>
      <c r="H167" s="3">
        <f ca="1">IFERROR(__xludf.DUMMYFUNCTION("""COMPUTED_VALUE"""),25.17)</f>
        <v>25.17</v>
      </c>
      <c r="I167" s="3">
        <f ca="1">IFERROR(__xludf.DUMMYFUNCTION("""COMPUTED_VALUE"""),126.4)</f>
        <v>126.4</v>
      </c>
      <c r="J167" s="3">
        <f ca="1">IFERROR(__xludf.DUMMYFUNCTION("""COMPUTED_VALUE"""),234.6)</f>
        <v>234.6</v>
      </c>
      <c r="K167" s="3">
        <f ca="1">IFERROR(__xludf.DUMMYFUNCTION("""COMPUTED_VALUE"""),122.1)</f>
        <v>122.1</v>
      </c>
      <c r="L167" s="3">
        <f ca="1">IFERROR(__xludf.DUMMYFUNCTION("""COMPUTED_VALUE"""),83.96)</f>
        <v>83.96</v>
      </c>
      <c r="M167" s="3">
        <f ca="1">IFERROR(__xludf.DUMMYFUNCTION("""COMPUTED_VALUE"""),61.09)</f>
        <v>61.09</v>
      </c>
      <c r="N167" s="3">
        <f ca="1">IFERROR(__xludf.DUMMYFUNCTION("""COMPUTED_VALUE"""),60.48)</f>
        <v>60.48</v>
      </c>
      <c r="O167" s="3">
        <f ca="1">IFERROR(__xludf.DUMMYFUNCTION("""COMPUTED_VALUE"""),55.64)</f>
        <v>55.64</v>
      </c>
      <c r="P167" s="3">
        <f ca="1">IFERROR(__xludf.DUMMYFUNCTION("""COMPUTED_VALUE"""),84.09)</f>
        <v>84.09</v>
      </c>
      <c r="Q167" s="3">
        <f ca="1">IFERROR(__xludf.DUMMYFUNCTION("""COMPUTED_VALUE"""),118.45)</f>
        <v>118.45</v>
      </c>
      <c r="R167" s="3">
        <f ca="1">IFERROR(__xludf.DUMMYFUNCTION("""COMPUTED_VALUE"""),77.62)</f>
        <v>77.62</v>
      </c>
      <c r="S167" s="3">
        <f ca="1">IFERROR(__xludf.DUMMYFUNCTION("""COMPUTED_VALUE"""),51.75)</f>
        <v>51.75</v>
      </c>
      <c r="T167" s="3">
        <f ca="1">IFERROR(__xludf.DUMMYFUNCTION("""COMPUTED_VALUE"""),27.02)</f>
        <v>27.02</v>
      </c>
      <c r="U167" s="3">
        <f ca="1">IFERROR(__xludf.DUMMYFUNCTION("""COMPUTED_VALUE"""),78.69)</f>
        <v>78.69</v>
      </c>
      <c r="V167" s="3">
        <f ca="1">IFERROR(__xludf.DUMMYFUNCTION("""COMPUTED_VALUE"""),84.71)</f>
        <v>84.71</v>
      </c>
      <c r="W167" s="3">
        <f ca="1">IFERROR(__xludf.DUMMYFUNCTION("""COMPUTED_VALUE"""),33.48)</f>
        <v>33.479999999999997</v>
      </c>
      <c r="X167" s="3">
        <f ca="1">IFERROR(__xludf.DUMMYFUNCTION("""COMPUTED_VALUE"""),82.32)</f>
        <v>82.32</v>
      </c>
      <c r="Y167" s="3">
        <f ca="1">IFERROR(__xludf.DUMMYFUNCTION("""COMPUTED_VALUE"""),48.14)</f>
        <v>48.14</v>
      </c>
      <c r="Z167" s="3">
        <f ca="1">IFERROR(__xludf.DUMMYFUNCTION("""COMPUTED_VALUE"""),74.57)</f>
        <v>74.569999999999993</v>
      </c>
      <c r="AA167" s="3">
        <f ca="1">IFERROR(__xludf.DUMMYFUNCTION("""COMPUTED_VALUE"""),42.61)</f>
        <v>42.61</v>
      </c>
      <c r="AB167" s="3">
        <f ca="1">IFERROR(__xludf.DUMMYFUNCTION("""COMPUTED_VALUE"""),63.12)</f>
        <v>63.12</v>
      </c>
      <c r="AC167" s="3">
        <f ca="1">IFERROR(__xludf.DUMMYFUNCTION("""COMPUTED_VALUE"""),52.91)</f>
        <v>52.91</v>
      </c>
      <c r="AD167" s="3">
        <f ca="1">IFERROR(__xludf.DUMMYFUNCTION("""COMPUTED_VALUE"""),7.69)</f>
        <v>7.69</v>
      </c>
      <c r="AE167" s="3">
        <f ca="1">IFERROR(__xludf.DUMMYFUNCTION("""COMPUTED_VALUE"""),12.32)</f>
        <v>12.32</v>
      </c>
      <c r="AF167" s="3">
        <f ca="1">IFERROR(__xludf.DUMMYFUNCTION("""COMPUTED_VALUE"""),2.82)</f>
        <v>2.82</v>
      </c>
      <c r="AG167" s="3">
        <f ca="1">IFERROR(__xludf.DUMMYFUNCTION("""COMPUTED_VALUE"""),26.84)</f>
        <v>26.84</v>
      </c>
    </row>
    <row r="168" spans="1:33" ht="12.75" x14ac:dyDescent="0.2">
      <c r="A168" s="4">
        <f ca="1">IFERROR(__xludf.DUMMYFUNCTION("""COMPUTED_VALUE"""),44803.6666666666)</f>
        <v>44803.666666666599</v>
      </c>
      <c r="B168" s="3">
        <f ca="1">IFERROR(__xludf.DUMMYFUNCTION("""COMPUTED_VALUE"""),136.59)</f>
        <v>136.59</v>
      </c>
      <c r="C168" s="3">
        <f ca="1">IFERROR(__xludf.DUMMYFUNCTION("""COMPUTED_VALUE"""),352.72)</f>
        <v>352.72</v>
      </c>
      <c r="D168" s="3">
        <f ca="1">IFERROR(__xludf.DUMMYFUNCTION("""COMPUTED_VALUE"""),84.44)</f>
        <v>84.44</v>
      </c>
      <c r="E168" s="3">
        <f ca="1">IFERROR(__xludf.DUMMYFUNCTION("""COMPUTED_VALUE"""),124.53)</f>
        <v>124.53</v>
      </c>
      <c r="F168" s="3">
        <f ca="1">IFERROR(__xludf.DUMMYFUNCTION("""COMPUTED_VALUE"""),48.19)</f>
        <v>48.19</v>
      </c>
      <c r="G168" s="3">
        <f ca="1">IFERROR(__xludf.DUMMYFUNCTION("""COMPUTED_VALUE"""),20.72)</f>
        <v>20.72</v>
      </c>
      <c r="H168" s="3">
        <f ca="1">IFERROR(__xludf.DUMMYFUNCTION("""COMPUTED_VALUE"""),24.96)</f>
        <v>24.96</v>
      </c>
      <c r="I168" s="3">
        <f ca="1">IFERROR(__xludf.DUMMYFUNCTION("""COMPUTED_VALUE"""),125.56)</f>
        <v>125.56</v>
      </c>
      <c r="J168" s="3">
        <f ca="1">IFERROR(__xludf.DUMMYFUNCTION("""COMPUTED_VALUE"""),232.75)</f>
        <v>232.75</v>
      </c>
      <c r="K168" s="3">
        <f ca="1">IFERROR(__xludf.DUMMYFUNCTION("""COMPUTED_VALUE"""),121.14)</f>
        <v>121.14</v>
      </c>
      <c r="L168" s="3">
        <f ca="1">IFERROR(__xludf.DUMMYFUNCTION("""COMPUTED_VALUE"""),83.1)</f>
        <v>83.1</v>
      </c>
      <c r="M168" s="3">
        <f ca="1">IFERROR(__xludf.DUMMYFUNCTION("""COMPUTED_VALUE"""),60.57)</f>
        <v>60.57</v>
      </c>
      <c r="N168" s="3">
        <f ca="1">IFERROR(__xludf.DUMMYFUNCTION("""COMPUTED_VALUE"""),60.04)</f>
        <v>60.04</v>
      </c>
      <c r="O168" s="3">
        <f ca="1">IFERROR(__xludf.DUMMYFUNCTION("""COMPUTED_VALUE"""),55.16)</f>
        <v>55.16</v>
      </c>
      <c r="P168" s="3">
        <f ca="1">IFERROR(__xludf.DUMMYFUNCTION("""COMPUTED_VALUE"""),81.24)</f>
        <v>81.239999999999995</v>
      </c>
      <c r="Q168" s="3">
        <f ca="1">IFERROR(__xludf.DUMMYFUNCTION("""COMPUTED_VALUE"""),114.23)</f>
        <v>114.23</v>
      </c>
      <c r="R168" s="3">
        <f ca="1">IFERROR(__xludf.DUMMYFUNCTION("""COMPUTED_VALUE"""),76.35)</f>
        <v>76.349999999999994</v>
      </c>
      <c r="S168" s="3">
        <f ca="1">IFERROR(__xludf.DUMMYFUNCTION("""COMPUTED_VALUE"""),49.53)</f>
        <v>49.53</v>
      </c>
      <c r="T168" s="3">
        <f ca="1">IFERROR(__xludf.DUMMYFUNCTION("""COMPUTED_VALUE"""),26.27)</f>
        <v>26.27</v>
      </c>
      <c r="U168" s="3">
        <f ca="1">IFERROR(__xludf.DUMMYFUNCTION("""COMPUTED_VALUE"""),75.47)</f>
        <v>75.47</v>
      </c>
      <c r="V168" s="3">
        <f ca="1">IFERROR(__xludf.DUMMYFUNCTION("""COMPUTED_VALUE"""),83.63)</f>
        <v>83.63</v>
      </c>
      <c r="W168" s="3">
        <f ca="1">IFERROR(__xludf.DUMMYFUNCTION("""COMPUTED_VALUE"""),33.3)</f>
        <v>33.299999999999997</v>
      </c>
      <c r="X168" s="3">
        <f ca="1">IFERROR(__xludf.DUMMYFUNCTION("""COMPUTED_VALUE"""),81.93)</f>
        <v>81.93</v>
      </c>
      <c r="Y168" s="3">
        <f ca="1">IFERROR(__xludf.DUMMYFUNCTION("""COMPUTED_VALUE"""),48.02)</f>
        <v>48.02</v>
      </c>
      <c r="Z168" s="3">
        <f ca="1">IFERROR(__xludf.DUMMYFUNCTION("""COMPUTED_VALUE"""),74.18)</f>
        <v>74.180000000000007</v>
      </c>
      <c r="AA168" s="3">
        <f ca="1">IFERROR(__xludf.DUMMYFUNCTION("""COMPUTED_VALUE"""),42)</f>
        <v>42</v>
      </c>
      <c r="AB168" s="3">
        <f ca="1">IFERROR(__xludf.DUMMYFUNCTION("""COMPUTED_VALUE"""),63.07)</f>
        <v>63.07</v>
      </c>
      <c r="AC168" s="3">
        <f ca="1">IFERROR(__xludf.DUMMYFUNCTION("""COMPUTED_VALUE"""),52.72)</f>
        <v>52.72</v>
      </c>
      <c r="AD168" s="3">
        <f ca="1">IFERROR(__xludf.DUMMYFUNCTION("""COMPUTED_VALUE"""),7.6)</f>
        <v>7.6</v>
      </c>
      <c r="AE168" s="3">
        <f ca="1">IFERROR(__xludf.DUMMYFUNCTION("""COMPUTED_VALUE"""),12.18)</f>
        <v>12.18</v>
      </c>
      <c r="AF168" s="3">
        <f ca="1">IFERROR(__xludf.DUMMYFUNCTION("""COMPUTED_VALUE"""),2.97)</f>
        <v>2.97</v>
      </c>
      <c r="AG168" s="3">
        <f ca="1">IFERROR(__xludf.DUMMYFUNCTION("""COMPUTED_VALUE"""),26.68)</f>
        <v>26.68</v>
      </c>
    </row>
    <row r="169" spans="1:33" ht="12.75" x14ac:dyDescent="0.2">
      <c r="A169" s="4">
        <f ca="1">IFERROR(__xludf.DUMMYFUNCTION("""COMPUTED_VALUE"""),44804.6666666666)</f>
        <v>44804.666666666599</v>
      </c>
      <c r="B169" s="3">
        <f ca="1">IFERROR(__xludf.DUMMYFUNCTION("""COMPUTED_VALUE"""),135.26)</f>
        <v>135.26</v>
      </c>
      <c r="C169" s="3">
        <f ca="1">IFERROR(__xludf.DUMMYFUNCTION("""COMPUTED_VALUE"""),349.28)</f>
        <v>349.28</v>
      </c>
      <c r="D169" s="3">
        <f ca="1">IFERROR(__xludf.DUMMYFUNCTION("""COMPUTED_VALUE"""),83.77)</f>
        <v>83.77</v>
      </c>
      <c r="E169" s="3">
        <f ca="1">IFERROR(__xludf.DUMMYFUNCTION("""COMPUTED_VALUE"""),123.23)</f>
        <v>123.23</v>
      </c>
      <c r="F169" s="3">
        <f ca="1">IFERROR(__xludf.DUMMYFUNCTION("""COMPUTED_VALUE"""),47.65)</f>
        <v>47.65</v>
      </c>
      <c r="G169" s="3">
        <f ca="1">IFERROR(__xludf.DUMMYFUNCTION("""COMPUTED_VALUE"""),20.6)</f>
        <v>20.6</v>
      </c>
      <c r="H169" s="3">
        <f ca="1">IFERROR(__xludf.DUMMYFUNCTION("""COMPUTED_VALUE"""),24.76)</f>
        <v>24.76</v>
      </c>
      <c r="I169" s="3">
        <f ca="1">IFERROR(__xludf.DUMMYFUNCTION("""COMPUTED_VALUE"""),124.76)</f>
        <v>124.76</v>
      </c>
      <c r="J169" s="3">
        <f ca="1">IFERROR(__xludf.DUMMYFUNCTION("""COMPUTED_VALUE"""),231.56)</f>
        <v>231.56</v>
      </c>
      <c r="K169" s="3">
        <f ca="1">IFERROR(__xludf.DUMMYFUNCTION("""COMPUTED_VALUE"""),121.46)</f>
        <v>121.46</v>
      </c>
      <c r="L169" s="3">
        <f ca="1">IFERROR(__xludf.DUMMYFUNCTION("""COMPUTED_VALUE"""),83.7)</f>
        <v>83.7</v>
      </c>
      <c r="M169" s="3">
        <f ca="1">IFERROR(__xludf.DUMMYFUNCTION("""COMPUTED_VALUE"""),60.48)</f>
        <v>60.48</v>
      </c>
      <c r="N169" s="3">
        <f ca="1">IFERROR(__xludf.DUMMYFUNCTION("""COMPUTED_VALUE"""),59.73)</f>
        <v>59.73</v>
      </c>
      <c r="O169" s="3">
        <f ca="1">IFERROR(__xludf.DUMMYFUNCTION("""COMPUTED_VALUE"""),55.32)</f>
        <v>55.32</v>
      </c>
      <c r="P169" s="3">
        <f ca="1">IFERROR(__xludf.DUMMYFUNCTION("""COMPUTED_VALUE"""),80.5)</f>
        <v>80.5</v>
      </c>
      <c r="Q169" s="3">
        <f ca="1">IFERROR(__xludf.DUMMYFUNCTION("""COMPUTED_VALUE"""),113.49)</f>
        <v>113.49</v>
      </c>
      <c r="R169" s="3">
        <f ca="1">IFERROR(__xludf.DUMMYFUNCTION("""COMPUTED_VALUE"""),75.41)</f>
        <v>75.41</v>
      </c>
      <c r="S169" s="3">
        <f ca="1">IFERROR(__xludf.DUMMYFUNCTION("""COMPUTED_VALUE"""),49.13)</f>
        <v>49.13</v>
      </c>
      <c r="T169" s="3">
        <f ca="1">IFERROR(__xludf.DUMMYFUNCTION("""COMPUTED_VALUE"""),25.72)</f>
        <v>25.72</v>
      </c>
      <c r="U169" s="3">
        <f ca="1">IFERROR(__xludf.DUMMYFUNCTION("""COMPUTED_VALUE"""),73.11)</f>
        <v>73.11</v>
      </c>
      <c r="V169" s="3">
        <f ca="1">IFERROR(__xludf.DUMMYFUNCTION("""COMPUTED_VALUE"""),84.33)</f>
        <v>84.33</v>
      </c>
      <c r="W169" s="3">
        <f ca="1">IFERROR(__xludf.DUMMYFUNCTION("""COMPUTED_VALUE"""),33.05)</f>
        <v>33.049999999999997</v>
      </c>
      <c r="X169" s="3">
        <f ca="1">IFERROR(__xludf.DUMMYFUNCTION("""COMPUTED_VALUE"""),81.33)</f>
        <v>81.33</v>
      </c>
      <c r="Y169" s="3">
        <f ca="1">IFERROR(__xludf.DUMMYFUNCTION("""COMPUTED_VALUE"""),47.68)</f>
        <v>47.68</v>
      </c>
      <c r="Z169" s="3">
        <f ca="1">IFERROR(__xludf.DUMMYFUNCTION("""COMPUTED_VALUE"""),73.69)</f>
        <v>73.69</v>
      </c>
      <c r="AA169" s="3">
        <f ca="1">IFERROR(__xludf.DUMMYFUNCTION("""COMPUTED_VALUE"""),41.85)</f>
        <v>41.85</v>
      </c>
      <c r="AB169" s="3">
        <f ca="1">IFERROR(__xludf.DUMMYFUNCTION("""COMPUTED_VALUE"""),62.59)</f>
        <v>62.59</v>
      </c>
      <c r="AC169" s="3">
        <f ca="1">IFERROR(__xludf.DUMMYFUNCTION("""COMPUTED_VALUE"""),52.36)</f>
        <v>52.36</v>
      </c>
      <c r="AD169" s="3">
        <f ca="1">IFERROR(__xludf.DUMMYFUNCTION("""COMPUTED_VALUE"""),7.71)</f>
        <v>7.71</v>
      </c>
      <c r="AE169" s="3">
        <f ca="1">IFERROR(__xludf.DUMMYFUNCTION("""COMPUTED_VALUE"""),12.36)</f>
        <v>12.36</v>
      </c>
      <c r="AF169" s="3">
        <f ca="1">IFERROR(__xludf.DUMMYFUNCTION("""COMPUTED_VALUE"""),2.98)</f>
        <v>2.98</v>
      </c>
      <c r="AG169" s="3">
        <f ca="1">IFERROR(__xludf.DUMMYFUNCTION("""COMPUTED_VALUE"""),27.4)</f>
        <v>27.4</v>
      </c>
    </row>
    <row r="170" spans="1:33" ht="12.75" x14ac:dyDescent="0.2">
      <c r="A170" s="4">
        <f ca="1">IFERROR(__xludf.DUMMYFUNCTION("""COMPUTED_VALUE"""),44805.6666666666)</f>
        <v>44805.666666666599</v>
      </c>
      <c r="B170" s="3">
        <f ca="1">IFERROR(__xludf.DUMMYFUNCTION("""COMPUTED_VALUE"""),134.6)</f>
        <v>134.6</v>
      </c>
      <c r="C170" s="3">
        <f ca="1">IFERROR(__xludf.DUMMYFUNCTION("""COMPUTED_VALUE"""),346.22)</f>
        <v>346.22</v>
      </c>
      <c r="D170" s="3">
        <f ca="1">IFERROR(__xludf.DUMMYFUNCTION("""COMPUTED_VALUE"""),83.12)</f>
        <v>83.12</v>
      </c>
      <c r="E170" s="3">
        <f ca="1">IFERROR(__xludf.DUMMYFUNCTION("""COMPUTED_VALUE"""),120.94)</f>
        <v>120.94</v>
      </c>
      <c r="F170" s="3">
        <f ca="1">IFERROR(__xludf.DUMMYFUNCTION("""COMPUTED_VALUE"""),46.04)</f>
        <v>46.04</v>
      </c>
      <c r="G170" s="3">
        <f ca="1">IFERROR(__xludf.DUMMYFUNCTION("""COMPUTED_VALUE"""),20.14)</f>
        <v>20.14</v>
      </c>
      <c r="H170" s="3">
        <f ca="1">IFERROR(__xludf.DUMMYFUNCTION("""COMPUTED_VALUE"""),24.53)</f>
        <v>24.53</v>
      </c>
      <c r="I170" s="3">
        <f ca="1">IFERROR(__xludf.DUMMYFUNCTION("""COMPUTED_VALUE"""),126.81)</f>
        <v>126.81</v>
      </c>
      <c r="J170" s="3">
        <f ca="1">IFERROR(__xludf.DUMMYFUNCTION("""COMPUTED_VALUE"""),234.79)</f>
        <v>234.79</v>
      </c>
      <c r="K170" s="3">
        <f ca="1">IFERROR(__xludf.DUMMYFUNCTION("""COMPUTED_VALUE"""),123.22)</f>
        <v>123.22</v>
      </c>
      <c r="L170" s="3">
        <f ca="1">IFERROR(__xludf.DUMMYFUNCTION("""COMPUTED_VALUE"""),85.52)</f>
        <v>85.52</v>
      </c>
      <c r="M170" s="3">
        <f ca="1">IFERROR(__xludf.DUMMYFUNCTION("""COMPUTED_VALUE"""),61.36)</f>
        <v>61.36</v>
      </c>
      <c r="N170" s="3">
        <f ca="1">IFERROR(__xludf.DUMMYFUNCTION("""COMPUTED_VALUE"""),60.55)</f>
        <v>60.55</v>
      </c>
      <c r="O170" s="3">
        <f ca="1">IFERROR(__xludf.DUMMYFUNCTION("""COMPUTED_VALUE"""),56.04)</f>
        <v>56.04</v>
      </c>
      <c r="P170" s="3">
        <f ca="1">IFERROR(__xludf.DUMMYFUNCTION("""COMPUTED_VALUE"""),78.52)</f>
        <v>78.52</v>
      </c>
      <c r="Q170" s="3">
        <f ca="1">IFERROR(__xludf.DUMMYFUNCTION("""COMPUTED_VALUE"""),110.64)</f>
        <v>110.64</v>
      </c>
      <c r="R170" s="3">
        <f ca="1">IFERROR(__xludf.DUMMYFUNCTION("""COMPUTED_VALUE"""),74.42)</f>
        <v>74.42</v>
      </c>
      <c r="S170" s="3">
        <f ca="1">IFERROR(__xludf.DUMMYFUNCTION("""COMPUTED_VALUE"""),47.27)</f>
        <v>47.27</v>
      </c>
      <c r="T170" s="3">
        <f ca="1">IFERROR(__xludf.DUMMYFUNCTION("""COMPUTED_VALUE"""),25.17)</f>
        <v>25.17</v>
      </c>
      <c r="U170" s="3">
        <f ca="1">IFERROR(__xludf.DUMMYFUNCTION("""COMPUTED_VALUE"""),70.95)</f>
        <v>70.95</v>
      </c>
      <c r="V170" s="3">
        <f ca="1">IFERROR(__xludf.DUMMYFUNCTION("""COMPUTED_VALUE"""),82.79)</f>
        <v>82.79</v>
      </c>
      <c r="W170" s="3">
        <f ca="1">IFERROR(__xludf.DUMMYFUNCTION("""COMPUTED_VALUE"""),33.15)</f>
        <v>33.15</v>
      </c>
      <c r="X170" s="3">
        <f ca="1">IFERROR(__xludf.DUMMYFUNCTION("""COMPUTED_VALUE"""),81.46)</f>
        <v>81.459999999999994</v>
      </c>
      <c r="Y170" s="3">
        <f ca="1">IFERROR(__xludf.DUMMYFUNCTION("""COMPUTED_VALUE"""),47.3)</f>
        <v>47.3</v>
      </c>
      <c r="Z170" s="3">
        <f ca="1">IFERROR(__xludf.DUMMYFUNCTION("""COMPUTED_VALUE"""),73.88)</f>
        <v>73.88</v>
      </c>
      <c r="AA170" s="3">
        <f ca="1">IFERROR(__xludf.DUMMYFUNCTION("""COMPUTED_VALUE"""),42)</f>
        <v>42</v>
      </c>
      <c r="AB170" s="3">
        <f ca="1">IFERROR(__xludf.DUMMYFUNCTION("""COMPUTED_VALUE"""),62.23)</f>
        <v>62.23</v>
      </c>
      <c r="AC170" s="3">
        <f ca="1">IFERROR(__xludf.DUMMYFUNCTION("""COMPUTED_VALUE"""),52.45)</f>
        <v>52.45</v>
      </c>
      <c r="AD170" s="3">
        <f ca="1">IFERROR(__xludf.DUMMYFUNCTION("""COMPUTED_VALUE"""),7.57)</f>
        <v>7.57</v>
      </c>
      <c r="AE170" s="3">
        <f ca="1">IFERROR(__xludf.DUMMYFUNCTION("""COMPUTED_VALUE"""),12.15)</f>
        <v>12.15</v>
      </c>
      <c r="AF170" s="3">
        <f ca="1">IFERROR(__xludf.DUMMYFUNCTION("""COMPUTED_VALUE"""),2.9)</f>
        <v>2.9</v>
      </c>
      <c r="AG170" s="3">
        <f ca="1">IFERROR(__xludf.DUMMYFUNCTION("""COMPUTED_VALUE"""),26.12)</f>
        <v>26.12</v>
      </c>
    </row>
    <row r="171" spans="1:33" ht="12.75" x14ac:dyDescent="0.2">
      <c r="A171" s="4">
        <f ca="1">IFERROR(__xludf.DUMMYFUNCTION("""COMPUTED_VALUE"""),44806.6666666666)</f>
        <v>44806.666666666599</v>
      </c>
      <c r="B171" s="3">
        <f ca="1">IFERROR(__xludf.DUMMYFUNCTION("""COMPUTED_VALUE"""),132.85)</f>
        <v>132.85</v>
      </c>
      <c r="C171" s="3">
        <f ca="1">IFERROR(__xludf.DUMMYFUNCTION("""COMPUTED_VALUE"""),342.15)</f>
        <v>342.15</v>
      </c>
      <c r="D171" s="3">
        <f ca="1">IFERROR(__xludf.DUMMYFUNCTION("""COMPUTED_VALUE"""),82.09)</f>
        <v>82.09</v>
      </c>
      <c r="E171" s="3">
        <f ca="1">IFERROR(__xludf.DUMMYFUNCTION("""COMPUTED_VALUE"""),119.62)</f>
        <v>119.62</v>
      </c>
      <c r="F171" s="3">
        <f ca="1">IFERROR(__xludf.DUMMYFUNCTION("""COMPUTED_VALUE"""),45.74)</f>
        <v>45.74</v>
      </c>
      <c r="G171" s="3">
        <f ca="1">IFERROR(__xludf.DUMMYFUNCTION("""COMPUTED_VALUE"""),19.94)</f>
        <v>19.940000000000001</v>
      </c>
      <c r="H171" s="3">
        <f ca="1">IFERROR(__xludf.DUMMYFUNCTION("""COMPUTED_VALUE"""),24.36)</f>
        <v>24.36</v>
      </c>
      <c r="I171" s="3">
        <f ca="1">IFERROR(__xludf.DUMMYFUNCTION("""COMPUTED_VALUE"""),124.99)</f>
        <v>124.99</v>
      </c>
      <c r="J171" s="3">
        <f ca="1">IFERROR(__xludf.DUMMYFUNCTION("""COMPUTED_VALUE"""),231.43)</f>
        <v>231.43</v>
      </c>
      <c r="K171" s="3">
        <f ca="1">IFERROR(__xludf.DUMMYFUNCTION("""COMPUTED_VALUE"""),121.19)</f>
        <v>121.19</v>
      </c>
      <c r="L171" s="3">
        <f ca="1">IFERROR(__xludf.DUMMYFUNCTION("""COMPUTED_VALUE"""),83.73)</f>
        <v>83.73</v>
      </c>
      <c r="M171" s="3">
        <f ca="1">IFERROR(__xludf.DUMMYFUNCTION("""COMPUTED_VALUE"""),59.99)</f>
        <v>59.99</v>
      </c>
      <c r="N171" s="3">
        <f ca="1">IFERROR(__xludf.DUMMYFUNCTION("""COMPUTED_VALUE"""),59.64)</f>
        <v>59.64</v>
      </c>
      <c r="O171" s="3">
        <f ca="1">IFERROR(__xludf.DUMMYFUNCTION("""COMPUTED_VALUE"""),54.52)</f>
        <v>54.52</v>
      </c>
      <c r="P171" s="3">
        <f ca="1">IFERROR(__xludf.DUMMYFUNCTION("""COMPUTED_VALUE"""),79.96)</f>
        <v>79.959999999999994</v>
      </c>
      <c r="Q171" s="3">
        <f ca="1">IFERROR(__xludf.DUMMYFUNCTION("""COMPUTED_VALUE"""),112.94)</f>
        <v>112.94</v>
      </c>
      <c r="R171" s="3">
        <f ca="1">IFERROR(__xludf.DUMMYFUNCTION("""COMPUTED_VALUE"""),74.35)</f>
        <v>74.349999999999994</v>
      </c>
      <c r="S171" s="3">
        <f ca="1">IFERROR(__xludf.DUMMYFUNCTION("""COMPUTED_VALUE"""),47.66)</f>
        <v>47.66</v>
      </c>
      <c r="T171" s="3">
        <f ca="1">IFERROR(__xludf.DUMMYFUNCTION("""COMPUTED_VALUE"""),25.34)</f>
        <v>25.34</v>
      </c>
      <c r="U171" s="3">
        <f ca="1">IFERROR(__xludf.DUMMYFUNCTION("""COMPUTED_VALUE"""),71.43)</f>
        <v>71.430000000000007</v>
      </c>
      <c r="V171" s="3">
        <f ca="1">IFERROR(__xludf.DUMMYFUNCTION("""COMPUTED_VALUE"""),80.84)</f>
        <v>80.84</v>
      </c>
      <c r="W171" s="3">
        <f ca="1">IFERROR(__xludf.DUMMYFUNCTION("""COMPUTED_VALUE"""),32.89)</f>
        <v>32.89</v>
      </c>
      <c r="X171" s="3">
        <f ca="1">IFERROR(__xludf.DUMMYFUNCTION("""COMPUTED_VALUE"""),80.84)</f>
        <v>80.84</v>
      </c>
      <c r="Y171" s="3">
        <f ca="1">IFERROR(__xludf.DUMMYFUNCTION("""COMPUTED_VALUE"""),46.99)</f>
        <v>46.99</v>
      </c>
      <c r="Z171" s="3">
        <f ca="1">IFERROR(__xludf.DUMMYFUNCTION("""COMPUTED_VALUE"""),73.29)</f>
        <v>73.290000000000006</v>
      </c>
      <c r="AA171" s="3">
        <f ca="1">IFERROR(__xludf.DUMMYFUNCTION("""COMPUTED_VALUE"""),41.28)</f>
        <v>41.28</v>
      </c>
      <c r="AB171" s="3">
        <f ca="1">IFERROR(__xludf.DUMMYFUNCTION("""COMPUTED_VALUE"""),61.77)</f>
        <v>61.77</v>
      </c>
      <c r="AC171" s="3">
        <f ca="1">IFERROR(__xludf.DUMMYFUNCTION("""COMPUTED_VALUE"""),52.04)</f>
        <v>52.04</v>
      </c>
      <c r="AD171" s="3">
        <f ca="1">IFERROR(__xludf.DUMMYFUNCTION("""COMPUTED_VALUE"""),7.6)</f>
        <v>7.6</v>
      </c>
      <c r="AE171" s="3">
        <f ca="1">IFERROR(__xludf.DUMMYFUNCTION("""COMPUTED_VALUE"""),12.18)</f>
        <v>12.18</v>
      </c>
      <c r="AF171" s="3">
        <f ca="1">IFERROR(__xludf.DUMMYFUNCTION("""COMPUTED_VALUE"""),2.86)</f>
        <v>2.86</v>
      </c>
      <c r="AG171" s="3">
        <f ca="1">IFERROR(__xludf.DUMMYFUNCTION("""COMPUTED_VALUE"""),25.84)</f>
        <v>25.84</v>
      </c>
    </row>
    <row r="172" spans="1:33" ht="12.75" x14ac:dyDescent="0.2">
      <c r="A172" s="4">
        <f ca="1">IFERROR(__xludf.DUMMYFUNCTION("""COMPUTED_VALUE"""),44810.6666666666)</f>
        <v>44810.666666666599</v>
      </c>
      <c r="B172" s="3">
        <f ca="1">IFERROR(__xludf.DUMMYFUNCTION("""COMPUTED_VALUE"""),131.97)</f>
        <v>131.97</v>
      </c>
      <c r="C172" s="3">
        <f ca="1">IFERROR(__xludf.DUMMYFUNCTION("""COMPUTED_VALUE"""),339.67)</f>
        <v>339.67</v>
      </c>
      <c r="D172" s="3">
        <f ca="1">IFERROR(__xludf.DUMMYFUNCTION("""COMPUTED_VALUE"""),81.32)</f>
        <v>81.319999999999993</v>
      </c>
      <c r="E172" s="3">
        <f ca="1">IFERROR(__xludf.DUMMYFUNCTION("""COMPUTED_VALUE"""),118.24)</f>
        <v>118.24</v>
      </c>
      <c r="F172" s="3">
        <f ca="1">IFERROR(__xludf.DUMMYFUNCTION("""COMPUTED_VALUE"""),45.56)</f>
        <v>45.56</v>
      </c>
      <c r="G172" s="3">
        <f ca="1">IFERROR(__xludf.DUMMYFUNCTION("""COMPUTED_VALUE"""),19.84)</f>
        <v>19.84</v>
      </c>
      <c r="H172" s="3">
        <f ca="1">IFERROR(__xludf.DUMMYFUNCTION("""COMPUTED_VALUE"""),24.2)</f>
        <v>24.2</v>
      </c>
      <c r="I172" s="3">
        <f ca="1">IFERROR(__xludf.DUMMYFUNCTION("""COMPUTED_VALUE"""),125.11)</f>
        <v>125.11</v>
      </c>
      <c r="J172" s="3">
        <f ca="1">IFERROR(__xludf.DUMMYFUNCTION("""COMPUTED_VALUE"""),231.25)</f>
        <v>231.25</v>
      </c>
      <c r="K172" s="3">
        <f ca="1">IFERROR(__xludf.DUMMYFUNCTION("""COMPUTED_VALUE"""),119.54)</f>
        <v>119.54</v>
      </c>
      <c r="L172" s="3">
        <f ca="1">IFERROR(__xludf.DUMMYFUNCTION("""COMPUTED_VALUE"""),81.34)</f>
        <v>81.34</v>
      </c>
      <c r="M172" s="3">
        <f ca="1">IFERROR(__xludf.DUMMYFUNCTION("""COMPUTED_VALUE"""),59.09)</f>
        <v>59.09</v>
      </c>
      <c r="N172" s="3">
        <f ca="1">IFERROR(__xludf.DUMMYFUNCTION("""COMPUTED_VALUE"""),59.57)</f>
        <v>59.57</v>
      </c>
      <c r="O172" s="3">
        <f ca="1">IFERROR(__xludf.DUMMYFUNCTION("""COMPUTED_VALUE"""),53.36)</f>
        <v>53.36</v>
      </c>
      <c r="P172" s="3">
        <f ca="1">IFERROR(__xludf.DUMMYFUNCTION("""COMPUTED_VALUE"""),79.22)</f>
        <v>79.22</v>
      </c>
      <c r="Q172" s="3">
        <f ca="1">IFERROR(__xludf.DUMMYFUNCTION("""COMPUTED_VALUE"""),111.69)</f>
        <v>111.69</v>
      </c>
      <c r="R172" s="3">
        <f ca="1">IFERROR(__xludf.DUMMYFUNCTION("""COMPUTED_VALUE"""),74.12)</f>
        <v>74.12</v>
      </c>
      <c r="S172" s="3">
        <f ca="1">IFERROR(__xludf.DUMMYFUNCTION("""COMPUTED_VALUE"""),48)</f>
        <v>48</v>
      </c>
      <c r="T172" s="3">
        <f ca="1">IFERROR(__xludf.DUMMYFUNCTION("""COMPUTED_VALUE"""),25.19)</f>
        <v>25.19</v>
      </c>
      <c r="U172" s="3">
        <f ca="1">IFERROR(__xludf.DUMMYFUNCTION("""COMPUTED_VALUE"""),71.42)</f>
        <v>71.42</v>
      </c>
      <c r="V172" s="3">
        <f ca="1">IFERROR(__xludf.DUMMYFUNCTION("""COMPUTED_VALUE"""),82.35)</f>
        <v>82.35</v>
      </c>
      <c r="W172" s="3">
        <f ca="1">IFERROR(__xludf.DUMMYFUNCTION("""COMPUTED_VALUE"""),32.81)</f>
        <v>32.81</v>
      </c>
      <c r="X172" s="3">
        <f ca="1">IFERROR(__xludf.DUMMYFUNCTION("""COMPUTED_VALUE"""),80.59)</f>
        <v>80.59</v>
      </c>
      <c r="Y172" s="3">
        <f ca="1">IFERROR(__xludf.DUMMYFUNCTION("""COMPUTED_VALUE"""),46.27)</f>
        <v>46.27</v>
      </c>
      <c r="Z172" s="3">
        <f ca="1">IFERROR(__xludf.DUMMYFUNCTION("""COMPUTED_VALUE"""),73.14)</f>
        <v>73.14</v>
      </c>
      <c r="AA172" s="3">
        <f ca="1">IFERROR(__xludf.DUMMYFUNCTION("""COMPUTED_VALUE"""),41.71)</f>
        <v>41.71</v>
      </c>
      <c r="AB172" s="3">
        <f ca="1">IFERROR(__xludf.DUMMYFUNCTION("""COMPUTED_VALUE"""),60.77)</f>
        <v>60.77</v>
      </c>
      <c r="AC172" s="3">
        <f ca="1">IFERROR(__xludf.DUMMYFUNCTION("""COMPUTED_VALUE"""),51.93)</f>
        <v>51.93</v>
      </c>
      <c r="AD172" s="3">
        <f ca="1">IFERROR(__xludf.DUMMYFUNCTION("""COMPUTED_VALUE"""),7.17)</f>
        <v>7.17</v>
      </c>
      <c r="AE172" s="3">
        <f ca="1">IFERROR(__xludf.DUMMYFUNCTION("""COMPUTED_VALUE"""),11.47)</f>
        <v>11.47</v>
      </c>
      <c r="AF172" s="3">
        <f ca="1">IFERROR(__xludf.DUMMYFUNCTION("""COMPUTED_VALUE"""),2.8)</f>
        <v>2.8</v>
      </c>
      <c r="AG172" s="3">
        <f ca="1">IFERROR(__xludf.DUMMYFUNCTION("""COMPUTED_VALUE"""),24.76)</f>
        <v>24.76</v>
      </c>
    </row>
    <row r="173" spans="1:33" ht="12.75" x14ac:dyDescent="0.2">
      <c r="A173" s="4">
        <f ca="1">IFERROR(__xludf.DUMMYFUNCTION("""COMPUTED_VALUE"""),44811.6666666666)</f>
        <v>44811.666666666599</v>
      </c>
      <c r="B173" s="3">
        <f ca="1">IFERROR(__xludf.DUMMYFUNCTION("""COMPUTED_VALUE"""),134.08)</f>
        <v>134.08000000000001</v>
      </c>
      <c r="C173" s="3">
        <f ca="1">IFERROR(__xludf.DUMMYFUNCTION("""COMPUTED_VALUE"""),345.08)</f>
        <v>345.08</v>
      </c>
      <c r="D173" s="3">
        <f ca="1">IFERROR(__xludf.DUMMYFUNCTION("""COMPUTED_VALUE"""),82.71)</f>
        <v>82.71</v>
      </c>
      <c r="E173" s="3">
        <f ca="1">IFERROR(__xludf.DUMMYFUNCTION("""COMPUTED_VALUE"""),120.24)</f>
        <v>120.24</v>
      </c>
      <c r="F173" s="3">
        <f ca="1">IFERROR(__xludf.DUMMYFUNCTION("""COMPUTED_VALUE"""),46.33)</f>
        <v>46.33</v>
      </c>
      <c r="G173" s="3">
        <f ca="1">IFERROR(__xludf.DUMMYFUNCTION("""COMPUTED_VALUE"""),20.09)</f>
        <v>20.09</v>
      </c>
      <c r="H173" s="3">
        <f ca="1">IFERROR(__xludf.DUMMYFUNCTION("""COMPUTED_VALUE"""),24.95)</f>
        <v>24.95</v>
      </c>
      <c r="I173" s="3">
        <f ca="1">IFERROR(__xludf.DUMMYFUNCTION("""COMPUTED_VALUE"""),127.15)</f>
        <v>127.15</v>
      </c>
      <c r="J173" s="3">
        <f ca="1">IFERROR(__xludf.DUMMYFUNCTION("""COMPUTED_VALUE"""),235.49)</f>
        <v>235.49</v>
      </c>
      <c r="K173" s="3">
        <f ca="1">IFERROR(__xludf.DUMMYFUNCTION("""COMPUTED_VALUE"""),122.89)</f>
        <v>122.89</v>
      </c>
      <c r="L173" s="3">
        <f ca="1">IFERROR(__xludf.DUMMYFUNCTION("""COMPUTED_VALUE"""),84.79)</f>
        <v>84.79</v>
      </c>
      <c r="M173" s="3">
        <f ca="1">IFERROR(__xludf.DUMMYFUNCTION("""COMPUTED_VALUE"""),60.87)</f>
        <v>60.87</v>
      </c>
      <c r="N173" s="3">
        <f ca="1">IFERROR(__xludf.DUMMYFUNCTION("""COMPUTED_VALUE"""),60.7)</f>
        <v>60.7</v>
      </c>
      <c r="O173" s="3">
        <f ca="1">IFERROR(__xludf.DUMMYFUNCTION("""COMPUTED_VALUE"""),55.72)</f>
        <v>55.72</v>
      </c>
      <c r="P173" s="3">
        <f ca="1">IFERROR(__xludf.DUMMYFUNCTION("""COMPUTED_VALUE"""),78.3)</f>
        <v>78.3</v>
      </c>
      <c r="Q173" s="3">
        <f ca="1">IFERROR(__xludf.DUMMYFUNCTION("""COMPUTED_VALUE"""),110.38)</f>
        <v>110.38</v>
      </c>
      <c r="R173" s="3">
        <f ca="1">IFERROR(__xludf.DUMMYFUNCTION("""COMPUTED_VALUE"""),76.17)</f>
        <v>76.17</v>
      </c>
      <c r="S173" s="3">
        <f ca="1">IFERROR(__xludf.DUMMYFUNCTION("""COMPUTED_VALUE"""),48.43)</f>
        <v>48.43</v>
      </c>
      <c r="T173" s="3">
        <f ca="1">IFERROR(__xludf.DUMMYFUNCTION("""COMPUTED_VALUE"""),24.59)</f>
        <v>24.59</v>
      </c>
      <c r="U173" s="3">
        <f ca="1">IFERROR(__xludf.DUMMYFUNCTION("""COMPUTED_VALUE"""),67.62)</f>
        <v>67.62</v>
      </c>
      <c r="V173" s="3">
        <f ca="1">IFERROR(__xludf.DUMMYFUNCTION("""COMPUTED_VALUE"""),87.42)</f>
        <v>87.42</v>
      </c>
      <c r="W173" s="3">
        <f ca="1">IFERROR(__xludf.DUMMYFUNCTION("""COMPUTED_VALUE"""),33.46)</f>
        <v>33.46</v>
      </c>
      <c r="X173" s="3">
        <f ca="1">IFERROR(__xludf.DUMMYFUNCTION("""COMPUTED_VALUE"""),82.2)</f>
        <v>82.2</v>
      </c>
      <c r="Y173" s="3">
        <f ca="1">IFERROR(__xludf.DUMMYFUNCTION("""COMPUTED_VALUE"""),47.2)</f>
        <v>47.2</v>
      </c>
      <c r="Z173" s="3">
        <f ca="1">IFERROR(__xludf.DUMMYFUNCTION("""COMPUTED_VALUE"""),74.62)</f>
        <v>74.62</v>
      </c>
      <c r="AA173" s="3">
        <f ca="1">IFERROR(__xludf.DUMMYFUNCTION("""COMPUTED_VALUE"""),42.51)</f>
        <v>42.51</v>
      </c>
      <c r="AB173" s="3">
        <f ca="1">IFERROR(__xludf.DUMMYFUNCTION("""COMPUTED_VALUE"""),61.94)</f>
        <v>61.94</v>
      </c>
      <c r="AC173" s="3">
        <f ca="1">IFERROR(__xludf.DUMMYFUNCTION("""COMPUTED_VALUE"""),52.9)</f>
        <v>52.9</v>
      </c>
      <c r="AD173" s="3">
        <f ca="1">IFERROR(__xludf.DUMMYFUNCTION("""COMPUTED_VALUE"""),7.28)</f>
        <v>7.28</v>
      </c>
      <c r="AE173" s="3">
        <f ca="1">IFERROR(__xludf.DUMMYFUNCTION("""COMPUTED_VALUE"""),11.66)</f>
        <v>11.66</v>
      </c>
      <c r="AF173" s="3">
        <f ca="1">IFERROR(__xludf.DUMMYFUNCTION("""COMPUTED_VALUE"""),2.81)</f>
        <v>2.81</v>
      </c>
      <c r="AG173" s="3">
        <f ca="1">IFERROR(__xludf.DUMMYFUNCTION("""COMPUTED_VALUE"""),25.64)</f>
        <v>25.64</v>
      </c>
    </row>
    <row r="174" spans="1:33" ht="12.75" x14ac:dyDescent="0.2">
      <c r="A174" s="4">
        <f ca="1">IFERROR(__xludf.DUMMYFUNCTION("""COMPUTED_VALUE"""),44812.6666666666)</f>
        <v>44812.666666666599</v>
      </c>
      <c r="B174" s="3">
        <f ca="1">IFERROR(__xludf.DUMMYFUNCTION("""COMPUTED_VALUE"""),134.54)</f>
        <v>134.54</v>
      </c>
      <c r="C174" s="3">
        <f ca="1">IFERROR(__xludf.DUMMYFUNCTION("""COMPUTED_VALUE"""),347.16)</f>
        <v>347.16</v>
      </c>
      <c r="D174" s="3">
        <f ca="1">IFERROR(__xludf.DUMMYFUNCTION("""COMPUTED_VALUE"""),83.14)</f>
        <v>83.14</v>
      </c>
      <c r="E174" s="3">
        <f ca="1">IFERROR(__xludf.DUMMYFUNCTION("""COMPUTED_VALUE"""),122.26)</f>
        <v>122.26</v>
      </c>
      <c r="F174" s="3">
        <f ca="1">IFERROR(__xludf.DUMMYFUNCTION("""COMPUTED_VALUE"""),46.87)</f>
        <v>46.87</v>
      </c>
      <c r="G174" s="3">
        <f ca="1">IFERROR(__xludf.DUMMYFUNCTION("""COMPUTED_VALUE"""),20.41)</f>
        <v>20.41</v>
      </c>
      <c r="H174" s="3">
        <f ca="1">IFERROR(__xludf.DUMMYFUNCTION("""COMPUTED_VALUE"""),25.28)</f>
        <v>25.28</v>
      </c>
      <c r="I174" s="3">
        <f ca="1">IFERROR(__xludf.DUMMYFUNCTION("""COMPUTED_VALUE"""),129.36)</f>
        <v>129.36000000000001</v>
      </c>
      <c r="J174" s="3">
        <f ca="1">IFERROR(__xludf.DUMMYFUNCTION("""COMPUTED_VALUE"""),239.96)</f>
        <v>239.96</v>
      </c>
      <c r="K174" s="3">
        <f ca="1">IFERROR(__xludf.DUMMYFUNCTION("""COMPUTED_VALUE"""),126.98)</f>
        <v>126.98</v>
      </c>
      <c r="L174" s="3">
        <f ca="1">IFERROR(__xludf.DUMMYFUNCTION("""COMPUTED_VALUE"""),87.42)</f>
        <v>87.42</v>
      </c>
      <c r="M174" s="3">
        <f ca="1">IFERROR(__xludf.DUMMYFUNCTION("""COMPUTED_VALUE"""),62.25)</f>
        <v>62.25</v>
      </c>
      <c r="N174" s="3">
        <f ca="1">IFERROR(__xludf.DUMMYFUNCTION("""COMPUTED_VALUE"""),61.86)</f>
        <v>61.86</v>
      </c>
      <c r="O174" s="3">
        <f ca="1">IFERROR(__xludf.DUMMYFUNCTION("""COMPUTED_VALUE"""),57.27)</f>
        <v>57.27</v>
      </c>
      <c r="P174" s="3">
        <f ca="1">IFERROR(__xludf.DUMMYFUNCTION("""COMPUTED_VALUE"""),78.64)</f>
        <v>78.64</v>
      </c>
      <c r="Q174" s="3">
        <f ca="1">IFERROR(__xludf.DUMMYFUNCTION("""COMPUTED_VALUE"""),111.03)</f>
        <v>111.03</v>
      </c>
      <c r="R174" s="3">
        <f ca="1">IFERROR(__xludf.DUMMYFUNCTION("""COMPUTED_VALUE"""),76.91)</f>
        <v>76.91</v>
      </c>
      <c r="S174" s="3">
        <f ca="1">IFERROR(__xludf.DUMMYFUNCTION("""COMPUTED_VALUE"""),48.73)</f>
        <v>48.73</v>
      </c>
      <c r="T174" s="3">
        <f ca="1">IFERROR(__xludf.DUMMYFUNCTION("""COMPUTED_VALUE"""),24.69)</f>
        <v>24.69</v>
      </c>
      <c r="U174" s="3">
        <f ca="1">IFERROR(__xludf.DUMMYFUNCTION("""COMPUTED_VALUE"""),68.09)</f>
        <v>68.09</v>
      </c>
      <c r="V174" s="3">
        <f ca="1">IFERROR(__xludf.DUMMYFUNCTION("""COMPUTED_VALUE"""),87.75)</f>
        <v>87.75</v>
      </c>
      <c r="W174" s="3">
        <f ca="1">IFERROR(__xludf.DUMMYFUNCTION("""COMPUTED_VALUE"""),34.05)</f>
        <v>34.049999999999997</v>
      </c>
      <c r="X174" s="3">
        <f ca="1">IFERROR(__xludf.DUMMYFUNCTION("""COMPUTED_VALUE"""),83.54)</f>
        <v>83.54</v>
      </c>
      <c r="Y174" s="3">
        <f ca="1">IFERROR(__xludf.DUMMYFUNCTION("""COMPUTED_VALUE"""),48.2)</f>
        <v>48.2</v>
      </c>
      <c r="Z174" s="3">
        <f ca="1">IFERROR(__xludf.DUMMYFUNCTION("""COMPUTED_VALUE"""),75.93)</f>
        <v>75.930000000000007</v>
      </c>
      <c r="AA174" s="3">
        <f ca="1">IFERROR(__xludf.DUMMYFUNCTION("""COMPUTED_VALUE"""),42.63)</f>
        <v>42.63</v>
      </c>
      <c r="AB174" s="3">
        <f ca="1">IFERROR(__xludf.DUMMYFUNCTION("""COMPUTED_VALUE"""),63.27)</f>
        <v>63.27</v>
      </c>
      <c r="AC174" s="3">
        <f ca="1">IFERROR(__xludf.DUMMYFUNCTION("""COMPUTED_VALUE"""),53.83)</f>
        <v>53.83</v>
      </c>
      <c r="AD174" s="3">
        <f ca="1">IFERROR(__xludf.DUMMYFUNCTION("""COMPUTED_VALUE"""),7.41)</f>
        <v>7.41</v>
      </c>
      <c r="AE174" s="3">
        <f ca="1">IFERROR(__xludf.DUMMYFUNCTION("""COMPUTED_VALUE"""),11.9)</f>
        <v>11.9</v>
      </c>
      <c r="AF174" s="3">
        <f ca="1">IFERROR(__xludf.DUMMYFUNCTION("""COMPUTED_VALUE"""),2.75)</f>
        <v>2.75</v>
      </c>
      <c r="AG174" s="3">
        <f ca="1">IFERROR(__xludf.DUMMYFUNCTION("""COMPUTED_VALUE"""),27.4)</f>
        <v>27.4</v>
      </c>
    </row>
    <row r="175" spans="1:33" ht="12.75" x14ac:dyDescent="0.2">
      <c r="A175" s="4">
        <f ca="1">IFERROR(__xludf.DUMMYFUNCTION("""COMPUTED_VALUE"""),44813.6666666666)</f>
        <v>44813.666666666599</v>
      </c>
      <c r="B175" s="3">
        <f ca="1">IFERROR(__xludf.DUMMYFUNCTION("""COMPUTED_VALUE"""),137.2)</f>
        <v>137.19999999999999</v>
      </c>
      <c r="C175" s="3">
        <f ca="1">IFERROR(__xludf.DUMMYFUNCTION("""COMPUTED_VALUE"""),354.66)</f>
        <v>354.66</v>
      </c>
      <c r="D175" s="3">
        <f ca="1">IFERROR(__xludf.DUMMYFUNCTION("""COMPUTED_VALUE"""),85.17)</f>
        <v>85.17</v>
      </c>
      <c r="E175" s="3">
        <f ca="1">IFERROR(__xludf.DUMMYFUNCTION("""COMPUTED_VALUE"""),125.2)</f>
        <v>125.2</v>
      </c>
      <c r="F175" s="3">
        <f ca="1">IFERROR(__xludf.DUMMYFUNCTION("""COMPUTED_VALUE"""),48.42)</f>
        <v>48.42</v>
      </c>
      <c r="G175" s="3">
        <f ca="1">IFERROR(__xludf.DUMMYFUNCTION("""COMPUTED_VALUE"""),21.01)</f>
        <v>21.01</v>
      </c>
      <c r="H175" s="3">
        <f ca="1">IFERROR(__xludf.DUMMYFUNCTION("""COMPUTED_VALUE"""),25.8)</f>
        <v>25.8</v>
      </c>
      <c r="I175" s="3">
        <f ca="1">IFERROR(__xludf.DUMMYFUNCTION("""COMPUTED_VALUE"""),130.5)</f>
        <v>130.5</v>
      </c>
      <c r="J175" s="3">
        <f ca="1">IFERROR(__xludf.DUMMYFUNCTION("""COMPUTED_VALUE"""),242.19)</f>
        <v>242.19</v>
      </c>
      <c r="K175" s="3">
        <f ca="1">IFERROR(__xludf.DUMMYFUNCTION("""COMPUTED_VALUE"""),128.4)</f>
        <v>128.4</v>
      </c>
      <c r="L175" s="3">
        <f ca="1">IFERROR(__xludf.DUMMYFUNCTION("""COMPUTED_VALUE"""),88.01)</f>
        <v>88.01</v>
      </c>
      <c r="M175" s="3">
        <f ca="1">IFERROR(__xludf.DUMMYFUNCTION("""COMPUTED_VALUE"""),63.06)</f>
        <v>63.06</v>
      </c>
      <c r="N175" s="3">
        <f ca="1">IFERROR(__xludf.DUMMYFUNCTION("""COMPUTED_VALUE"""),62.44)</f>
        <v>62.44</v>
      </c>
      <c r="O175" s="3">
        <f ca="1">IFERROR(__xludf.DUMMYFUNCTION("""COMPUTED_VALUE"""),58.04)</f>
        <v>58.04</v>
      </c>
      <c r="P175" s="3">
        <f ca="1">IFERROR(__xludf.DUMMYFUNCTION("""COMPUTED_VALUE"""),80.6)</f>
        <v>80.599999999999994</v>
      </c>
      <c r="Q175" s="3">
        <f ca="1">IFERROR(__xludf.DUMMYFUNCTION("""COMPUTED_VALUE"""),113.86)</f>
        <v>113.86</v>
      </c>
      <c r="R175" s="3">
        <f ca="1">IFERROR(__xludf.DUMMYFUNCTION("""COMPUTED_VALUE"""),78.07)</f>
        <v>78.069999999999993</v>
      </c>
      <c r="S175" s="3">
        <f ca="1">IFERROR(__xludf.DUMMYFUNCTION("""COMPUTED_VALUE"""),50.58)</f>
        <v>50.58</v>
      </c>
      <c r="T175" s="3">
        <f ca="1">IFERROR(__xludf.DUMMYFUNCTION("""COMPUTED_VALUE"""),25.39)</f>
        <v>25.39</v>
      </c>
      <c r="U175" s="3">
        <f ca="1">IFERROR(__xludf.DUMMYFUNCTION("""COMPUTED_VALUE"""),71.1)</f>
        <v>71.099999999999994</v>
      </c>
      <c r="V175" s="3">
        <f ca="1">IFERROR(__xludf.DUMMYFUNCTION("""COMPUTED_VALUE"""),87.79)</f>
        <v>87.79</v>
      </c>
      <c r="W175" s="3">
        <f ca="1">IFERROR(__xludf.DUMMYFUNCTION("""COMPUTED_VALUE"""),34.36)</f>
        <v>34.36</v>
      </c>
      <c r="X175" s="3">
        <f ca="1">IFERROR(__xludf.DUMMYFUNCTION("""COMPUTED_VALUE"""),84.4)</f>
        <v>84.4</v>
      </c>
      <c r="Y175" s="3">
        <f ca="1">IFERROR(__xludf.DUMMYFUNCTION("""COMPUTED_VALUE"""),48.91)</f>
        <v>48.91</v>
      </c>
      <c r="Z175" s="3">
        <f ca="1">IFERROR(__xludf.DUMMYFUNCTION("""COMPUTED_VALUE"""),76.65)</f>
        <v>76.650000000000006</v>
      </c>
      <c r="AA175" s="3">
        <f ca="1">IFERROR(__xludf.DUMMYFUNCTION("""COMPUTED_VALUE"""),43.04)</f>
        <v>43.04</v>
      </c>
      <c r="AB175" s="3">
        <f ca="1">IFERROR(__xludf.DUMMYFUNCTION("""COMPUTED_VALUE"""),64.05)</f>
        <v>64.05</v>
      </c>
      <c r="AC175" s="3">
        <f ca="1">IFERROR(__xludf.DUMMYFUNCTION("""COMPUTED_VALUE"""),54.55)</f>
        <v>54.55</v>
      </c>
      <c r="AD175" s="3">
        <f ca="1">IFERROR(__xludf.DUMMYFUNCTION("""COMPUTED_VALUE"""),8.21)</f>
        <v>8.2100000000000009</v>
      </c>
      <c r="AE175" s="3">
        <f ca="1">IFERROR(__xludf.DUMMYFUNCTION("""COMPUTED_VALUE"""),13.17)</f>
        <v>13.17</v>
      </c>
      <c r="AF175" s="3">
        <f ca="1">IFERROR(__xludf.DUMMYFUNCTION("""COMPUTED_VALUE"""),2.91)</f>
        <v>2.91</v>
      </c>
      <c r="AG175" s="3">
        <f ca="1">IFERROR(__xludf.DUMMYFUNCTION("""COMPUTED_VALUE"""),29.56)</f>
        <v>29.56</v>
      </c>
    </row>
    <row r="176" spans="1:33" ht="12.75" x14ac:dyDescent="0.2">
      <c r="A176" s="4">
        <f ca="1">IFERROR(__xludf.DUMMYFUNCTION("""COMPUTED_VALUE"""),44816.6666666666)</f>
        <v>44816.666666666599</v>
      </c>
      <c r="B176" s="3">
        <f ca="1">IFERROR(__xludf.DUMMYFUNCTION("""COMPUTED_VALUE"""),139.4)</f>
        <v>139.4</v>
      </c>
      <c r="C176" s="3">
        <f ca="1">IFERROR(__xludf.DUMMYFUNCTION("""COMPUTED_VALUE"""),360.28)</f>
        <v>360.28</v>
      </c>
      <c r="D176" s="3">
        <f ca="1">IFERROR(__xludf.DUMMYFUNCTION("""COMPUTED_VALUE"""),86.34)</f>
        <v>86.34</v>
      </c>
      <c r="E176" s="3">
        <f ca="1">IFERROR(__xludf.DUMMYFUNCTION("""COMPUTED_VALUE"""),125.81)</f>
        <v>125.81</v>
      </c>
      <c r="F176" s="3">
        <f ca="1">IFERROR(__xludf.DUMMYFUNCTION("""COMPUTED_VALUE"""),49.2)</f>
        <v>49.2</v>
      </c>
      <c r="G176" s="3">
        <f ca="1">IFERROR(__xludf.DUMMYFUNCTION("""COMPUTED_VALUE"""),21.25)</f>
        <v>21.25</v>
      </c>
      <c r="H176" s="3">
        <f ca="1">IFERROR(__xludf.DUMMYFUNCTION("""COMPUTED_VALUE"""),25.95)</f>
        <v>25.95</v>
      </c>
      <c r="I176" s="3">
        <f ca="1">IFERROR(__xludf.DUMMYFUNCTION("""COMPUTED_VALUE"""),131.37)</f>
        <v>131.37</v>
      </c>
      <c r="J176" s="3">
        <f ca="1">IFERROR(__xludf.DUMMYFUNCTION("""COMPUTED_VALUE"""),243.71)</f>
        <v>243.71</v>
      </c>
      <c r="K176" s="3">
        <f ca="1">IFERROR(__xludf.DUMMYFUNCTION("""COMPUTED_VALUE"""),128.63)</f>
        <v>128.63</v>
      </c>
      <c r="L176" s="3">
        <f ca="1">IFERROR(__xludf.DUMMYFUNCTION("""COMPUTED_VALUE"""),88.68)</f>
        <v>88.68</v>
      </c>
      <c r="M176" s="3">
        <f ca="1">IFERROR(__xludf.DUMMYFUNCTION("""COMPUTED_VALUE"""),63.2)</f>
        <v>63.2</v>
      </c>
      <c r="N176" s="3">
        <f ca="1">IFERROR(__xludf.DUMMYFUNCTION("""COMPUTED_VALUE"""),62.86)</f>
        <v>62.86</v>
      </c>
      <c r="O176" s="3">
        <f ca="1">IFERROR(__xludf.DUMMYFUNCTION("""COMPUTED_VALUE"""),58.4)</f>
        <v>58.4</v>
      </c>
      <c r="P176" s="3">
        <f ca="1">IFERROR(__xludf.DUMMYFUNCTION("""COMPUTED_VALUE"""),82.08)</f>
        <v>82.08</v>
      </c>
      <c r="Q176" s="3">
        <f ca="1">IFERROR(__xludf.DUMMYFUNCTION("""COMPUTED_VALUE"""),115.83)</f>
        <v>115.83</v>
      </c>
      <c r="R176" s="3">
        <f ca="1">IFERROR(__xludf.DUMMYFUNCTION("""COMPUTED_VALUE"""),78.8)</f>
        <v>78.8</v>
      </c>
      <c r="S176" s="3">
        <f ca="1">IFERROR(__xludf.DUMMYFUNCTION("""COMPUTED_VALUE"""),50.55)</f>
        <v>50.55</v>
      </c>
      <c r="T176" s="3">
        <f ca="1">IFERROR(__xludf.DUMMYFUNCTION("""COMPUTED_VALUE"""),25.74)</f>
        <v>25.74</v>
      </c>
      <c r="U176" s="3">
        <f ca="1">IFERROR(__xludf.DUMMYFUNCTION("""COMPUTED_VALUE"""),72.37)</f>
        <v>72.37</v>
      </c>
      <c r="V176" s="3">
        <f ca="1">IFERROR(__xludf.DUMMYFUNCTION("""COMPUTED_VALUE"""),88.2)</f>
        <v>88.2</v>
      </c>
      <c r="W176" s="3">
        <f ca="1">IFERROR(__xludf.DUMMYFUNCTION("""COMPUTED_VALUE"""),34.64)</f>
        <v>34.64</v>
      </c>
      <c r="X176" s="3">
        <f ca="1">IFERROR(__xludf.DUMMYFUNCTION("""COMPUTED_VALUE"""),85.16)</f>
        <v>85.16</v>
      </c>
      <c r="Y176" s="3">
        <f ca="1">IFERROR(__xludf.DUMMYFUNCTION("""COMPUTED_VALUE"""),49.45)</f>
        <v>49.45</v>
      </c>
      <c r="Z176" s="3">
        <f ca="1">IFERROR(__xludf.DUMMYFUNCTION("""COMPUTED_VALUE"""),77.27)</f>
        <v>77.27</v>
      </c>
      <c r="AA176" s="3">
        <f ca="1">IFERROR(__xludf.DUMMYFUNCTION("""COMPUTED_VALUE"""),43.4)</f>
        <v>43.4</v>
      </c>
      <c r="AB176" s="3">
        <f ca="1">IFERROR(__xludf.DUMMYFUNCTION("""COMPUTED_VALUE"""),64.69)</f>
        <v>64.69</v>
      </c>
      <c r="AC176" s="3">
        <f ca="1">IFERROR(__xludf.DUMMYFUNCTION("""COMPUTED_VALUE"""),55.03)</f>
        <v>55.03</v>
      </c>
      <c r="AD176" s="3">
        <f ca="1">IFERROR(__xludf.DUMMYFUNCTION("""COMPUTED_VALUE"""),8.64)</f>
        <v>8.64</v>
      </c>
      <c r="AE176" s="3">
        <f ca="1">IFERROR(__xludf.DUMMYFUNCTION("""COMPUTED_VALUE"""),13.85)</f>
        <v>13.85</v>
      </c>
      <c r="AF176" s="3">
        <f ca="1">IFERROR(__xludf.DUMMYFUNCTION("""COMPUTED_VALUE"""),3.13)</f>
        <v>3.13</v>
      </c>
      <c r="AG176" s="3">
        <f ca="1">IFERROR(__xludf.DUMMYFUNCTION("""COMPUTED_VALUE"""),30.48)</f>
        <v>30.48</v>
      </c>
    </row>
    <row r="177" spans="1:33" ht="12.75" x14ac:dyDescent="0.2">
      <c r="A177" s="4">
        <f ca="1">IFERROR(__xludf.DUMMYFUNCTION("""COMPUTED_VALUE"""),44817.6666666666)</f>
        <v>44817.666666666599</v>
      </c>
      <c r="B177" s="3">
        <f ca="1">IFERROR(__xludf.DUMMYFUNCTION("""COMPUTED_VALUE"""),132)</f>
        <v>132</v>
      </c>
      <c r="C177" s="3">
        <f ca="1">IFERROR(__xludf.DUMMYFUNCTION("""COMPUTED_VALUE"""),341.41)</f>
        <v>341.41</v>
      </c>
      <c r="D177" s="3">
        <f ca="1">IFERROR(__xludf.DUMMYFUNCTION("""COMPUTED_VALUE"""),81.43)</f>
        <v>81.430000000000007</v>
      </c>
      <c r="E177" s="3">
        <f ca="1">IFERROR(__xludf.DUMMYFUNCTION("""COMPUTED_VALUE"""),117.99)</f>
        <v>117.99</v>
      </c>
      <c r="F177" s="3">
        <f ca="1">IFERROR(__xludf.DUMMYFUNCTION("""COMPUTED_VALUE"""),47.22)</f>
        <v>47.22</v>
      </c>
      <c r="G177" s="3">
        <f ca="1">IFERROR(__xludf.DUMMYFUNCTION("""COMPUTED_VALUE"""),20.07)</f>
        <v>20.07</v>
      </c>
      <c r="H177" s="3">
        <f ca="1">IFERROR(__xludf.DUMMYFUNCTION("""COMPUTED_VALUE"""),24.86)</f>
        <v>24.86</v>
      </c>
      <c r="I177" s="3">
        <f ca="1">IFERROR(__xludf.DUMMYFUNCTION("""COMPUTED_VALUE"""),127.03)</f>
        <v>127.03</v>
      </c>
      <c r="J177" s="3">
        <f ca="1">IFERROR(__xludf.DUMMYFUNCTION("""COMPUTED_VALUE"""),235.62)</f>
        <v>235.62</v>
      </c>
      <c r="K177" s="3">
        <f ca="1">IFERROR(__xludf.DUMMYFUNCTION("""COMPUTED_VALUE"""),122.84)</f>
        <v>122.84</v>
      </c>
      <c r="L177" s="3">
        <f ca="1">IFERROR(__xludf.DUMMYFUNCTION("""COMPUTED_VALUE"""),84.14)</f>
        <v>84.14</v>
      </c>
      <c r="M177" s="3">
        <f ca="1">IFERROR(__xludf.DUMMYFUNCTION("""COMPUTED_VALUE"""),60.52)</f>
        <v>60.52</v>
      </c>
      <c r="N177" s="3">
        <f ca="1">IFERROR(__xludf.DUMMYFUNCTION("""COMPUTED_VALUE"""),60.73)</f>
        <v>60.73</v>
      </c>
      <c r="O177" s="3">
        <f ca="1">IFERROR(__xludf.DUMMYFUNCTION("""COMPUTED_VALUE"""),54.92)</f>
        <v>54.92</v>
      </c>
      <c r="P177" s="3">
        <f ca="1">IFERROR(__xludf.DUMMYFUNCTION("""COMPUTED_VALUE"""),80.01)</f>
        <v>80.010000000000005</v>
      </c>
      <c r="Q177" s="3">
        <f ca="1">IFERROR(__xludf.DUMMYFUNCTION("""COMPUTED_VALUE"""),112.91)</f>
        <v>112.91</v>
      </c>
      <c r="R177" s="3">
        <f ca="1">IFERROR(__xludf.DUMMYFUNCTION("""COMPUTED_VALUE"""),75.99)</f>
        <v>75.989999999999995</v>
      </c>
      <c r="S177" s="3">
        <f ca="1">IFERROR(__xludf.DUMMYFUNCTION("""COMPUTED_VALUE"""),48.71)</f>
        <v>48.71</v>
      </c>
      <c r="T177" s="3">
        <f ca="1">IFERROR(__xludf.DUMMYFUNCTION("""COMPUTED_VALUE"""),25.61)</f>
        <v>25.61</v>
      </c>
      <c r="U177" s="3">
        <f ca="1">IFERROR(__xludf.DUMMYFUNCTION("""COMPUTED_VALUE"""),72.01)</f>
        <v>72.010000000000005</v>
      </c>
      <c r="V177" s="3">
        <f ca="1">IFERROR(__xludf.DUMMYFUNCTION("""COMPUTED_VALUE"""),86.66)</f>
        <v>86.66</v>
      </c>
      <c r="W177" s="3">
        <f ca="1">IFERROR(__xludf.DUMMYFUNCTION("""COMPUTED_VALUE"""),33.35)</f>
        <v>33.35</v>
      </c>
      <c r="X177" s="3">
        <f ca="1">IFERROR(__xludf.DUMMYFUNCTION("""COMPUTED_VALUE"""),81.99)</f>
        <v>81.99</v>
      </c>
      <c r="Y177" s="3">
        <f ca="1">IFERROR(__xludf.DUMMYFUNCTION("""COMPUTED_VALUE"""),47.81)</f>
        <v>47.81</v>
      </c>
      <c r="Z177" s="3">
        <f ca="1">IFERROR(__xludf.DUMMYFUNCTION("""COMPUTED_VALUE"""),74.4)</f>
        <v>74.400000000000006</v>
      </c>
      <c r="AA177" s="3">
        <f ca="1">IFERROR(__xludf.DUMMYFUNCTION("""COMPUTED_VALUE"""),41.75)</f>
        <v>41.75</v>
      </c>
      <c r="AB177" s="3">
        <f ca="1">IFERROR(__xludf.DUMMYFUNCTION("""COMPUTED_VALUE"""),62.64)</f>
        <v>62.64</v>
      </c>
      <c r="AC177" s="3">
        <f ca="1">IFERROR(__xludf.DUMMYFUNCTION("""COMPUTED_VALUE"""),52.82)</f>
        <v>52.82</v>
      </c>
      <c r="AD177" s="3">
        <f ca="1">IFERROR(__xludf.DUMMYFUNCTION("""COMPUTED_VALUE"""),7.8)</f>
        <v>7.8</v>
      </c>
      <c r="AE177" s="3">
        <f ca="1">IFERROR(__xludf.DUMMYFUNCTION("""COMPUTED_VALUE"""),12.49)</f>
        <v>12.49</v>
      </c>
      <c r="AF177" s="3">
        <f ca="1">IFERROR(__xludf.DUMMYFUNCTION("""COMPUTED_VALUE"""),3.23)</f>
        <v>3.23</v>
      </c>
      <c r="AG177" s="3">
        <f ca="1">IFERROR(__xludf.DUMMYFUNCTION("""COMPUTED_VALUE"""),27.52)</f>
        <v>27.52</v>
      </c>
    </row>
    <row r="178" spans="1:33" ht="12.75" x14ac:dyDescent="0.2">
      <c r="A178" s="4">
        <f ca="1">IFERROR(__xludf.DUMMYFUNCTION("""COMPUTED_VALUE"""),44818.6666666666)</f>
        <v>44818.666666666599</v>
      </c>
      <c r="B178" s="3">
        <f ca="1">IFERROR(__xludf.DUMMYFUNCTION("""COMPUTED_VALUE"""),132.48)</f>
        <v>132.47999999999999</v>
      </c>
      <c r="C178" s="3">
        <f ca="1">IFERROR(__xludf.DUMMYFUNCTION("""COMPUTED_VALUE"""),342.89)</f>
        <v>342.89</v>
      </c>
      <c r="D178" s="3">
        <f ca="1">IFERROR(__xludf.DUMMYFUNCTION("""COMPUTED_VALUE"""),81.82)</f>
        <v>81.819999999999993</v>
      </c>
      <c r="E178" s="3">
        <f ca="1">IFERROR(__xludf.DUMMYFUNCTION("""COMPUTED_VALUE"""),119.33)</f>
        <v>119.33</v>
      </c>
      <c r="F178" s="3">
        <f ca="1">IFERROR(__xludf.DUMMYFUNCTION("""COMPUTED_VALUE"""),47.1)</f>
        <v>47.1</v>
      </c>
      <c r="G178" s="3">
        <f ca="1">IFERROR(__xludf.DUMMYFUNCTION("""COMPUTED_VALUE"""),20.05)</f>
        <v>20.05</v>
      </c>
      <c r="H178" s="3">
        <f ca="1">IFERROR(__xludf.DUMMYFUNCTION("""COMPUTED_VALUE"""),24.85)</f>
        <v>24.85</v>
      </c>
      <c r="I178" s="3">
        <f ca="1">IFERROR(__xludf.DUMMYFUNCTION("""COMPUTED_VALUE"""),127.1)</f>
        <v>127.1</v>
      </c>
      <c r="J178" s="3">
        <f ca="1">IFERROR(__xludf.DUMMYFUNCTION("""COMPUTED_VALUE"""),235.86)</f>
        <v>235.86</v>
      </c>
      <c r="K178" s="3">
        <f ca="1">IFERROR(__xludf.DUMMYFUNCTION("""COMPUTED_VALUE"""),123.92)</f>
        <v>123.92</v>
      </c>
      <c r="L178" s="3">
        <f ca="1">IFERROR(__xludf.DUMMYFUNCTION("""COMPUTED_VALUE"""),85.09)</f>
        <v>85.09</v>
      </c>
      <c r="M178" s="3">
        <f ca="1">IFERROR(__xludf.DUMMYFUNCTION("""COMPUTED_VALUE"""),61.06)</f>
        <v>61.06</v>
      </c>
      <c r="N178" s="3">
        <f ca="1">IFERROR(__xludf.DUMMYFUNCTION("""COMPUTED_VALUE"""),60.79)</f>
        <v>60.79</v>
      </c>
      <c r="O178" s="3">
        <f ca="1">IFERROR(__xludf.DUMMYFUNCTION("""COMPUTED_VALUE"""),55.64)</f>
        <v>55.64</v>
      </c>
      <c r="P178" s="3">
        <f ca="1">IFERROR(__xludf.DUMMYFUNCTION("""COMPUTED_VALUE"""),82.27)</f>
        <v>82.27</v>
      </c>
      <c r="Q178" s="3">
        <f ca="1">IFERROR(__xludf.DUMMYFUNCTION("""COMPUTED_VALUE"""),116.42)</f>
        <v>116.42</v>
      </c>
      <c r="R178" s="3">
        <f ca="1">IFERROR(__xludf.DUMMYFUNCTION("""COMPUTED_VALUE"""),75.06)</f>
        <v>75.06</v>
      </c>
      <c r="S178" s="3">
        <f ca="1">IFERROR(__xludf.DUMMYFUNCTION("""COMPUTED_VALUE"""),47.22)</f>
        <v>47.22</v>
      </c>
      <c r="T178" s="3">
        <f ca="1">IFERROR(__xludf.DUMMYFUNCTION("""COMPUTED_VALUE"""),25.72)</f>
        <v>25.72</v>
      </c>
      <c r="U178" s="3">
        <f ca="1">IFERROR(__xludf.DUMMYFUNCTION("""COMPUTED_VALUE"""),72.73)</f>
        <v>72.73</v>
      </c>
      <c r="V178" s="3">
        <f ca="1">IFERROR(__xludf.DUMMYFUNCTION("""COMPUTED_VALUE"""),88.35)</f>
        <v>88.35</v>
      </c>
      <c r="W178" s="3">
        <f ca="1">IFERROR(__xludf.DUMMYFUNCTION("""COMPUTED_VALUE"""),33.25)</f>
        <v>33.25</v>
      </c>
      <c r="X178" s="3">
        <f ca="1">IFERROR(__xludf.DUMMYFUNCTION("""COMPUTED_VALUE"""),81.93)</f>
        <v>81.93</v>
      </c>
      <c r="Y178" s="3">
        <f ca="1">IFERROR(__xludf.DUMMYFUNCTION("""COMPUTED_VALUE"""),47.88)</f>
        <v>47.88</v>
      </c>
      <c r="Z178" s="3">
        <f ca="1">IFERROR(__xludf.DUMMYFUNCTION("""COMPUTED_VALUE"""),74.28)</f>
        <v>74.28</v>
      </c>
      <c r="AA178" s="3">
        <f ca="1">IFERROR(__xludf.DUMMYFUNCTION("""COMPUTED_VALUE"""),41.24)</f>
        <v>41.24</v>
      </c>
      <c r="AB178" s="3">
        <f ca="1">IFERROR(__xludf.DUMMYFUNCTION("""COMPUTED_VALUE"""),62.8)</f>
        <v>62.8</v>
      </c>
      <c r="AC178" s="3">
        <f ca="1">IFERROR(__xludf.DUMMYFUNCTION("""COMPUTED_VALUE"""),52.69)</f>
        <v>52.69</v>
      </c>
      <c r="AD178" s="3">
        <f ca="1">IFERROR(__xludf.DUMMYFUNCTION("""COMPUTED_VALUE"""),7.66)</f>
        <v>7.66</v>
      </c>
      <c r="AE178" s="3">
        <f ca="1">IFERROR(__xludf.DUMMYFUNCTION("""COMPUTED_VALUE"""),12.28)</f>
        <v>12.28</v>
      </c>
      <c r="AF178" s="3">
        <f ca="1">IFERROR(__xludf.DUMMYFUNCTION("""COMPUTED_VALUE"""),3.27)</f>
        <v>3.27</v>
      </c>
      <c r="AG178" s="3">
        <f ca="1">IFERROR(__xludf.DUMMYFUNCTION("""COMPUTED_VALUE"""),27.6)</f>
        <v>27.6</v>
      </c>
    </row>
    <row r="179" spans="1:33" ht="12.75" x14ac:dyDescent="0.2">
      <c r="A179" s="4">
        <f ca="1">IFERROR(__xludf.DUMMYFUNCTION("""COMPUTED_VALUE"""),44819.6666666666)</f>
        <v>44819.666666666599</v>
      </c>
      <c r="B179" s="3">
        <f ca="1">IFERROR(__xludf.DUMMYFUNCTION("""COMPUTED_VALUE"""),129.43)</f>
        <v>129.43</v>
      </c>
      <c r="C179" s="3">
        <f ca="1">IFERROR(__xludf.DUMMYFUNCTION("""COMPUTED_VALUE"""),335.26)</f>
        <v>335.26</v>
      </c>
      <c r="D179" s="3">
        <f ca="1">IFERROR(__xludf.DUMMYFUNCTION("""COMPUTED_VALUE"""),79.94)</f>
        <v>79.94</v>
      </c>
      <c r="E179" s="3">
        <f ca="1">IFERROR(__xludf.DUMMYFUNCTION("""COMPUTED_VALUE"""),117.35)</f>
        <v>117.35</v>
      </c>
      <c r="F179" s="3">
        <f ca="1">IFERROR(__xludf.DUMMYFUNCTION("""COMPUTED_VALUE"""),46.55)</f>
        <v>46.55</v>
      </c>
      <c r="G179" s="3">
        <f ca="1">IFERROR(__xludf.DUMMYFUNCTION("""COMPUTED_VALUE"""),19.79)</f>
        <v>19.79</v>
      </c>
      <c r="H179" s="3">
        <f ca="1">IFERROR(__xludf.DUMMYFUNCTION("""COMPUTED_VALUE"""),24.7)</f>
        <v>24.7</v>
      </c>
      <c r="I179" s="3">
        <f ca="1">IFERROR(__xludf.DUMMYFUNCTION("""COMPUTED_VALUE"""),127.81)</f>
        <v>127.81</v>
      </c>
      <c r="J179" s="3">
        <f ca="1">IFERROR(__xludf.DUMMYFUNCTION("""COMPUTED_VALUE"""),236.93)</f>
        <v>236.93</v>
      </c>
      <c r="K179" s="3">
        <f ca="1">IFERROR(__xludf.DUMMYFUNCTION("""COMPUTED_VALUE"""),124.05)</f>
        <v>124.05</v>
      </c>
      <c r="L179" s="3">
        <f ca="1">IFERROR(__xludf.DUMMYFUNCTION("""COMPUTED_VALUE"""),86.2)</f>
        <v>86.2</v>
      </c>
      <c r="M179" s="3">
        <f ca="1">IFERROR(__xludf.DUMMYFUNCTION("""COMPUTED_VALUE"""),61.36)</f>
        <v>61.36</v>
      </c>
      <c r="N179" s="3">
        <f ca="1">IFERROR(__xludf.DUMMYFUNCTION("""COMPUTED_VALUE"""),61.12)</f>
        <v>61.12</v>
      </c>
      <c r="O179" s="3">
        <f ca="1">IFERROR(__xludf.DUMMYFUNCTION("""COMPUTED_VALUE"""),56.74)</f>
        <v>56.74</v>
      </c>
      <c r="P179" s="3">
        <f ca="1">IFERROR(__xludf.DUMMYFUNCTION("""COMPUTED_VALUE"""),80.15)</f>
        <v>80.150000000000006</v>
      </c>
      <c r="Q179" s="3">
        <f ca="1">IFERROR(__xludf.DUMMYFUNCTION("""COMPUTED_VALUE"""),113.43)</f>
        <v>113.43</v>
      </c>
      <c r="R179" s="3">
        <f ca="1">IFERROR(__xludf.DUMMYFUNCTION("""COMPUTED_VALUE"""),74.07)</f>
        <v>74.069999999999993</v>
      </c>
      <c r="S179" s="3">
        <f ca="1">IFERROR(__xludf.DUMMYFUNCTION("""COMPUTED_VALUE"""),45.92)</f>
        <v>45.92</v>
      </c>
      <c r="T179" s="3">
        <f ca="1">IFERROR(__xludf.DUMMYFUNCTION("""COMPUTED_VALUE"""),24.97)</f>
        <v>24.97</v>
      </c>
      <c r="U179" s="3">
        <f ca="1">IFERROR(__xludf.DUMMYFUNCTION("""COMPUTED_VALUE"""),69.76)</f>
        <v>69.760000000000005</v>
      </c>
      <c r="V179" s="3">
        <f ca="1">IFERROR(__xludf.DUMMYFUNCTION("""COMPUTED_VALUE"""),85.01)</f>
        <v>85.01</v>
      </c>
      <c r="W179" s="3">
        <f ca="1">IFERROR(__xludf.DUMMYFUNCTION("""COMPUTED_VALUE"""),33.36)</f>
        <v>33.36</v>
      </c>
      <c r="X179" s="3">
        <f ca="1">IFERROR(__xludf.DUMMYFUNCTION("""COMPUTED_VALUE"""),82.18)</f>
        <v>82.18</v>
      </c>
      <c r="Y179" s="3">
        <f ca="1">IFERROR(__xludf.DUMMYFUNCTION("""COMPUTED_VALUE"""),48.39)</f>
        <v>48.39</v>
      </c>
      <c r="Z179" s="3">
        <f ca="1">IFERROR(__xludf.DUMMYFUNCTION("""COMPUTED_VALUE"""),74.47)</f>
        <v>74.47</v>
      </c>
      <c r="AA179" s="3">
        <f ca="1">IFERROR(__xludf.DUMMYFUNCTION("""COMPUTED_VALUE"""),40.34)</f>
        <v>40.340000000000003</v>
      </c>
      <c r="AB179" s="3">
        <f ca="1">IFERROR(__xludf.DUMMYFUNCTION("""COMPUTED_VALUE"""),63.53)</f>
        <v>63.53</v>
      </c>
      <c r="AC179" s="3">
        <f ca="1">IFERROR(__xludf.DUMMYFUNCTION("""COMPUTED_VALUE"""),52.75)</f>
        <v>52.75</v>
      </c>
      <c r="AD179" s="3">
        <f ca="1">IFERROR(__xludf.DUMMYFUNCTION("""COMPUTED_VALUE"""),7.59)</f>
        <v>7.59</v>
      </c>
      <c r="AE179" s="3">
        <f ca="1">IFERROR(__xludf.DUMMYFUNCTION("""COMPUTED_VALUE"""),12.16)</f>
        <v>12.16</v>
      </c>
      <c r="AF179" s="3">
        <f ca="1">IFERROR(__xludf.DUMMYFUNCTION("""COMPUTED_VALUE"""),3.04)</f>
        <v>3.04</v>
      </c>
      <c r="AG179" s="3">
        <f ca="1">IFERROR(__xludf.DUMMYFUNCTION("""COMPUTED_VALUE"""),27.2)</f>
        <v>27.2</v>
      </c>
    </row>
    <row r="180" spans="1:33" ht="12.75" x14ac:dyDescent="0.2">
      <c r="A180" s="4">
        <f ca="1">IFERROR(__xludf.DUMMYFUNCTION("""COMPUTED_VALUE"""),44820.6666666666)</f>
        <v>44820.666666666599</v>
      </c>
      <c r="B180" s="3">
        <f ca="1">IFERROR(__xludf.DUMMYFUNCTION("""COMPUTED_VALUE"""),128.71)</f>
        <v>128.71</v>
      </c>
      <c r="C180" s="3">
        <f ca="1">IFERROR(__xludf.DUMMYFUNCTION("""COMPUTED_VALUE"""),332.75)</f>
        <v>332.75</v>
      </c>
      <c r="D180" s="3">
        <f ca="1">IFERROR(__xludf.DUMMYFUNCTION("""COMPUTED_VALUE"""),79.27)</f>
        <v>79.27</v>
      </c>
      <c r="E180" s="3">
        <f ca="1">IFERROR(__xludf.DUMMYFUNCTION("""COMPUTED_VALUE"""),118.06)</f>
        <v>118.06</v>
      </c>
      <c r="F180" s="3">
        <f ca="1">IFERROR(__xludf.DUMMYFUNCTION("""COMPUTED_VALUE"""),45.63)</f>
        <v>45.63</v>
      </c>
      <c r="G180" s="3">
        <f ca="1">IFERROR(__xludf.DUMMYFUNCTION("""COMPUTED_VALUE"""),19.43)</f>
        <v>19.43</v>
      </c>
      <c r="H180" s="3">
        <f ca="1">IFERROR(__xludf.DUMMYFUNCTION("""COMPUTED_VALUE"""),24.3)</f>
        <v>24.3</v>
      </c>
      <c r="I180" s="3">
        <f ca="1">IFERROR(__xludf.DUMMYFUNCTION("""COMPUTED_VALUE"""),127.45)</f>
        <v>127.45</v>
      </c>
      <c r="J180" s="3">
        <f ca="1">IFERROR(__xludf.DUMMYFUNCTION("""COMPUTED_VALUE"""),235.8)</f>
        <v>235.8</v>
      </c>
      <c r="K180" s="3">
        <f ca="1">IFERROR(__xludf.DUMMYFUNCTION("""COMPUTED_VALUE"""),122.96)</f>
        <v>122.96</v>
      </c>
      <c r="L180" s="3">
        <f ca="1">IFERROR(__xludf.DUMMYFUNCTION("""COMPUTED_VALUE"""),83.27)</f>
        <v>83.27</v>
      </c>
      <c r="M180" s="3">
        <f ca="1">IFERROR(__xludf.DUMMYFUNCTION("""COMPUTED_VALUE"""),60.81)</f>
        <v>60.81</v>
      </c>
      <c r="N180" s="3">
        <f ca="1">IFERROR(__xludf.DUMMYFUNCTION("""COMPUTED_VALUE"""),60.57)</f>
        <v>60.57</v>
      </c>
      <c r="O180" s="3">
        <f ca="1">IFERROR(__xludf.DUMMYFUNCTION("""COMPUTED_VALUE"""),54.56)</f>
        <v>54.56</v>
      </c>
      <c r="P180" s="3">
        <f ca="1">IFERROR(__xludf.DUMMYFUNCTION("""COMPUTED_VALUE"""),78.44)</f>
        <v>78.44</v>
      </c>
      <c r="Q180" s="3">
        <f ca="1">IFERROR(__xludf.DUMMYFUNCTION("""COMPUTED_VALUE"""),110.78)</f>
        <v>110.78</v>
      </c>
      <c r="R180" s="3">
        <f ca="1">IFERROR(__xludf.DUMMYFUNCTION("""COMPUTED_VALUE"""),72.9)</f>
        <v>72.900000000000006</v>
      </c>
      <c r="S180" s="3">
        <f ca="1">IFERROR(__xludf.DUMMYFUNCTION("""COMPUTED_VALUE"""),45.36)</f>
        <v>45.36</v>
      </c>
      <c r="T180" s="3">
        <f ca="1">IFERROR(__xludf.DUMMYFUNCTION("""COMPUTED_VALUE"""),24.88)</f>
        <v>24.88</v>
      </c>
      <c r="U180" s="3">
        <f ca="1">IFERROR(__xludf.DUMMYFUNCTION("""COMPUTED_VALUE"""),69.9)</f>
        <v>69.900000000000006</v>
      </c>
      <c r="V180" s="3">
        <f ca="1">IFERROR(__xludf.DUMMYFUNCTION("""COMPUTED_VALUE"""),84.98)</f>
        <v>84.98</v>
      </c>
      <c r="W180" s="3">
        <f ca="1">IFERROR(__xludf.DUMMYFUNCTION("""COMPUTED_VALUE"""),33.06)</f>
        <v>33.06</v>
      </c>
      <c r="X180" s="3">
        <f ca="1">IFERROR(__xludf.DUMMYFUNCTION("""COMPUTED_VALUE"""),81.39)</f>
        <v>81.39</v>
      </c>
      <c r="Y180" s="3">
        <f ca="1">IFERROR(__xludf.DUMMYFUNCTION("""COMPUTED_VALUE"""),47.92)</f>
        <v>47.92</v>
      </c>
      <c r="Z180" s="3">
        <f ca="1">IFERROR(__xludf.DUMMYFUNCTION("""COMPUTED_VALUE"""),73.71)</f>
        <v>73.709999999999994</v>
      </c>
      <c r="AA180" s="3">
        <f ca="1">IFERROR(__xludf.DUMMYFUNCTION("""COMPUTED_VALUE"""),40.35)</f>
        <v>40.35</v>
      </c>
      <c r="AB180" s="3">
        <f ca="1">IFERROR(__xludf.DUMMYFUNCTION("""COMPUTED_VALUE"""),62.95)</f>
        <v>62.95</v>
      </c>
      <c r="AC180" s="3">
        <f ca="1">IFERROR(__xludf.DUMMYFUNCTION("""COMPUTED_VALUE"""),52.21)</f>
        <v>52.21</v>
      </c>
      <c r="AD180" s="3">
        <f ca="1">IFERROR(__xludf.DUMMYFUNCTION("""COMPUTED_VALUE"""),7.53)</f>
        <v>7.53</v>
      </c>
      <c r="AE180" s="3">
        <f ca="1">IFERROR(__xludf.DUMMYFUNCTION("""COMPUTED_VALUE"""),12.06)</f>
        <v>12.06</v>
      </c>
      <c r="AF180" s="3">
        <f ca="1">IFERROR(__xludf.DUMMYFUNCTION("""COMPUTED_VALUE"""),3.04)</f>
        <v>3.04</v>
      </c>
      <c r="AG180" s="3">
        <f ca="1">IFERROR(__xludf.DUMMYFUNCTION("""COMPUTED_VALUE"""),25.76)</f>
        <v>25.76</v>
      </c>
    </row>
    <row r="181" spans="1:33" ht="12.75" x14ac:dyDescent="0.2">
      <c r="A181" s="4">
        <f ca="1">IFERROR(__xludf.DUMMYFUNCTION("""COMPUTED_VALUE"""),44823.6666666666)</f>
        <v>44823.666666666599</v>
      </c>
      <c r="B181" s="3">
        <f ca="1">IFERROR(__xludf.DUMMYFUNCTION("""COMPUTED_VALUE"""),129.44)</f>
        <v>129.44</v>
      </c>
      <c r="C181" s="3">
        <f ca="1">IFERROR(__xludf.DUMMYFUNCTION("""COMPUTED_VALUE"""),335.36)</f>
        <v>335.36</v>
      </c>
      <c r="D181" s="3">
        <f ca="1">IFERROR(__xludf.DUMMYFUNCTION("""COMPUTED_VALUE"""),79.96)</f>
        <v>79.959999999999994</v>
      </c>
      <c r="E181" s="3">
        <f ca="1">IFERROR(__xludf.DUMMYFUNCTION("""COMPUTED_VALUE"""),118.68)</f>
        <v>118.68</v>
      </c>
      <c r="F181" s="3">
        <f ca="1">IFERROR(__xludf.DUMMYFUNCTION("""COMPUTED_VALUE"""),46.17)</f>
        <v>46.17</v>
      </c>
      <c r="G181" s="3">
        <f ca="1">IFERROR(__xludf.DUMMYFUNCTION("""COMPUTED_VALUE"""),19.46)</f>
        <v>19.46</v>
      </c>
      <c r="H181" s="3">
        <f ca="1">IFERROR(__xludf.DUMMYFUNCTION("""COMPUTED_VALUE"""),24.4)</f>
        <v>24.4</v>
      </c>
      <c r="I181" s="3">
        <f ca="1">IFERROR(__xludf.DUMMYFUNCTION("""COMPUTED_VALUE"""),126.26)</f>
        <v>126.26</v>
      </c>
      <c r="J181" s="3">
        <f ca="1">IFERROR(__xludf.DUMMYFUNCTION("""COMPUTED_VALUE"""),234.39)</f>
        <v>234.39</v>
      </c>
      <c r="K181" s="3">
        <f ca="1">IFERROR(__xludf.DUMMYFUNCTION("""COMPUTED_VALUE"""),121.8)</f>
        <v>121.8</v>
      </c>
      <c r="L181" s="3">
        <f ca="1">IFERROR(__xludf.DUMMYFUNCTION("""COMPUTED_VALUE"""),82.23)</f>
        <v>82.23</v>
      </c>
      <c r="M181" s="3">
        <f ca="1">IFERROR(__xludf.DUMMYFUNCTION("""COMPUTED_VALUE"""),60.48)</f>
        <v>60.48</v>
      </c>
      <c r="N181" s="3">
        <f ca="1">IFERROR(__xludf.DUMMYFUNCTION("""COMPUTED_VALUE"""),60.25)</f>
        <v>60.25</v>
      </c>
      <c r="O181" s="3">
        <f ca="1">IFERROR(__xludf.DUMMYFUNCTION("""COMPUTED_VALUE"""),53.88)</f>
        <v>53.88</v>
      </c>
      <c r="P181" s="3">
        <f ca="1">IFERROR(__xludf.DUMMYFUNCTION("""COMPUTED_VALUE"""),77.64)</f>
        <v>77.64</v>
      </c>
      <c r="Q181" s="3">
        <f ca="1">IFERROR(__xludf.DUMMYFUNCTION("""COMPUTED_VALUE"""),111)</f>
        <v>111</v>
      </c>
      <c r="R181" s="3">
        <f ca="1">IFERROR(__xludf.DUMMYFUNCTION("""COMPUTED_VALUE"""),73.69)</f>
        <v>73.69</v>
      </c>
      <c r="S181" s="3">
        <f ca="1">IFERROR(__xludf.DUMMYFUNCTION("""COMPUTED_VALUE"""),46.89)</f>
        <v>46.89</v>
      </c>
      <c r="T181" s="3">
        <f ca="1">IFERROR(__xludf.DUMMYFUNCTION("""COMPUTED_VALUE"""),24.96)</f>
        <v>24.96</v>
      </c>
      <c r="U181" s="3">
        <f ca="1">IFERROR(__xludf.DUMMYFUNCTION("""COMPUTED_VALUE"""),70.05)</f>
        <v>70.05</v>
      </c>
      <c r="V181" s="3">
        <f ca="1">IFERROR(__xludf.DUMMYFUNCTION("""COMPUTED_VALUE"""),84.29)</f>
        <v>84.29</v>
      </c>
      <c r="W181" s="3">
        <f ca="1">IFERROR(__xludf.DUMMYFUNCTION("""COMPUTED_VALUE"""),33.26)</f>
        <v>33.26</v>
      </c>
      <c r="X181" s="3">
        <f ca="1">IFERROR(__xludf.DUMMYFUNCTION("""COMPUTED_VALUE"""),82.33)</f>
        <v>82.33</v>
      </c>
      <c r="Y181" s="3">
        <f ca="1">IFERROR(__xludf.DUMMYFUNCTION("""COMPUTED_VALUE"""),48.38)</f>
        <v>48.38</v>
      </c>
      <c r="Z181" s="3">
        <f ca="1">IFERROR(__xludf.DUMMYFUNCTION("""COMPUTED_VALUE"""),74.54)</f>
        <v>74.540000000000006</v>
      </c>
      <c r="AA181" s="3">
        <f ca="1">IFERROR(__xludf.DUMMYFUNCTION("""COMPUTED_VALUE"""),39.91)</f>
        <v>39.909999999999997</v>
      </c>
      <c r="AB181" s="3">
        <f ca="1">IFERROR(__xludf.DUMMYFUNCTION("""COMPUTED_VALUE"""),63.65)</f>
        <v>63.65</v>
      </c>
      <c r="AC181" s="3">
        <f ca="1">IFERROR(__xludf.DUMMYFUNCTION("""COMPUTED_VALUE"""),52.63)</f>
        <v>52.63</v>
      </c>
      <c r="AD181" s="3">
        <f ca="1">IFERROR(__xludf.DUMMYFUNCTION("""COMPUTED_VALUE"""),7.49)</f>
        <v>7.49</v>
      </c>
      <c r="AE181" s="3">
        <f ca="1">IFERROR(__xludf.DUMMYFUNCTION("""COMPUTED_VALUE"""),12)</f>
        <v>12</v>
      </c>
      <c r="AF181" s="3">
        <f ca="1">IFERROR(__xludf.DUMMYFUNCTION("""COMPUTED_VALUE"""),2.94)</f>
        <v>2.94</v>
      </c>
      <c r="AG181" s="3">
        <f ca="1">IFERROR(__xludf.DUMMYFUNCTION("""COMPUTED_VALUE"""),25.2)</f>
        <v>25.2</v>
      </c>
    </row>
    <row r="182" spans="1:33" ht="12.75" x14ac:dyDescent="0.2">
      <c r="A182" s="4">
        <f ca="1">IFERROR(__xludf.DUMMYFUNCTION("""COMPUTED_VALUE"""),44824.6666666666)</f>
        <v>44824.666666666599</v>
      </c>
      <c r="B182" s="3">
        <f ca="1">IFERROR(__xludf.DUMMYFUNCTION("""COMPUTED_VALUE"""),128.68)</f>
        <v>128.68</v>
      </c>
      <c r="C182" s="3">
        <f ca="1">IFERROR(__xludf.DUMMYFUNCTION("""COMPUTED_VALUE"""),333.28)</f>
        <v>333.28</v>
      </c>
      <c r="D182" s="3">
        <f ca="1">IFERROR(__xludf.DUMMYFUNCTION("""COMPUTED_VALUE"""),79.29)</f>
        <v>79.290000000000006</v>
      </c>
      <c r="E182" s="3">
        <f ca="1">IFERROR(__xludf.DUMMYFUNCTION("""COMPUTED_VALUE"""),117.1)</f>
        <v>117.1</v>
      </c>
      <c r="F182" s="3">
        <f ca="1">IFERROR(__xludf.DUMMYFUNCTION("""COMPUTED_VALUE"""),45.74)</f>
        <v>45.74</v>
      </c>
      <c r="G182" s="3">
        <f ca="1">IFERROR(__xludf.DUMMYFUNCTION("""COMPUTED_VALUE"""),19.25)</f>
        <v>19.25</v>
      </c>
      <c r="H182" s="3">
        <f ca="1">IFERROR(__xludf.DUMMYFUNCTION("""COMPUTED_VALUE"""),23.91)</f>
        <v>23.91</v>
      </c>
      <c r="I182" s="3">
        <f ca="1">IFERROR(__xludf.DUMMYFUNCTION("""COMPUTED_VALUE"""),124.78)</f>
        <v>124.78</v>
      </c>
      <c r="J182" s="3">
        <f ca="1">IFERROR(__xludf.DUMMYFUNCTION("""COMPUTED_VALUE"""),231.87)</f>
        <v>231.87</v>
      </c>
      <c r="K182" s="3">
        <f ca="1">IFERROR(__xludf.DUMMYFUNCTION("""COMPUTED_VALUE"""),120.55)</f>
        <v>120.55</v>
      </c>
      <c r="L182" s="3">
        <f ca="1">IFERROR(__xludf.DUMMYFUNCTION("""COMPUTED_VALUE"""),81.99)</f>
        <v>81.99</v>
      </c>
      <c r="M182" s="3">
        <f ca="1">IFERROR(__xludf.DUMMYFUNCTION("""COMPUTED_VALUE"""),59.79)</f>
        <v>59.79</v>
      </c>
      <c r="N182" s="3">
        <f ca="1">IFERROR(__xludf.DUMMYFUNCTION("""COMPUTED_VALUE"""),59.56)</f>
        <v>59.56</v>
      </c>
      <c r="O182" s="3">
        <f ca="1">IFERROR(__xludf.DUMMYFUNCTION("""COMPUTED_VALUE"""),53.52)</f>
        <v>53.52</v>
      </c>
      <c r="P182" s="3">
        <f ca="1">IFERROR(__xludf.DUMMYFUNCTION("""COMPUTED_VALUE"""),77.1)</f>
        <v>77.099999999999994</v>
      </c>
      <c r="Q182" s="3">
        <f ca="1">IFERROR(__xludf.DUMMYFUNCTION("""COMPUTED_VALUE"""),110.15)</f>
        <v>110.15</v>
      </c>
      <c r="R182" s="3">
        <f ca="1">IFERROR(__xludf.DUMMYFUNCTION("""COMPUTED_VALUE"""),72.29)</f>
        <v>72.290000000000006</v>
      </c>
      <c r="S182" s="3">
        <f ca="1">IFERROR(__xludf.DUMMYFUNCTION("""COMPUTED_VALUE"""),45.64)</f>
        <v>45.64</v>
      </c>
      <c r="T182" s="3">
        <f ca="1">IFERROR(__xludf.DUMMYFUNCTION("""COMPUTED_VALUE"""),24.93)</f>
        <v>24.93</v>
      </c>
      <c r="U182" s="3">
        <f ca="1">IFERROR(__xludf.DUMMYFUNCTION("""COMPUTED_VALUE"""),69.22)</f>
        <v>69.22</v>
      </c>
      <c r="V182" s="3">
        <f ca="1">IFERROR(__xludf.DUMMYFUNCTION("""COMPUTED_VALUE"""),81.66)</f>
        <v>81.66</v>
      </c>
      <c r="W182" s="3">
        <f ca="1">IFERROR(__xludf.DUMMYFUNCTION("""COMPUTED_VALUE"""),32.77)</f>
        <v>32.770000000000003</v>
      </c>
      <c r="X182" s="3">
        <f ca="1">IFERROR(__xludf.DUMMYFUNCTION("""COMPUTED_VALUE"""),81.17)</f>
        <v>81.17</v>
      </c>
      <c r="Y182" s="3">
        <f ca="1">IFERROR(__xludf.DUMMYFUNCTION("""COMPUTED_VALUE"""),48.03)</f>
        <v>48.03</v>
      </c>
      <c r="Z182" s="3">
        <f ca="1">IFERROR(__xludf.DUMMYFUNCTION("""COMPUTED_VALUE"""),73.39)</f>
        <v>73.39</v>
      </c>
      <c r="AA182" s="3">
        <f ca="1">IFERROR(__xludf.DUMMYFUNCTION("""COMPUTED_VALUE"""),38.86)</f>
        <v>38.86</v>
      </c>
      <c r="AB182" s="3">
        <f ca="1">IFERROR(__xludf.DUMMYFUNCTION("""COMPUTED_VALUE"""),63.44)</f>
        <v>63.44</v>
      </c>
      <c r="AC182" s="3">
        <f ca="1">IFERROR(__xludf.DUMMYFUNCTION("""COMPUTED_VALUE"""),51.88)</f>
        <v>51.88</v>
      </c>
      <c r="AD182" s="3">
        <f ca="1">IFERROR(__xludf.DUMMYFUNCTION("""COMPUTED_VALUE"""),7.29)</f>
        <v>7.29</v>
      </c>
      <c r="AE182" s="3">
        <f ca="1">IFERROR(__xludf.DUMMYFUNCTION("""COMPUTED_VALUE"""),11.65)</f>
        <v>11.65</v>
      </c>
      <c r="AF182" s="3">
        <f ca="1">IFERROR(__xludf.DUMMYFUNCTION("""COMPUTED_VALUE"""),2.73)</f>
        <v>2.73</v>
      </c>
      <c r="AG182" s="3">
        <f ca="1">IFERROR(__xludf.DUMMYFUNCTION("""COMPUTED_VALUE"""),24.24)</f>
        <v>24.24</v>
      </c>
    </row>
    <row r="183" spans="1:33" ht="12.75" x14ac:dyDescent="0.2">
      <c r="A183" s="4">
        <f ca="1">IFERROR(__xludf.DUMMYFUNCTION("""COMPUTED_VALUE"""),44825.6666666666)</f>
        <v>44825.666666666599</v>
      </c>
      <c r="B183" s="3">
        <f ca="1">IFERROR(__xludf.DUMMYFUNCTION("""COMPUTED_VALUE"""),126.67)</f>
        <v>126.67</v>
      </c>
      <c r="C183" s="3">
        <f ca="1">IFERROR(__xludf.DUMMYFUNCTION("""COMPUTED_VALUE"""),328.23)</f>
        <v>328.23</v>
      </c>
      <c r="D183" s="3">
        <f ca="1">IFERROR(__xludf.DUMMYFUNCTION("""COMPUTED_VALUE"""),78.1)</f>
        <v>78.099999999999994</v>
      </c>
      <c r="E183" s="3">
        <f ca="1">IFERROR(__xludf.DUMMYFUNCTION("""COMPUTED_VALUE"""),115.92)</f>
        <v>115.92</v>
      </c>
      <c r="F183" s="3">
        <f ca="1">IFERROR(__xludf.DUMMYFUNCTION("""COMPUTED_VALUE"""),45.34)</f>
        <v>45.34</v>
      </c>
      <c r="G183" s="3">
        <f ca="1">IFERROR(__xludf.DUMMYFUNCTION("""COMPUTED_VALUE"""),19.03)</f>
        <v>19.03</v>
      </c>
      <c r="H183" s="3">
        <f ca="1">IFERROR(__xludf.DUMMYFUNCTION("""COMPUTED_VALUE"""),23.5)</f>
        <v>23.5</v>
      </c>
      <c r="I183" s="3">
        <f ca="1">IFERROR(__xludf.DUMMYFUNCTION("""COMPUTED_VALUE"""),122.71)</f>
        <v>122.71</v>
      </c>
      <c r="J183" s="3">
        <f ca="1">IFERROR(__xludf.DUMMYFUNCTION("""COMPUTED_VALUE"""),227.72)</f>
        <v>227.72</v>
      </c>
      <c r="K183" s="3">
        <f ca="1">IFERROR(__xludf.DUMMYFUNCTION("""COMPUTED_VALUE"""),117.91)</f>
        <v>117.91</v>
      </c>
      <c r="L183" s="3">
        <f ca="1">IFERROR(__xludf.DUMMYFUNCTION("""COMPUTED_VALUE"""),79.13)</f>
        <v>79.13</v>
      </c>
      <c r="M183" s="3">
        <f ca="1">IFERROR(__xludf.DUMMYFUNCTION("""COMPUTED_VALUE"""),58.26)</f>
        <v>58.26</v>
      </c>
      <c r="N183" s="3">
        <f ca="1">IFERROR(__xludf.DUMMYFUNCTION("""COMPUTED_VALUE"""),58.51)</f>
        <v>58.51</v>
      </c>
      <c r="O183" s="3">
        <f ca="1">IFERROR(__xludf.DUMMYFUNCTION("""COMPUTED_VALUE"""),51.64)</f>
        <v>51.64</v>
      </c>
      <c r="P183" s="3">
        <f ca="1">IFERROR(__xludf.DUMMYFUNCTION("""COMPUTED_VALUE"""),75.97)</f>
        <v>75.97</v>
      </c>
      <c r="Q183" s="3">
        <f ca="1">IFERROR(__xludf.DUMMYFUNCTION("""COMPUTED_VALUE"""),108.45)</f>
        <v>108.45</v>
      </c>
      <c r="R183" s="3">
        <f ca="1">IFERROR(__xludf.DUMMYFUNCTION("""COMPUTED_VALUE"""),70.71)</f>
        <v>70.709999999999994</v>
      </c>
      <c r="S183" s="3">
        <f ca="1">IFERROR(__xludf.DUMMYFUNCTION("""COMPUTED_VALUE"""),44.68)</f>
        <v>44.68</v>
      </c>
      <c r="T183" s="3">
        <f ca="1">IFERROR(__xludf.DUMMYFUNCTION("""COMPUTED_VALUE"""),24.78)</f>
        <v>24.78</v>
      </c>
      <c r="U183" s="3">
        <f ca="1">IFERROR(__xludf.DUMMYFUNCTION("""COMPUTED_VALUE"""),68.68)</f>
        <v>68.680000000000007</v>
      </c>
      <c r="V183" s="3">
        <f ca="1">IFERROR(__xludf.DUMMYFUNCTION("""COMPUTED_VALUE"""),81.23)</f>
        <v>81.23</v>
      </c>
      <c r="W183" s="3">
        <f ca="1">IFERROR(__xludf.DUMMYFUNCTION("""COMPUTED_VALUE"""),32.09)</f>
        <v>32.090000000000003</v>
      </c>
      <c r="X183" s="3">
        <f ca="1">IFERROR(__xludf.DUMMYFUNCTION("""COMPUTED_VALUE"""),79.59)</f>
        <v>79.59</v>
      </c>
      <c r="Y183" s="3">
        <f ca="1">IFERROR(__xludf.DUMMYFUNCTION("""COMPUTED_VALUE"""),47.41)</f>
        <v>47.41</v>
      </c>
      <c r="Z183" s="3">
        <f ca="1">IFERROR(__xludf.DUMMYFUNCTION("""COMPUTED_VALUE"""),71.95)</f>
        <v>71.95</v>
      </c>
      <c r="AA183" s="3">
        <f ca="1">IFERROR(__xludf.DUMMYFUNCTION("""COMPUTED_VALUE"""),38.29)</f>
        <v>38.29</v>
      </c>
      <c r="AB183" s="3">
        <f ca="1">IFERROR(__xludf.DUMMYFUNCTION("""COMPUTED_VALUE"""),62.69)</f>
        <v>62.69</v>
      </c>
      <c r="AC183" s="3">
        <f ca="1">IFERROR(__xludf.DUMMYFUNCTION("""COMPUTED_VALUE"""),50.79)</f>
        <v>50.79</v>
      </c>
      <c r="AD183" s="3">
        <f ca="1">IFERROR(__xludf.DUMMYFUNCTION("""COMPUTED_VALUE"""),7.31)</f>
        <v>7.31</v>
      </c>
      <c r="AE183" s="3">
        <f ca="1">IFERROR(__xludf.DUMMYFUNCTION("""COMPUTED_VALUE"""),11.67)</f>
        <v>11.67</v>
      </c>
      <c r="AF183" s="3">
        <f ca="1">IFERROR(__xludf.DUMMYFUNCTION("""COMPUTED_VALUE"""),2.78)</f>
        <v>2.78</v>
      </c>
      <c r="AG183" s="3">
        <f ca="1">IFERROR(__xludf.DUMMYFUNCTION("""COMPUTED_VALUE"""),24.36)</f>
        <v>24.36</v>
      </c>
    </row>
    <row r="184" spans="1:33" ht="12.75" x14ac:dyDescent="0.2">
      <c r="A184" s="4">
        <f ca="1">IFERROR(__xludf.DUMMYFUNCTION("""COMPUTED_VALUE"""),44826.6666666666)</f>
        <v>44826.666666666599</v>
      </c>
      <c r="B184" s="3">
        <f ca="1">IFERROR(__xludf.DUMMYFUNCTION("""COMPUTED_VALUE"""),125.38)</f>
        <v>125.38</v>
      </c>
      <c r="C184" s="3">
        <f ca="1">IFERROR(__xludf.DUMMYFUNCTION("""COMPUTED_VALUE"""),323.91)</f>
        <v>323.91000000000003</v>
      </c>
      <c r="D184" s="3">
        <f ca="1">IFERROR(__xludf.DUMMYFUNCTION("""COMPUTED_VALUE"""),77.24)</f>
        <v>77.239999999999995</v>
      </c>
      <c r="E184" s="3">
        <f ca="1">IFERROR(__xludf.DUMMYFUNCTION("""COMPUTED_VALUE"""),112.76)</f>
        <v>112.76</v>
      </c>
      <c r="F184" s="3">
        <f ca="1">IFERROR(__xludf.DUMMYFUNCTION("""COMPUTED_VALUE"""),44.29)</f>
        <v>44.29</v>
      </c>
      <c r="G184" s="3">
        <f ca="1">IFERROR(__xludf.DUMMYFUNCTION("""COMPUTED_VALUE"""),18.65)</f>
        <v>18.649999999999999</v>
      </c>
      <c r="H184" s="3">
        <f ca="1">IFERROR(__xludf.DUMMYFUNCTION("""COMPUTED_VALUE"""),22.89)</f>
        <v>22.89</v>
      </c>
      <c r="I184" s="3">
        <f ca="1">IFERROR(__xludf.DUMMYFUNCTION("""COMPUTED_VALUE"""),123.36)</f>
        <v>123.36</v>
      </c>
      <c r="J184" s="3">
        <f ca="1">IFERROR(__xludf.DUMMYFUNCTION("""COMPUTED_VALUE"""),227.9)</f>
        <v>227.9</v>
      </c>
      <c r="K184" s="3">
        <f ca="1">IFERROR(__xludf.DUMMYFUNCTION("""COMPUTED_VALUE"""),116.73)</f>
        <v>116.73</v>
      </c>
      <c r="L184" s="3">
        <f ca="1">IFERROR(__xludf.DUMMYFUNCTION("""COMPUTED_VALUE"""),78.09)</f>
        <v>78.09</v>
      </c>
      <c r="M184" s="3">
        <f ca="1">IFERROR(__xludf.DUMMYFUNCTION("""COMPUTED_VALUE"""),57.91)</f>
        <v>57.91</v>
      </c>
      <c r="N184" s="3">
        <f ca="1">IFERROR(__xludf.DUMMYFUNCTION("""COMPUTED_VALUE"""),58.61)</f>
        <v>58.61</v>
      </c>
      <c r="O184" s="3">
        <f ca="1">IFERROR(__xludf.DUMMYFUNCTION("""COMPUTED_VALUE"""),50.28)</f>
        <v>50.28</v>
      </c>
      <c r="P184" s="3">
        <f ca="1">IFERROR(__xludf.DUMMYFUNCTION("""COMPUTED_VALUE"""),75.7)</f>
        <v>75.7</v>
      </c>
      <c r="Q184" s="3">
        <f ca="1">IFERROR(__xludf.DUMMYFUNCTION("""COMPUTED_VALUE"""),107.79)</f>
        <v>107.79</v>
      </c>
      <c r="R184" s="3">
        <f ca="1">IFERROR(__xludf.DUMMYFUNCTION("""COMPUTED_VALUE"""),69.86)</f>
        <v>69.86</v>
      </c>
      <c r="S184" s="3">
        <f ca="1">IFERROR(__xludf.DUMMYFUNCTION("""COMPUTED_VALUE"""),43.92)</f>
        <v>43.92</v>
      </c>
      <c r="T184" s="3">
        <f ca="1">IFERROR(__xludf.DUMMYFUNCTION("""COMPUTED_VALUE"""),24.85)</f>
        <v>24.85</v>
      </c>
      <c r="U184" s="3">
        <f ca="1">IFERROR(__xludf.DUMMYFUNCTION("""COMPUTED_VALUE"""),68.97)</f>
        <v>68.97</v>
      </c>
      <c r="V184" s="3">
        <f ca="1">IFERROR(__xludf.DUMMYFUNCTION("""COMPUTED_VALUE"""),78.47)</f>
        <v>78.47</v>
      </c>
      <c r="W184" s="3">
        <f ca="1">IFERROR(__xludf.DUMMYFUNCTION("""COMPUTED_VALUE"""),31.55)</f>
        <v>31.55</v>
      </c>
      <c r="X184" s="3">
        <f ca="1">IFERROR(__xludf.DUMMYFUNCTION("""COMPUTED_VALUE"""),78.11)</f>
        <v>78.11</v>
      </c>
      <c r="Y184" s="3">
        <f ca="1">IFERROR(__xludf.DUMMYFUNCTION("""COMPUTED_VALUE"""),46.32)</f>
        <v>46.32</v>
      </c>
      <c r="Z184" s="3">
        <f ca="1">IFERROR(__xludf.DUMMYFUNCTION("""COMPUTED_VALUE"""),70.69)</f>
        <v>70.69</v>
      </c>
      <c r="AA184" s="3">
        <f ca="1">IFERROR(__xludf.DUMMYFUNCTION("""COMPUTED_VALUE"""),37.93)</f>
        <v>37.93</v>
      </c>
      <c r="AB184" s="3">
        <f ca="1">IFERROR(__xludf.DUMMYFUNCTION("""COMPUTED_VALUE"""),61.26)</f>
        <v>61.26</v>
      </c>
      <c r="AC184" s="3">
        <f ca="1">IFERROR(__xludf.DUMMYFUNCTION("""COMPUTED_VALUE"""),49.74)</f>
        <v>49.74</v>
      </c>
      <c r="AD184" s="3">
        <f ca="1">IFERROR(__xludf.DUMMYFUNCTION("""COMPUTED_VALUE"""),7.41)</f>
        <v>7.41</v>
      </c>
      <c r="AE184" s="3">
        <f ca="1">IFERROR(__xludf.DUMMYFUNCTION("""COMPUTED_VALUE"""),11.87)</f>
        <v>11.87</v>
      </c>
      <c r="AF184" s="3">
        <f ca="1">IFERROR(__xludf.DUMMYFUNCTION("""COMPUTED_VALUE"""),2.7)</f>
        <v>2.7</v>
      </c>
      <c r="AG184" s="3">
        <f ca="1">IFERROR(__xludf.DUMMYFUNCTION("""COMPUTED_VALUE"""),23.32)</f>
        <v>23.32</v>
      </c>
    </row>
    <row r="185" spans="1:33" ht="12.75" x14ac:dyDescent="0.2">
      <c r="A185" s="4">
        <f ca="1">IFERROR(__xludf.DUMMYFUNCTION("""COMPUTED_VALUE"""),44827.6666666666)</f>
        <v>44827.666666666599</v>
      </c>
      <c r="B185" s="3">
        <f ca="1">IFERROR(__xludf.DUMMYFUNCTION("""COMPUTED_VALUE"""),123.74)</f>
        <v>123.74</v>
      </c>
      <c r="C185" s="3">
        <f ca="1">IFERROR(__xludf.DUMMYFUNCTION("""COMPUTED_VALUE"""),319.32)</f>
        <v>319.32</v>
      </c>
      <c r="D185" s="3">
        <f ca="1">IFERROR(__xludf.DUMMYFUNCTION("""COMPUTED_VALUE"""),76.21)</f>
        <v>76.209999999999994</v>
      </c>
      <c r="E185" s="3">
        <f ca="1">IFERROR(__xludf.DUMMYFUNCTION("""COMPUTED_VALUE"""),111.25)</f>
        <v>111.25</v>
      </c>
      <c r="F185" s="3">
        <f ca="1">IFERROR(__xludf.DUMMYFUNCTION("""COMPUTED_VALUE"""),43.41)</f>
        <v>43.41</v>
      </c>
      <c r="G185" s="3">
        <f ca="1">IFERROR(__xludf.DUMMYFUNCTION("""COMPUTED_VALUE"""),18.32)</f>
        <v>18.32</v>
      </c>
      <c r="H185" s="3">
        <f ca="1">IFERROR(__xludf.DUMMYFUNCTION("""COMPUTED_VALUE"""),22.45)</f>
        <v>22.45</v>
      </c>
      <c r="I185" s="3">
        <f ca="1">IFERROR(__xludf.DUMMYFUNCTION("""COMPUTED_VALUE"""),122.73)</f>
        <v>122.73</v>
      </c>
      <c r="J185" s="3">
        <f ca="1">IFERROR(__xludf.DUMMYFUNCTION("""COMPUTED_VALUE"""),226.71)</f>
        <v>226.71</v>
      </c>
      <c r="K185" s="3">
        <f ca="1">IFERROR(__xludf.DUMMYFUNCTION("""COMPUTED_VALUE"""),115.32)</f>
        <v>115.32</v>
      </c>
      <c r="L185" s="3">
        <f ca="1">IFERROR(__xludf.DUMMYFUNCTION("""COMPUTED_VALUE"""),76.65)</f>
        <v>76.650000000000006</v>
      </c>
      <c r="M185" s="3">
        <f ca="1">IFERROR(__xludf.DUMMYFUNCTION("""COMPUTED_VALUE"""),57.16)</f>
        <v>57.16</v>
      </c>
      <c r="N185" s="3">
        <f ca="1">IFERROR(__xludf.DUMMYFUNCTION("""COMPUTED_VALUE"""),58.18)</f>
        <v>58.18</v>
      </c>
      <c r="O185" s="3">
        <f ca="1">IFERROR(__xludf.DUMMYFUNCTION("""COMPUTED_VALUE"""),48.92)</f>
        <v>48.92</v>
      </c>
      <c r="P185" s="3">
        <f ca="1">IFERROR(__xludf.DUMMYFUNCTION("""COMPUTED_VALUE"""),70.48)</f>
        <v>70.48</v>
      </c>
      <c r="Q185" s="3">
        <f ca="1">IFERROR(__xludf.DUMMYFUNCTION("""COMPUTED_VALUE"""),100.3)</f>
        <v>100.3</v>
      </c>
      <c r="R185" s="3">
        <f ca="1">IFERROR(__xludf.DUMMYFUNCTION("""COMPUTED_VALUE"""),68.43)</f>
        <v>68.430000000000007</v>
      </c>
      <c r="S185" s="3">
        <f ca="1">IFERROR(__xludf.DUMMYFUNCTION("""COMPUTED_VALUE"""),41.59)</f>
        <v>41.59</v>
      </c>
      <c r="T185" s="3">
        <f ca="1">IFERROR(__xludf.DUMMYFUNCTION("""COMPUTED_VALUE"""),24.01)</f>
        <v>24.01</v>
      </c>
      <c r="U185" s="3">
        <f ca="1">IFERROR(__xludf.DUMMYFUNCTION("""COMPUTED_VALUE"""),65.32)</f>
        <v>65.319999999999993</v>
      </c>
      <c r="V185" s="3">
        <f ca="1">IFERROR(__xludf.DUMMYFUNCTION("""COMPUTED_VALUE"""),75.7)</f>
        <v>75.7</v>
      </c>
      <c r="W185" s="3">
        <f ca="1">IFERROR(__xludf.DUMMYFUNCTION("""COMPUTED_VALUE"""),31.05)</f>
        <v>31.05</v>
      </c>
      <c r="X185" s="3">
        <f ca="1">IFERROR(__xludf.DUMMYFUNCTION("""COMPUTED_VALUE"""),76.77)</f>
        <v>76.77</v>
      </c>
      <c r="Y185" s="3">
        <f ca="1">IFERROR(__xludf.DUMMYFUNCTION("""COMPUTED_VALUE"""),45.49)</f>
        <v>45.49</v>
      </c>
      <c r="Z185" s="3">
        <f ca="1">IFERROR(__xludf.DUMMYFUNCTION("""COMPUTED_VALUE"""),69.51)</f>
        <v>69.510000000000005</v>
      </c>
      <c r="AA185" s="3">
        <f ca="1">IFERROR(__xludf.DUMMYFUNCTION("""COMPUTED_VALUE"""),37.46)</f>
        <v>37.46</v>
      </c>
      <c r="AB185" s="3">
        <f ca="1">IFERROR(__xludf.DUMMYFUNCTION("""COMPUTED_VALUE"""),60.3)</f>
        <v>60.3</v>
      </c>
      <c r="AC185" s="3">
        <f ca="1">IFERROR(__xludf.DUMMYFUNCTION("""COMPUTED_VALUE"""),48.81)</f>
        <v>48.81</v>
      </c>
      <c r="AD185" s="3">
        <f ca="1">IFERROR(__xludf.DUMMYFUNCTION("""COMPUTED_VALUE"""),7.21)</f>
        <v>7.21</v>
      </c>
      <c r="AE185" s="3">
        <f ca="1">IFERROR(__xludf.DUMMYFUNCTION("""COMPUTED_VALUE"""),11.55)</f>
        <v>11.55</v>
      </c>
      <c r="AF185" s="3">
        <f ca="1">IFERROR(__xludf.DUMMYFUNCTION("""COMPUTED_VALUE"""),2.63)</f>
        <v>2.63</v>
      </c>
      <c r="AG185" s="3">
        <f ca="1">IFERROR(__xludf.DUMMYFUNCTION("""COMPUTED_VALUE"""),22.44)</f>
        <v>22.44</v>
      </c>
    </row>
    <row r="186" spans="1:33" ht="12.75" x14ac:dyDescent="0.2">
      <c r="A186" s="4">
        <f ca="1">IFERROR(__xludf.DUMMYFUNCTION("""COMPUTED_VALUE"""),44830.6666666666)</f>
        <v>44830.666666666599</v>
      </c>
      <c r="B186" s="3">
        <f ca="1">IFERROR(__xludf.DUMMYFUNCTION("""COMPUTED_VALUE"""),122.88)</f>
        <v>122.88</v>
      </c>
      <c r="C186" s="3">
        <f ca="1">IFERROR(__xludf.DUMMYFUNCTION("""COMPUTED_VALUE"""),317.24)</f>
        <v>317.24</v>
      </c>
      <c r="D186" s="3">
        <f ca="1">IFERROR(__xludf.DUMMYFUNCTION("""COMPUTED_VALUE"""),75.48)</f>
        <v>75.48</v>
      </c>
      <c r="E186" s="3">
        <f ca="1">IFERROR(__xludf.DUMMYFUNCTION("""COMPUTED_VALUE"""),108.99)</f>
        <v>108.99</v>
      </c>
      <c r="F186" s="3">
        <f ca="1">IFERROR(__xludf.DUMMYFUNCTION("""COMPUTED_VALUE"""),43.18)</f>
        <v>43.18</v>
      </c>
      <c r="G186" s="3">
        <f ca="1">IFERROR(__xludf.DUMMYFUNCTION("""COMPUTED_VALUE"""),18.21)</f>
        <v>18.21</v>
      </c>
      <c r="H186" s="3">
        <f ca="1">IFERROR(__xludf.DUMMYFUNCTION("""COMPUTED_VALUE"""),22.15)</f>
        <v>22.15</v>
      </c>
      <c r="I186" s="3">
        <f ca="1">IFERROR(__xludf.DUMMYFUNCTION("""COMPUTED_VALUE"""),121.56)</f>
        <v>121.56</v>
      </c>
      <c r="J186" s="3">
        <f ca="1">IFERROR(__xludf.DUMMYFUNCTION("""COMPUTED_VALUE"""),224.34)</f>
        <v>224.34</v>
      </c>
      <c r="K186" s="3">
        <f ca="1">IFERROR(__xludf.DUMMYFUNCTION("""COMPUTED_VALUE"""),113.42)</f>
        <v>113.42</v>
      </c>
      <c r="L186" s="3">
        <f ca="1">IFERROR(__xludf.DUMMYFUNCTION("""COMPUTED_VALUE"""),75.06)</f>
        <v>75.06</v>
      </c>
      <c r="M186" s="3">
        <f ca="1">IFERROR(__xludf.DUMMYFUNCTION("""COMPUTED_VALUE"""),56.47)</f>
        <v>56.47</v>
      </c>
      <c r="N186" s="3">
        <f ca="1">IFERROR(__xludf.DUMMYFUNCTION("""COMPUTED_VALUE"""),57.62)</f>
        <v>57.62</v>
      </c>
      <c r="O186" s="3">
        <f ca="1">IFERROR(__xludf.DUMMYFUNCTION("""COMPUTED_VALUE"""),48.2)</f>
        <v>48.2</v>
      </c>
      <c r="P186" s="3">
        <f ca="1">IFERROR(__xludf.DUMMYFUNCTION("""COMPUTED_VALUE"""),68.75)</f>
        <v>68.75</v>
      </c>
      <c r="Q186" s="3">
        <f ca="1">IFERROR(__xludf.DUMMYFUNCTION("""COMPUTED_VALUE"""),97.68)</f>
        <v>97.68</v>
      </c>
      <c r="R186" s="3">
        <f ca="1">IFERROR(__xludf.DUMMYFUNCTION("""COMPUTED_VALUE"""),67.32)</f>
        <v>67.319999999999993</v>
      </c>
      <c r="S186" s="3">
        <f ca="1">IFERROR(__xludf.DUMMYFUNCTION("""COMPUTED_VALUE"""),40.94)</f>
        <v>40.94</v>
      </c>
      <c r="T186" s="3">
        <f ca="1">IFERROR(__xludf.DUMMYFUNCTION("""COMPUTED_VALUE"""),23.45)</f>
        <v>23.45</v>
      </c>
      <c r="U186" s="3">
        <f ca="1">IFERROR(__xludf.DUMMYFUNCTION("""COMPUTED_VALUE"""),63.2)</f>
        <v>63.2</v>
      </c>
      <c r="V186" s="3">
        <f ca="1">IFERROR(__xludf.DUMMYFUNCTION("""COMPUTED_VALUE"""),74.35)</f>
        <v>74.349999999999994</v>
      </c>
      <c r="W186" s="3">
        <f ca="1">IFERROR(__xludf.DUMMYFUNCTION("""COMPUTED_VALUE"""),30.56)</f>
        <v>30.56</v>
      </c>
      <c r="X186" s="3">
        <f ca="1">IFERROR(__xludf.DUMMYFUNCTION("""COMPUTED_VALUE"""),75.49)</f>
        <v>75.489999999999995</v>
      </c>
      <c r="Y186" s="3">
        <f ca="1">IFERROR(__xludf.DUMMYFUNCTION("""COMPUTED_VALUE"""),44.92)</f>
        <v>44.92</v>
      </c>
      <c r="Z186" s="3">
        <f ca="1">IFERROR(__xludf.DUMMYFUNCTION("""COMPUTED_VALUE"""),68.01)</f>
        <v>68.010000000000005</v>
      </c>
      <c r="AA186" s="3">
        <f ca="1">IFERROR(__xludf.DUMMYFUNCTION("""COMPUTED_VALUE"""),36.45)</f>
        <v>36.450000000000003</v>
      </c>
      <c r="AB186" s="3">
        <f ca="1">IFERROR(__xludf.DUMMYFUNCTION("""COMPUTED_VALUE"""),59.78)</f>
        <v>59.78</v>
      </c>
      <c r="AC186" s="3">
        <f ca="1">IFERROR(__xludf.DUMMYFUNCTION("""COMPUTED_VALUE"""),47.76)</f>
        <v>47.76</v>
      </c>
      <c r="AD186" s="3">
        <f ca="1">IFERROR(__xludf.DUMMYFUNCTION("""COMPUTED_VALUE"""),7.37)</f>
        <v>7.37</v>
      </c>
      <c r="AE186" s="3">
        <f ca="1">IFERROR(__xludf.DUMMYFUNCTION("""COMPUTED_VALUE"""),11.81)</f>
        <v>11.81</v>
      </c>
      <c r="AF186" s="3">
        <f ca="1">IFERROR(__xludf.DUMMYFUNCTION("""COMPUTED_VALUE"""),2.56)</f>
        <v>2.56</v>
      </c>
      <c r="AG186" s="3">
        <f ca="1">IFERROR(__xludf.DUMMYFUNCTION("""COMPUTED_VALUE"""),22.6)</f>
        <v>22.6</v>
      </c>
    </row>
    <row r="187" spans="1:33" ht="12.75" x14ac:dyDescent="0.2">
      <c r="A187" s="4">
        <f ca="1">IFERROR(__xludf.DUMMYFUNCTION("""COMPUTED_VALUE"""),44831.6666666666)</f>
        <v>44831.666666666599</v>
      </c>
      <c r="B187" s="3">
        <f ca="1">IFERROR(__xludf.DUMMYFUNCTION("""COMPUTED_VALUE"""),123.04)</f>
        <v>123.04</v>
      </c>
      <c r="C187" s="3">
        <f ca="1">IFERROR(__xludf.DUMMYFUNCTION("""COMPUTED_VALUE"""),318.38)</f>
        <v>318.38</v>
      </c>
      <c r="D187" s="3">
        <f ca="1">IFERROR(__xludf.DUMMYFUNCTION("""COMPUTED_VALUE"""),75.74)</f>
        <v>75.739999999999995</v>
      </c>
      <c r="E187" s="3">
        <f ca="1">IFERROR(__xludf.DUMMYFUNCTION("""COMPUTED_VALUE"""),110.01)</f>
        <v>110.01</v>
      </c>
      <c r="F187" s="3">
        <f ca="1">IFERROR(__xludf.DUMMYFUNCTION("""COMPUTED_VALUE"""),43.47)</f>
        <v>43.47</v>
      </c>
      <c r="G187" s="3">
        <f ca="1">IFERROR(__xludf.DUMMYFUNCTION("""COMPUTED_VALUE"""),18.23)</f>
        <v>18.23</v>
      </c>
      <c r="H187" s="3">
        <f ca="1">IFERROR(__xludf.DUMMYFUNCTION("""COMPUTED_VALUE"""),22.34)</f>
        <v>22.34</v>
      </c>
      <c r="I187" s="3">
        <f ca="1">IFERROR(__xludf.DUMMYFUNCTION("""COMPUTED_VALUE"""),121.19)</f>
        <v>121.19</v>
      </c>
      <c r="J187" s="3">
        <f ca="1">IFERROR(__xludf.DUMMYFUNCTION("""COMPUTED_VALUE"""),224.15)</f>
        <v>224.15</v>
      </c>
      <c r="K187" s="3">
        <f ca="1">IFERROR(__xludf.DUMMYFUNCTION("""COMPUTED_VALUE"""),114.82)</f>
        <v>114.82</v>
      </c>
      <c r="L187" s="3">
        <f ca="1">IFERROR(__xludf.DUMMYFUNCTION("""COMPUTED_VALUE"""),77.22)</f>
        <v>77.22</v>
      </c>
      <c r="M187" s="3">
        <f ca="1">IFERROR(__xludf.DUMMYFUNCTION("""COMPUTED_VALUE"""),57.16)</f>
        <v>57.16</v>
      </c>
      <c r="N187" s="3">
        <f ca="1">IFERROR(__xludf.DUMMYFUNCTION("""COMPUTED_VALUE"""),57.55)</f>
        <v>57.55</v>
      </c>
      <c r="O187" s="3">
        <f ca="1">IFERROR(__xludf.DUMMYFUNCTION("""COMPUTED_VALUE"""),49.2)</f>
        <v>49.2</v>
      </c>
      <c r="P187" s="3">
        <f ca="1">IFERROR(__xludf.DUMMYFUNCTION("""COMPUTED_VALUE"""),69.52)</f>
        <v>69.52</v>
      </c>
      <c r="Q187" s="3">
        <f ca="1">IFERROR(__xludf.DUMMYFUNCTION("""COMPUTED_VALUE"""),98.96)</f>
        <v>98.96</v>
      </c>
      <c r="R187" s="3">
        <f ca="1">IFERROR(__xludf.DUMMYFUNCTION("""COMPUTED_VALUE"""),67.47)</f>
        <v>67.47</v>
      </c>
      <c r="S187" s="3">
        <f ca="1">IFERROR(__xludf.DUMMYFUNCTION("""COMPUTED_VALUE"""),42.1)</f>
        <v>42.1</v>
      </c>
      <c r="T187" s="3">
        <f ca="1">IFERROR(__xludf.DUMMYFUNCTION("""COMPUTED_VALUE"""),23.7)</f>
        <v>23.7</v>
      </c>
      <c r="U187" s="3">
        <f ca="1">IFERROR(__xludf.DUMMYFUNCTION("""COMPUTED_VALUE"""),64.42)</f>
        <v>64.42</v>
      </c>
      <c r="V187" s="3">
        <f ca="1">IFERROR(__xludf.DUMMYFUNCTION("""COMPUTED_VALUE"""),75.92)</f>
        <v>75.92</v>
      </c>
      <c r="W187" s="3">
        <f ca="1">IFERROR(__xludf.DUMMYFUNCTION("""COMPUTED_VALUE"""),30.43)</f>
        <v>30.43</v>
      </c>
      <c r="X187" s="3">
        <f ca="1">IFERROR(__xludf.DUMMYFUNCTION("""COMPUTED_VALUE"""),75.16)</f>
        <v>75.16</v>
      </c>
      <c r="Y187" s="3">
        <f ca="1">IFERROR(__xludf.DUMMYFUNCTION("""COMPUTED_VALUE"""),44.47)</f>
        <v>44.47</v>
      </c>
      <c r="Z187" s="3">
        <f ca="1">IFERROR(__xludf.DUMMYFUNCTION("""COMPUTED_VALUE"""),67.77)</f>
        <v>67.77</v>
      </c>
      <c r="AA187" s="3">
        <f ca="1">IFERROR(__xludf.DUMMYFUNCTION("""COMPUTED_VALUE"""),35.97)</f>
        <v>35.97</v>
      </c>
      <c r="AB187" s="3">
        <f ca="1">IFERROR(__xludf.DUMMYFUNCTION("""COMPUTED_VALUE"""),59.07)</f>
        <v>59.07</v>
      </c>
      <c r="AC187" s="3">
        <f ca="1">IFERROR(__xludf.DUMMYFUNCTION("""COMPUTED_VALUE"""),47.32)</f>
        <v>47.32</v>
      </c>
      <c r="AD187" s="3">
        <f ca="1">IFERROR(__xludf.DUMMYFUNCTION("""COMPUTED_VALUE"""),7.33)</f>
        <v>7.33</v>
      </c>
      <c r="AE187" s="3">
        <f ca="1">IFERROR(__xludf.DUMMYFUNCTION("""COMPUTED_VALUE"""),11.74)</f>
        <v>11.74</v>
      </c>
      <c r="AF187" s="3">
        <f ca="1">IFERROR(__xludf.DUMMYFUNCTION("""COMPUTED_VALUE"""),2.69)</f>
        <v>2.69</v>
      </c>
      <c r="AG187" s="3">
        <f ca="1">IFERROR(__xludf.DUMMYFUNCTION("""COMPUTED_VALUE"""),23.04)</f>
        <v>23.04</v>
      </c>
    </row>
    <row r="188" spans="1:33" ht="12.75" x14ac:dyDescent="0.2">
      <c r="A188" s="4">
        <f ca="1">IFERROR(__xludf.DUMMYFUNCTION("""COMPUTED_VALUE"""),44832.6666666666)</f>
        <v>44832.666666666599</v>
      </c>
      <c r="B188" s="3">
        <f ca="1">IFERROR(__xludf.DUMMYFUNCTION("""COMPUTED_VALUE"""),124.34)</f>
        <v>124.34</v>
      </c>
      <c r="C188" s="3">
        <f ca="1">IFERROR(__xludf.DUMMYFUNCTION("""COMPUTED_VALUE"""),321.3)</f>
        <v>321.3</v>
      </c>
      <c r="D188" s="3">
        <f ca="1">IFERROR(__xludf.DUMMYFUNCTION("""COMPUTED_VALUE"""),76.78)</f>
        <v>76.78</v>
      </c>
      <c r="E188" s="3">
        <f ca="1">IFERROR(__xludf.DUMMYFUNCTION("""COMPUTED_VALUE"""),111.57)</f>
        <v>111.57</v>
      </c>
      <c r="F188" s="3">
        <f ca="1">IFERROR(__xludf.DUMMYFUNCTION("""COMPUTED_VALUE"""),44.33)</f>
        <v>44.33</v>
      </c>
      <c r="G188" s="3">
        <f ca="1">IFERROR(__xludf.DUMMYFUNCTION("""COMPUTED_VALUE"""),18.7)</f>
        <v>18.7</v>
      </c>
      <c r="H188" s="3">
        <f ca="1">IFERROR(__xludf.DUMMYFUNCTION("""COMPUTED_VALUE"""),22.94)</f>
        <v>22.94</v>
      </c>
      <c r="I188" s="3">
        <f ca="1">IFERROR(__xludf.DUMMYFUNCTION("""COMPUTED_VALUE"""),123.84)</f>
        <v>123.84</v>
      </c>
      <c r="J188" s="3">
        <f ca="1">IFERROR(__xludf.DUMMYFUNCTION("""COMPUTED_VALUE"""),228.55)</f>
        <v>228.55</v>
      </c>
      <c r="K188" s="3">
        <f ca="1">IFERROR(__xludf.DUMMYFUNCTION("""COMPUTED_VALUE"""),119.33)</f>
        <v>119.33</v>
      </c>
      <c r="L188" s="3">
        <f ca="1">IFERROR(__xludf.DUMMYFUNCTION("""COMPUTED_VALUE"""),81.2)</f>
        <v>81.2</v>
      </c>
      <c r="M188" s="3">
        <f ca="1">IFERROR(__xludf.DUMMYFUNCTION("""COMPUTED_VALUE"""),59.99)</f>
        <v>59.99</v>
      </c>
      <c r="N188" s="3">
        <f ca="1">IFERROR(__xludf.DUMMYFUNCTION("""COMPUTED_VALUE"""),58.91)</f>
        <v>58.91</v>
      </c>
      <c r="O188" s="3">
        <f ca="1">IFERROR(__xludf.DUMMYFUNCTION("""COMPUTED_VALUE"""),51.4)</f>
        <v>51.4</v>
      </c>
      <c r="P188" s="3">
        <f ca="1">IFERROR(__xludf.DUMMYFUNCTION("""COMPUTED_VALUE"""),72.6)</f>
        <v>72.599999999999994</v>
      </c>
      <c r="Q188" s="3">
        <f ca="1">IFERROR(__xludf.DUMMYFUNCTION("""COMPUTED_VALUE"""),102.32)</f>
        <v>102.32</v>
      </c>
      <c r="R188" s="3">
        <f ca="1">IFERROR(__xludf.DUMMYFUNCTION("""COMPUTED_VALUE"""),69.21)</f>
        <v>69.209999999999994</v>
      </c>
      <c r="S188" s="3">
        <f ca="1">IFERROR(__xludf.DUMMYFUNCTION("""COMPUTED_VALUE"""),44.05)</f>
        <v>44.05</v>
      </c>
      <c r="T188" s="3">
        <f ca="1">IFERROR(__xludf.DUMMYFUNCTION("""COMPUTED_VALUE"""),24.36)</f>
        <v>24.36</v>
      </c>
      <c r="U188" s="3">
        <f ca="1">IFERROR(__xludf.DUMMYFUNCTION("""COMPUTED_VALUE"""),67.13)</f>
        <v>67.13</v>
      </c>
      <c r="V188" s="3">
        <f ca="1">IFERROR(__xludf.DUMMYFUNCTION("""COMPUTED_VALUE"""),77.33)</f>
        <v>77.33</v>
      </c>
      <c r="W188" s="3">
        <f ca="1">IFERROR(__xludf.DUMMYFUNCTION("""COMPUTED_VALUE"""),31.03)</f>
        <v>31.03</v>
      </c>
      <c r="X188" s="3">
        <f ca="1">IFERROR(__xludf.DUMMYFUNCTION("""COMPUTED_VALUE"""),76.17)</f>
        <v>76.17</v>
      </c>
      <c r="Y188" s="3">
        <f ca="1">IFERROR(__xludf.DUMMYFUNCTION("""COMPUTED_VALUE"""),45.27)</f>
        <v>45.27</v>
      </c>
      <c r="Z188" s="3">
        <f ca="1">IFERROR(__xludf.DUMMYFUNCTION("""COMPUTED_VALUE"""),69.08)</f>
        <v>69.08</v>
      </c>
      <c r="AA188" s="3">
        <f ca="1">IFERROR(__xludf.DUMMYFUNCTION("""COMPUTED_VALUE"""),36.65)</f>
        <v>36.65</v>
      </c>
      <c r="AB188" s="3">
        <f ca="1">IFERROR(__xludf.DUMMYFUNCTION("""COMPUTED_VALUE"""),60.09)</f>
        <v>60.09</v>
      </c>
      <c r="AC188" s="3">
        <f ca="1">IFERROR(__xludf.DUMMYFUNCTION("""COMPUTED_VALUE"""),48.26)</f>
        <v>48.26</v>
      </c>
      <c r="AD188" s="3">
        <f ca="1">IFERROR(__xludf.DUMMYFUNCTION("""COMPUTED_VALUE"""),7.52)</f>
        <v>7.52</v>
      </c>
      <c r="AE188" s="3">
        <f ca="1">IFERROR(__xludf.DUMMYFUNCTION("""COMPUTED_VALUE"""),12.05)</f>
        <v>12.05</v>
      </c>
      <c r="AF188" s="3">
        <f ca="1">IFERROR(__xludf.DUMMYFUNCTION("""COMPUTED_VALUE"""),2.62)</f>
        <v>2.62</v>
      </c>
      <c r="AG188" s="3">
        <f ca="1">IFERROR(__xludf.DUMMYFUNCTION("""COMPUTED_VALUE"""),24.52)</f>
        <v>24.52</v>
      </c>
    </row>
    <row r="189" spans="1:33" ht="12.75" x14ac:dyDescent="0.2">
      <c r="A189" s="4">
        <f ca="1">IFERROR(__xludf.DUMMYFUNCTION("""COMPUTED_VALUE"""),44833.6666666666)</f>
        <v>44833.666666666599</v>
      </c>
      <c r="B189" s="3">
        <f ca="1">IFERROR(__xludf.DUMMYFUNCTION("""COMPUTED_VALUE"""),121.1)</f>
        <v>121.1</v>
      </c>
      <c r="C189" s="3">
        <f ca="1">IFERROR(__xludf.DUMMYFUNCTION("""COMPUTED_VALUE"""),313.05)</f>
        <v>313.05</v>
      </c>
      <c r="D189" s="3">
        <f ca="1">IFERROR(__xludf.DUMMYFUNCTION("""COMPUTED_VALUE"""),74.71)</f>
        <v>74.709999999999994</v>
      </c>
      <c r="E189" s="3">
        <f ca="1">IFERROR(__xludf.DUMMYFUNCTION("""COMPUTED_VALUE"""),108.1)</f>
        <v>108.1</v>
      </c>
      <c r="F189" s="3">
        <f ca="1">IFERROR(__xludf.DUMMYFUNCTION("""COMPUTED_VALUE"""),43.77)</f>
        <v>43.77</v>
      </c>
      <c r="G189" s="3">
        <f ca="1">IFERROR(__xludf.DUMMYFUNCTION("""COMPUTED_VALUE"""),18.2)</f>
        <v>18.2</v>
      </c>
      <c r="H189" s="3">
        <f ca="1">IFERROR(__xludf.DUMMYFUNCTION("""COMPUTED_VALUE"""),22.4)</f>
        <v>22.4</v>
      </c>
      <c r="I189" s="3">
        <f ca="1">IFERROR(__xludf.DUMMYFUNCTION("""COMPUTED_VALUE"""),122.8)</f>
        <v>122.8</v>
      </c>
      <c r="J189" s="3">
        <f ca="1">IFERROR(__xludf.DUMMYFUNCTION("""COMPUTED_VALUE"""),226.34)</f>
        <v>226.34</v>
      </c>
      <c r="K189" s="3">
        <f ca="1">IFERROR(__xludf.DUMMYFUNCTION("""COMPUTED_VALUE"""),117.6)</f>
        <v>117.6</v>
      </c>
      <c r="L189" s="3">
        <f ca="1">IFERROR(__xludf.DUMMYFUNCTION("""COMPUTED_VALUE"""),78.86)</f>
        <v>78.86</v>
      </c>
      <c r="M189" s="3">
        <f ca="1">IFERROR(__xludf.DUMMYFUNCTION("""COMPUTED_VALUE"""),58.93)</f>
        <v>58.93</v>
      </c>
      <c r="N189" s="3">
        <f ca="1">IFERROR(__xludf.DUMMYFUNCTION("""COMPUTED_VALUE"""),58.39)</f>
        <v>58.39</v>
      </c>
      <c r="O189" s="3">
        <f ca="1">IFERROR(__xludf.DUMMYFUNCTION("""COMPUTED_VALUE"""),49.8)</f>
        <v>49.8</v>
      </c>
      <c r="P189" s="3">
        <f ca="1">IFERROR(__xludf.DUMMYFUNCTION("""COMPUTED_VALUE"""),72.6)</f>
        <v>72.599999999999994</v>
      </c>
      <c r="Q189" s="3">
        <f ca="1">IFERROR(__xludf.DUMMYFUNCTION("""COMPUTED_VALUE"""),102.13)</f>
        <v>102.13</v>
      </c>
      <c r="R189" s="3">
        <f ca="1">IFERROR(__xludf.DUMMYFUNCTION("""COMPUTED_VALUE"""),68.19)</f>
        <v>68.19</v>
      </c>
      <c r="S189" s="3">
        <f ca="1">IFERROR(__xludf.DUMMYFUNCTION("""COMPUTED_VALUE"""),43.24)</f>
        <v>43.24</v>
      </c>
      <c r="T189" s="3">
        <f ca="1">IFERROR(__xludf.DUMMYFUNCTION("""COMPUTED_VALUE"""),24.21)</f>
        <v>24.21</v>
      </c>
      <c r="U189" s="3">
        <f ca="1">IFERROR(__xludf.DUMMYFUNCTION("""COMPUTED_VALUE"""),66.77)</f>
        <v>66.77</v>
      </c>
      <c r="V189" s="3">
        <f ca="1">IFERROR(__xludf.DUMMYFUNCTION("""COMPUTED_VALUE"""),73.27)</f>
        <v>73.27</v>
      </c>
      <c r="W189" s="3">
        <f ca="1">IFERROR(__xludf.DUMMYFUNCTION("""COMPUTED_VALUE"""),30.64)</f>
        <v>30.64</v>
      </c>
      <c r="X189" s="3">
        <f ca="1">IFERROR(__xludf.DUMMYFUNCTION("""COMPUTED_VALUE"""),75.14)</f>
        <v>75.14</v>
      </c>
      <c r="Y189" s="3">
        <f ca="1">IFERROR(__xludf.DUMMYFUNCTION("""COMPUTED_VALUE"""),44.52)</f>
        <v>44.52</v>
      </c>
      <c r="Z189" s="3">
        <f ca="1">IFERROR(__xludf.DUMMYFUNCTION("""COMPUTED_VALUE"""),68.18)</f>
        <v>68.180000000000007</v>
      </c>
      <c r="AA189" s="3">
        <f ca="1">IFERROR(__xludf.DUMMYFUNCTION("""COMPUTED_VALUE"""),35.63)</f>
        <v>35.630000000000003</v>
      </c>
      <c r="AB189" s="3">
        <f ca="1">IFERROR(__xludf.DUMMYFUNCTION("""COMPUTED_VALUE"""),59.11)</f>
        <v>59.11</v>
      </c>
      <c r="AC189" s="3">
        <f ca="1">IFERROR(__xludf.DUMMYFUNCTION("""COMPUTED_VALUE"""),47.58)</f>
        <v>47.58</v>
      </c>
      <c r="AD189" s="3">
        <f ca="1">IFERROR(__xludf.DUMMYFUNCTION("""COMPUTED_VALUE"""),7.47)</f>
        <v>7.47</v>
      </c>
      <c r="AE189" s="3">
        <f ca="1">IFERROR(__xludf.DUMMYFUNCTION("""COMPUTED_VALUE"""),11.96)</f>
        <v>11.96</v>
      </c>
      <c r="AF189" s="3">
        <f ca="1">IFERROR(__xludf.DUMMYFUNCTION("""COMPUTED_VALUE"""),2.78)</f>
        <v>2.78</v>
      </c>
      <c r="AG189" s="3">
        <f ca="1">IFERROR(__xludf.DUMMYFUNCTION("""COMPUTED_VALUE"""),23.44)</f>
        <v>23.44</v>
      </c>
    </row>
    <row r="190" spans="1:33" ht="12.75" x14ac:dyDescent="0.2">
      <c r="A190" s="4">
        <f ca="1">IFERROR(__xludf.DUMMYFUNCTION("""COMPUTED_VALUE"""),44834.6666666666)</f>
        <v>44834.666666666599</v>
      </c>
      <c r="B190" s="3">
        <f ca="1">IFERROR(__xludf.DUMMYFUNCTION("""COMPUTED_VALUE"""),118.78)</f>
        <v>118.78</v>
      </c>
      <c r="C190" s="3">
        <f ca="1">IFERROR(__xludf.DUMMYFUNCTION("""COMPUTED_VALUE"""),307.37)</f>
        <v>307.37</v>
      </c>
      <c r="D190" s="3">
        <f ca="1">IFERROR(__xludf.DUMMYFUNCTION("""COMPUTED_VALUE"""),73.37)</f>
        <v>73.37</v>
      </c>
      <c r="E190" s="3">
        <f ca="1">IFERROR(__xludf.DUMMYFUNCTION("""COMPUTED_VALUE"""),106.24)</f>
        <v>106.24</v>
      </c>
      <c r="F190" s="3">
        <f ca="1">IFERROR(__xludf.DUMMYFUNCTION("""COMPUTED_VALUE"""),43.37)</f>
        <v>43.37</v>
      </c>
      <c r="G190" s="3">
        <f ca="1">IFERROR(__xludf.DUMMYFUNCTION("""COMPUTED_VALUE"""),18.08)</f>
        <v>18.079999999999998</v>
      </c>
      <c r="H190" s="3">
        <f ca="1">IFERROR(__xludf.DUMMYFUNCTION("""COMPUTED_VALUE"""),22.15)</f>
        <v>22.15</v>
      </c>
      <c r="I190" s="3">
        <f ca="1">IFERROR(__xludf.DUMMYFUNCTION("""COMPUTED_VALUE"""),121.11)</f>
        <v>121.11</v>
      </c>
      <c r="J190" s="3">
        <f ca="1">IFERROR(__xludf.DUMMYFUNCTION("""COMPUTED_VALUE"""),223.7)</f>
        <v>223.7</v>
      </c>
      <c r="K190" s="3">
        <f ca="1">IFERROR(__xludf.DUMMYFUNCTION("""COMPUTED_VALUE"""),116.96)</f>
        <v>116.96</v>
      </c>
      <c r="L190" s="3">
        <f ca="1">IFERROR(__xludf.DUMMYFUNCTION("""COMPUTED_VALUE"""),79.32)</f>
        <v>79.319999999999993</v>
      </c>
      <c r="M190" s="3">
        <f ca="1">IFERROR(__xludf.DUMMYFUNCTION("""COMPUTED_VALUE"""),58.94)</f>
        <v>58.94</v>
      </c>
      <c r="N190" s="3">
        <f ca="1">IFERROR(__xludf.DUMMYFUNCTION("""COMPUTED_VALUE"""),57.65)</f>
        <v>57.65</v>
      </c>
      <c r="O190" s="3">
        <f ca="1">IFERROR(__xludf.DUMMYFUNCTION("""COMPUTED_VALUE"""),50.2)</f>
        <v>50.2</v>
      </c>
      <c r="P190" s="3">
        <f ca="1">IFERROR(__xludf.DUMMYFUNCTION("""COMPUTED_VALUE"""),72.02)</f>
        <v>72.02</v>
      </c>
      <c r="Q190" s="3">
        <f ca="1">IFERROR(__xludf.DUMMYFUNCTION("""COMPUTED_VALUE"""),101.58)</f>
        <v>101.58</v>
      </c>
      <c r="R190" s="3">
        <f ca="1">IFERROR(__xludf.DUMMYFUNCTION("""COMPUTED_VALUE"""),68.01)</f>
        <v>68.010000000000005</v>
      </c>
      <c r="S190" s="3">
        <f ca="1">IFERROR(__xludf.DUMMYFUNCTION("""COMPUTED_VALUE"""),42.49)</f>
        <v>42.49</v>
      </c>
      <c r="T190" s="3">
        <f ca="1">IFERROR(__xludf.DUMMYFUNCTION("""COMPUTED_VALUE"""),23.91)</f>
        <v>23.91</v>
      </c>
      <c r="U190" s="3">
        <f ca="1">IFERROR(__xludf.DUMMYFUNCTION("""COMPUTED_VALUE"""),65.28)</f>
        <v>65.28</v>
      </c>
      <c r="V190" s="3">
        <f ca="1">IFERROR(__xludf.DUMMYFUNCTION("""COMPUTED_VALUE"""),73.61)</f>
        <v>73.61</v>
      </c>
      <c r="W190" s="3">
        <f ca="1">IFERROR(__xludf.DUMMYFUNCTION("""COMPUTED_VALUE"""),30.36)</f>
        <v>30.36</v>
      </c>
      <c r="X190" s="3">
        <f ca="1">IFERROR(__xludf.DUMMYFUNCTION("""COMPUTED_VALUE"""),74.44)</f>
        <v>74.44</v>
      </c>
      <c r="Y190" s="3">
        <f ca="1">IFERROR(__xludf.DUMMYFUNCTION("""COMPUTED_VALUE"""),44.29)</f>
        <v>44.29</v>
      </c>
      <c r="Z190" s="3">
        <f ca="1">IFERROR(__xludf.DUMMYFUNCTION("""COMPUTED_VALUE"""),67.55)</f>
        <v>67.55</v>
      </c>
      <c r="AA190" s="3">
        <f ca="1">IFERROR(__xludf.DUMMYFUNCTION("""COMPUTED_VALUE"""),36.01)</f>
        <v>36.01</v>
      </c>
      <c r="AB190" s="3">
        <f ca="1">IFERROR(__xludf.DUMMYFUNCTION("""COMPUTED_VALUE"""),58.88)</f>
        <v>58.88</v>
      </c>
      <c r="AC190" s="3">
        <f ca="1">IFERROR(__xludf.DUMMYFUNCTION("""COMPUTED_VALUE"""),47.08)</f>
        <v>47.08</v>
      </c>
      <c r="AD190" s="3">
        <f ca="1">IFERROR(__xludf.DUMMYFUNCTION("""COMPUTED_VALUE"""),7.49)</f>
        <v>7.49</v>
      </c>
      <c r="AE190" s="3">
        <f ca="1">IFERROR(__xludf.DUMMYFUNCTION("""COMPUTED_VALUE"""),11.99)</f>
        <v>11.99</v>
      </c>
      <c r="AF190" s="3">
        <f ca="1">IFERROR(__xludf.DUMMYFUNCTION("""COMPUTED_VALUE"""),2.68)</f>
        <v>2.68</v>
      </c>
      <c r="AG190" s="3">
        <f ca="1">IFERROR(__xludf.DUMMYFUNCTION("""COMPUTED_VALUE"""),23.48)</f>
        <v>23.48</v>
      </c>
    </row>
    <row r="191" spans="1:33" ht="12.75" x14ac:dyDescent="0.2">
      <c r="A191" s="4">
        <f ca="1">IFERROR(__xludf.DUMMYFUNCTION("""COMPUTED_VALUE"""),44837.6666666666)</f>
        <v>44837.666666666599</v>
      </c>
      <c r="B191" s="3">
        <f ca="1">IFERROR(__xludf.DUMMYFUNCTION("""COMPUTED_VALUE"""),122.46)</f>
        <v>122.46</v>
      </c>
      <c r="C191" s="3">
        <f ca="1">IFERROR(__xludf.DUMMYFUNCTION("""COMPUTED_VALUE"""),316.7)</f>
        <v>316.7</v>
      </c>
      <c r="D191" s="3">
        <f ca="1">IFERROR(__xludf.DUMMYFUNCTION("""COMPUTED_VALUE"""),75.66)</f>
        <v>75.66</v>
      </c>
      <c r="E191" s="3">
        <f ca="1">IFERROR(__xludf.DUMMYFUNCTION("""COMPUTED_VALUE"""),109.92)</f>
        <v>109.92</v>
      </c>
      <c r="F191" s="3">
        <f ca="1">IFERROR(__xludf.DUMMYFUNCTION("""COMPUTED_VALUE"""),44.52)</f>
        <v>44.52</v>
      </c>
      <c r="G191" s="3">
        <f ca="1">IFERROR(__xludf.DUMMYFUNCTION("""COMPUTED_VALUE"""),18.62)</f>
        <v>18.62</v>
      </c>
      <c r="H191" s="3">
        <f ca="1">IFERROR(__xludf.DUMMYFUNCTION("""COMPUTED_VALUE"""),22.84)</f>
        <v>22.84</v>
      </c>
      <c r="I191" s="3">
        <f ca="1">IFERROR(__xludf.DUMMYFUNCTION("""COMPUTED_VALUE"""),123.6)</f>
        <v>123.6</v>
      </c>
      <c r="J191" s="3">
        <f ca="1">IFERROR(__xludf.DUMMYFUNCTION("""COMPUTED_VALUE"""),227.88)</f>
        <v>227.88</v>
      </c>
      <c r="K191" s="3">
        <f ca="1">IFERROR(__xludf.DUMMYFUNCTION("""COMPUTED_VALUE"""),119.24)</f>
        <v>119.24</v>
      </c>
      <c r="L191" s="3">
        <f ca="1">IFERROR(__xludf.DUMMYFUNCTION("""COMPUTED_VALUE"""),79.98)</f>
        <v>79.98</v>
      </c>
      <c r="M191" s="3">
        <f ca="1">IFERROR(__xludf.DUMMYFUNCTION("""COMPUTED_VALUE"""),59.95)</f>
        <v>59.95</v>
      </c>
      <c r="N191" s="3">
        <f ca="1">IFERROR(__xludf.DUMMYFUNCTION("""COMPUTED_VALUE"""),58.75)</f>
        <v>58.75</v>
      </c>
      <c r="O191" s="3">
        <f ca="1">IFERROR(__xludf.DUMMYFUNCTION("""COMPUTED_VALUE"""),50.32)</f>
        <v>50.32</v>
      </c>
      <c r="P191" s="3">
        <f ca="1">IFERROR(__xludf.DUMMYFUNCTION("""COMPUTED_VALUE"""),76.09)</f>
        <v>76.09</v>
      </c>
      <c r="Q191" s="3">
        <f ca="1">IFERROR(__xludf.DUMMYFUNCTION("""COMPUTED_VALUE"""),107.13)</f>
        <v>107.13</v>
      </c>
      <c r="R191" s="3">
        <f ca="1">IFERROR(__xludf.DUMMYFUNCTION("""COMPUTED_VALUE"""),70.22)</f>
        <v>70.22</v>
      </c>
      <c r="S191" s="3">
        <f ca="1">IFERROR(__xludf.DUMMYFUNCTION("""COMPUTED_VALUE"""),45.56)</f>
        <v>45.56</v>
      </c>
      <c r="T191" s="3">
        <f ca="1">IFERROR(__xludf.DUMMYFUNCTION("""COMPUTED_VALUE"""),24.45)</f>
        <v>24.45</v>
      </c>
      <c r="U191" s="3">
        <f ca="1">IFERROR(__xludf.DUMMYFUNCTION("""COMPUTED_VALUE"""),67.89)</f>
        <v>67.89</v>
      </c>
      <c r="V191" s="3">
        <f ca="1">IFERROR(__xludf.DUMMYFUNCTION("""COMPUTED_VALUE"""),75.37)</f>
        <v>75.37</v>
      </c>
      <c r="W191" s="3">
        <f ca="1">IFERROR(__xludf.DUMMYFUNCTION("""COMPUTED_VALUE"""),31.18)</f>
        <v>31.18</v>
      </c>
      <c r="X191" s="3">
        <f ca="1">IFERROR(__xludf.DUMMYFUNCTION("""COMPUTED_VALUE"""),76.41)</f>
        <v>76.41</v>
      </c>
      <c r="Y191" s="3">
        <f ca="1">IFERROR(__xludf.DUMMYFUNCTION("""COMPUTED_VALUE"""),45.45)</f>
        <v>45.45</v>
      </c>
      <c r="Z191" s="3">
        <f ca="1">IFERROR(__xludf.DUMMYFUNCTION("""COMPUTED_VALUE"""),69.37)</f>
        <v>69.37</v>
      </c>
      <c r="AA191" s="3">
        <f ca="1">IFERROR(__xludf.DUMMYFUNCTION("""COMPUTED_VALUE"""),36.68)</f>
        <v>36.68</v>
      </c>
      <c r="AB191" s="3">
        <f ca="1">IFERROR(__xludf.DUMMYFUNCTION("""COMPUTED_VALUE"""),60.23)</f>
        <v>60.23</v>
      </c>
      <c r="AC191" s="3">
        <f ca="1">IFERROR(__xludf.DUMMYFUNCTION("""COMPUTED_VALUE"""),48.34)</f>
        <v>48.34</v>
      </c>
      <c r="AD191" s="3">
        <f ca="1">IFERROR(__xludf.DUMMYFUNCTION("""COMPUTED_VALUE"""),7.52)</f>
        <v>7.52</v>
      </c>
      <c r="AE191" s="3">
        <f ca="1">IFERROR(__xludf.DUMMYFUNCTION("""COMPUTED_VALUE"""),12.06)</f>
        <v>12.06</v>
      </c>
      <c r="AF191" s="3">
        <f ca="1">IFERROR(__xludf.DUMMYFUNCTION("""COMPUTED_VALUE"""),2.68)</f>
        <v>2.68</v>
      </c>
      <c r="AG191" s="3">
        <f ca="1">IFERROR(__xludf.DUMMYFUNCTION("""COMPUTED_VALUE"""),23.91)</f>
        <v>23.91</v>
      </c>
    </row>
    <row r="192" spans="1:33" ht="12.75" x14ac:dyDescent="0.2">
      <c r="A192" s="4">
        <f ca="1">IFERROR(__xludf.DUMMYFUNCTION("""COMPUTED_VALUE"""),44838.6666666666)</f>
        <v>44838.666666666599</v>
      </c>
      <c r="B192" s="3">
        <f ca="1">IFERROR(__xludf.DUMMYFUNCTION("""COMPUTED_VALUE"""),126.57)</f>
        <v>126.57</v>
      </c>
      <c r="C192" s="3">
        <f ca="1">IFERROR(__xludf.DUMMYFUNCTION("""COMPUTED_VALUE"""),327.79)</f>
        <v>327.79</v>
      </c>
      <c r="D192" s="3">
        <f ca="1">IFERROR(__xludf.DUMMYFUNCTION("""COMPUTED_VALUE"""),78.33)</f>
        <v>78.33</v>
      </c>
      <c r="E192" s="3">
        <f ca="1">IFERROR(__xludf.DUMMYFUNCTION("""COMPUTED_VALUE"""),115.07)</f>
        <v>115.07</v>
      </c>
      <c r="F192" s="3">
        <f ca="1">IFERROR(__xludf.DUMMYFUNCTION("""COMPUTED_VALUE"""),45.97)</f>
        <v>45.97</v>
      </c>
      <c r="G192" s="3">
        <f ca="1">IFERROR(__xludf.DUMMYFUNCTION("""COMPUTED_VALUE"""),19.53)</f>
        <v>19.53</v>
      </c>
      <c r="H192" s="3">
        <f ca="1">IFERROR(__xludf.DUMMYFUNCTION("""COMPUTED_VALUE"""),23.68)</f>
        <v>23.68</v>
      </c>
      <c r="I192" s="3">
        <f ca="1">IFERROR(__xludf.DUMMYFUNCTION("""COMPUTED_VALUE"""),126.47)</f>
        <v>126.47</v>
      </c>
      <c r="J192" s="3">
        <f ca="1">IFERROR(__xludf.DUMMYFUNCTION("""COMPUTED_VALUE"""),233.53)</f>
        <v>233.53</v>
      </c>
      <c r="K192" s="3">
        <f ca="1">IFERROR(__xludf.DUMMYFUNCTION("""COMPUTED_VALUE"""),122.65)</f>
        <v>122.65</v>
      </c>
      <c r="L192" s="3">
        <f ca="1">IFERROR(__xludf.DUMMYFUNCTION("""COMPUTED_VALUE"""),83)</f>
        <v>83</v>
      </c>
      <c r="M192" s="3">
        <f ca="1">IFERROR(__xludf.DUMMYFUNCTION("""COMPUTED_VALUE"""),61.29)</f>
        <v>61.29</v>
      </c>
      <c r="N192" s="3">
        <f ca="1">IFERROR(__xludf.DUMMYFUNCTION("""COMPUTED_VALUE"""),60.25)</f>
        <v>60.25</v>
      </c>
      <c r="O192" s="3">
        <f ca="1">IFERROR(__xludf.DUMMYFUNCTION("""COMPUTED_VALUE"""),52.84)</f>
        <v>52.84</v>
      </c>
      <c r="P192" s="3">
        <f ca="1">IFERROR(__xludf.DUMMYFUNCTION("""COMPUTED_VALUE"""),79.36)</f>
        <v>79.36</v>
      </c>
      <c r="Q192" s="3">
        <f ca="1">IFERROR(__xludf.DUMMYFUNCTION("""COMPUTED_VALUE"""),111.72)</f>
        <v>111.72</v>
      </c>
      <c r="R192" s="3">
        <f ca="1">IFERROR(__xludf.DUMMYFUNCTION("""COMPUTED_VALUE"""),72.8)</f>
        <v>72.8</v>
      </c>
      <c r="S192" s="3">
        <f ca="1">IFERROR(__xludf.DUMMYFUNCTION("""COMPUTED_VALUE"""),47.29)</f>
        <v>47.29</v>
      </c>
      <c r="T192" s="3">
        <f ca="1">IFERROR(__xludf.DUMMYFUNCTION("""COMPUTED_VALUE"""),25.11)</f>
        <v>25.11</v>
      </c>
      <c r="U192" s="3">
        <f ca="1">IFERROR(__xludf.DUMMYFUNCTION("""COMPUTED_VALUE"""),70.28)</f>
        <v>70.28</v>
      </c>
      <c r="V192" s="3">
        <f ca="1">IFERROR(__xludf.DUMMYFUNCTION("""COMPUTED_VALUE"""),78.36)</f>
        <v>78.36</v>
      </c>
      <c r="W192" s="3">
        <f ca="1">IFERROR(__xludf.DUMMYFUNCTION("""COMPUTED_VALUE"""),32.34)</f>
        <v>32.340000000000003</v>
      </c>
      <c r="X192" s="3">
        <f ca="1">IFERROR(__xludf.DUMMYFUNCTION("""COMPUTED_VALUE"""),79.53)</f>
        <v>79.53</v>
      </c>
      <c r="Y192" s="3">
        <f ca="1">IFERROR(__xludf.DUMMYFUNCTION("""COMPUTED_VALUE"""),47.51)</f>
        <v>47.51</v>
      </c>
      <c r="Z192" s="3">
        <f ca="1">IFERROR(__xludf.DUMMYFUNCTION("""COMPUTED_VALUE"""),72.16)</f>
        <v>72.16</v>
      </c>
      <c r="AA192" s="3">
        <f ca="1">IFERROR(__xludf.DUMMYFUNCTION("""COMPUTED_VALUE"""),37.26)</f>
        <v>37.26</v>
      </c>
      <c r="AB192" s="3">
        <f ca="1">IFERROR(__xludf.DUMMYFUNCTION("""COMPUTED_VALUE"""),62.87)</f>
        <v>62.87</v>
      </c>
      <c r="AC192" s="3">
        <f ca="1">IFERROR(__xludf.DUMMYFUNCTION("""COMPUTED_VALUE"""),50.33)</f>
        <v>50.33</v>
      </c>
      <c r="AD192" s="3">
        <f ca="1">IFERROR(__xludf.DUMMYFUNCTION("""COMPUTED_VALUE"""),7.82)</f>
        <v>7.82</v>
      </c>
      <c r="AE192" s="3">
        <f ca="1">IFERROR(__xludf.DUMMYFUNCTION("""COMPUTED_VALUE"""),12.52)</f>
        <v>12.52</v>
      </c>
      <c r="AF192" s="3">
        <f ca="1">IFERROR(__xludf.DUMMYFUNCTION("""COMPUTED_VALUE"""),2.81)</f>
        <v>2.81</v>
      </c>
      <c r="AG192" s="3">
        <f ca="1">IFERROR(__xludf.DUMMYFUNCTION("""COMPUTED_VALUE"""),26.12)</f>
        <v>26.12</v>
      </c>
    </row>
    <row r="193" spans="1:33" ht="12.75" x14ac:dyDescent="0.2">
      <c r="A193" s="4">
        <f ca="1">IFERROR(__xludf.DUMMYFUNCTION("""COMPUTED_VALUE"""),44839.6666666666)</f>
        <v>44839.666666666599</v>
      </c>
      <c r="B193" s="3">
        <f ca="1">IFERROR(__xludf.DUMMYFUNCTION("""COMPUTED_VALUE"""),126.99)</f>
        <v>126.99</v>
      </c>
      <c r="C193" s="3">
        <f ca="1">IFERROR(__xludf.DUMMYFUNCTION("""COMPUTED_VALUE"""),328.83)</f>
        <v>328.83</v>
      </c>
      <c r="D193" s="3">
        <f ca="1">IFERROR(__xludf.DUMMYFUNCTION("""COMPUTED_VALUE"""),78.55)</f>
        <v>78.55</v>
      </c>
      <c r="E193" s="3">
        <f ca="1">IFERROR(__xludf.DUMMYFUNCTION("""COMPUTED_VALUE"""),116.01)</f>
        <v>116.01</v>
      </c>
      <c r="F193" s="3">
        <f ca="1">IFERROR(__xludf.DUMMYFUNCTION("""COMPUTED_VALUE"""),46.06)</f>
        <v>46.06</v>
      </c>
      <c r="G193" s="3">
        <f ca="1">IFERROR(__xludf.DUMMYFUNCTION("""COMPUTED_VALUE"""),19.33)</f>
        <v>19.329999999999998</v>
      </c>
      <c r="H193" s="3">
        <f ca="1">IFERROR(__xludf.DUMMYFUNCTION("""COMPUTED_VALUE"""),23.56)</f>
        <v>23.56</v>
      </c>
      <c r="I193" s="3">
        <f ca="1">IFERROR(__xludf.DUMMYFUNCTION("""COMPUTED_VALUE"""),126.89)</f>
        <v>126.89</v>
      </c>
      <c r="J193" s="3">
        <f ca="1">IFERROR(__xludf.DUMMYFUNCTION("""COMPUTED_VALUE"""),234.03)</f>
        <v>234.03</v>
      </c>
      <c r="K193" s="3">
        <f ca="1">IFERROR(__xludf.DUMMYFUNCTION("""COMPUTED_VALUE"""),122.87)</f>
        <v>122.87</v>
      </c>
      <c r="L193" s="3">
        <f ca="1">IFERROR(__xludf.DUMMYFUNCTION("""COMPUTED_VALUE"""),82.67)</f>
        <v>82.67</v>
      </c>
      <c r="M193" s="3">
        <f ca="1">IFERROR(__xludf.DUMMYFUNCTION("""COMPUTED_VALUE"""),61.34)</f>
        <v>61.34</v>
      </c>
      <c r="N193" s="3">
        <f ca="1">IFERROR(__xludf.DUMMYFUNCTION("""COMPUTED_VALUE"""),60.37)</f>
        <v>60.37</v>
      </c>
      <c r="O193" s="3">
        <f ca="1">IFERROR(__xludf.DUMMYFUNCTION("""COMPUTED_VALUE"""),52.56)</f>
        <v>52.56</v>
      </c>
      <c r="P193" s="3">
        <f ca="1">IFERROR(__xludf.DUMMYFUNCTION("""COMPUTED_VALUE"""),81)</f>
        <v>81</v>
      </c>
      <c r="Q193" s="3">
        <f ca="1">IFERROR(__xludf.DUMMYFUNCTION("""COMPUTED_VALUE"""),114.04)</f>
        <v>114.04</v>
      </c>
      <c r="R193" s="3">
        <f ca="1">IFERROR(__xludf.DUMMYFUNCTION("""COMPUTED_VALUE"""),71.98)</f>
        <v>71.98</v>
      </c>
      <c r="S193" s="3">
        <f ca="1">IFERROR(__xludf.DUMMYFUNCTION("""COMPUTED_VALUE"""),47.13)</f>
        <v>47.13</v>
      </c>
      <c r="T193" s="3">
        <f ca="1">IFERROR(__xludf.DUMMYFUNCTION("""COMPUTED_VALUE"""),25.56)</f>
        <v>25.56</v>
      </c>
      <c r="U193" s="3">
        <f ca="1">IFERROR(__xludf.DUMMYFUNCTION("""COMPUTED_VALUE"""),71.94)</f>
        <v>71.94</v>
      </c>
      <c r="V193" s="3">
        <f ca="1">IFERROR(__xludf.DUMMYFUNCTION("""COMPUTED_VALUE"""),75.26)</f>
        <v>75.260000000000005</v>
      </c>
      <c r="W193" s="3">
        <f ca="1">IFERROR(__xludf.DUMMYFUNCTION("""COMPUTED_VALUE"""),32.09)</f>
        <v>32.090000000000003</v>
      </c>
      <c r="X193" s="3">
        <f ca="1">IFERROR(__xludf.DUMMYFUNCTION("""COMPUTED_VALUE"""),78.9)</f>
        <v>78.900000000000006</v>
      </c>
      <c r="Y193" s="3">
        <f ca="1">IFERROR(__xludf.DUMMYFUNCTION("""COMPUTED_VALUE"""),47.14)</f>
        <v>47.14</v>
      </c>
      <c r="Z193" s="3">
        <f ca="1">IFERROR(__xludf.DUMMYFUNCTION("""COMPUTED_VALUE"""),71.61)</f>
        <v>71.61</v>
      </c>
      <c r="AA193" s="3">
        <f ca="1">IFERROR(__xludf.DUMMYFUNCTION("""COMPUTED_VALUE"""),36.57)</f>
        <v>36.57</v>
      </c>
      <c r="AB193" s="3">
        <f ca="1">IFERROR(__xludf.DUMMYFUNCTION("""COMPUTED_VALUE"""),62.35)</f>
        <v>62.35</v>
      </c>
      <c r="AC193" s="3">
        <f ca="1">IFERROR(__xludf.DUMMYFUNCTION("""COMPUTED_VALUE"""),50.03)</f>
        <v>50.03</v>
      </c>
      <c r="AD193" s="3">
        <f ca="1">IFERROR(__xludf.DUMMYFUNCTION("""COMPUTED_VALUE"""),7.77)</f>
        <v>7.77</v>
      </c>
      <c r="AE193" s="3">
        <f ca="1">IFERROR(__xludf.DUMMYFUNCTION("""COMPUTED_VALUE"""),12.41)</f>
        <v>12.41</v>
      </c>
      <c r="AF193" s="3">
        <f ca="1">IFERROR(__xludf.DUMMYFUNCTION("""COMPUTED_VALUE"""),2.98)</f>
        <v>2.98</v>
      </c>
      <c r="AG193" s="3">
        <f ca="1">IFERROR(__xludf.DUMMYFUNCTION("""COMPUTED_VALUE"""),25.84)</f>
        <v>25.84</v>
      </c>
    </row>
    <row r="194" spans="1:33" ht="12.75" x14ac:dyDescent="0.2">
      <c r="A194" s="4">
        <f ca="1">IFERROR(__xludf.DUMMYFUNCTION("""COMPUTED_VALUE"""),44840.6666666666)</f>
        <v>44840.666666666599</v>
      </c>
      <c r="B194" s="3">
        <f ca="1">IFERROR(__xludf.DUMMYFUNCTION("""COMPUTED_VALUE"""),125.95)</f>
        <v>125.95</v>
      </c>
      <c r="C194" s="3">
        <f ca="1">IFERROR(__xludf.DUMMYFUNCTION("""COMPUTED_VALUE"""),326.34)</f>
        <v>326.33999999999997</v>
      </c>
      <c r="D194" s="3">
        <f ca="1">IFERROR(__xludf.DUMMYFUNCTION("""COMPUTED_VALUE"""),78.1)</f>
        <v>78.099999999999994</v>
      </c>
      <c r="E194" s="3">
        <f ca="1">IFERROR(__xludf.DUMMYFUNCTION("""COMPUTED_VALUE"""),115.55)</f>
        <v>115.55</v>
      </c>
      <c r="F194" s="3">
        <f ca="1">IFERROR(__xludf.DUMMYFUNCTION("""COMPUTED_VALUE"""),45.75)</f>
        <v>45.75</v>
      </c>
      <c r="G194" s="3">
        <f ca="1">IFERROR(__xludf.DUMMYFUNCTION("""COMPUTED_VALUE"""),19.18)</f>
        <v>19.18</v>
      </c>
      <c r="H194" s="3">
        <f ca="1">IFERROR(__xludf.DUMMYFUNCTION("""COMPUTED_VALUE"""),23.39)</f>
        <v>23.39</v>
      </c>
      <c r="I194" s="3">
        <f ca="1">IFERROR(__xludf.DUMMYFUNCTION("""COMPUTED_VALUE"""),125.27)</f>
        <v>125.27</v>
      </c>
      <c r="J194" s="3">
        <f ca="1">IFERROR(__xludf.DUMMYFUNCTION("""COMPUTED_VALUE"""),231.32)</f>
        <v>231.32</v>
      </c>
      <c r="K194" s="3">
        <f ca="1">IFERROR(__xludf.DUMMYFUNCTION("""COMPUTED_VALUE"""),122.27)</f>
        <v>122.27</v>
      </c>
      <c r="L194" s="3">
        <f ca="1">IFERROR(__xludf.DUMMYFUNCTION("""COMPUTED_VALUE"""),82.67)</f>
        <v>82.67</v>
      </c>
      <c r="M194" s="3">
        <f ca="1">IFERROR(__xludf.DUMMYFUNCTION("""COMPUTED_VALUE"""),61.15)</f>
        <v>61.15</v>
      </c>
      <c r="N194" s="3">
        <f ca="1">IFERROR(__xludf.DUMMYFUNCTION("""COMPUTED_VALUE"""),59.7)</f>
        <v>59.7</v>
      </c>
      <c r="O194" s="3">
        <f ca="1">IFERROR(__xludf.DUMMYFUNCTION("""COMPUTED_VALUE"""),52.92)</f>
        <v>52.92</v>
      </c>
      <c r="P194" s="3">
        <f ca="1">IFERROR(__xludf.DUMMYFUNCTION("""COMPUTED_VALUE"""),82.44)</f>
        <v>82.44</v>
      </c>
      <c r="Q194" s="3">
        <f ca="1">IFERROR(__xludf.DUMMYFUNCTION("""COMPUTED_VALUE"""),115.92)</f>
        <v>115.92</v>
      </c>
      <c r="R194" s="3">
        <f ca="1">IFERROR(__xludf.DUMMYFUNCTION("""COMPUTED_VALUE"""),71.22)</f>
        <v>71.22</v>
      </c>
      <c r="S194" s="3">
        <f ca="1">IFERROR(__xludf.DUMMYFUNCTION("""COMPUTED_VALUE"""),46.92)</f>
        <v>46.92</v>
      </c>
      <c r="T194" s="3">
        <f ca="1">IFERROR(__xludf.DUMMYFUNCTION("""COMPUTED_VALUE"""),25.72)</f>
        <v>25.72</v>
      </c>
      <c r="U194" s="3">
        <f ca="1">IFERROR(__xludf.DUMMYFUNCTION("""COMPUTED_VALUE"""),72.99)</f>
        <v>72.989999999999995</v>
      </c>
      <c r="V194" s="3">
        <f ca="1">IFERROR(__xludf.DUMMYFUNCTION("""COMPUTED_VALUE"""),73.14)</f>
        <v>73.14</v>
      </c>
      <c r="W194" s="3">
        <f ca="1">IFERROR(__xludf.DUMMYFUNCTION("""COMPUTED_VALUE"""),31.64)</f>
        <v>31.64</v>
      </c>
      <c r="X194" s="3">
        <f ca="1">IFERROR(__xludf.DUMMYFUNCTION("""COMPUTED_VALUE"""),77.9)</f>
        <v>77.900000000000006</v>
      </c>
      <c r="Y194" s="3">
        <f ca="1">IFERROR(__xludf.DUMMYFUNCTION("""COMPUTED_VALUE"""),46.63)</f>
        <v>46.63</v>
      </c>
      <c r="Z194" s="3">
        <f ca="1">IFERROR(__xludf.DUMMYFUNCTION("""COMPUTED_VALUE"""),70.64)</f>
        <v>70.64</v>
      </c>
      <c r="AA194" s="3">
        <f ca="1">IFERROR(__xludf.DUMMYFUNCTION("""COMPUTED_VALUE"""),35.37)</f>
        <v>35.369999999999997</v>
      </c>
      <c r="AB194" s="3">
        <f ca="1">IFERROR(__xludf.DUMMYFUNCTION("""COMPUTED_VALUE"""),61.75)</f>
        <v>61.75</v>
      </c>
      <c r="AC194" s="3">
        <f ca="1">IFERROR(__xludf.DUMMYFUNCTION("""COMPUTED_VALUE"""),49.32)</f>
        <v>49.32</v>
      </c>
      <c r="AD194" s="3">
        <f ca="1">IFERROR(__xludf.DUMMYFUNCTION("""COMPUTED_VALUE"""),7.71)</f>
        <v>7.71</v>
      </c>
      <c r="AE194" s="3">
        <f ca="1">IFERROR(__xludf.DUMMYFUNCTION("""COMPUTED_VALUE"""),12.35)</f>
        <v>12.35</v>
      </c>
      <c r="AF194" s="3">
        <f ca="1">IFERROR(__xludf.DUMMYFUNCTION("""COMPUTED_VALUE"""),2.98)</f>
        <v>2.98</v>
      </c>
      <c r="AG194" s="3">
        <f ca="1">IFERROR(__xludf.DUMMYFUNCTION("""COMPUTED_VALUE"""),25.84)</f>
        <v>25.84</v>
      </c>
    </row>
    <row r="195" spans="1:33" ht="12.75" x14ac:dyDescent="0.2">
      <c r="A195" s="4">
        <f ca="1">IFERROR(__xludf.DUMMYFUNCTION("""COMPUTED_VALUE"""),44841.6666666666)</f>
        <v>44841.666666666599</v>
      </c>
      <c r="B195" s="3">
        <f ca="1">IFERROR(__xludf.DUMMYFUNCTION("""COMPUTED_VALUE"""),120.77)</f>
        <v>120.77</v>
      </c>
      <c r="C195" s="3">
        <f ca="1">IFERROR(__xludf.DUMMYFUNCTION("""COMPUTED_VALUE"""),312.76)</f>
        <v>312.76</v>
      </c>
      <c r="D195" s="3">
        <f ca="1">IFERROR(__xludf.DUMMYFUNCTION("""COMPUTED_VALUE"""),74.71)</f>
        <v>74.709999999999994</v>
      </c>
      <c r="E195" s="3">
        <f ca="1">IFERROR(__xludf.DUMMYFUNCTION("""COMPUTED_VALUE"""),108.62)</f>
        <v>108.62</v>
      </c>
      <c r="F195" s="3">
        <f ca="1">IFERROR(__xludf.DUMMYFUNCTION("""COMPUTED_VALUE"""),44.15)</f>
        <v>44.15</v>
      </c>
      <c r="G195" s="3">
        <f ca="1">IFERROR(__xludf.DUMMYFUNCTION("""COMPUTED_VALUE"""),18.56)</f>
        <v>18.559999999999999</v>
      </c>
      <c r="H195" s="3">
        <f ca="1">IFERROR(__xludf.DUMMYFUNCTION("""COMPUTED_VALUE"""),22.59)</f>
        <v>22.59</v>
      </c>
      <c r="I195" s="3">
        <f ca="1">IFERROR(__xludf.DUMMYFUNCTION("""COMPUTED_VALUE"""),122.62)</f>
        <v>122.62</v>
      </c>
      <c r="J195" s="3">
        <f ca="1">IFERROR(__xludf.DUMMYFUNCTION("""COMPUTED_VALUE"""),226.04)</f>
        <v>226.04</v>
      </c>
      <c r="K195" s="3">
        <f ca="1">IFERROR(__xludf.DUMMYFUNCTION("""COMPUTED_VALUE"""),118.84)</f>
        <v>118.84</v>
      </c>
      <c r="L195" s="3">
        <f ca="1">IFERROR(__xludf.DUMMYFUNCTION("""COMPUTED_VALUE"""),79.1)</f>
        <v>79.099999999999994</v>
      </c>
      <c r="M195" s="3">
        <f ca="1">IFERROR(__xludf.DUMMYFUNCTION("""COMPUTED_VALUE"""),59.63)</f>
        <v>59.63</v>
      </c>
      <c r="N195" s="3">
        <f ca="1">IFERROR(__xludf.DUMMYFUNCTION("""COMPUTED_VALUE"""),58.31)</f>
        <v>58.31</v>
      </c>
      <c r="O195" s="3">
        <f ca="1">IFERROR(__xludf.DUMMYFUNCTION("""COMPUTED_VALUE"""),50.04)</f>
        <v>50.04</v>
      </c>
      <c r="P195" s="3">
        <f ca="1">IFERROR(__xludf.DUMMYFUNCTION("""COMPUTED_VALUE"""),81.8)</f>
        <v>81.8</v>
      </c>
      <c r="Q195" s="3">
        <f ca="1">IFERROR(__xludf.DUMMYFUNCTION("""COMPUTED_VALUE"""),114.98)</f>
        <v>114.98</v>
      </c>
      <c r="R195" s="3">
        <f ca="1">IFERROR(__xludf.DUMMYFUNCTION("""COMPUTED_VALUE"""),69.46)</f>
        <v>69.459999999999994</v>
      </c>
      <c r="S195" s="3">
        <f ca="1">IFERROR(__xludf.DUMMYFUNCTION("""COMPUTED_VALUE"""),45.59)</f>
        <v>45.59</v>
      </c>
      <c r="T195" s="3">
        <f ca="1">IFERROR(__xludf.DUMMYFUNCTION("""COMPUTED_VALUE"""),25.99)</f>
        <v>25.99</v>
      </c>
      <c r="U195" s="3">
        <f ca="1">IFERROR(__xludf.DUMMYFUNCTION("""COMPUTED_VALUE"""),75.1)</f>
        <v>75.099999999999994</v>
      </c>
      <c r="V195" s="3">
        <f ca="1">IFERROR(__xludf.DUMMYFUNCTION("""COMPUTED_VALUE"""),71.05)</f>
        <v>71.05</v>
      </c>
      <c r="W195" s="3">
        <f ca="1">IFERROR(__xludf.DUMMYFUNCTION("""COMPUTED_VALUE"""),30.89)</f>
        <v>30.89</v>
      </c>
      <c r="X195" s="3">
        <f ca="1">IFERROR(__xludf.DUMMYFUNCTION("""COMPUTED_VALUE"""),75.97)</f>
        <v>75.97</v>
      </c>
      <c r="Y195" s="3">
        <f ca="1">IFERROR(__xludf.DUMMYFUNCTION("""COMPUTED_VALUE"""),45.56)</f>
        <v>45.56</v>
      </c>
      <c r="Z195" s="3">
        <f ca="1">IFERROR(__xludf.DUMMYFUNCTION("""COMPUTED_VALUE"""),68.96)</f>
        <v>68.959999999999994</v>
      </c>
      <c r="AA195" s="3">
        <f ca="1">IFERROR(__xludf.DUMMYFUNCTION("""COMPUTED_VALUE"""),34.53)</f>
        <v>34.53</v>
      </c>
      <c r="AB195" s="3">
        <f ca="1">IFERROR(__xludf.DUMMYFUNCTION("""COMPUTED_VALUE"""),60.34)</f>
        <v>60.34</v>
      </c>
      <c r="AC195" s="3">
        <f ca="1">IFERROR(__xludf.DUMMYFUNCTION("""COMPUTED_VALUE"""),48.16)</f>
        <v>48.16</v>
      </c>
      <c r="AD195" s="3">
        <f ca="1">IFERROR(__xludf.DUMMYFUNCTION("""COMPUTED_VALUE"""),7.47)</f>
        <v>7.47</v>
      </c>
      <c r="AE195" s="3">
        <f ca="1">IFERROR(__xludf.DUMMYFUNCTION("""COMPUTED_VALUE"""),11.96)</f>
        <v>11.96</v>
      </c>
      <c r="AF195" s="3">
        <f ca="1">IFERROR(__xludf.DUMMYFUNCTION("""COMPUTED_VALUE"""),2.98)</f>
        <v>2.98</v>
      </c>
      <c r="AG195" s="3">
        <f ca="1">IFERROR(__xludf.DUMMYFUNCTION("""COMPUTED_VALUE"""),23.48)</f>
        <v>23.48</v>
      </c>
    </row>
    <row r="196" spans="1:33" ht="12.75" x14ac:dyDescent="0.2">
      <c r="A196" s="4">
        <f ca="1">IFERROR(__xludf.DUMMYFUNCTION("""COMPUTED_VALUE"""),44844.6666666666)</f>
        <v>44844.666666666599</v>
      </c>
      <c r="B196" s="3">
        <f ca="1">IFERROR(__xludf.DUMMYFUNCTION("""COMPUTED_VALUE"""),118.74)</f>
        <v>118.74</v>
      </c>
      <c r="C196" s="3">
        <f ca="1">IFERROR(__xludf.DUMMYFUNCTION("""COMPUTED_VALUE"""),307.11)</f>
        <v>307.11</v>
      </c>
      <c r="D196" s="3">
        <f ca="1">IFERROR(__xludf.DUMMYFUNCTION("""COMPUTED_VALUE"""),73.28)</f>
        <v>73.28</v>
      </c>
      <c r="E196" s="3">
        <f ca="1">IFERROR(__xludf.DUMMYFUNCTION("""COMPUTED_VALUE"""),104.92)</f>
        <v>104.92</v>
      </c>
      <c r="F196" s="3">
        <f ca="1">IFERROR(__xludf.DUMMYFUNCTION("""COMPUTED_VALUE"""),43.04)</f>
        <v>43.04</v>
      </c>
      <c r="G196" s="3">
        <f ca="1">IFERROR(__xludf.DUMMYFUNCTION("""COMPUTED_VALUE"""),18.28)</f>
        <v>18.28</v>
      </c>
      <c r="H196" s="3">
        <f ca="1">IFERROR(__xludf.DUMMYFUNCTION("""COMPUTED_VALUE"""),22.25)</f>
        <v>22.25</v>
      </c>
      <c r="I196" s="3">
        <f ca="1">IFERROR(__xludf.DUMMYFUNCTION("""COMPUTED_VALUE"""),121.85)</f>
        <v>121.85</v>
      </c>
      <c r="J196" s="3">
        <f ca="1">IFERROR(__xludf.DUMMYFUNCTION("""COMPUTED_VALUE"""),224.15)</f>
        <v>224.15</v>
      </c>
      <c r="K196" s="3">
        <f ca="1">IFERROR(__xludf.DUMMYFUNCTION("""COMPUTED_VALUE"""),117.95)</f>
        <v>117.95</v>
      </c>
      <c r="L196" s="3">
        <f ca="1">IFERROR(__xludf.DUMMYFUNCTION("""COMPUTED_VALUE"""),77.65)</f>
        <v>77.650000000000006</v>
      </c>
      <c r="M196" s="3">
        <f ca="1">IFERROR(__xludf.DUMMYFUNCTION("""COMPUTED_VALUE"""),59.25)</f>
        <v>59.25</v>
      </c>
      <c r="N196" s="3">
        <f ca="1">IFERROR(__xludf.DUMMYFUNCTION("""COMPUTED_VALUE"""),57.8)</f>
        <v>57.8</v>
      </c>
      <c r="O196" s="3">
        <f ca="1">IFERROR(__xludf.DUMMYFUNCTION("""COMPUTED_VALUE"""),48.76)</f>
        <v>48.76</v>
      </c>
      <c r="P196" s="3">
        <f ca="1">IFERROR(__xludf.DUMMYFUNCTION("""COMPUTED_VALUE"""),80.12)</f>
        <v>80.12</v>
      </c>
      <c r="Q196" s="3">
        <f ca="1">IFERROR(__xludf.DUMMYFUNCTION("""COMPUTED_VALUE"""),112.62)</f>
        <v>112.62</v>
      </c>
      <c r="R196" s="3">
        <f ca="1">IFERROR(__xludf.DUMMYFUNCTION("""COMPUTED_VALUE"""),69.61)</f>
        <v>69.61</v>
      </c>
      <c r="S196" s="3">
        <f ca="1">IFERROR(__xludf.DUMMYFUNCTION("""COMPUTED_VALUE"""),45.98)</f>
        <v>45.98</v>
      </c>
      <c r="T196" s="3">
        <f ca="1">IFERROR(__xludf.DUMMYFUNCTION("""COMPUTED_VALUE"""),25.7)</f>
        <v>25.7</v>
      </c>
      <c r="U196" s="3">
        <f ca="1">IFERROR(__xludf.DUMMYFUNCTION("""COMPUTED_VALUE"""),73.78)</f>
        <v>73.78</v>
      </c>
      <c r="V196" s="3">
        <f ca="1">IFERROR(__xludf.DUMMYFUNCTION("""COMPUTED_VALUE"""),70.09)</f>
        <v>70.09</v>
      </c>
      <c r="W196" s="3">
        <f ca="1">IFERROR(__xludf.DUMMYFUNCTION("""COMPUTED_VALUE"""),30.75)</f>
        <v>30.75</v>
      </c>
      <c r="X196" s="3">
        <f ca="1">IFERROR(__xludf.DUMMYFUNCTION("""COMPUTED_VALUE"""),75.69)</f>
        <v>75.69</v>
      </c>
      <c r="Y196" s="3">
        <f ca="1">IFERROR(__xludf.DUMMYFUNCTION("""COMPUTED_VALUE"""),45.34)</f>
        <v>45.34</v>
      </c>
      <c r="Z196" s="3">
        <f ca="1">IFERROR(__xludf.DUMMYFUNCTION("""COMPUTED_VALUE"""),68.66)</f>
        <v>68.66</v>
      </c>
      <c r="AA196" s="3">
        <f ca="1">IFERROR(__xludf.DUMMYFUNCTION("""COMPUTED_VALUE"""),34.14)</f>
        <v>34.14</v>
      </c>
      <c r="AB196" s="3">
        <f ca="1">IFERROR(__xludf.DUMMYFUNCTION("""COMPUTED_VALUE"""),60.21)</f>
        <v>60.21</v>
      </c>
      <c r="AC196" s="3">
        <f ca="1">IFERROR(__xludf.DUMMYFUNCTION("""COMPUTED_VALUE"""),47.79)</f>
        <v>47.79</v>
      </c>
      <c r="AD196" s="3">
        <f ca="1">IFERROR(__xludf.DUMMYFUNCTION("""COMPUTED_VALUE"""),7.36)</f>
        <v>7.36</v>
      </c>
      <c r="AE196" s="3">
        <f ca="1">IFERROR(__xludf.DUMMYFUNCTION("""COMPUTED_VALUE"""),11.79)</f>
        <v>11.79</v>
      </c>
      <c r="AF196" s="3">
        <f ca="1">IFERROR(__xludf.DUMMYFUNCTION("""COMPUTED_VALUE"""),2.76)</f>
        <v>2.76</v>
      </c>
      <c r="AG196" s="3">
        <f ca="1">IFERROR(__xludf.DUMMYFUNCTION("""COMPUTED_VALUE"""),22.64)</f>
        <v>22.64</v>
      </c>
    </row>
    <row r="197" spans="1:33" ht="12.75" x14ac:dyDescent="0.2">
      <c r="A197" s="4">
        <f ca="1">IFERROR(__xludf.DUMMYFUNCTION("""COMPUTED_VALUE"""),44845.6666666666)</f>
        <v>44845.666666666599</v>
      </c>
      <c r="B197" s="3">
        <f ca="1">IFERROR(__xludf.DUMMYFUNCTION("""COMPUTED_VALUE"""),116.92)</f>
        <v>116.92</v>
      </c>
      <c r="C197" s="3">
        <f ca="1">IFERROR(__xludf.DUMMYFUNCTION("""COMPUTED_VALUE"""),302.11)</f>
        <v>302.11</v>
      </c>
      <c r="D197" s="3">
        <f ca="1">IFERROR(__xludf.DUMMYFUNCTION("""COMPUTED_VALUE"""),72.06)</f>
        <v>72.06</v>
      </c>
      <c r="E197" s="3">
        <f ca="1">IFERROR(__xludf.DUMMYFUNCTION("""COMPUTED_VALUE"""),101.97)</f>
        <v>101.97</v>
      </c>
      <c r="F197" s="3">
        <f ca="1">IFERROR(__xludf.DUMMYFUNCTION("""COMPUTED_VALUE"""),42.32)</f>
        <v>42.32</v>
      </c>
      <c r="G197" s="3">
        <f ca="1">IFERROR(__xludf.DUMMYFUNCTION("""COMPUTED_VALUE"""),18.04)</f>
        <v>18.04</v>
      </c>
      <c r="H197" s="3">
        <f ca="1">IFERROR(__xludf.DUMMYFUNCTION("""COMPUTED_VALUE"""),21.97)</f>
        <v>21.97</v>
      </c>
      <c r="I197" s="3">
        <f ca="1">IFERROR(__xludf.DUMMYFUNCTION("""COMPUTED_VALUE"""),122.5)</f>
        <v>122.5</v>
      </c>
      <c r="J197" s="3">
        <f ca="1">IFERROR(__xludf.DUMMYFUNCTION("""COMPUTED_VALUE"""),225.39)</f>
        <v>225.39</v>
      </c>
      <c r="K197" s="3">
        <f ca="1">IFERROR(__xludf.DUMMYFUNCTION("""COMPUTED_VALUE"""),118.17)</f>
        <v>118.17</v>
      </c>
      <c r="L197" s="3">
        <f ca="1">IFERROR(__xludf.DUMMYFUNCTION("""COMPUTED_VALUE"""),78.27)</f>
        <v>78.27</v>
      </c>
      <c r="M197" s="3">
        <f ca="1">IFERROR(__xludf.DUMMYFUNCTION("""COMPUTED_VALUE"""),59.58)</f>
        <v>59.58</v>
      </c>
      <c r="N197" s="3">
        <f ca="1">IFERROR(__xludf.DUMMYFUNCTION("""COMPUTED_VALUE"""),58.11)</f>
        <v>58.11</v>
      </c>
      <c r="O197" s="3">
        <f ca="1">IFERROR(__xludf.DUMMYFUNCTION("""COMPUTED_VALUE"""),48.46)</f>
        <v>48.46</v>
      </c>
      <c r="P197" s="3">
        <f ca="1">IFERROR(__xludf.DUMMYFUNCTION("""COMPUTED_VALUE"""),79.48)</f>
        <v>79.48</v>
      </c>
      <c r="Q197" s="3">
        <f ca="1">IFERROR(__xludf.DUMMYFUNCTION("""COMPUTED_VALUE"""),111.78)</f>
        <v>111.78</v>
      </c>
      <c r="R197" s="3">
        <f ca="1">IFERROR(__xludf.DUMMYFUNCTION("""COMPUTED_VALUE"""),69.07)</f>
        <v>69.069999999999993</v>
      </c>
      <c r="S197" s="3">
        <f ca="1">IFERROR(__xludf.DUMMYFUNCTION("""COMPUTED_VALUE"""),45.55)</f>
        <v>45.55</v>
      </c>
      <c r="T197" s="3">
        <f ca="1">IFERROR(__xludf.DUMMYFUNCTION("""COMPUTED_VALUE"""),25.33)</f>
        <v>25.33</v>
      </c>
      <c r="U197" s="3">
        <f ca="1">IFERROR(__xludf.DUMMYFUNCTION("""COMPUTED_VALUE"""),71.75)</f>
        <v>71.75</v>
      </c>
      <c r="V197" s="3">
        <f ca="1">IFERROR(__xludf.DUMMYFUNCTION("""COMPUTED_VALUE"""),69.12)</f>
        <v>69.12</v>
      </c>
      <c r="W197" s="3">
        <f ca="1">IFERROR(__xludf.DUMMYFUNCTION("""COMPUTED_VALUE"""),30.36)</f>
        <v>30.36</v>
      </c>
      <c r="X197" s="3">
        <f ca="1">IFERROR(__xludf.DUMMYFUNCTION("""COMPUTED_VALUE"""),74.84)</f>
        <v>74.84</v>
      </c>
      <c r="Y197" s="3">
        <f ca="1">IFERROR(__xludf.DUMMYFUNCTION("""COMPUTED_VALUE"""),45.08)</f>
        <v>45.08</v>
      </c>
      <c r="Z197" s="3">
        <f ca="1">IFERROR(__xludf.DUMMYFUNCTION("""COMPUTED_VALUE"""),67.77)</f>
        <v>67.77</v>
      </c>
      <c r="AA197" s="3">
        <f ca="1">IFERROR(__xludf.DUMMYFUNCTION("""COMPUTED_VALUE"""),34.46)</f>
        <v>34.46</v>
      </c>
      <c r="AB197" s="3">
        <f ca="1">IFERROR(__xludf.DUMMYFUNCTION("""COMPUTED_VALUE"""),59.95)</f>
        <v>59.95</v>
      </c>
      <c r="AC197" s="3">
        <f ca="1">IFERROR(__xludf.DUMMYFUNCTION("""COMPUTED_VALUE"""),46.92)</f>
        <v>46.92</v>
      </c>
      <c r="AD197" s="3">
        <f ca="1">IFERROR(__xludf.DUMMYFUNCTION("""COMPUTED_VALUE"""),7.29)</f>
        <v>7.29</v>
      </c>
      <c r="AE197" s="3">
        <f ca="1">IFERROR(__xludf.DUMMYFUNCTION("""COMPUTED_VALUE"""),11.66)</f>
        <v>11.66</v>
      </c>
      <c r="AF197" s="3">
        <f ca="1">IFERROR(__xludf.DUMMYFUNCTION("""COMPUTED_VALUE"""),2.71)</f>
        <v>2.71</v>
      </c>
      <c r="AG197" s="3">
        <f ca="1">IFERROR(__xludf.DUMMYFUNCTION("""COMPUTED_VALUE"""),22.4)</f>
        <v>22.4</v>
      </c>
    </row>
    <row r="198" spans="1:33" ht="12.75" x14ac:dyDescent="0.2">
      <c r="A198" s="4">
        <f ca="1">IFERROR(__xludf.DUMMYFUNCTION("""COMPUTED_VALUE"""),44846.6666666666)</f>
        <v>44846.666666666599</v>
      </c>
      <c r="B198" s="3">
        <f ca="1">IFERROR(__xludf.DUMMYFUNCTION("""COMPUTED_VALUE"""),116.56)</f>
        <v>116.56</v>
      </c>
      <c r="C198" s="3">
        <f ca="1">IFERROR(__xludf.DUMMYFUNCTION("""COMPUTED_VALUE"""),301.03)</f>
        <v>301.02999999999997</v>
      </c>
      <c r="D198" s="3">
        <f ca="1">IFERROR(__xludf.DUMMYFUNCTION("""COMPUTED_VALUE"""),71.9)</f>
        <v>71.900000000000006</v>
      </c>
      <c r="E198" s="3">
        <f ca="1">IFERROR(__xludf.DUMMYFUNCTION("""COMPUTED_VALUE"""),100.98)</f>
        <v>100.98</v>
      </c>
      <c r="F198" s="3">
        <f ca="1">IFERROR(__xludf.DUMMYFUNCTION("""COMPUTED_VALUE"""),42.09)</f>
        <v>42.09</v>
      </c>
      <c r="G198" s="3">
        <f ca="1">IFERROR(__xludf.DUMMYFUNCTION("""COMPUTED_VALUE"""),18.01)</f>
        <v>18.010000000000002</v>
      </c>
      <c r="H198" s="3">
        <f ca="1">IFERROR(__xludf.DUMMYFUNCTION("""COMPUTED_VALUE"""),21.92)</f>
        <v>21.92</v>
      </c>
      <c r="I198" s="3">
        <f ca="1">IFERROR(__xludf.DUMMYFUNCTION("""COMPUTED_VALUE"""),121.9)</f>
        <v>121.9</v>
      </c>
      <c r="J198" s="3">
        <f ca="1">IFERROR(__xludf.DUMMYFUNCTION("""COMPUTED_VALUE"""),224.2)</f>
        <v>224.2</v>
      </c>
      <c r="K198" s="3">
        <f ca="1">IFERROR(__xludf.DUMMYFUNCTION("""COMPUTED_VALUE"""),119.03)</f>
        <v>119.03</v>
      </c>
      <c r="L198" s="3">
        <f ca="1">IFERROR(__xludf.DUMMYFUNCTION("""COMPUTED_VALUE"""),78.7)</f>
        <v>78.7</v>
      </c>
      <c r="M198" s="3">
        <f ca="1">IFERROR(__xludf.DUMMYFUNCTION("""COMPUTED_VALUE"""),59.59)</f>
        <v>59.59</v>
      </c>
      <c r="N198" s="3">
        <f ca="1">IFERROR(__xludf.DUMMYFUNCTION("""COMPUTED_VALUE"""),57.86)</f>
        <v>57.86</v>
      </c>
      <c r="O198" s="3">
        <f ca="1">IFERROR(__xludf.DUMMYFUNCTION("""COMPUTED_VALUE"""),49.44)</f>
        <v>49.44</v>
      </c>
      <c r="P198" s="3">
        <f ca="1">IFERROR(__xludf.DUMMYFUNCTION("""COMPUTED_VALUE"""),80.12)</f>
        <v>80.12</v>
      </c>
      <c r="Q198" s="3">
        <f ca="1">IFERROR(__xludf.DUMMYFUNCTION("""COMPUTED_VALUE"""),112.67)</f>
        <v>112.67</v>
      </c>
      <c r="R198" s="3">
        <f ca="1">IFERROR(__xludf.DUMMYFUNCTION("""COMPUTED_VALUE"""),68.55)</f>
        <v>68.55</v>
      </c>
      <c r="S198" s="3">
        <f ca="1">IFERROR(__xludf.DUMMYFUNCTION("""COMPUTED_VALUE"""),45.55)</f>
        <v>45.55</v>
      </c>
      <c r="T198" s="3">
        <f ca="1">IFERROR(__xludf.DUMMYFUNCTION("""COMPUTED_VALUE"""),25.33)</f>
        <v>25.33</v>
      </c>
      <c r="U198" s="3">
        <f ca="1">IFERROR(__xludf.DUMMYFUNCTION("""COMPUTED_VALUE"""),70.93)</f>
        <v>70.930000000000007</v>
      </c>
      <c r="V198" s="3">
        <f ca="1">IFERROR(__xludf.DUMMYFUNCTION("""COMPUTED_VALUE"""),66.89)</f>
        <v>66.89</v>
      </c>
      <c r="W198" s="3">
        <f ca="1">IFERROR(__xludf.DUMMYFUNCTION("""COMPUTED_VALUE"""),30.29)</f>
        <v>30.29</v>
      </c>
      <c r="X198" s="3">
        <f ca="1">IFERROR(__xludf.DUMMYFUNCTION("""COMPUTED_VALUE"""),74.7)</f>
        <v>74.7</v>
      </c>
      <c r="Y198" s="3">
        <f ca="1">IFERROR(__xludf.DUMMYFUNCTION("""COMPUTED_VALUE"""),44.96)</f>
        <v>44.96</v>
      </c>
      <c r="Z198" s="3">
        <f ca="1">IFERROR(__xludf.DUMMYFUNCTION("""COMPUTED_VALUE"""),67.64)</f>
        <v>67.64</v>
      </c>
      <c r="AA198" s="3">
        <f ca="1">IFERROR(__xludf.DUMMYFUNCTION("""COMPUTED_VALUE"""),34)</f>
        <v>34</v>
      </c>
      <c r="AB198" s="3">
        <f ca="1">IFERROR(__xludf.DUMMYFUNCTION("""COMPUTED_VALUE"""),59.82)</f>
        <v>59.82</v>
      </c>
      <c r="AC198" s="3">
        <f ca="1">IFERROR(__xludf.DUMMYFUNCTION("""COMPUTED_VALUE"""),46.94)</f>
        <v>46.94</v>
      </c>
      <c r="AD198" s="3">
        <f ca="1">IFERROR(__xludf.DUMMYFUNCTION("""COMPUTED_VALUE"""),7.36)</f>
        <v>7.36</v>
      </c>
      <c r="AE198" s="3">
        <f ca="1">IFERROR(__xludf.DUMMYFUNCTION("""COMPUTED_VALUE"""),11.77)</f>
        <v>11.77</v>
      </c>
      <c r="AF198" s="3">
        <f ca="1">IFERROR(__xludf.DUMMYFUNCTION("""COMPUTED_VALUE"""),2.72)</f>
        <v>2.72</v>
      </c>
      <c r="AG198" s="3">
        <f ca="1">IFERROR(__xludf.DUMMYFUNCTION("""COMPUTED_VALUE"""),22.34)</f>
        <v>22.34</v>
      </c>
    </row>
    <row r="199" spans="1:33" ht="12.75" x14ac:dyDescent="0.2">
      <c r="A199" s="4">
        <f ca="1">IFERROR(__xludf.DUMMYFUNCTION("""COMPUTED_VALUE"""),44847.6666666666)</f>
        <v>44847.666666666599</v>
      </c>
      <c r="B199" s="3">
        <f ca="1">IFERROR(__xludf.DUMMYFUNCTION("""COMPUTED_VALUE"""),120.18)</f>
        <v>120.18</v>
      </c>
      <c r="C199" s="3">
        <f ca="1">IFERROR(__xludf.DUMMYFUNCTION("""COMPUTED_VALUE"""),309.65)</f>
        <v>309.64999999999998</v>
      </c>
      <c r="D199" s="3">
        <f ca="1">IFERROR(__xludf.DUMMYFUNCTION("""COMPUTED_VALUE"""),73.74)</f>
        <v>73.739999999999995</v>
      </c>
      <c r="E199" s="3">
        <f ca="1">IFERROR(__xludf.DUMMYFUNCTION("""COMPUTED_VALUE"""),103.89)</f>
        <v>103.89</v>
      </c>
      <c r="F199" s="3">
        <f ca="1">IFERROR(__xludf.DUMMYFUNCTION("""COMPUTED_VALUE"""),42.56)</f>
        <v>42.56</v>
      </c>
      <c r="G199" s="3">
        <f ca="1">IFERROR(__xludf.DUMMYFUNCTION("""COMPUTED_VALUE"""),18.32)</f>
        <v>18.32</v>
      </c>
      <c r="H199" s="3">
        <f ca="1">IFERROR(__xludf.DUMMYFUNCTION("""COMPUTED_VALUE"""),22.26)</f>
        <v>22.26</v>
      </c>
      <c r="I199" s="3">
        <f ca="1">IFERROR(__xludf.DUMMYFUNCTION("""COMPUTED_VALUE"""),124.74)</f>
        <v>124.74</v>
      </c>
      <c r="J199" s="3">
        <f ca="1">IFERROR(__xludf.DUMMYFUNCTION("""COMPUTED_VALUE"""),229.33)</f>
        <v>229.33</v>
      </c>
      <c r="K199" s="3">
        <f ca="1">IFERROR(__xludf.DUMMYFUNCTION("""COMPUTED_VALUE"""),121.41)</f>
        <v>121.41</v>
      </c>
      <c r="L199" s="3">
        <f ca="1">IFERROR(__xludf.DUMMYFUNCTION("""COMPUTED_VALUE"""),80.07)</f>
        <v>80.069999999999993</v>
      </c>
      <c r="M199" s="3">
        <f ca="1">IFERROR(__xludf.DUMMYFUNCTION("""COMPUTED_VALUE"""),60.92)</f>
        <v>60.92</v>
      </c>
      <c r="N199" s="3">
        <f ca="1">IFERROR(__xludf.DUMMYFUNCTION("""COMPUTED_VALUE"""),59.14)</f>
        <v>59.14</v>
      </c>
      <c r="O199" s="3">
        <f ca="1">IFERROR(__xludf.DUMMYFUNCTION("""COMPUTED_VALUE"""),49.96)</f>
        <v>49.96</v>
      </c>
      <c r="P199" s="3">
        <f ca="1">IFERROR(__xludf.DUMMYFUNCTION("""COMPUTED_VALUE"""),83.39)</f>
        <v>83.39</v>
      </c>
      <c r="Q199" s="3">
        <f ca="1">IFERROR(__xludf.DUMMYFUNCTION("""COMPUTED_VALUE"""),117.2)</f>
        <v>117.2</v>
      </c>
      <c r="R199" s="3">
        <f ca="1">IFERROR(__xludf.DUMMYFUNCTION("""COMPUTED_VALUE"""),70.56)</f>
        <v>70.56</v>
      </c>
      <c r="S199" s="3">
        <f ca="1">IFERROR(__xludf.DUMMYFUNCTION("""COMPUTED_VALUE"""),46.31)</f>
        <v>46.31</v>
      </c>
      <c r="T199" s="3">
        <f ca="1">IFERROR(__xludf.DUMMYFUNCTION("""COMPUTED_VALUE"""),25.68)</f>
        <v>25.68</v>
      </c>
      <c r="U199" s="3">
        <f ca="1">IFERROR(__xludf.DUMMYFUNCTION("""COMPUTED_VALUE"""),72.52)</f>
        <v>72.52</v>
      </c>
      <c r="V199" s="3">
        <f ca="1">IFERROR(__xludf.DUMMYFUNCTION("""COMPUTED_VALUE"""),67.57)</f>
        <v>67.569999999999993</v>
      </c>
      <c r="W199" s="3">
        <f ca="1">IFERROR(__xludf.DUMMYFUNCTION("""COMPUTED_VALUE"""),31.54)</f>
        <v>31.54</v>
      </c>
      <c r="X199" s="3">
        <f ca="1">IFERROR(__xludf.DUMMYFUNCTION("""COMPUTED_VALUE"""),77.63)</f>
        <v>77.63</v>
      </c>
      <c r="Y199" s="3">
        <f ca="1">IFERROR(__xludf.DUMMYFUNCTION("""COMPUTED_VALUE"""),46.85)</f>
        <v>46.85</v>
      </c>
      <c r="Z199" s="3">
        <f ca="1">IFERROR(__xludf.DUMMYFUNCTION("""COMPUTED_VALUE"""),70.21)</f>
        <v>70.209999999999994</v>
      </c>
      <c r="AA199" s="3">
        <f ca="1">IFERROR(__xludf.DUMMYFUNCTION("""COMPUTED_VALUE"""),34.64)</f>
        <v>34.64</v>
      </c>
      <c r="AB199" s="3">
        <f ca="1">IFERROR(__xludf.DUMMYFUNCTION("""COMPUTED_VALUE"""),62.47)</f>
        <v>62.47</v>
      </c>
      <c r="AC199" s="3">
        <f ca="1">IFERROR(__xludf.DUMMYFUNCTION("""COMPUTED_VALUE"""),48.79)</f>
        <v>48.79</v>
      </c>
      <c r="AD199" s="3">
        <f ca="1">IFERROR(__xludf.DUMMYFUNCTION("""COMPUTED_VALUE"""),7.46)</f>
        <v>7.46</v>
      </c>
      <c r="AE199" s="3">
        <f ca="1">IFERROR(__xludf.DUMMYFUNCTION("""COMPUTED_VALUE"""),11.95)</f>
        <v>11.95</v>
      </c>
      <c r="AF199" s="3">
        <f ca="1">IFERROR(__xludf.DUMMYFUNCTION("""COMPUTED_VALUE"""),2.69)</f>
        <v>2.69</v>
      </c>
      <c r="AG199" s="3">
        <f ca="1">IFERROR(__xludf.DUMMYFUNCTION("""COMPUTED_VALUE"""),22.75)</f>
        <v>22.75</v>
      </c>
    </row>
    <row r="200" spans="1:33" ht="12.75" x14ac:dyDescent="0.2">
      <c r="A200" s="4">
        <f ca="1">IFERROR(__xludf.DUMMYFUNCTION("""COMPUTED_VALUE"""),44848.6666666666)</f>
        <v>44848.666666666599</v>
      </c>
      <c r="B200" s="3">
        <f ca="1">IFERROR(__xludf.DUMMYFUNCTION("""COMPUTED_VALUE"""),116.8)</f>
        <v>116.8</v>
      </c>
      <c r="C200" s="3">
        <f ca="1">IFERROR(__xludf.DUMMYFUNCTION("""COMPUTED_VALUE"""),300.84)</f>
        <v>300.83999999999997</v>
      </c>
      <c r="D200" s="3">
        <f ca="1">IFERROR(__xludf.DUMMYFUNCTION("""COMPUTED_VALUE"""),71.52)</f>
        <v>71.52</v>
      </c>
      <c r="E200" s="3">
        <f ca="1">IFERROR(__xludf.DUMMYFUNCTION("""COMPUTED_VALUE"""),99.56)</f>
        <v>99.56</v>
      </c>
      <c r="F200" s="3">
        <f ca="1">IFERROR(__xludf.DUMMYFUNCTION("""COMPUTED_VALUE"""),41.5)</f>
        <v>41.5</v>
      </c>
      <c r="G200" s="3">
        <f ca="1">IFERROR(__xludf.DUMMYFUNCTION("""COMPUTED_VALUE"""),17.67)</f>
        <v>17.670000000000002</v>
      </c>
      <c r="H200" s="3">
        <f ca="1">IFERROR(__xludf.DUMMYFUNCTION("""COMPUTED_VALUE"""),21.65)</f>
        <v>21.65</v>
      </c>
      <c r="I200" s="3">
        <f ca="1">IFERROR(__xludf.DUMMYFUNCTION("""COMPUTED_VALUE"""),123.9)</f>
        <v>123.9</v>
      </c>
      <c r="J200" s="3">
        <f ca="1">IFERROR(__xludf.DUMMYFUNCTION("""COMPUTED_VALUE"""),227.02)</f>
        <v>227.02</v>
      </c>
      <c r="K200" s="3">
        <f ca="1">IFERROR(__xludf.DUMMYFUNCTION("""COMPUTED_VALUE"""),119.58)</f>
        <v>119.58</v>
      </c>
      <c r="L200" s="3">
        <f ca="1">IFERROR(__xludf.DUMMYFUNCTION("""COMPUTED_VALUE"""),77.82)</f>
        <v>77.819999999999993</v>
      </c>
      <c r="M200" s="3">
        <f ca="1">IFERROR(__xludf.DUMMYFUNCTION("""COMPUTED_VALUE"""),60.23)</f>
        <v>60.23</v>
      </c>
      <c r="N200" s="3">
        <f ca="1">IFERROR(__xludf.DUMMYFUNCTION("""COMPUTED_VALUE"""),58.56)</f>
        <v>58.56</v>
      </c>
      <c r="O200" s="3">
        <f ca="1">IFERROR(__xludf.DUMMYFUNCTION("""COMPUTED_VALUE"""),48.6)</f>
        <v>48.6</v>
      </c>
      <c r="P200" s="3">
        <f ca="1">IFERROR(__xludf.DUMMYFUNCTION("""COMPUTED_VALUE"""),80.28)</f>
        <v>80.28</v>
      </c>
      <c r="Q200" s="3">
        <f ca="1">IFERROR(__xludf.DUMMYFUNCTION("""COMPUTED_VALUE"""),112.8)</f>
        <v>112.8</v>
      </c>
      <c r="R200" s="3">
        <f ca="1">IFERROR(__xludf.DUMMYFUNCTION("""COMPUTED_VALUE"""),68.18)</f>
        <v>68.180000000000007</v>
      </c>
      <c r="S200" s="3">
        <f ca="1">IFERROR(__xludf.DUMMYFUNCTION("""COMPUTED_VALUE"""),44.17)</f>
        <v>44.17</v>
      </c>
      <c r="T200" s="3">
        <f ca="1">IFERROR(__xludf.DUMMYFUNCTION("""COMPUTED_VALUE"""),25.17)</f>
        <v>25.17</v>
      </c>
      <c r="U200" s="3">
        <f ca="1">IFERROR(__xludf.DUMMYFUNCTION("""COMPUTED_VALUE"""),70.17)</f>
        <v>70.17</v>
      </c>
      <c r="V200" s="3">
        <f ca="1">IFERROR(__xludf.DUMMYFUNCTION("""COMPUTED_VALUE"""),66)</f>
        <v>66</v>
      </c>
      <c r="W200" s="3">
        <f ca="1">IFERROR(__xludf.DUMMYFUNCTION("""COMPUTED_VALUE"""),31.01)</f>
        <v>31.01</v>
      </c>
      <c r="X200" s="3">
        <f ca="1">IFERROR(__xludf.DUMMYFUNCTION("""COMPUTED_VALUE"""),76.39)</f>
        <v>76.39</v>
      </c>
      <c r="Y200" s="3">
        <f ca="1">IFERROR(__xludf.DUMMYFUNCTION("""COMPUTED_VALUE"""),46.2)</f>
        <v>46.2</v>
      </c>
      <c r="Z200" s="3">
        <f ca="1">IFERROR(__xludf.DUMMYFUNCTION("""COMPUTED_VALUE"""),69.02)</f>
        <v>69.02</v>
      </c>
      <c r="AA200" s="3">
        <f ca="1">IFERROR(__xludf.DUMMYFUNCTION("""COMPUTED_VALUE"""),33.77)</f>
        <v>33.770000000000003</v>
      </c>
      <c r="AB200" s="3">
        <f ca="1">IFERROR(__xludf.DUMMYFUNCTION("""COMPUTED_VALUE"""),61.51)</f>
        <v>61.51</v>
      </c>
      <c r="AC200" s="3">
        <f ca="1">IFERROR(__xludf.DUMMYFUNCTION("""COMPUTED_VALUE"""),48.01)</f>
        <v>48.01</v>
      </c>
      <c r="AD200" s="3">
        <f ca="1">IFERROR(__xludf.DUMMYFUNCTION("""COMPUTED_VALUE"""),7.37)</f>
        <v>7.37</v>
      </c>
      <c r="AE200" s="3">
        <f ca="1">IFERROR(__xludf.DUMMYFUNCTION("""COMPUTED_VALUE"""),11.8)</f>
        <v>11.8</v>
      </c>
      <c r="AF200" s="3">
        <f ca="1">IFERROR(__xludf.DUMMYFUNCTION("""COMPUTED_VALUE"""),2.78)</f>
        <v>2.78</v>
      </c>
      <c r="AG200" s="3">
        <f ca="1">IFERROR(__xludf.DUMMYFUNCTION("""COMPUTED_VALUE"""),21.36)</f>
        <v>21.36</v>
      </c>
    </row>
    <row r="201" spans="1:33" ht="12.75" x14ac:dyDescent="0.2">
      <c r="A201" s="4">
        <f ca="1">IFERROR(__xludf.DUMMYFUNCTION("""COMPUTED_VALUE"""),44851.6666666666)</f>
        <v>44851.666666666599</v>
      </c>
      <c r="B201" s="3">
        <f ca="1">IFERROR(__xludf.DUMMYFUNCTION("""COMPUTED_VALUE"""),120.36)</f>
        <v>120.36</v>
      </c>
      <c r="C201" s="3">
        <f ca="1">IFERROR(__xludf.DUMMYFUNCTION("""COMPUTED_VALUE"""),310.35)</f>
        <v>310.35000000000002</v>
      </c>
      <c r="D201" s="3">
        <f ca="1">IFERROR(__xludf.DUMMYFUNCTION("""COMPUTED_VALUE"""),73.95)</f>
        <v>73.95</v>
      </c>
      <c r="E201" s="3">
        <f ca="1">IFERROR(__xludf.DUMMYFUNCTION("""COMPUTED_VALUE"""),101.67)</f>
        <v>101.67</v>
      </c>
      <c r="F201" s="3">
        <f ca="1">IFERROR(__xludf.DUMMYFUNCTION("""COMPUTED_VALUE"""),43.02)</f>
        <v>43.02</v>
      </c>
      <c r="G201" s="3">
        <f ca="1">IFERROR(__xludf.DUMMYFUNCTION("""COMPUTED_VALUE"""),18.32)</f>
        <v>18.32</v>
      </c>
      <c r="H201" s="3">
        <f ca="1">IFERROR(__xludf.DUMMYFUNCTION("""COMPUTED_VALUE"""),22.25)</f>
        <v>22.25</v>
      </c>
      <c r="I201" s="3">
        <f ca="1">IFERROR(__xludf.DUMMYFUNCTION("""COMPUTED_VALUE"""),125.89)</f>
        <v>125.89</v>
      </c>
      <c r="J201" s="3">
        <f ca="1">IFERROR(__xludf.DUMMYFUNCTION("""COMPUTED_VALUE"""),231.32)</f>
        <v>231.32</v>
      </c>
      <c r="K201" s="3">
        <f ca="1">IFERROR(__xludf.DUMMYFUNCTION("""COMPUTED_VALUE"""),122.49)</f>
        <v>122.49</v>
      </c>
      <c r="L201" s="3">
        <f ca="1">IFERROR(__xludf.DUMMYFUNCTION("""COMPUTED_VALUE"""),80.7)</f>
        <v>80.7</v>
      </c>
      <c r="M201" s="3">
        <f ca="1">IFERROR(__xludf.DUMMYFUNCTION("""COMPUTED_VALUE"""),61.77)</f>
        <v>61.77</v>
      </c>
      <c r="N201" s="3">
        <f ca="1">IFERROR(__xludf.DUMMYFUNCTION("""COMPUTED_VALUE"""),59.64)</f>
        <v>59.64</v>
      </c>
      <c r="O201" s="3">
        <f ca="1">IFERROR(__xludf.DUMMYFUNCTION("""COMPUTED_VALUE"""),50.38)</f>
        <v>50.38</v>
      </c>
      <c r="P201" s="3">
        <f ca="1">IFERROR(__xludf.DUMMYFUNCTION("""COMPUTED_VALUE"""),81.28)</f>
        <v>81.28</v>
      </c>
      <c r="Q201" s="3">
        <f ca="1">IFERROR(__xludf.DUMMYFUNCTION("""COMPUTED_VALUE"""),114.3)</f>
        <v>114.3</v>
      </c>
      <c r="R201" s="3">
        <f ca="1">IFERROR(__xludf.DUMMYFUNCTION("""COMPUTED_VALUE"""),69.88)</f>
        <v>69.88</v>
      </c>
      <c r="S201" s="3">
        <f ca="1">IFERROR(__xludf.DUMMYFUNCTION("""COMPUTED_VALUE"""),45.88)</f>
        <v>45.88</v>
      </c>
      <c r="T201" s="3">
        <f ca="1">IFERROR(__xludf.DUMMYFUNCTION("""COMPUTED_VALUE"""),25.11)</f>
        <v>25.11</v>
      </c>
      <c r="U201" s="3">
        <f ca="1">IFERROR(__xludf.DUMMYFUNCTION("""COMPUTED_VALUE"""),70.13)</f>
        <v>70.13</v>
      </c>
      <c r="V201" s="3">
        <f ca="1">IFERROR(__xludf.DUMMYFUNCTION("""COMPUTED_VALUE"""),66.61)</f>
        <v>66.61</v>
      </c>
      <c r="W201" s="3">
        <f ca="1">IFERROR(__xludf.DUMMYFUNCTION("""COMPUTED_VALUE"""),31.79)</f>
        <v>31.79</v>
      </c>
      <c r="X201" s="3">
        <f ca="1">IFERROR(__xludf.DUMMYFUNCTION("""COMPUTED_VALUE"""),78.23)</f>
        <v>78.23</v>
      </c>
      <c r="Y201" s="3">
        <f ca="1">IFERROR(__xludf.DUMMYFUNCTION("""COMPUTED_VALUE"""),47.44)</f>
        <v>47.44</v>
      </c>
      <c r="Z201" s="3">
        <f ca="1">IFERROR(__xludf.DUMMYFUNCTION("""COMPUTED_VALUE"""),70.75)</f>
        <v>70.75</v>
      </c>
      <c r="AA201" s="3">
        <f ca="1">IFERROR(__xludf.DUMMYFUNCTION("""COMPUTED_VALUE"""),35.03)</f>
        <v>35.03</v>
      </c>
      <c r="AB201" s="3">
        <f ca="1">IFERROR(__xludf.DUMMYFUNCTION("""COMPUTED_VALUE"""),63.12)</f>
        <v>63.12</v>
      </c>
      <c r="AC201" s="3">
        <f ca="1">IFERROR(__xludf.DUMMYFUNCTION("""COMPUTED_VALUE"""),49.26)</f>
        <v>49.26</v>
      </c>
      <c r="AD201" s="3">
        <f ca="1">IFERROR(__xludf.DUMMYFUNCTION("""COMPUTED_VALUE"""),7.52)</f>
        <v>7.52</v>
      </c>
      <c r="AE201" s="3">
        <f ca="1">IFERROR(__xludf.DUMMYFUNCTION("""COMPUTED_VALUE"""),12.05)</f>
        <v>12.05</v>
      </c>
      <c r="AF201" s="3">
        <f ca="1">IFERROR(__xludf.DUMMYFUNCTION("""COMPUTED_VALUE"""),2.62)</f>
        <v>2.62</v>
      </c>
      <c r="AG201" s="3">
        <f ca="1">IFERROR(__xludf.DUMMYFUNCTION("""COMPUTED_VALUE"""),22.68)</f>
        <v>22.68</v>
      </c>
    </row>
    <row r="202" spans="1:33" ht="12.75" x14ac:dyDescent="0.2">
      <c r="A202" s="4">
        <f ca="1">IFERROR(__xludf.DUMMYFUNCTION("""COMPUTED_VALUE"""),44852.6666666666)</f>
        <v>44852.666666666599</v>
      </c>
      <c r="B202" s="3">
        <f ca="1">IFERROR(__xludf.DUMMYFUNCTION("""COMPUTED_VALUE"""),121.38)</f>
        <v>121.38</v>
      </c>
      <c r="C202" s="3">
        <f ca="1">IFERROR(__xludf.DUMMYFUNCTION("""COMPUTED_VALUE"""),313.54)</f>
        <v>313.54000000000002</v>
      </c>
      <c r="D202" s="3">
        <f ca="1">IFERROR(__xludf.DUMMYFUNCTION("""COMPUTED_VALUE"""),74.61)</f>
        <v>74.61</v>
      </c>
      <c r="E202" s="3">
        <f ca="1">IFERROR(__xludf.DUMMYFUNCTION("""COMPUTED_VALUE"""),102.02)</f>
        <v>102.02</v>
      </c>
      <c r="F202" s="3">
        <f ca="1">IFERROR(__xludf.DUMMYFUNCTION("""COMPUTED_VALUE"""),44.13)</f>
        <v>44.13</v>
      </c>
      <c r="G202" s="3">
        <f ca="1">IFERROR(__xludf.DUMMYFUNCTION("""COMPUTED_VALUE"""),18.57)</f>
        <v>18.57</v>
      </c>
      <c r="H202" s="3">
        <f ca="1">IFERROR(__xludf.DUMMYFUNCTION("""COMPUTED_VALUE"""),22.52)</f>
        <v>22.52</v>
      </c>
      <c r="I202" s="3">
        <f ca="1">IFERROR(__xludf.DUMMYFUNCTION("""COMPUTED_VALUE"""),126.59)</f>
        <v>126.59</v>
      </c>
      <c r="J202" s="3">
        <f ca="1">IFERROR(__xludf.DUMMYFUNCTION("""COMPUTED_VALUE"""),232.61)</f>
        <v>232.61</v>
      </c>
      <c r="K202" s="3">
        <f ca="1">IFERROR(__xludf.DUMMYFUNCTION("""COMPUTED_VALUE"""),122.71)</f>
        <v>122.71</v>
      </c>
      <c r="L202" s="3">
        <f ca="1">IFERROR(__xludf.DUMMYFUNCTION("""COMPUTED_VALUE"""),81.08)</f>
        <v>81.08</v>
      </c>
      <c r="M202" s="3">
        <f ca="1">IFERROR(__xludf.DUMMYFUNCTION("""COMPUTED_VALUE"""),61.87)</f>
        <v>61.87</v>
      </c>
      <c r="N202" s="3">
        <f ca="1">IFERROR(__xludf.DUMMYFUNCTION("""COMPUTED_VALUE"""),60)</f>
        <v>60</v>
      </c>
      <c r="O202" s="3">
        <f ca="1">IFERROR(__xludf.DUMMYFUNCTION("""COMPUTED_VALUE"""),50.88)</f>
        <v>50.88</v>
      </c>
      <c r="P202" s="3">
        <f ca="1">IFERROR(__xludf.DUMMYFUNCTION("""COMPUTED_VALUE"""),81.99)</f>
        <v>81.99</v>
      </c>
      <c r="Q202" s="3">
        <f ca="1">IFERROR(__xludf.DUMMYFUNCTION("""COMPUTED_VALUE"""),115.21)</f>
        <v>115.21</v>
      </c>
      <c r="R202" s="3">
        <f ca="1">IFERROR(__xludf.DUMMYFUNCTION("""COMPUTED_VALUE"""),71.25)</f>
        <v>71.25</v>
      </c>
      <c r="S202" s="3">
        <f ca="1">IFERROR(__xludf.DUMMYFUNCTION("""COMPUTED_VALUE"""),46.46)</f>
        <v>46.46</v>
      </c>
      <c r="T202" s="3">
        <f ca="1">IFERROR(__xludf.DUMMYFUNCTION("""COMPUTED_VALUE"""),24.84)</f>
        <v>24.84</v>
      </c>
      <c r="U202" s="3">
        <f ca="1">IFERROR(__xludf.DUMMYFUNCTION("""COMPUTED_VALUE"""),68.7)</f>
        <v>68.7</v>
      </c>
      <c r="V202" s="3">
        <f ca="1">IFERROR(__xludf.DUMMYFUNCTION("""COMPUTED_VALUE"""),68.46)</f>
        <v>68.459999999999994</v>
      </c>
      <c r="W202" s="3">
        <f ca="1">IFERROR(__xludf.DUMMYFUNCTION("""COMPUTED_VALUE"""),32.3)</f>
        <v>32.299999999999997</v>
      </c>
      <c r="X202" s="3">
        <f ca="1">IFERROR(__xludf.DUMMYFUNCTION("""COMPUTED_VALUE"""),79.43)</f>
        <v>79.430000000000007</v>
      </c>
      <c r="Y202" s="3">
        <f ca="1">IFERROR(__xludf.DUMMYFUNCTION("""COMPUTED_VALUE"""),47.57)</f>
        <v>47.57</v>
      </c>
      <c r="Z202" s="3">
        <f ca="1">IFERROR(__xludf.DUMMYFUNCTION("""COMPUTED_VALUE"""),71.8)</f>
        <v>71.8</v>
      </c>
      <c r="AA202" s="3">
        <f ca="1">IFERROR(__xludf.DUMMYFUNCTION("""COMPUTED_VALUE"""),35.49)</f>
        <v>35.49</v>
      </c>
      <c r="AB202" s="3">
        <f ca="1">IFERROR(__xludf.DUMMYFUNCTION("""COMPUTED_VALUE"""),63.08)</f>
        <v>63.08</v>
      </c>
      <c r="AC202" s="3">
        <f ca="1">IFERROR(__xludf.DUMMYFUNCTION("""COMPUTED_VALUE"""),50.07)</f>
        <v>50.07</v>
      </c>
      <c r="AD202" s="3">
        <f ca="1">IFERROR(__xludf.DUMMYFUNCTION("""COMPUTED_VALUE"""),7.39)</f>
        <v>7.39</v>
      </c>
      <c r="AE202" s="3">
        <f ca="1">IFERROR(__xludf.DUMMYFUNCTION("""COMPUTED_VALUE"""),11.84)</f>
        <v>11.84</v>
      </c>
      <c r="AF202" s="3">
        <f ca="1">IFERROR(__xludf.DUMMYFUNCTION("""COMPUTED_VALUE"""),2.79)</f>
        <v>2.79</v>
      </c>
      <c r="AG202" s="3">
        <f ca="1">IFERROR(__xludf.DUMMYFUNCTION("""COMPUTED_VALUE"""),22.28)</f>
        <v>22.28</v>
      </c>
    </row>
    <row r="203" spans="1:33" ht="12.75" x14ac:dyDescent="0.2">
      <c r="A203" s="4">
        <f ca="1">IFERROR(__xludf.DUMMYFUNCTION("""COMPUTED_VALUE"""),44853.6666666666)</f>
        <v>44853.666666666599</v>
      </c>
      <c r="B203" s="3">
        <f ca="1">IFERROR(__xludf.DUMMYFUNCTION("""COMPUTED_VALUE"""),121.03)</f>
        <v>121.03</v>
      </c>
      <c r="C203" s="3">
        <f ca="1">IFERROR(__xludf.DUMMYFUNCTION("""COMPUTED_VALUE"""),312)</f>
        <v>312</v>
      </c>
      <c r="D203" s="3">
        <f ca="1">IFERROR(__xludf.DUMMYFUNCTION("""COMPUTED_VALUE"""),74.26)</f>
        <v>74.260000000000005</v>
      </c>
      <c r="E203" s="3">
        <f ca="1">IFERROR(__xludf.DUMMYFUNCTION("""COMPUTED_VALUE"""),102.67)</f>
        <v>102.67</v>
      </c>
      <c r="F203" s="3">
        <f ca="1">IFERROR(__xludf.DUMMYFUNCTION("""COMPUTED_VALUE"""),43.67)</f>
        <v>43.67</v>
      </c>
      <c r="G203" s="3">
        <f ca="1">IFERROR(__xludf.DUMMYFUNCTION("""COMPUTED_VALUE"""),18.41)</f>
        <v>18.41</v>
      </c>
      <c r="H203" s="3">
        <f ca="1">IFERROR(__xludf.DUMMYFUNCTION("""COMPUTED_VALUE"""),22.06)</f>
        <v>22.06</v>
      </c>
      <c r="I203" s="3">
        <f ca="1">IFERROR(__xludf.DUMMYFUNCTION("""COMPUTED_VALUE"""),124.82)</f>
        <v>124.82</v>
      </c>
      <c r="J203" s="3">
        <f ca="1">IFERROR(__xludf.DUMMYFUNCTION("""COMPUTED_VALUE"""),228.84)</f>
        <v>228.84</v>
      </c>
      <c r="K203" s="3">
        <f ca="1">IFERROR(__xludf.DUMMYFUNCTION("""COMPUTED_VALUE"""),118.53)</f>
        <v>118.53</v>
      </c>
      <c r="L203" s="3">
        <f ca="1">IFERROR(__xludf.DUMMYFUNCTION("""COMPUTED_VALUE"""),77.11)</f>
        <v>77.11</v>
      </c>
      <c r="M203" s="3">
        <f ca="1">IFERROR(__xludf.DUMMYFUNCTION("""COMPUTED_VALUE"""),59.7)</f>
        <v>59.7</v>
      </c>
      <c r="N203" s="3">
        <f ca="1">IFERROR(__xludf.DUMMYFUNCTION("""COMPUTED_VALUE"""),58.95)</f>
        <v>58.95</v>
      </c>
      <c r="O203" s="3">
        <f ca="1">IFERROR(__xludf.DUMMYFUNCTION("""COMPUTED_VALUE"""),48.48)</f>
        <v>48.48</v>
      </c>
      <c r="P203" s="3">
        <f ca="1">IFERROR(__xludf.DUMMYFUNCTION("""COMPUTED_VALUE"""),84.41)</f>
        <v>84.41</v>
      </c>
      <c r="Q203" s="3">
        <f ca="1">IFERROR(__xludf.DUMMYFUNCTION("""COMPUTED_VALUE"""),118.43)</f>
        <v>118.43</v>
      </c>
      <c r="R203" s="3">
        <f ca="1">IFERROR(__xludf.DUMMYFUNCTION("""COMPUTED_VALUE"""),70.41)</f>
        <v>70.41</v>
      </c>
      <c r="S203" s="3">
        <f ca="1">IFERROR(__xludf.DUMMYFUNCTION("""COMPUTED_VALUE"""),45.35)</f>
        <v>45.35</v>
      </c>
      <c r="T203" s="3">
        <f ca="1">IFERROR(__xludf.DUMMYFUNCTION("""COMPUTED_VALUE"""),24.83)</f>
        <v>24.83</v>
      </c>
      <c r="U203" s="3">
        <f ca="1">IFERROR(__xludf.DUMMYFUNCTION("""COMPUTED_VALUE"""),70.04)</f>
        <v>70.040000000000006</v>
      </c>
      <c r="V203" s="3">
        <f ca="1">IFERROR(__xludf.DUMMYFUNCTION("""COMPUTED_VALUE"""),66.1)</f>
        <v>66.099999999999994</v>
      </c>
      <c r="W203" s="3">
        <f ca="1">IFERROR(__xludf.DUMMYFUNCTION("""COMPUTED_VALUE"""),31.77)</f>
        <v>31.77</v>
      </c>
      <c r="X203" s="3">
        <f ca="1">IFERROR(__xludf.DUMMYFUNCTION("""COMPUTED_VALUE"""),78.15)</f>
        <v>78.150000000000006</v>
      </c>
      <c r="Y203" s="3">
        <f ca="1">IFERROR(__xludf.DUMMYFUNCTION("""COMPUTED_VALUE"""),46.54)</f>
        <v>46.54</v>
      </c>
      <c r="Z203" s="3">
        <f ca="1">IFERROR(__xludf.DUMMYFUNCTION("""COMPUTED_VALUE"""),70.67)</f>
        <v>70.67</v>
      </c>
      <c r="AA203" s="3">
        <f ca="1">IFERROR(__xludf.DUMMYFUNCTION("""COMPUTED_VALUE"""),34.6)</f>
        <v>34.6</v>
      </c>
      <c r="AB203" s="3">
        <f ca="1">IFERROR(__xludf.DUMMYFUNCTION("""COMPUTED_VALUE"""),61.77)</f>
        <v>61.77</v>
      </c>
      <c r="AC203" s="3">
        <f ca="1">IFERROR(__xludf.DUMMYFUNCTION("""COMPUTED_VALUE"""),49.07)</f>
        <v>49.07</v>
      </c>
      <c r="AD203" s="3">
        <f ca="1">IFERROR(__xludf.DUMMYFUNCTION("""COMPUTED_VALUE"""),7.4)</f>
        <v>7.4</v>
      </c>
      <c r="AE203" s="3">
        <f ca="1">IFERROR(__xludf.DUMMYFUNCTION("""COMPUTED_VALUE"""),11.84)</f>
        <v>11.84</v>
      </c>
      <c r="AF203" s="3">
        <f ca="1">IFERROR(__xludf.DUMMYFUNCTION("""COMPUTED_VALUE"""),2.68)</f>
        <v>2.68</v>
      </c>
      <c r="AG203" s="3">
        <f ca="1">IFERROR(__xludf.DUMMYFUNCTION("""COMPUTED_VALUE"""),21.52)</f>
        <v>21.52</v>
      </c>
    </row>
    <row r="204" spans="1:33" ht="12.75" x14ac:dyDescent="0.2">
      <c r="A204" s="4">
        <f ca="1">IFERROR(__xludf.DUMMYFUNCTION("""COMPUTED_VALUE"""),44854.6666666666)</f>
        <v>44854.666666666599</v>
      </c>
      <c r="B204" s="3">
        <f ca="1">IFERROR(__xludf.DUMMYFUNCTION("""COMPUTED_VALUE"""),121.1)</f>
        <v>121.1</v>
      </c>
      <c r="C204" s="3">
        <f ca="1">IFERROR(__xludf.DUMMYFUNCTION("""COMPUTED_VALUE"""),312.17)</f>
        <v>312.17</v>
      </c>
      <c r="D204" s="3">
        <f ca="1">IFERROR(__xludf.DUMMYFUNCTION("""COMPUTED_VALUE"""),74.49)</f>
        <v>74.489999999999995</v>
      </c>
      <c r="E204" s="3">
        <f ca="1">IFERROR(__xludf.DUMMYFUNCTION("""COMPUTED_VALUE"""),103.31)</f>
        <v>103.31</v>
      </c>
      <c r="F204" s="3">
        <f ca="1">IFERROR(__xludf.DUMMYFUNCTION("""COMPUTED_VALUE"""),43.92)</f>
        <v>43.92</v>
      </c>
      <c r="G204" s="3">
        <f ca="1">IFERROR(__xludf.DUMMYFUNCTION("""COMPUTED_VALUE"""),18.33)</f>
        <v>18.329999999999998</v>
      </c>
      <c r="H204" s="3">
        <f ca="1">IFERROR(__xludf.DUMMYFUNCTION("""COMPUTED_VALUE"""),21.97)</f>
        <v>21.97</v>
      </c>
      <c r="I204" s="3">
        <f ca="1">IFERROR(__xludf.DUMMYFUNCTION("""COMPUTED_VALUE"""),123.76)</f>
        <v>123.76</v>
      </c>
      <c r="J204" s="3">
        <f ca="1">IFERROR(__xludf.DUMMYFUNCTION("""COMPUTED_VALUE"""),226.91)</f>
        <v>226.91</v>
      </c>
      <c r="K204" s="3">
        <f ca="1">IFERROR(__xludf.DUMMYFUNCTION("""COMPUTED_VALUE"""),117.58)</f>
        <v>117.58</v>
      </c>
      <c r="L204" s="3">
        <f ca="1">IFERROR(__xludf.DUMMYFUNCTION("""COMPUTED_VALUE"""),76.72)</f>
        <v>76.72</v>
      </c>
      <c r="M204" s="3">
        <f ca="1">IFERROR(__xludf.DUMMYFUNCTION("""COMPUTED_VALUE"""),59.39)</f>
        <v>59.39</v>
      </c>
      <c r="N204" s="3">
        <f ca="1">IFERROR(__xludf.DUMMYFUNCTION("""COMPUTED_VALUE"""),58.52)</f>
        <v>58.52</v>
      </c>
      <c r="O204" s="3">
        <f ca="1">IFERROR(__xludf.DUMMYFUNCTION("""COMPUTED_VALUE"""),48.31)</f>
        <v>48.31</v>
      </c>
      <c r="P204" s="3">
        <f ca="1">IFERROR(__xludf.DUMMYFUNCTION("""COMPUTED_VALUE"""),84.49)</f>
        <v>84.49</v>
      </c>
      <c r="Q204" s="3">
        <f ca="1">IFERROR(__xludf.DUMMYFUNCTION("""COMPUTED_VALUE"""),118.49)</f>
        <v>118.49</v>
      </c>
      <c r="R204" s="3">
        <f ca="1">IFERROR(__xludf.DUMMYFUNCTION("""COMPUTED_VALUE"""),69.9)</f>
        <v>69.900000000000006</v>
      </c>
      <c r="S204" s="3">
        <f ca="1">IFERROR(__xludf.DUMMYFUNCTION("""COMPUTED_VALUE"""),45.59)</f>
        <v>45.59</v>
      </c>
      <c r="T204" s="3">
        <f ca="1">IFERROR(__xludf.DUMMYFUNCTION("""COMPUTED_VALUE"""),24.85)</f>
        <v>24.85</v>
      </c>
      <c r="U204" s="3">
        <f ca="1">IFERROR(__xludf.DUMMYFUNCTION("""COMPUTED_VALUE"""),70.18)</f>
        <v>70.180000000000007</v>
      </c>
      <c r="V204" s="3">
        <f ca="1">IFERROR(__xludf.DUMMYFUNCTION("""COMPUTED_VALUE"""),65.37)</f>
        <v>65.37</v>
      </c>
      <c r="W204" s="3">
        <f ca="1">IFERROR(__xludf.DUMMYFUNCTION("""COMPUTED_VALUE"""),31.26)</f>
        <v>31.26</v>
      </c>
      <c r="X204" s="3">
        <f ca="1">IFERROR(__xludf.DUMMYFUNCTION("""COMPUTED_VALUE"""),76.75)</f>
        <v>76.75</v>
      </c>
      <c r="Y204" s="3">
        <f ca="1">IFERROR(__xludf.DUMMYFUNCTION("""COMPUTED_VALUE"""),45.11)</f>
        <v>45.11</v>
      </c>
      <c r="Z204" s="3">
        <f ca="1">IFERROR(__xludf.DUMMYFUNCTION("""COMPUTED_VALUE"""),69.39)</f>
        <v>69.39</v>
      </c>
      <c r="AA204" s="3">
        <f ca="1">IFERROR(__xludf.DUMMYFUNCTION("""COMPUTED_VALUE"""),34.43)</f>
        <v>34.43</v>
      </c>
      <c r="AB204" s="3">
        <f ca="1">IFERROR(__xludf.DUMMYFUNCTION("""COMPUTED_VALUE"""),59.66)</f>
        <v>59.66</v>
      </c>
      <c r="AC204" s="3">
        <f ca="1">IFERROR(__xludf.DUMMYFUNCTION("""COMPUTED_VALUE"""),48.5)</f>
        <v>48.5</v>
      </c>
      <c r="AD204" s="3">
        <f ca="1">IFERROR(__xludf.DUMMYFUNCTION("""COMPUTED_VALUE"""),7.34)</f>
        <v>7.34</v>
      </c>
      <c r="AE204" s="3">
        <f ca="1">IFERROR(__xludf.DUMMYFUNCTION("""COMPUTED_VALUE"""),11.74)</f>
        <v>11.74</v>
      </c>
      <c r="AF204" s="3">
        <f ca="1">IFERROR(__xludf.DUMMYFUNCTION("""COMPUTED_VALUE"""),2.58)</f>
        <v>2.58</v>
      </c>
      <c r="AG204" s="3">
        <f ca="1">IFERROR(__xludf.DUMMYFUNCTION("""COMPUTED_VALUE"""),21.44)</f>
        <v>21.44</v>
      </c>
    </row>
    <row r="205" spans="1:33" ht="12.75" x14ac:dyDescent="0.2">
      <c r="A205" s="4">
        <f ca="1">IFERROR(__xludf.DUMMYFUNCTION("""COMPUTED_VALUE"""),44855.6666666666)</f>
        <v>44855.666666666599</v>
      </c>
      <c r="B205" s="3">
        <f ca="1">IFERROR(__xludf.DUMMYFUNCTION("""COMPUTED_VALUE"""),124.34)</f>
        <v>124.34</v>
      </c>
      <c r="C205" s="3">
        <f ca="1">IFERROR(__xludf.DUMMYFUNCTION("""COMPUTED_VALUE"""),320.39)</f>
        <v>320.39</v>
      </c>
      <c r="D205" s="3">
        <f ca="1">IFERROR(__xludf.DUMMYFUNCTION("""COMPUTED_VALUE"""),76.2)</f>
        <v>76.2</v>
      </c>
      <c r="E205" s="3">
        <f ca="1">IFERROR(__xludf.DUMMYFUNCTION("""COMPUTED_VALUE"""),107.15)</f>
        <v>107.15</v>
      </c>
      <c r="F205" s="3">
        <f ca="1">IFERROR(__xludf.DUMMYFUNCTION("""COMPUTED_VALUE"""),44.63)</f>
        <v>44.63</v>
      </c>
      <c r="G205" s="3">
        <f ca="1">IFERROR(__xludf.DUMMYFUNCTION("""COMPUTED_VALUE"""),18.73)</f>
        <v>18.73</v>
      </c>
      <c r="H205" s="3">
        <f ca="1">IFERROR(__xludf.DUMMYFUNCTION("""COMPUTED_VALUE"""),22.52)</f>
        <v>22.52</v>
      </c>
      <c r="I205" s="3">
        <f ca="1">IFERROR(__xludf.DUMMYFUNCTION("""COMPUTED_VALUE"""),126.54)</f>
        <v>126.54</v>
      </c>
      <c r="J205" s="3">
        <f ca="1">IFERROR(__xludf.DUMMYFUNCTION("""COMPUTED_VALUE"""),231.81)</f>
        <v>231.81</v>
      </c>
      <c r="K205" s="3">
        <f ca="1">IFERROR(__xludf.DUMMYFUNCTION("""COMPUTED_VALUE"""),120.9)</f>
        <v>120.9</v>
      </c>
      <c r="L205" s="3">
        <f ca="1">IFERROR(__xludf.DUMMYFUNCTION("""COMPUTED_VALUE"""),78.84)</f>
        <v>78.84</v>
      </c>
      <c r="M205" s="3">
        <f ca="1">IFERROR(__xludf.DUMMYFUNCTION("""COMPUTED_VALUE"""),60.67)</f>
        <v>60.67</v>
      </c>
      <c r="N205" s="3">
        <f ca="1">IFERROR(__xludf.DUMMYFUNCTION("""COMPUTED_VALUE"""),59.77)</f>
        <v>59.77</v>
      </c>
      <c r="O205" s="3">
        <f ca="1">IFERROR(__xludf.DUMMYFUNCTION("""COMPUTED_VALUE"""),49.92)</f>
        <v>49.92</v>
      </c>
      <c r="P205" s="3">
        <f ca="1">IFERROR(__xludf.DUMMYFUNCTION("""COMPUTED_VALUE"""),86.93)</f>
        <v>86.93</v>
      </c>
      <c r="Q205" s="3">
        <f ca="1">IFERROR(__xludf.DUMMYFUNCTION("""COMPUTED_VALUE"""),121.69)</f>
        <v>121.69</v>
      </c>
      <c r="R205" s="3">
        <f ca="1">IFERROR(__xludf.DUMMYFUNCTION("""COMPUTED_VALUE"""),72.32)</f>
        <v>72.319999999999993</v>
      </c>
      <c r="S205" s="3">
        <f ca="1">IFERROR(__xludf.DUMMYFUNCTION("""COMPUTED_VALUE"""),48.16)</f>
        <v>48.16</v>
      </c>
      <c r="T205" s="3">
        <f ca="1">IFERROR(__xludf.DUMMYFUNCTION("""COMPUTED_VALUE"""),24.88)</f>
        <v>24.88</v>
      </c>
      <c r="U205" s="3">
        <f ca="1">IFERROR(__xludf.DUMMYFUNCTION("""COMPUTED_VALUE"""),70.57)</f>
        <v>70.569999999999993</v>
      </c>
      <c r="V205" s="3">
        <f ca="1">IFERROR(__xludf.DUMMYFUNCTION("""COMPUTED_VALUE"""),66.55)</f>
        <v>66.55</v>
      </c>
      <c r="W205" s="3">
        <f ca="1">IFERROR(__xludf.DUMMYFUNCTION("""COMPUTED_VALUE"""),32.19)</f>
        <v>32.19</v>
      </c>
      <c r="X205" s="3">
        <f ca="1">IFERROR(__xludf.DUMMYFUNCTION("""COMPUTED_VALUE"""),78.8)</f>
        <v>78.8</v>
      </c>
      <c r="Y205" s="3">
        <f ca="1">IFERROR(__xludf.DUMMYFUNCTION("""COMPUTED_VALUE"""),45.79)</f>
        <v>45.79</v>
      </c>
      <c r="Z205" s="3">
        <f ca="1">IFERROR(__xludf.DUMMYFUNCTION("""COMPUTED_VALUE"""),71.38)</f>
        <v>71.38</v>
      </c>
      <c r="AA205" s="3">
        <f ca="1">IFERROR(__xludf.DUMMYFUNCTION("""COMPUTED_VALUE"""),34.67)</f>
        <v>34.67</v>
      </c>
      <c r="AB205" s="3">
        <f ca="1">IFERROR(__xludf.DUMMYFUNCTION("""COMPUTED_VALUE"""),60.44)</f>
        <v>60.44</v>
      </c>
      <c r="AC205" s="3">
        <f ca="1">IFERROR(__xludf.DUMMYFUNCTION("""COMPUTED_VALUE"""),49.81)</f>
        <v>49.81</v>
      </c>
      <c r="AD205" s="3">
        <f ca="1">IFERROR(__xludf.DUMMYFUNCTION("""COMPUTED_VALUE"""),7.4)</f>
        <v>7.4</v>
      </c>
      <c r="AE205" s="3">
        <f ca="1">IFERROR(__xludf.DUMMYFUNCTION("""COMPUTED_VALUE"""),11.84)</f>
        <v>11.84</v>
      </c>
      <c r="AF205" s="3">
        <f ca="1">IFERROR(__xludf.DUMMYFUNCTION("""COMPUTED_VALUE"""),2.56)</f>
        <v>2.56</v>
      </c>
      <c r="AG205" s="3">
        <f ca="1">IFERROR(__xludf.DUMMYFUNCTION("""COMPUTED_VALUE"""),22.33)</f>
        <v>22.33</v>
      </c>
    </row>
    <row r="206" spans="1:33" ht="12.75" x14ac:dyDescent="0.2">
      <c r="A206" s="4">
        <f ca="1">IFERROR(__xludf.DUMMYFUNCTION("""COMPUTED_VALUE"""),44858.6666666666)</f>
        <v>44858.666666666599</v>
      </c>
      <c r="B206" s="3">
        <f ca="1">IFERROR(__xludf.DUMMYFUNCTION("""COMPUTED_VALUE"""),126.06)</f>
        <v>126.06</v>
      </c>
      <c r="C206" s="3">
        <f ca="1">IFERROR(__xludf.DUMMYFUNCTION("""COMPUTED_VALUE"""),324.17)</f>
        <v>324.17</v>
      </c>
      <c r="D206" s="3">
        <f ca="1">IFERROR(__xludf.DUMMYFUNCTION("""COMPUTED_VALUE"""),78.81)</f>
        <v>78.81</v>
      </c>
      <c r="E206" s="3">
        <f ca="1">IFERROR(__xludf.DUMMYFUNCTION("""COMPUTED_VALUE"""),107.61)</f>
        <v>107.61</v>
      </c>
      <c r="F206" s="3">
        <f ca="1">IFERROR(__xludf.DUMMYFUNCTION("""COMPUTED_VALUE"""),44.76)</f>
        <v>44.76</v>
      </c>
      <c r="G206" s="3">
        <f ca="1">IFERROR(__xludf.DUMMYFUNCTION("""COMPUTED_VALUE"""),18.76)</f>
        <v>18.760000000000002</v>
      </c>
      <c r="H206" s="3">
        <f ca="1">IFERROR(__xludf.DUMMYFUNCTION("""COMPUTED_VALUE"""),22.56)</f>
        <v>22.56</v>
      </c>
      <c r="I206" s="3">
        <f ca="1">IFERROR(__xludf.DUMMYFUNCTION("""COMPUTED_VALUE"""),128.98)</f>
        <v>128.97999999999999</v>
      </c>
      <c r="J206" s="3">
        <f ca="1">IFERROR(__xludf.DUMMYFUNCTION("""COMPUTED_VALUE"""),235.56)</f>
        <v>235.56</v>
      </c>
      <c r="K206" s="3">
        <f ca="1">IFERROR(__xludf.DUMMYFUNCTION("""COMPUTED_VALUE"""),122.18)</f>
        <v>122.18</v>
      </c>
      <c r="L206" s="3">
        <f ca="1">IFERROR(__xludf.DUMMYFUNCTION("""COMPUTED_VALUE"""),78.48)</f>
        <v>78.48</v>
      </c>
      <c r="M206" s="3">
        <f ca="1">IFERROR(__xludf.DUMMYFUNCTION("""COMPUTED_VALUE"""),61.35)</f>
        <v>61.35</v>
      </c>
      <c r="N206" s="3">
        <f ca="1">IFERROR(__xludf.DUMMYFUNCTION("""COMPUTED_VALUE"""),60.72)</f>
        <v>60.72</v>
      </c>
      <c r="O206" s="3">
        <f ca="1">IFERROR(__xludf.DUMMYFUNCTION("""COMPUTED_VALUE"""),49.08)</f>
        <v>49.08</v>
      </c>
      <c r="P206" s="3">
        <f ca="1">IFERROR(__xludf.DUMMYFUNCTION("""COMPUTED_VALUE"""),87.34)</f>
        <v>87.34</v>
      </c>
      <c r="Q206" s="3">
        <f ca="1">IFERROR(__xludf.DUMMYFUNCTION("""COMPUTED_VALUE"""),122.02)</f>
        <v>122.02</v>
      </c>
      <c r="R206" s="3">
        <f ca="1">IFERROR(__xludf.DUMMYFUNCTION("""COMPUTED_VALUE"""),71.9)</f>
        <v>71.900000000000006</v>
      </c>
      <c r="S206" s="3">
        <f ca="1">IFERROR(__xludf.DUMMYFUNCTION("""COMPUTED_VALUE"""),47.83)</f>
        <v>47.83</v>
      </c>
      <c r="T206" s="3">
        <f ca="1">IFERROR(__xludf.DUMMYFUNCTION("""COMPUTED_VALUE"""),24.95)</f>
        <v>24.95</v>
      </c>
      <c r="U206" s="3">
        <f ca="1">IFERROR(__xludf.DUMMYFUNCTION("""COMPUTED_VALUE"""),70.38)</f>
        <v>70.38</v>
      </c>
      <c r="V206" s="3">
        <f ca="1">IFERROR(__xludf.DUMMYFUNCTION("""COMPUTED_VALUE"""),64.86)</f>
        <v>64.86</v>
      </c>
      <c r="W206" s="3">
        <f ca="1">IFERROR(__xludf.DUMMYFUNCTION("""COMPUTED_VALUE"""),32.62)</f>
        <v>32.619999999999997</v>
      </c>
      <c r="X206" s="3">
        <f ca="1">IFERROR(__xludf.DUMMYFUNCTION("""COMPUTED_VALUE"""),79.84)</f>
        <v>79.84</v>
      </c>
      <c r="Y206" s="3">
        <f ca="1">IFERROR(__xludf.DUMMYFUNCTION("""COMPUTED_VALUE"""),46.56)</f>
        <v>46.56</v>
      </c>
      <c r="Z206" s="3">
        <f ca="1">IFERROR(__xludf.DUMMYFUNCTION("""COMPUTED_VALUE"""),72.28)</f>
        <v>72.28</v>
      </c>
      <c r="AA206" s="3">
        <f ca="1">IFERROR(__xludf.DUMMYFUNCTION("""COMPUTED_VALUE"""),34.65)</f>
        <v>34.65</v>
      </c>
      <c r="AB206" s="3">
        <f ca="1">IFERROR(__xludf.DUMMYFUNCTION("""COMPUTED_VALUE"""),61.47)</f>
        <v>61.47</v>
      </c>
      <c r="AC206" s="3">
        <f ca="1">IFERROR(__xludf.DUMMYFUNCTION("""COMPUTED_VALUE"""),51.37)</f>
        <v>51.37</v>
      </c>
      <c r="AD206" s="3">
        <f ca="1">IFERROR(__xludf.DUMMYFUNCTION("""COMPUTED_VALUE"""),7.46)</f>
        <v>7.46</v>
      </c>
      <c r="AE206" s="3">
        <f ca="1">IFERROR(__xludf.DUMMYFUNCTION("""COMPUTED_VALUE"""),11.94)</f>
        <v>11.94</v>
      </c>
      <c r="AF206" s="3">
        <f ca="1">IFERROR(__xludf.DUMMYFUNCTION("""COMPUTED_VALUE"""),2.66)</f>
        <v>2.66</v>
      </c>
      <c r="AG206" s="3">
        <f ca="1">IFERROR(__xludf.DUMMYFUNCTION("""COMPUTED_VALUE"""),22.84)</f>
        <v>22.84</v>
      </c>
    </row>
    <row r="207" spans="1:33" ht="12.75" x14ac:dyDescent="0.2">
      <c r="A207" s="4">
        <f ca="1">IFERROR(__xludf.DUMMYFUNCTION("""COMPUTED_VALUE"""),44859.6666666666)</f>
        <v>44859.666666666599</v>
      </c>
      <c r="B207" s="3">
        <f ca="1">IFERROR(__xludf.DUMMYFUNCTION("""COMPUTED_VALUE"""),128.47)</f>
        <v>128.47</v>
      </c>
      <c r="C207" s="3">
        <f ca="1">IFERROR(__xludf.DUMMYFUNCTION("""COMPUTED_VALUE"""),331.27)</f>
        <v>331.27</v>
      </c>
      <c r="D207" s="3">
        <f ca="1">IFERROR(__xludf.DUMMYFUNCTION("""COMPUTED_VALUE"""),76.14)</f>
        <v>76.14</v>
      </c>
      <c r="E207" s="3">
        <f ca="1">IFERROR(__xludf.DUMMYFUNCTION("""COMPUTED_VALUE"""),110.07)</f>
        <v>110.07</v>
      </c>
      <c r="F207" s="3">
        <f ca="1">IFERROR(__xludf.DUMMYFUNCTION("""COMPUTED_VALUE"""),46.03)</f>
        <v>46.03</v>
      </c>
      <c r="G207" s="3">
        <f ca="1">IFERROR(__xludf.DUMMYFUNCTION("""COMPUTED_VALUE"""),19.58)</f>
        <v>19.579999999999998</v>
      </c>
      <c r="H207" s="3">
        <f ca="1">IFERROR(__xludf.DUMMYFUNCTION("""COMPUTED_VALUE"""),23.26)</f>
        <v>23.26</v>
      </c>
      <c r="I207" s="3">
        <f ca="1">IFERROR(__xludf.DUMMYFUNCTION("""COMPUTED_VALUE"""),129.96)</f>
        <v>129.96</v>
      </c>
      <c r="J207" s="3">
        <f ca="1">IFERROR(__xludf.DUMMYFUNCTION("""COMPUTED_VALUE"""),238.03)</f>
        <v>238.03</v>
      </c>
      <c r="K207" s="3">
        <f ca="1">IFERROR(__xludf.DUMMYFUNCTION("""COMPUTED_VALUE"""),124.63)</f>
        <v>124.63</v>
      </c>
      <c r="L207" s="3">
        <f ca="1">IFERROR(__xludf.DUMMYFUNCTION("""COMPUTED_VALUE"""),80.58)</f>
        <v>80.58</v>
      </c>
      <c r="M207" s="3">
        <f ca="1">IFERROR(__xludf.DUMMYFUNCTION("""COMPUTED_VALUE"""),62.19)</f>
        <v>62.19</v>
      </c>
      <c r="N207" s="3">
        <f ca="1">IFERROR(__xludf.DUMMYFUNCTION("""COMPUTED_VALUE"""),61.4)</f>
        <v>61.4</v>
      </c>
      <c r="O207" s="3">
        <f ca="1">IFERROR(__xludf.DUMMYFUNCTION("""COMPUTED_VALUE"""),51.04)</f>
        <v>51.04</v>
      </c>
      <c r="P207" s="3">
        <f ca="1">IFERROR(__xludf.DUMMYFUNCTION("""COMPUTED_VALUE"""),87.43)</f>
        <v>87.43</v>
      </c>
      <c r="Q207" s="3">
        <f ca="1">IFERROR(__xludf.DUMMYFUNCTION("""COMPUTED_VALUE"""),122.16)</f>
        <v>122.16</v>
      </c>
      <c r="R207" s="3">
        <f ca="1">IFERROR(__xludf.DUMMYFUNCTION("""COMPUTED_VALUE"""),73.68)</f>
        <v>73.680000000000007</v>
      </c>
      <c r="S207" s="3">
        <f ca="1">IFERROR(__xludf.DUMMYFUNCTION("""COMPUTED_VALUE"""),48.69)</f>
        <v>48.69</v>
      </c>
      <c r="T207" s="3">
        <f ca="1">IFERROR(__xludf.DUMMYFUNCTION("""COMPUTED_VALUE"""),25.09)</f>
        <v>25.09</v>
      </c>
      <c r="U207" s="3">
        <f ca="1">IFERROR(__xludf.DUMMYFUNCTION("""COMPUTED_VALUE"""),70.61)</f>
        <v>70.61</v>
      </c>
      <c r="V207" s="3">
        <f ca="1">IFERROR(__xludf.DUMMYFUNCTION("""COMPUTED_VALUE"""),67.99)</f>
        <v>67.989999999999995</v>
      </c>
      <c r="W207" s="3">
        <f ca="1">IFERROR(__xludf.DUMMYFUNCTION("""COMPUTED_VALUE"""),33.01)</f>
        <v>33.01</v>
      </c>
      <c r="X207" s="3">
        <f ca="1">IFERROR(__xludf.DUMMYFUNCTION("""COMPUTED_VALUE"""),80.94)</f>
        <v>80.94</v>
      </c>
      <c r="Y207" s="3">
        <f ca="1">IFERROR(__xludf.DUMMYFUNCTION("""COMPUTED_VALUE"""),47.32)</f>
        <v>47.32</v>
      </c>
      <c r="Z207" s="3">
        <f ca="1">IFERROR(__xludf.DUMMYFUNCTION("""COMPUTED_VALUE"""),73.28)</f>
        <v>73.28</v>
      </c>
      <c r="AA207" s="3">
        <f ca="1">IFERROR(__xludf.DUMMYFUNCTION("""COMPUTED_VALUE"""),36.02)</f>
        <v>36.020000000000003</v>
      </c>
      <c r="AB207" s="3">
        <f ca="1">IFERROR(__xludf.DUMMYFUNCTION("""COMPUTED_VALUE"""),62.36)</f>
        <v>62.36</v>
      </c>
      <c r="AC207" s="3">
        <f ca="1">IFERROR(__xludf.DUMMYFUNCTION("""COMPUTED_VALUE"""),51.84)</f>
        <v>51.84</v>
      </c>
      <c r="AD207" s="3">
        <f ca="1">IFERROR(__xludf.DUMMYFUNCTION("""COMPUTED_VALUE"""),7.82)</f>
        <v>7.82</v>
      </c>
      <c r="AE207" s="3">
        <f ca="1">IFERROR(__xludf.DUMMYFUNCTION("""COMPUTED_VALUE"""),12.54)</f>
        <v>12.54</v>
      </c>
      <c r="AF207" s="3">
        <f ca="1">IFERROR(__xludf.DUMMYFUNCTION("""COMPUTED_VALUE"""),2.69)</f>
        <v>2.69</v>
      </c>
      <c r="AG207" s="3">
        <f ca="1">IFERROR(__xludf.DUMMYFUNCTION("""COMPUTED_VALUE"""),25.32)</f>
        <v>25.32</v>
      </c>
    </row>
    <row r="208" spans="1:33" ht="12.75" x14ac:dyDescent="0.2">
      <c r="A208" s="4">
        <f ca="1">IFERROR(__xludf.DUMMYFUNCTION("""COMPUTED_VALUE"""),44860.6666666666)</f>
        <v>44860.666666666599</v>
      </c>
      <c r="B208" s="3">
        <f ca="1">IFERROR(__xludf.DUMMYFUNCTION("""COMPUTED_VALUE"""),125.61)</f>
        <v>125.61</v>
      </c>
      <c r="C208" s="3">
        <f ca="1">IFERROR(__xludf.DUMMYFUNCTION("""COMPUTED_VALUE"""),324.61)</f>
        <v>324.61</v>
      </c>
      <c r="D208" s="3">
        <f ca="1">IFERROR(__xludf.DUMMYFUNCTION("""COMPUTED_VALUE"""),74.43)</f>
        <v>74.430000000000007</v>
      </c>
      <c r="E208" s="3">
        <f ca="1">IFERROR(__xludf.DUMMYFUNCTION("""COMPUTED_VALUE"""),108.99)</f>
        <v>108.99</v>
      </c>
      <c r="F208" s="3">
        <f ca="1">IFERROR(__xludf.DUMMYFUNCTION("""COMPUTED_VALUE"""),45.79)</f>
        <v>45.79</v>
      </c>
      <c r="G208" s="3">
        <f ca="1">IFERROR(__xludf.DUMMYFUNCTION("""COMPUTED_VALUE"""),19.6)</f>
        <v>19.600000000000001</v>
      </c>
      <c r="H208" s="3">
        <f ca="1">IFERROR(__xludf.DUMMYFUNCTION("""COMPUTED_VALUE"""),23.36)</f>
        <v>23.36</v>
      </c>
      <c r="I208" s="3">
        <f ca="1">IFERROR(__xludf.DUMMYFUNCTION("""COMPUTED_VALUE"""),131.4)</f>
        <v>131.4</v>
      </c>
      <c r="J208" s="3">
        <f ca="1">IFERROR(__xludf.DUMMYFUNCTION("""COMPUTED_VALUE"""),240.88)</f>
        <v>240.88</v>
      </c>
      <c r="K208" s="3">
        <f ca="1">IFERROR(__xludf.DUMMYFUNCTION("""COMPUTED_VALUE"""),126.6)</f>
        <v>126.6</v>
      </c>
      <c r="L208" s="3">
        <f ca="1">IFERROR(__xludf.DUMMYFUNCTION("""COMPUTED_VALUE"""),81.92)</f>
        <v>81.92</v>
      </c>
      <c r="M208" s="3">
        <f ca="1">IFERROR(__xludf.DUMMYFUNCTION("""COMPUTED_VALUE"""),63.09)</f>
        <v>63.09</v>
      </c>
      <c r="N208" s="3">
        <f ca="1">IFERROR(__xludf.DUMMYFUNCTION("""COMPUTED_VALUE"""),62.09)</f>
        <v>62.09</v>
      </c>
      <c r="O208" s="3">
        <f ca="1">IFERROR(__xludf.DUMMYFUNCTION("""COMPUTED_VALUE"""),52.68)</f>
        <v>52.68</v>
      </c>
      <c r="P208" s="3">
        <f ca="1">IFERROR(__xludf.DUMMYFUNCTION("""COMPUTED_VALUE"""),88.62)</f>
        <v>88.62</v>
      </c>
      <c r="Q208" s="3">
        <f ca="1">IFERROR(__xludf.DUMMYFUNCTION("""COMPUTED_VALUE"""),123.94)</f>
        <v>123.94</v>
      </c>
      <c r="R208" s="3">
        <f ca="1">IFERROR(__xludf.DUMMYFUNCTION("""COMPUTED_VALUE"""),74.2)</f>
        <v>74.2</v>
      </c>
      <c r="S208" s="3">
        <f ca="1">IFERROR(__xludf.DUMMYFUNCTION("""COMPUTED_VALUE"""),49.23)</f>
        <v>49.23</v>
      </c>
      <c r="T208" s="3">
        <f ca="1">IFERROR(__xludf.DUMMYFUNCTION("""COMPUTED_VALUE"""),25.56)</f>
        <v>25.56</v>
      </c>
      <c r="U208" s="3">
        <f ca="1">IFERROR(__xludf.DUMMYFUNCTION("""COMPUTED_VALUE"""),72.97)</f>
        <v>72.97</v>
      </c>
      <c r="V208" s="3">
        <f ca="1">IFERROR(__xludf.DUMMYFUNCTION("""COMPUTED_VALUE"""),70.83)</f>
        <v>70.83</v>
      </c>
      <c r="W208" s="3">
        <f ca="1">IFERROR(__xludf.DUMMYFUNCTION("""COMPUTED_VALUE"""),33.09)</f>
        <v>33.090000000000003</v>
      </c>
      <c r="X208" s="3">
        <f ca="1">IFERROR(__xludf.DUMMYFUNCTION("""COMPUTED_VALUE"""),81.15)</f>
        <v>81.150000000000006</v>
      </c>
      <c r="Y208" s="3">
        <f ca="1">IFERROR(__xludf.DUMMYFUNCTION("""COMPUTED_VALUE"""),47.24)</f>
        <v>47.24</v>
      </c>
      <c r="Z208" s="3">
        <f ca="1">IFERROR(__xludf.DUMMYFUNCTION("""COMPUTED_VALUE"""),73.5)</f>
        <v>73.5</v>
      </c>
      <c r="AA208" s="3">
        <f ca="1">IFERROR(__xludf.DUMMYFUNCTION("""COMPUTED_VALUE"""),35.95)</f>
        <v>35.950000000000003</v>
      </c>
      <c r="AB208" s="3">
        <f ca="1">IFERROR(__xludf.DUMMYFUNCTION("""COMPUTED_VALUE"""),62.29)</f>
        <v>62.29</v>
      </c>
      <c r="AC208" s="3">
        <f ca="1">IFERROR(__xludf.DUMMYFUNCTION("""COMPUTED_VALUE"""),52.19)</f>
        <v>52.19</v>
      </c>
      <c r="AD208" s="3">
        <f ca="1">IFERROR(__xludf.DUMMYFUNCTION("""COMPUTED_VALUE"""),8.02)</f>
        <v>8.02</v>
      </c>
      <c r="AE208" s="3">
        <f ca="1">IFERROR(__xludf.DUMMYFUNCTION("""COMPUTED_VALUE"""),12.84)</f>
        <v>12.84</v>
      </c>
      <c r="AF208" s="3">
        <f ca="1">IFERROR(__xludf.DUMMYFUNCTION("""COMPUTED_VALUE"""),2.87)</f>
        <v>2.87</v>
      </c>
      <c r="AG208" s="3">
        <f ca="1">IFERROR(__xludf.DUMMYFUNCTION("""COMPUTED_VALUE"""),25.32)</f>
        <v>25.32</v>
      </c>
    </row>
    <row r="209" spans="1:33" ht="12.75" x14ac:dyDescent="0.2">
      <c r="A209" s="4">
        <f ca="1">IFERROR(__xludf.DUMMYFUNCTION("""COMPUTED_VALUE"""),44861.6666666666)</f>
        <v>44861.666666666599</v>
      </c>
      <c r="B209" s="3">
        <f ca="1">IFERROR(__xludf.DUMMYFUNCTION("""COMPUTED_VALUE"""),124.18)</f>
        <v>124.18</v>
      </c>
      <c r="C209" s="3">
        <f ca="1">IFERROR(__xludf.DUMMYFUNCTION("""COMPUTED_VALUE"""),321.25)</f>
        <v>321.25</v>
      </c>
      <c r="D209" s="3">
        <f ca="1">IFERROR(__xludf.DUMMYFUNCTION("""COMPUTED_VALUE"""),77.47)</f>
        <v>77.47</v>
      </c>
      <c r="E209" s="3">
        <f ca="1">IFERROR(__xludf.DUMMYFUNCTION("""COMPUTED_VALUE"""),107.05)</f>
        <v>107.05</v>
      </c>
      <c r="F209" s="3">
        <f ca="1">IFERROR(__xludf.DUMMYFUNCTION("""COMPUTED_VALUE"""),46.26)</f>
        <v>46.26</v>
      </c>
      <c r="G209" s="3">
        <f ca="1">IFERROR(__xludf.DUMMYFUNCTION("""COMPUTED_VALUE"""),19.52)</f>
        <v>19.52</v>
      </c>
      <c r="H209" s="3">
        <f ca="1">IFERROR(__xludf.DUMMYFUNCTION("""COMPUTED_VALUE"""),23.23)</f>
        <v>23.23</v>
      </c>
      <c r="I209" s="3">
        <f ca="1">IFERROR(__xludf.DUMMYFUNCTION("""COMPUTED_VALUE"""),130.71)</f>
        <v>130.71</v>
      </c>
      <c r="J209" s="3">
        <f ca="1">IFERROR(__xludf.DUMMYFUNCTION("""COMPUTED_VALUE"""),239.31)</f>
        <v>239.31</v>
      </c>
      <c r="K209" s="3">
        <f ca="1">IFERROR(__xludf.DUMMYFUNCTION("""COMPUTED_VALUE"""),124.88)</f>
        <v>124.88</v>
      </c>
      <c r="L209" s="3">
        <f ca="1">IFERROR(__xludf.DUMMYFUNCTION("""COMPUTED_VALUE"""),80.91)</f>
        <v>80.91</v>
      </c>
      <c r="M209" s="3">
        <f ca="1">IFERROR(__xludf.DUMMYFUNCTION("""COMPUTED_VALUE"""),61.92)</f>
        <v>61.92</v>
      </c>
      <c r="N209" s="3">
        <f ca="1">IFERROR(__xludf.DUMMYFUNCTION("""COMPUTED_VALUE"""),61.65)</f>
        <v>61.65</v>
      </c>
      <c r="O209" s="3">
        <f ca="1">IFERROR(__xludf.DUMMYFUNCTION("""COMPUTED_VALUE"""),51.28)</f>
        <v>51.28</v>
      </c>
      <c r="P209" s="3">
        <f ca="1">IFERROR(__xludf.DUMMYFUNCTION("""COMPUTED_VALUE"""),88.94)</f>
        <v>88.94</v>
      </c>
      <c r="Q209" s="3">
        <f ca="1">IFERROR(__xludf.DUMMYFUNCTION("""COMPUTED_VALUE"""),124.33)</f>
        <v>124.33</v>
      </c>
      <c r="R209" s="3">
        <f ca="1">IFERROR(__xludf.DUMMYFUNCTION("""COMPUTED_VALUE"""),74.01)</f>
        <v>74.010000000000005</v>
      </c>
      <c r="S209" s="3">
        <f ca="1">IFERROR(__xludf.DUMMYFUNCTION("""COMPUTED_VALUE"""),49.1)</f>
        <v>49.1</v>
      </c>
      <c r="T209" s="3">
        <f ca="1">IFERROR(__xludf.DUMMYFUNCTION("""COMPUTED_VALUE"""),25.6)</f>
        <v>25.6</v>
      </c>
      <c r="U209" s="3">
        <f ca="1">IFERROR(__xludf.DUMMYFUNCTION("""COMPUTED_VALUE"""),73.62)</f>
        <v>73.62</v>
      </c>
      <c r="V209" s="3">
        <f ca="1">IFERROR(__xludf.DUMMYFUNCTION("""COMPUTED_VALUE"""),71.59)</f>
        <v>71.59</v>
      </c>
      <c r="W209" s="3">
        <f ca="1">IFERROR(__xludf.DUMMYFUNCTION("""COMPUTED_VALUE"""),33.36)</f>
        <v>33.36</v>
      </c>
      <c r="X209" s="3">
        <f ca="1">IFERROR(__xludf.DUMMYFUNCTION("""COMPUTED_VALUE"""),81.83)</f>
        <v>81.83</v>
      </c>
      <c r="Y209" s="3">
        <f ca="1">IFERROR(__xludf.DUMMYFUNCTION("""COMPUTED_VALUE"""),47.3)</f>
        <v>47.3</v>
      </c>
      <c r="Z209" s="3">
        <f ca="1">IFERROR(__xludf.DUMMYFUNCTION("""COMPUTED_VALUE"""),74.1)</f>
        <v>74.099999999999994</v>
      </c>
      <c r="AA209" s="3">
        <f ca="1">IFERROR(__xludf.DUMMYFUNCTION("""COMPUTED_VALUE"""),35.97)</f>
        <v>35.97</v>
      </c>
      <c r="AB209" s="3">
        <f ca="1">IFERROR(__xludf.DUMMYFUNCTION("""COMPUTED_VALUE"""),62.31)</f>
        <v>62.31</v>
      </c>
      <c r="AC209" s="3">
        <f ca="1">IFERROR(__xludf.DUMMYFUNCTION("""COMPUTED_VALUE"""),53.33)</f>
        <v>53.33</v>
      </c>
      <c r="AD209" s="3">
        <f ca="1">IFERROR(__xludf.DUMMYFUNCTION("""COMPUTED_VALUE"""),7.97)</f>
        <v>7.97</v>
      </c>
      <c r="AE209" s="3">
        <f ca="1">IFERROR(__xludf.DUMMYFUNCTION("""COMPUTED_VALUE"""),12.79)</f>
        <v>12.79</v>
      </c>
      <c r="AF209" s="3">
        <f ca="1">IFERROR(__xludf.DUMMYFUNCTION("""COMPUTED_VALUE"""),2.88)</f>
        <v>2.88</v>
      </c>
      <c r="AG209" s="3">
        <f ca="1">IFERROR(__xludf.DUMMYFUNCTION("""COMPUTED_VALUE"""),24.52)</f>
        <v>24.52</v>
      </c>
    </row>
    <row r="210" spans="1:33" ht="12.75" x14ac:dyDescent="0.2">
      <c r="A210" s="4">
        <f ca="1">IFERROR(__xludf.DUMMYFUNCTION("""COMPUTED_VALUE"""),44862.6666666666)</f>
        <v>44862.666666666599</v>
      </c>
      <c r="B210" s="3">
        <f ca="1">IFERROR(__xludf.DUMMYFUNCTION("""COMPUTED_VALUE"""),129.58)</f>
        <v>129.58000000000001</v>
      </c>
      <c r="C210" s="3">
        <f ca="1">IFERROR(__xludf.DUMMYFUNCTION("""COMPUTED_VALUE"""),334.18)</f>
        <v>334.18</v>
      </c>
      <c r="D210" s="3">
        <f ca="1">IFERROR(__xludf.DUMMYFUNCTION("""COMPUTED_VALUE"""),76.39)</f>
        <v>76.39</v>
      </c>
      <c r="E210" s="3">
        <f ca="1">IFERROR(__xludf.DUMMYFUNCTION("""COMPUTED_VALUE"""),111.25)</f>
        <v>111.25</v>
      </c>
      <c r="F210" s="3">
        <f ca="1">IFERROR(__xludf.DUMMYFUNCTION("""COMPUTED_VALUE"""),47.13)</f>
        <v>47.13</v>
      </c>
      <c r="G210" s="3">
        <f ca="1">IFERROR(__xludf.DUMMYFUNCTION("""COMPUTED_VALUE"""),19.78)</f>
        <v>19.78</v>
      </c>
      <c r="H210" s="3">
        <f ca="1">IFERROR(__xludf.DUMMYFUNCTION("""COMPUTED_VALUE"""),23.64)</f>
        <v>23.64</v>
      </c>
      <c r="I210" s="3">
        <f ca="1">IFERROR(__xludf.DUMMYFUNCTION("""COMPUTED_VALUE"""),132.86)</f>
        <v>132.86000000000001</v>
      </c>
      <c r="J210" s="3">
        <f ca="1">IFERROR(__xludf.DUMMYFUNCTION("""COMPUTED_VALUE"""),243.25)</f>
        <v>243.25</v>
      </c>
      <c r="K210" s="3">
        <f ca="1">IFERROR(__xludf.DUMMYFUNCTION("""COMPUTED_VALUE"""),129.68)</f>
        <v>129.68</v>
      </c>
      <c r="L210" s="3">
        <f ca="1">IFERROR(__xludf.DUMMYFUNCTION("""COMPUTED_VALUE"""),83.76)</f>
        <v>83.76</v>
      </c>
      <c r="M210" s="3">
        <f ca="1">IFERROR(__xludf.DUMMYFUNCTION("""COMPUTED_VALUE"""),64.08)</f>
        <v>64.08</v>
      </c>
      <c r="N210" s="3">
        <f ca="1">IFERROR(__xludf.DUMMYFUNCTION("""COMPUTED_VALUE"""),62.75)</f>
        <v>62.75</v>
      </c>
      <c r="O210" s="3">
        <f ca="1">IFERROR(__xludf.DUMMYFUNCTION("""COMPUTED_VALUE"""),53.32)</f>
        <v>53.32</v>
      </c>
      <c r="P210" s="3">
        <f ca="1">IFERROR(__xludf.DUMMYFUNCTION("""COMPUTED_VALUE"""),89.25)</f>
        <v>89.25</v>
      </c>
      <c r="Q210" s="3">
        <f ca="1">IFERROR(__xludf.DUMMYFUNCTION("""COMPUTED_VALUE"""),124.88)</f>
        <v>124.88</v>
      </c>
      <c r="R210" s="3">
        <f ca="1">IFERROR(__xludf.DUMMYFUNCTION("""COMPUTED_VALUE"""),74.75)</f>
        <v>74.75</v>
      </c>
      <c r="S210" s="3">
        <f ca="1">IFERROR(__xludf.DUMMYFUNCTION("""COMPUTED_VALUE"""),48.49)</f>
        <v>48.49</v>
      </c>
      <c r="T210" s="3">
        <f ca="1">IFERROR(__xludf.DUMMYFUNCTION("""COMPUTED_VALUE"""),25.3)</f>
        <v>25.3</v>
      </c>
      <c r="U210" s="3">
        <f ca="1">IFERROR(__xludf.DUMMYFUNCTION("""COMPUTED_VALUE"""),72.82)</f>
        <v>72.819999999999993</v>
      </c>
      <c r="V210" s="3">
        <f ca="1">IFERROR(__xludf.DUMMYFUNCTION("""COMPUTED_VALUE"""),70.88)</f>
        <v>70.88</v>
      </c>
      <c r="W210" s="3">
        <f ca="1">IFERROR(__xludf.DUMMYFUNCTION("""COMPUTED_VALUE"""),34.19)</f>
        <v>34.19</v>
      </c>
      <c r="X210" s="3">
        <f ca="1">IFERROR(__xludf.DUMMYFUNCTION("""COMPUTED_VALUE"""),83.94)</f>
        <v>83.94</v>
      </c>
      <c r="Y210" s="3">
        <f ca="1">IFERROR(__xludf.DUMMYFUNCTION("""COMPUTED_VALUE"""),48.53)</f>
        <v>48.53</v>
      </c>
      <c r="Z210" s="3">
        <f ca="1">IFERROR(__xludf.DUMMYFUNCTION("""COMPUTED_VALUE"""),75.91)</f>
        <v>75.91</v>
      </c>
      <c r="AA210" s="3">
        <f ca="1">IFERROR(__xludf.DUMMYFUNCTION("""COMPUTED_VALUE"""),36.82)</f>
        <v>36.82</v>
      </c>
      <c r="AB210" s="3">
        <f ca="1">IFERROR(__xludf.DUMMYFUNCTION("""COMPUTED_VALUE"""),63.85)</f>
        <v>63.85</v>
      </c>
      <c r="AC210" s="3">
        <f ca="1">IFERROR(__xludf.DUMMYFUNCTION("""COMPUTED_VALUE"""),52.98)</f>
        <v>52.98</v>
      </c>
      <c r="AD210" s="3">
        <f ca="1">IFERROR(__xludf.DUMMYFUNCTION("""COMPUTED_VALUE"""),7.95)</f>
        <v>7.95</v>
      </c>
      <c r="AE210" s="3">
        <f ca="1">IFERROR(__xludf.DUMMYFUNCTION("""COMPUTED_VALUE"""),12.74)</f>
        <v>12.74</v>
      </c>
      <c r="AF210" s="3">
        <f ca="1">IFERROR(__xludf.DUMMYFUNCTION("""COMPUTED_VALUE"""),2.72)</f>
        <v>2.72</v>
      </c>
      <c r="AG210" s="3">
        <f ca="1">IFERROR(__xludf.DUMMYFUNCTION("""COMPUTED_VALUE"""),24.72)</f>
        <v>24.72</v>
      </c>
    </row>
    <row r="211" spans="1:33" ht="12.75" x14ac:dyDescent="0.2">
      <c r="A211" s="4">
        <f ca="1">IFERROR(__xludf.DUMMYFUNCTION("""COMPUTED_VALUE"""),44865.6666666666)</f>
        <v>44865.666666666599</v>
      </c>
      <c r="B211" s="3">
        <f ca="1">IFERROR(__xludf.DUMMYFUNCTION("""COMPUTED_VALUE"""),127.87)</f>
        <v>127.87</v>
      </c>
      <c r="C211" s="3">
        <f ca="1">IFERROR(__xludf.DUMMYFUNCTION("""COMPUTED_VALUE"""),330.2)</f>
        <v>330.2</v>
      </c>
      <c r="D211" s="3">
        <f ca="1">IFERROR(__xludf.DUMMYFUNCTION("""COMPUTED_VALUE"""),75.53)</f>
        <v>75.53</v>
      </c>
      <c r="E211" s="3">
        <f ca="1">IFERROR(__xludf.DUMMYFUNCTION("""COMPUTED_VALUE"""),108.83)</f>
        <v>108.83</v>
      </c>
      <c r="F211" s="3">
        <f ca="1">IFERROR(__xludf.DUMMYFUNCTION("""COMPUTED_VALUE"""),47)</f>
        <v>47</v>
      </c>
      <c r="G211" s="3">
        <f ca="1">IFERROR(__xludf.DUMMYFUNCTION("""COMPUTED_VALUE"""),19.62)</f>
        <v>19.62</v>
      </c>
      <c r="H211" s="3">
        <f ca="1">IFERROR(__xludf.DUMMYFUNCTION("""COMPUTED_VALUE"""),23.5)</f>
        <v>23.5</v>
      </c>
      <c r="I211" s="3">
        <f ca="1">IFERROR(__xludf.DUMMYFUNCTION("""COMPUTED_VALUE"""),132.75)</f>
        <v>132.75</v>
      </c>
      <c r="J211" s="3">
        <f ca="1">IFERROR(__xludf.DUMMYFUNCTION("""COMPUTED_VALUE"""),243.03)</f>
        <v>243.03</v>
      </c>
      <c r="K211" s="3">
        <f ca="1">IFERROR(__xludf.DUMMYFUNCTION("""COMPUTED_VALUE"""),128.59)</f>
        <v>128.59</v>
      </c>
      <c r="L211" s="3">
        <f ca="1">IFERROR(__xludf.DUMMYFUNCTION("""COMPUTED_VALUE"""),82.15)</f>
        <v>82.15</v>
      </c>
      <c r="M211" s="3">
        <f ca="1">IFERROR(__xludf.DUMMYFUNCTION("""COMPUTED_VALUE"""),63.43)</f>
        <v>63.43</v>
      </c>
      <c r="N211" s="3">
        <f ca="1">IFERROR(__xludf.DUMMYFUNCTION("""COMPUTED_VALUE"""),62.68)</f>
        <v>62.68</v>
      </c>
      <c r="O211" s="3">
        <f ca="1">IFERROR(__xludf.DUMMYFUNCTION("""COMPUTED_VALUE"""),52.6)</f>
        <v>52.6</v>
      </c>
      <c r="P211" s="3">
        <f ca="1">IFERROR(__xludf.DUMMYFUNCTION("""COMPUTED_VALUE"""),90)</f>
        <v>90</v>
      </c>
      <c r="Q211" s="3">
        <f ca="1">IFERROR(__xludf.DUMMYFUNCTION("""COMPUTED_VALUE"""),125.98)</f>
        <v>125.98</v>
      </c>
      <c r="R211" s="3">
        <f ca="1">IFERROR(__xludf.DUMMYFUNCTION("""COMPUTED_VALUE"""),74.08)</f>
        <v>74.08</v>
      </c>
      <c r="S211" s="3">
        <f ca="1">IFERROR(__xludf.DUMMYFUNCTION("""COMPUTED_VALUE"""),48.5)</f>
        <v>48.5</v>
      </c>
      <c r="T211" s="3">
        <f ca="1">IFERROR(__xludf.DUMMYFUNCTION("""COMPUTED_VALUE"""),25.12)</f>
        <v>25.12</v>
      </c>
      <c r="U211" s="3">
        <f ca="1">IFERROR(__xludf.DUMMYFUNCTION("""COMPUTED_VALUE"""),71.53)</f>
        <v>71.53</v>
      </c>
      <c r="V211" s="3">
        <f ca="1">IFERROR(__xludf.DUMMYFUNCTION("""COMPUTED_VALUE"""),71.28)</f>
        <v>71.28</v>
      </c>
      <c r="W211" s="3">
        <f ca="1">IFERROR(__xludf.DUMMYFUNCTION("""COMPUTED_VALUE"""),33.98)</f>
        <v>33.979999999999997</v>
      </c>
      <c r="X211" s="3">
        <f ca="1">IFERROR(__xludf.DUMMYFUNCTION("""COMPUTED_VALUE"""),83.48)</f>
        <v>83.48</v>
      </c>
      <c r="Y211" s="3">
        <f ca="1">IFERROR(__xludf.DUMMYFUNCTION("""COMPUTED_VALUE"""),48.55)</f>
        <v>48.55</v>
      </c>
      <c r="Z211" s="3">
        <f ca="1">IFERROR(__xludf.DUMMYFUNCTION("""COMPUTED_VALUE"""),75.48)</f>
        <v>75.48</v>
      </c>
      <c r="AA211" s="3">
        <f ca="1">IFERROR(__xludf.DUMMYFUNCTION("""COMPUTED_VALUE"""),36.73)</f>
        <v>36.729999999999997</v>
      </c>
      <c r="AB211" s="3">
        <f ca="1">IFERROR(__xludf.DUMMYFUNCTION("""COMPUTED_VALUE"""),63.95)</f>
        <v>63.95</v>
      </c>
      <c r="AC211" s="3">
        <f ca="1">IFERROR(__xludf.DUMMYFUNCTION("""COMPUTED_VALUE"""),53.32)</f>
        <v>53.32</v>
      </c>
      <c r="AD211" s="3">
        <f ca="1">IFERROR(__xludf.DUMMYFUNCTION("""COMPUTED_VALUE"""),7.84)</f>
        <v>7.84</v>
      </c>
      <c r="AE211" s="3">
        <f ca="1">IFERROR(__xludf.DUMMYFUNCTION("""COMPUTED_VALUE"""),12.57)</f>
        <v>12.57</v>
      </c>
      <c r="AF211" s="3">
        <f ca="1">IFERROR(__xludf.DUMMYFUNCTION("""COMPUTED_VALUE"""),2.81)</f>
        <v>2.81</v>
      </c>
      <c r="AG211" s="3">
        <f ca="1">IFERROR(__xludf.DUMMYFUNCTION("""COMPUTED_VALUE"""),23.36)</f>
        <v>23.36</v>
      </c>
    </row>
    <row r="212" spans="1:33" ht="12.75" x14ac:dyDescent="0.2">
      <c r="A212" s="4">
        <f ca="1">IFERROR(__xludf.DUMMYFUNCTION("""COMPUTED_VALUE"""),44866.6666666666)</f>
        <v>44866.666666666599</v>
      </c>
      <c r="B212" s="3">
        <f ca="1">IFERROR(__xludf.DUMMYFUNCTION("""COMPUTED_VALUE"""),126.8)</f>
        <v>126.8</v>
      </c>
      <c r="C212" s="3">
        <f ca="1">IFERROR(__xludf.DUMMYFUNCTION("""COMPUTED_VALUE"""),327.65)</f>
        <v>327.64999999999998</v>
      </c>
      <c r="D212" s="3">
        <f ca="1">IFERROR(__xludf.DUMMYFUNCTION("""COMPUTED_VALUE"""),72.65)</f>
        <v>72.650000000000006</v>
      </c>
      <c r="E212" s="3">
        <f ca="1">IFERROR(__xludf.DUMMYFUNCTION("""COMPUTED_VALUE"""),109.7)</f>
        <v>109.7</v>
      </c>
      <c r="F212" s="3">
        <f ca="1">IFERROR(__xludf.DUMMYFUNCTION("""COMPUTED_VALUE"""),46.6)</f>
        <v>46.6</v>
      </c>
      <c r="G212" s="3">
        <f ca="1">IFERROR(__xludf.DUMMYFUNCTION("""COMPUTED_VALUE"""),19.8)</f>
        <v>19.8</v>
      </c>
      <c r="H212" s="3">
        <f ca="1">IFERROR(__xludf.DUMMYFUNCTION("""COMPUTED_VALUE"""),23.61)</f>
        <v>23.61</v>
      </c>
      <c r="I212" s="3">
        <f ca="1">IFERROR(__xludf.DUMMYFUNCTION("""COMPUTED_VALUE"""),132.83)</f>
        <v>132.83000000000001</v>
      </c>
      <c r="J212" s="3">
        <f ca="1">IFERROR(__xludf.DUMMYFUNCTION("""COMPUTED_VALUE"""),243.22)</f>
        <v>243.22</v>
      </c>
      <c r="K212" s="3">
        <f ca="1">IFERROR(__xludf.DUMMYFUNCTION("""COMPUTED_VALUE"""),129.75)</f>
        <v>129.75</v>
      </c>
      <c r="L212" s="3">
        <f ca="1">IFERROR(__xludf.DUMMYFUNCTION("""COMPUTED_VALUE"""),82.82)</f>
        <v>82.82</v>
      </c>
      <c r="M212" s="3">
        <f ca="1">IFERROR(__xludf.DUMMYFUNCTION("""COMPUTED_VALUE"""),64.29)</f>
        <v>64.290000000000006</v>
      </c>
      <c r="N212" s="3">
        <f ca="1">IFERROR(__xludf.DUMMYFUNCTION("""COMPUTED_VALUE"""),62.76)</f>
        <v>62.76</v>
      </c>
      <c r="O212" s="3">
        <f ca="1">IFERROR(__xludf.DUMMYFUNCTION("""COMPUTED_VALUE"""),53.08)</f>
        <v>53.08</v>
      </c>
      <c r="P212" s="3">
        <f ca="1">IFERROR(__xludf.DUMMYFUNCTION("""COMPUTED_VALUE"""),90.87)</f>
        <v>90.87</v>
      </c>
      <c r="Q212" s="3">
        <f ca="1">IFERROR(__xludf.DUMMYFUNCTION("""COMPUTED_VALUE"""),127.15)</f>
        <v>127.15</v>
      </c>
      <c r="R212" s="3">
        <f ca="1">IFERROR(__xludf.DUMMYFUNCTION("""COMPUTED_VALUE"""),74.27)</f>
        <v>74.27</v>
      </c>
      <c r="S212" s="3">
        <f ca="1">IFERROR(__xludf.DUMMYFUNCTION("""COMPUTED_VALUE"""),49.24)</f>
        <v>49.24</v>
      </c>
      <c r="T212" s="3">
        <f ca="1">IFERROR(__xludf.DUMMYFUNCTION("""COMPUTED_VALUE"""),25.5)</f>
        <v>25.5</v>
      </c>
      <c r="U212" s="3">
        <f ca="1">IFERROR(__xludf.DUMMYFUNCTION("""COMPUTED_VALUE"""),73.12)</f>
        <v>73.12</v>
      </c>
      <c r="V212" s="3">
        <f ca="1">IFERROR(__xludf.DUMMYFUNCTION("""COMPUTED_VALUE"""),71.75)</f>
        <v>71.75</v>
      </c>
      <c r="W212" s="3">
        <f ca="1">IFERROR(__xludf.DUMMYFUNCTION("""COMPUTED_VALUE"""),34.07)</f>
        <v>34.07</v>
      </c>
      <c r="X212" s="3">
        <f ca="1">IFERROR(__xludf.DUMMYFUNCTION("""COMPUTED_VALUE"""),83.83)</f>
        <v>83.83</v>
      </c>
      <c r="Y212" s="3">
        <f ca="1">IFERROR(__xludf.DUMMYFUNCTION("""COMPUTED_VALUE"""),48.62)</f>
        <v>48.62</v>
      </c>
      <c r="Z212" s="3">
        <f ca="1">IFERROR(__xludf.DUMMYFUNCTION("""COMPUTED_VALUE"""),75.84)</f>
        <v>75.84</v>
      </c>
      <c r="AA212" s="3">
        <f ca="1">IFERROR(__xludf.DUMMYFUNCTION("""COMPUTED_VALUE"""),36.67)</f>
        <v>36.67</v>
      </c>
      <c r="AB212" s="3">
        <f ca="1">IFERROR(__xludf.DUMMYFUNCTION("""COMPUTED_VALUE"""),63.99)</f>
        <v>63.99</v>
      </c>
      <c r="AC212" s="3">
        <f ca="1">IFERROR(__xludf.DUMMYFUNCTION("""COMPUTED_VALUE"""),52.42)</f>
        <v>52.42</v>
      </c>
      <c r="AD212" s="3">
        <f ca="1">IFERROR(__xludf.DUMMYFUNCTION("""COMPUTED_VALUE"""),7.88)</f>
        <v>7.88</v>
      </c>
      <c r="AE212" s="3">
        <f ca="1">IFERROR(__xludf.DUMMYFUNCTION("""COMPUTED_VALUE"""),12.63)</f>
        <v>12.63</v>
      </c>
      <c r="AF212" s="3">
        <f ca="1">IFERROR(__xludf.DUMMYFUNCTION("""COMPUTED_VALUE"""),2.73)</f>
        <v>2.73</v>
      </c>
      <c r="AG212" s="3">
        <f ca="1">IFERROR(__xludf.DUMMYFUNCTION("""COMPUTED_VALUE"""),22.4)</f>
        <v>22.4</v>
      </c>
    </row>
    <row r="213" spans="1:33" ht="12.75" x14ac:dyDescent="0.2">
      <c r="A213" s="4">
        <f ca="1">IFERROR(__xludf.DUMMYFUNCTION("""COMPUTED_VALUE"""),44867.6666666666)</f>
        <v>44867.666666666599</v>
      </c>
      <c r="B213" s="3">
        <f ca="1">IFERROR(__xludf.DUMMYFUNCTION("""COMPUTED_VALUE"""),122.42)</f>
        <v>122.42</v>
      </c>
      <c r="C213" s="3">
        <f ca="1">IFERROR(__xludf.DUMMYFUNCTION("""COMPUTED_VALUE"""),315.53)</f>
        <v>315.52999999999997</v>
      </c>
      <c r="D213" s="3">
        <f ca="1">IFERROR(__xludf.DUMMYFUNCTION("""COMPUTED_VALUE"""),70.72)</f>
        <v>70.72</v>
      </c>
      <c r="E213" s="3">
        <f ca="1">IFERROR(__xludf.DUMMYFUNCTION("""COMPUTED_VALUE"""),106.24)</f>
        <v>106.24</v>
      </c>
      <c r="F213" s="3">
        <f ca="1">IFERROR(__xludf.DUMMYFUNCTION("""COMPUTED_VALUE"""),44.84)</f>
        <v>44.84</v>
      </c>
      <c r="G213" s="3">
        <f ca="1">IFERROR(__xludf.DUMMYFUNCTION("""COMPUTED_VALUE"""),18.95)</f>
        <v>18.95</v>
      </c>
      <c r="H213" s="3">
        <f ca="1">IFERROR(__xludf.DUMMYFUNCTION("""COMPUTED_VALUE"""),22.8)</f>
        <v>22.8</v>
      </c>
      <c r="I213" s="3">
        <f ca="1">IFERROR(__xludf.DUMMYFUNCTION("""COMPUTED_VALUE"""),130.57)</f>
        <v>130.57</v>
      </c>
      <c r="J213" s="3">
        <f ca="1">IFERROR(__xludf.DUMMYFUNCTION("""COMPUTED_VALUE"""),239.1)</f>
        <v>239.1</v>
      </c>
      <c r="K213" s="3">
        <f ca="1">IFERROR(__xludf.DUMMYFUNCTION("""COMPUTED_VALUE"""),127.58)</f>
        <v>127.58</v>
      </c>
      <c r="L213" s="3">
        <f ca="1">IFERROR(__xludf.DUMMYFUNCTION("""COMPUTED_VALUE"""),81.18)</f>
        <v>81.180000000000007</v>
      </c>
      <c r="M213" s="3">
        <f ca="1">IFERROR(__xludf.DUMMYFUNCTION("""COMPUTED_VALUE"""),63.29)</f>
        <v>63.29</v>
      </c>
      <c r="N213" s="3">
        <f ca="1">IFERROR(__xludf.DUMMYFUNCTION("""COMPUTED_VALUE"""),61.6)</f>
        <v>61.6</v>
      </c>
      <c r="O213" s="3">
        <f ca="1">IFERROR(__xludf.DUMMYFUNCTION("""COMPUTED_VALUE"""),51.88)</f>
        <v>51.88</v>
      </c>
      <c r="P213" s="3">
        <f ca="1">IFERROR(__xludf.DUMMYFUNCTION("""COMPUTED_VALUE"""),88.68)</f>
        <v>88.68</v>
      </c>
      <c r="Q213" s="3">
        <f ca="1">IFERROR(__xludf.DUMMYFUNCTION("""COMPUTED_VALUE"""),124.39)</f>
        <v>124.39</v>
      </c>
      <c r="R213" s="3">
        <f ca="1">IFERROR(__xludf.DUMMYFUNCTION("""COMPUTED_VALUE"""),72.34)</f>
        <v>72.34</v>
      </c>
      <c r="S213" s="3">
        <f ca="1">IFERROR(__xludf.DUMMYFUNCTION("""COMPUTED_VALUE"""),46.24)</f>
        <v>46.24</v>
      </c>
      <c r="T213" s="3">
        <f ca="1">IFERROR(__xludf.DUMMYFUNCTION("""COMPUTED_VALUE"""),25.73)</f>
        <v>25.73</v>
      </c>
      <c r="U213" s="3">
        <f ca="1">IFERROR(__xludf.DUMMYFUNCTION("""COMPUTED_VALUE"""),74.08)</f>
        <v>74.08</v>
      </c>
      <c r="V213" s="3">
        <f ca="1">IFERROR(__xludf.DUMMYFUNCTION("""COMPUTED_VALUE"""),69.93)</f>
        <v>69.930000000000007</v>
      </c>
      <c r="W213" s="3">
        <f ca="1">IFERROR(__xludf.DUMMYFUNCTION("""COMPUTED_VALUE"""),33.64)</f>
        <v>33.64</v>
      </c>
      <c r="X213" s="3">
        <f ca="1">IFERROR(__xludf.DUMMYFUNCTION("""COMPUTED_VALUE"""),82.68)</f>
        <v>82.68</v>
      </c>
      <c r="Y213" s="3">
        <f ca="1">IFERROR(__xludf.DUMMYFUNCTION("""COMPUTED_VALUE"""),47.51)</f>
        <v>47.51</v>
      </c>
      <c r="Z213" s="3">
        <f ca="1">IFERROR(__xludf.DUMMYFUNCTION("""COMPUTED_VALUE"""),74.85)</f>
        <v>74.849999999999994</v>
      </c>
      <c r="AA213" s="3">
        <f ca="1">IFERROR(__xludf.DUMMYFUNCTION("""COMPUTED_VALUE"""),35.71)</f>
        <v>35.71</v>
      </c>
      <c r="AB213" s="3">
        <f ca="1">IFERROR(__xludf.DUMMYFUNCTION("""COMPUTED_VALUE"""),62.37)</f>
        <v>62.37</v>
      </c>
      <c r="AC213" s="3">
        <f ca="1">IFERROR(__xludf.DUMMYFUNCTION("""COMPUTED_VALUE"""),51.7)</f>
        <v>51.7</v>
      </c>
      <c r="AD213" s="3">
        <f ca="1">IFERROR(__xludf.DUMMYFUNCTION("""COMPUTED_VALUE"""),7.79)</f>
        <v>7.79</v>
      </c>
      <c r="AE213" s="3">
        <f ca="1">IFERROR(__xludf.DUMMYFUNCTION("""COMPUTED_VALUE"""),12.47)</f>
        <v>12.47</v>
      </c>
      <c r="AF213" s="3">
        <f ca="1">IFERROR(__xludf.DUMMYFUNCTION("""COMPUTED_VALUE"""),2.67)</f>
        <v>2.67</v>
      </c>
      <c r="AG213" s="3">
        <f ca="1">IFERROR(__xludf.DUMMYFUNCTION("""COMPUTED_VALUE"""),21.2)</f>
        <v>21.2</v>
      </c>
    </row>
    <row r="214" spans="1:33" ht="12.75" x14ac:dyDescent="0.2">
      <c r="A214" s="4">
        <f ca="1">IFERROR(__xludf.DUMMYFUNCTION("""COMPUTED_VALUE"""),44868.6666666666)</f>
        <v>44868.666666666599</v>
      </c>
      <c r="B214" s="3">
        <f ca="1">IFERROR(__xludf.DUMMYFUNCTION("""COMPUTED_VALUE"""),118.82)</f>
        <v>118.82</v>
      </c>
      <c r="C214" s="3">
        <f ca="1">IFERROR(__xludf.DUMMYFUNCTION("""COMPUTED_VALUE"""),306.55)</f>
        <v>306.55</v>
      </c>
      <c r="D214" s="3">
        <f ca="1">IFERROR(__xludf.DUMMYFUNCTION("""COMPUTED_VALUE"""),71.68)</f>
        <v>71.680000000000007</v>
      </c>
      <c r="E214" s="3">
        <f ca="1">IFERROR(__xludf.DUMMYFUNCTION("""COMPUTED_VALUE"""),104.82)</f>
        <v>104.82</v>
      </c>
      <c r="F214" s="3">
        <f ca="1">IFERROR(__xludf.DUMMYFUNCTION("""COMPUTED_VALUE"""),43.62)</f>
        <v>43.62</v>
      </c>
      <c r="G214" s="3">
        <f ca="1">IFERROR(__xludf.DUMMYFUNCTION("""COMPUTED_VALUE"""),18.87)</f>
        <v>18.87</v>
      </c>
      <c r="H214" s="3">
        <f ca="1">IFERROR(__xludf.DUMMYFUNCTION("""COMPUTED_VALUE"""),22.83)</f>
        <v>22.83</v>
      </c>
      <c r="I214" s="3">
        <f ca="1">IFERROR(__xludf.DUMMYFUNCTION("""COMPUTED_VALUE"""),130.02)</f>
        <v>130.02000000000001</v>
      </c>
      <c r="J214" s="3">
        <f ca="1">IFERROR(__xludf.DUMMYFUNCTION("""COMPUTED_VALUE"""),238.09)</f>
        <v>238.09</v>
      </c>
      <c r="K214" s="3">
        <f ca="1">IFERROR(__xludf.DUMMYFUNCTION("""COMPUTED_VALUE"""),128.02)</f>
        <v>128.02000000000001</v>
      </c>
      <c r="L214" s="3">
        <f ca="1">IFERROR(__xludf.DUMMYFUNCTION("""COMPUTED_VALUE"""),80.63)</f>
        <v>80.63</v>
      </c>
      <c r="M214" s="3">
        <f ca="1">IFERROR(__xludf.DUMMYFUNCTION("""COMPUTED_VALUE"""),63.26)</f>
        <v>63.26</v>
      </c>
      <c r="N214" s="3">
        <f ca="1">IFERROR(__xludf.DUMMYFUNCTION("""COMPUTED_VALUE"""),61.4)</f>
        <v>61.4</v>
      </c>
      <c r="O214" s="3">
        <f ca="1">IFERROR(__xludf.DUMMYFUNCTION("""COMPUTED_VALUE"""),51.48)</f>
        <v>51.48</v>
      </c>
      <c r="P214" s="3">
        <f ca="1">IFERROR(__xludf.DUMMYFUNCTION("""COMPUTED_VALUE"""),90.32)</f>
        <v>90.32</v>
      </c>
      <c r="Q214" s="3">
        <f ca="1">IFERROR(__xludf.DUMMYFUNCTION("""COMPUTED_VALUE"""),126.78)</f>
        <v>126.78</v>
      </c>
      <c r="R214" s="3">
        <f ca="1">IFERROR(__xludf.DUMMYFUNCTION("""COMPUTED_VALUE"""),72.89)</f>
        <v>72.89</v>
      </c>
      <c r="S214" s="3">
        <f ca="1">IFERROR(__xludf.DUMMYFUNCTION("""COMPUTED_VALUE"""),46.11)</f>
        <v>46.11</v>
      </c>
      <c r="T214" s="3">
        <f ca="1">IFERROR(__xludf.DUMMYFUNCTION("""COMPUTED_VALUE"""),25.71)</f>
        <v>25.71</v>
      </c>
      <c r="U214" s="3">
        <f ca="1">IFERROR(__xludf.DUMMYFUNCTION("""COMPUTED_VALUE"""),73.29)</f>
        <v>73.290000000000006</v>
      </c>
      <c r="V214" s="3">
        <f ca="1">IFERROR(__xludf.DUMMYFUNCTION("""COMPUTED_VALUE"""),72.52)</f>
        <v>72.52</v>
      </c>
      <c r="W214" s="3">
        <f ca="1">IFERROR(__xludf.DUMMYFUNCTION("""COMPUTED_VALUE"""),33.3)</f>
        <v>33.299999999999997</v>
      </c>
      <c r="X214" s="3">
        <f ca="1">IFERROR(__xludf.DUMMYFUNCTION("""COMPUTED_VALUE"""),81.78)</f>
        <v>81.78</v>
      </c>
      <c r="Y214" s="3">
        <f ca="1">IFERROR(__xludf.DUMMYFUNCTION("""COMPUTED_VALUE"""),47.03)</f>
        <v>47.03</v>
      </c>
      <c r="Z214" s="3">
        <f ca="1">IFERROR(__xludf.DUMMYFUNCTION("""COMPUTED_VALUE"""),74.1)</f>
        <v>74.099999999999994</v>
      </c>
      <c r="AA214" s="3">
        <f ca="1">IFERROR(__xludf.DUMMYFUNCTION("""COMPUTED_VALUE"""),35.69)</f>
        <v>35.69</v>
      </c>
      <c r="AB214" s="3">
        <f ca="1">IFERROR(__xludf.DUMMYFUNCTION("""COMPUTED_VALUE"""),61.91)</f>
        <v>61.91</v>
      </c>
      <c r="AC214" s="3">
        <f ca="1">IFERROR(__xludf.DUMMYFUNCTION("""COMPUTED_VALUE"""),52.84)</f>
        <v>52.84</v>
      </c>
      <c r="AD214" s="3">
        <f ca="1">IFERROR(__xludf.DUMMYFUNCTION("""COMPUTED_VALUE"""),7.81)</f>
        <v>7.81</v>
      </c>
      <c r="AE214" s="3">
        <f ca="1">IFERROR(__xludf.DUMMYFUNCTION("""COMPUTED_VALUE"""),12.5)</f>
        <v>12.5</v>
      </c>
      <c r="AF214" s="3">
        <f ca="1">IFERROR(__xludf.DUMMYFUNCTION("""COMPUTED_VALUE"""),2.53)</f>
        <v>2.5299999999999998</v>
      </c>
      <c r="AG214" s="3">
        <f ca="1">IFERROR(__xludf.DUMMYFUNCTION("""COMPUTED_VALUE"""),20.52)</f>
        <v>20.52</v>
      </c>
    </row>
    <row r="215" spans="1:33" ht="12.75" x14ac:dyDescent="0.2">
      <c r="A215" s="4">
        <f ca="1">IFERROR(__xludf.DUMMYFUNCTION("""COMPUTED_VALUE"""),44869.6666666666)</f>
        <v>44869.666666666599</v>
      </c>
      <c r="B215" s="3">
        <f ca="1">IFERROR(__xludf.DUMMYFUNCTION("""COMPUTED_VALUE"""),120.99)</f>
        <v>120.99</v>
      </c>
      <c r="C215" s="3">
        <f ca="1">IFERROR(__xludf.DUMMYFUNCTION("""COMPUTED_VALUE"""),310.53)</f>
        <v>310.52999999999997</v>
      </c>
      <c r="D215" s="3">
        <f ca="1">IFERROR(__xludf.DUMMYFUNCTION("""COMPUTED_VALUE"""),72.93)</f>
        <v>72.930000000000007</v>
      </c>
      <c r="E215" s="3">
        <f ca="1">IFERROR(__xludf.DUMMYFUNCTION("""COMPUTED_VALUE"""),109.67)</f>
        <v>109.67</v>
      </c>
      <c r="F215" s="3">
        <f ca="1">IFERROR(__xludf.DUMMYFUNCTION("""COMPUTED_VALUE"""),42.6)</f>
        <v>42.6</v>
      </c>
      <c r="G215" s="3">
        <f ca="1">IFERROR(__xludf.DUMMYFUNCTION("""COMPUTED_VALUE"""),19.43)</f>
        <v>19.43</v>
      </c>
      <c r="H215" s="3">
        <f ca="1">IFERROR(__xludf.DUMMYFUNCTION("""COMPUTED_VALUE"""),22.95)</f>
        <v>22.95</v>
      </c>
      <c r="I215" s="3">
        <f ca="1">IFERROR(__xludf.DUMMYFUNCTION("""COMPUTED_VALUE"""),130.81)</f>
        <v>130.81</v>
      </c>
      <c r="J215" s="3">
        <f ca="1">IFERROR(__xludf.DUMMYFUNCTION("""COMPUTED_VALUE"""),239.09)</f>
        <v>239.09</v>
      </c>
      <c r="K215" s="3">
        <f ca="1">IFERROR(__xludf.DUMMYFUNCTION("""COMPUTED_VALUE"""),128.34)</f>
        <v>128.34</v>
      </c>
      <c r="L215" s="3">
        <f ca="1">IFERROR(__xludf.DUMMYFUNCTION("""COMPUTED_VALUE"""),79.96)</f>
        <v>79.959999999999994</v>
      </c>
      <c r="M215" s="3">
        <f ca="1">IFERROR(__xludf.DUMMYFUNCTION("""COMPUTED_VALUE"""),62.98)</f>
        <v>62.98</v>
      </c>
      <c r="N215" s="3">
        <f ca="1">IFERROR(__xludf.DUMMYFUNCTION("""COMPUTED_VALUE"""),61.63)</f>
        <v>61.63</v>
      </c>
      <c r="O215" s="3">
        <f ca="1">IFERROR(__xludf.DUMMYFUNCTION("""COMPUTED_VALUE"""),50.84)</f>
        <v>50.84</v>
      </c>
      <c r="P215" s="3">
        <f ca="1">IFERROR(__xludf.DUMMYFUNCTION("""COMPUTED_VALUE"""),91.42)</f>
        <v>91.42</v>
      </c>
      <c r="Q215" s="3">
        <f ca="1">IFERROR(__xludf.DUMMYFUNCTION("""COMPUTED_VALUE"""),128.23)</f>
        <v>128.22999999999999</v>
      </c>
      <c r="R215" s="3">
        <f ca="1">IFERROR(__xludf.DUMMYFUNCTION("""COMPUTED_VALUE"""),75.42)</f>
        <v>75.42</v>
      </c>
      <c r="S215" s="3">
        <f ca="1">IFERROR(__xludf.DUMMYFUNCTION("""COMPUTED_VALUE"""),49.45)</f>
        <v>49.45</v>
      </c>
      <c r="T215" s="3">
        <f ca="1">IFERROR(__xludf.DUMMYFUNCTION("""COMPUTED_VALUE"""),26.58)</f>
        <v>26.58</v>
      </c>
      <c r="U215" s="3">
        <f ca="1">IFERROR(__xludf.DUMMYFUNCTION("""COMPUTED_VALUE"""),76.82)</f>
        <v>76.819999999999993</v>
      </c>
      <c r="V215" s="3">
        <f ca="1">IFERROR(__xludf.DUMMYFUNCTION("""COMPUTED_VALUE"""),72.36)</f>
        <v>72.36</v>
      </c>
      <c r="W215" s="3">
        <f ca="1">IFERROR(__xludf.DUMMYFUNCTION("""COMPUTED_VALUE"""),33.91)</f>
        <v>33.909999999999997</v>
      </c>
      <c r="X215" s="3">
        <f ca="1">IFERROR(__xludf.DUMMYFUNCTION("""COMPUTED_VALUE"""),83.44)</f>
        <v>83.44</v>
      </c>
      <c r="Y215" s="3">
        <f ca="1">IFERROR(__xludf.DUMMYFUNCTION("""COMPUTED_VALUE"""),48.14)</f>
        <v>48.14</v>
      </c>
      <c r="Z215" s="3">
        <f ca="1">IFERROR(__xludf.DUMMYFUNCTION("""COMPUTED_VALUE"""),75.5)</f>
        <v>75.5</v>
      </c>
      <c r="AA215" s="3">
        <f ca="1">IFERROR(__xludf.DUMMYFUNCTION("""COMPUTED_VALUE"""),36.19)</f>
        <v>36.19</v>
      </c>
      <c r="AB215" s="3">
        <f ca="1">IFERROR(__xludf.DUMMYFUNCTION("""COMPUTED_VALUE"""),63.37)</f>
        <v>63.37</v>
      </c>
      <c r="AC215" s="3">
        <f ca="1">IFERROR(__xludf.DUMMYFUNCTION("""COMPUTED_VALUE"""),53.44)</f>
        <v>53.44</v>
      </c>
      <c r="AD215" s="3">
        <f ca="1">IFERROR(__xludf.DUMMYFUNCTION("""COMPUTED_VALUE"""),8.16)</f>
        <v>8.16</v>
      </c>
      <c r="AE215" s="3">
        <f ca="1">IFERROR(__xludf.DUMMYFUNCTION("""COMPUTED_VALUE"""),13.06)</f>
        <v>13.06</v>
      </c>
      <c r="AF215" s="3">
        <f ca="1">IFERROR(__xludf.DUMMYFUNCTION("""COMPUTED_VALUE"""),2.5)</f>
        <v>2.5</v>
      </c>
      <c r="AG215" s="3">
        <f ca="1">IFERROR(__xludf.DUMMYFUNCTION("""COMPUTED_VALUE"""),21.16)</f>
        <v>21.16</v>
      </c>
    </row>
    <row r="216" spans="1:33" ht="12.75" x14ac:dyDescent="0.2">
      <c r="A216" s="4">
        <f ca="1">IFERROR(__xludf.DUMMYFUNCTION("""COMPUTED_VALUE"""),44872.6666666666)</f>
        <v>44872.666666666599</v>
      </c>
      <c r="B216" s="3">
        <f ca="1">IFERROR(__xludf.DUMMYFUNCTION("""COMPUTED_VALUE"""),123.01)</f>
        <v>123.01</v>
      </c>
      <c r="C216" s="3">
        <f ca="1">IFERROR(__xludf.DUMMYFUNCTION("""COMPUTED_VALUE"""),315.13)</f>
        <v>315.13</v>
      </c>
      <c r="D216" s="3">
        <f ca="1">IFERROR(__xludf.DUMMYFUNCTION("""COMPUTED_VALUE"""),73.66)</f>
        <v>73.66</v>
      </c>
      <c r="E216" s="3">
        <f ca="1">IFERROR(__xludf.DUMMYFUNCTION("""COMPUTED_VALUE"""),112.04)</f>
        <v>112.04</v>
      </c>
      <c r="F216" s="3">
        <f ca="1">IFERROR(__xludf.DUMMYFUNCTION("""COMPUTED_VALUE"""),42.61)</f>
        <v>42.61</v>
      </c>
      <c r="G216" s="3">
        <f ca="1">IFERROR(__xludf.DUMMYFUNCTION("""COMPUTED_VALUE"""),19.68)</f>
        <v>19.68</v>
      </c>
      <c r="H216" s="3">
        <f ca="1">IFERROR(__xludf.DUMMYFUNCTION("""COMPUTED_VALUE"""),23.08)</f>
        <v>23.08</v>
      </c>
      <c r="I216" s="3">
        <f ca="1">IFERROR(__xludf.DUMMYFUNCTION("""COMPUTED_VALUE"""),132.21)</f>
        <v>132.21</v>
      </c>
      <c r="J216" s="3">
        <f ca="1">IFERROR(__xludf.DUMMYFUNCTION("""COMPUTED_VALUE"""),241.4)</f>
        <v>241.4</v>
      </c>
      <c r="K216" s="3">
        <f ca="1">IFERROR(__xludf.DUMMYFUNCTION("""COMPUTED_VALUE"""),129.08)</f>
        <v>129.08000000000001</v>
      </c>
      <c r="L216" s="3">
        <f ca="1">IFERROR(__xludf.DUMMYFUNCTION("""COMPUTED_VALUE"""),79.12)</f>
        <v>79.12</v>
      </c>
      <c r="M216" s="3">
        <f ca="1">IFERROR(__xludf.DUMMYFUNCTION("""COMPUTED_VALUE"""),63.25)</f>
        <v>63.25</v>
      </c>
      <c r="N216" s="3">
        <f ca="1">IFERROR(__xludf.DUMMYFUNCTION("""COMPUTED_VALUE"""),62.19)</f>
        <v>62.19</v>
      </c>
      <c r="O216" s="3">
        <f ca="1">IFERROR(__xludf.DUMMYFUNCTION("""COMPUTED_VALUE"""),50.08)</f>
        <v>50.08</v>
      </c>
      <c r="P216" s="3">
        <f ca="1">IFERROR(__xludf.DUMMYFUNCTION("""COMPUTED_VALUE"""),92.99)</f>
        <v>92.99</v>
      </c>
      <c r="Q216" s="3">
        <f ca="1">IFERROR(__xludf.DUMMYFUNCTION("""COMPUTED_VALUE"""),130.78)</f>
        <v>130.78</v>
      </c>
      <c r="R216" s="3">
        <f ca="1">IFERROR(__xludf.DUMMYFUNCTION("""COMPUTED_VALUE"""),76.01)</f>
        <v>76.010000000000005</v>
      </c>
      <c r="S216" s="3">
        <f ca="1">IFERROR(__xludf.DUMMYFUNCTION("""COMPUTED_VALUE"""),49.91)</f>
        <v>49.91</v>
      </c>
      <c r="T216" s="3">
        <f ca="1">IFERROR(__xludf.DUMMYFUNCTION("""COMPUTED_VALUE"""),26.35)</f>
        <v>26.35</v>
      </c>
      <c r="U216" s="3">
        <f ca="1">IFERROR(__xludf.DUMMYFUNCTION("""COMPUTED_VALUE"""),76.56)</f>
        <v>76.56</v>
      </c>
      <c r="V216" s="3">
        <f ca="1">IFERROR(__xludf.DUMMYFUNCTION("""COMPUTED_VALUE"""),71.41)</f>
        <v>71.41</v>
      </c>
      <c r="W216" s="3">
        <f ca="1">IFERROR(__xludf.DUMMYFUNCTION("""COMPUTED_VALUE"""),34.25)</f>
        <v>34.25</v>
      </c>
      <c r="X216" s="3">
        <f ca="1">IFERROR(__xludf.DUMMYFUNCTION("""COMPUTED_VALUE"""),84.24)</f>
        <v>84.24</v>
      </c>
      <c r="Y216" s="3">
        <f ca="1">IFERROR(__xludf.DUMMYFUNCTION("""COMPUTED_VALUE"""),48.49)</f>
        <v>48.49</v>
      </c>
      <c r="Z216" s="3">
        <f ca="1">IFERROR(__xludf.DUMMYFUNCTION("""COMPUTED_VALUE"""),76.21)</f>
        <v>76.209999999999994</v>
      </c>
      <c r="AA216" s="3">
        <f ca="1">IFERROR(__xludf.DUMMYFUNCTION("""COMPUTED_VALUE"""),36.18)</f>
        <v>36.18</v>
      </c>
      <c r="AB216" s="3">
        <f ca="1">IFERROR(__xludf.DUMMYFUNCTION("""COMPUTED_VALUE"""),63.74)</f>
        <v>63.74</v>
      </c>
      <c r="AC216" s="3">
        <f ca="1">IFERROR(__xludf.DUMMYFUNCTION("""COMPUTED_VALUE"""),53.74)</f>
        <v>53.74</v>
      </c>
      <c r="AD216" s="3">
        <f ca="1">IFERROR(__xludf.DUMMYFUNCTION("""COMPUTED_VALUE"""),8.02)</f>
        <v>8.02</v>
      </c>
      <c r="AE216" s="3">
        <f ca="1">IFERROR(__xludf.DUMMYFUNCTION("""COMPUTED_VALUE"""),12.85)</f>
        <v>12.85</v>
      </c>
      <c r="AF216" s="3">
        <f ca="1">IFERROR(__xludf.DUMMYFUNCTION("""COMPUTED_VALUE"""),2.51)</f>
        <v>2.5099999999999998</v>
      </c>
      <c r="AG216" s="3">
        <f ca="1">IFERROR(__xludf.DUMMYFUNCTION("""COMPUTED_VALUE"""),21.04)</f>
        <v>21.04</v>
      </c>
    </row>
    <row r="217" spans="1:33" ht="12.75" x14ac:dyDescent="0.2">
      <c r="A217" s="4">
        <f ca="1">IFERROR(__xludf.DUMMYFUNCTION("""COMPUTED_VALUE"""),44873.6666666666)</f>
        <v>44873.666666666599</v>
      </c>
      <c r="B217" s="3">
        <f ca="1">IFERROR(__xludf.DUMMYFUNCTION("""COMPUTED_VALUE"""),124.19)</f>
        <v>124.19</v>
      </c>
      <c r="C217" s="3">
        <f ca="1">IFERROR(__xludf.DUMMYFUNCTION("""COMPUTED_VALUE"""),318.06)</f>
        <v>318.06</v>
      </c>
      <c r="D217" s="3">
        <f ca="1">IFERROR(__xludf.DUMMYFUNCTION("""COMPUTED_VALUE"""),71.92)</f>
        <v>71.92</v>
      </c>
      <c r="E217" s="3">
        <f ca="1">IFERROR(__xludf.DUMMYFUNCTION("""COMPUTED_VALUE"""),114.5)</f>
        <v>114.5</v>
      </c>
      <c r="F217" s="3">
        <f ca="1">IFERROR(__xludf.DUMMYFUNCTION("""COMPUTED_VALUE"""),43.47)</f>
        <v>43.47</v>
      </c>
      <c r="G217" s="3">
        <f ca="1">IFERROR(__xludf.DUMMYFUNCTION("""COMPUTED_VALUE"""),19.94)</f>
        <v>19.940000000000001</v>
      </c>
      <c r="H217" s="3">
        <f ca="1">IFERROR(__xludf.DUMMYFUNCTION("""COMPUTED_VALUE"""),23.22)</f>
        <v>23.22</v>
      </c>
      <c r="I217" s="3">
        <f ca="1">IFERROR(__xludf.DUMMYFUNCTION("""COMPUTED_VALUE"""),132.87)</f>
        <v>132.87</v>
      </c>
      <c r="J217" s="3">
        <f ca="1">IFERROR(__xludf.DUMMYFUNCTION("""COMPUTED_VALUE"""),242.29)</f>
        <v>242.29</v>
      </c>
      <c r="K217" s="3">
        <f ca="1">IFERROR(__xludf.DUMMYFUNCTION("""COMPUTED_VALUE"""),130.35)</f>
        <v>130.35</v>
      </c>
      <c r="L217" s="3">
        <f ca="1">IFERROR(__xludf.DUMMYFUNCTION("""COMPUTED_VALUE"""),79.86)</f>
        <v>79.86</v>
      </c>
      <c r="M217" s="3">
        <f ca="1">IFERROR(__xludf.DUMMYFUNCTION("""COMPUTED_VALUE"""),63.75)</f>
        <v>63.75</v>
      </c>
      <c r="N217" s="3">
        <f ca="1">IFERROR(__xludf.DUMMYFUNCTION("""COMPUTED_VALUE"""),62.52)</f>
        <v>62.52</v>
      </c>
      <c r="O217" s="3">
        <f ca="1">IFERROR(__xludf.DUMMYFUNCTION("""COMPUTED_VALUE"""),50.72)</f>
        <v>50.72</v>
      </c>
      <c r="P217" s="3">
        <f ca="1">IFERROR(__xludf.DUMMYFUNCTION("""COMPUTED_VALUE"""),93.08)</f>
        <v>93.08</v>
      </c>
      <c r="Q217" s="3">
        <f ca="1">IFERROR(__xludf.DUMMYFUNCTION("""COMPUTED_VALUE"""),130.79)</f>
        <v>130.79</v>
      </c>
      <c r="R217" s="3">
        <f ca="1">IFERROR(__xludf.DUMMYFUNCTION("""COMPUTED_VALUE"""),77.32)</f>
        <v>77.319999999999993</v>
      </c>
      <c r="S217" s="3">
        <f ca="1">IFERROR(__xludf.DUMMYFUNCTION("""COMPUTED_VALUE"""),50.85)</f>
        <v>50.85</v>
      </c>
      <c r="T217" s="3">
        <f ca="1">IFERROR(__xludf.DUMMYFUNCTION("""COMPUTED_VALUE"""),26.03)</f>
        <v>26.03</v>
      </c>
      <c r="U217" s="3">
        <f ca="1">IFERROR(__xludf.DUMMYFUNCTION("""COMPUTED_VALUE"""),74.47)</f>
        <v>74.47</v>
      </c>
      <c r="V217" s="3">
        <f ca="1">IFERROR(__xludf.DUMMYFUNCTION("""COMPUTED_VALUE"""),73.89)</f>
        <v>73.89</v>
      </c>
      <c r="W217" s="3">
        <f ca="1">IFERROR(__xludf.DUMMYFUNCTION("""COMPUTED_VALUE"""),34.45)</f>
        <v>34.450000000000003</v>
      </c>
      <c r="X217" s="3">
        <f ca="1">IFERROR(__xludf.DUMMYFUNCTION("""COMPUTED_VALUE"""),84.54)</f>
        <v>84.54</v>
      </c>
      <c r="Y217" s="3">
        <f ca="1">IFERROR(__xludf.DUMMYFUNCTION("""COMPUTED_VALUE"""),48.41)</f>
        <v>48.41</v>
      </c>
      <c r="Z217" s="3">
        <f ca="1">IFERROR(__xludf.DUMMYFUNCTION("""COMPUTED_VALUE"""),76.54)</f>
        <v>76.540000000000006</v>
      </c>
      <c r="AA217" s="3">
        <f ca="1">IFERROR(__xludf.DUMMYFUNCTION("""COMPUTED_VALUE"""),36.4)</f>
        <v>36.4</v>
      </c>
      <c r="AB217" s="3">
        <f ca="1">IFERROR(__xludf.DUMMYFUNCTION("""COMPUTED_VALUE"""),63.55)</f>
        <v>63.55</v>
      </c>
      <c r="AC217" s="3">
        <f ca="1">IFERROR(__xludf.DUMMYFUNCTION("""COMPUTED_VALUE"""),52.56)</f>
        <v>52.56</v>
      </c>
      <c r="AD217" s="3">
        <f ca="1">IFERROR(__xludf.DUMMYFUNCTION("""COMPUTED_VALUE"""),6.94)</f>
        <v>6.94</v>
      </c>
      <c r="AE217" s="3">
        <f ca="1">IFERROR(__xludf.DUMMYFUNCTION("""COMPUTED_VALUE"""),11.13)</f>
        <v>11.13</v>
      </c>
      <c r="AF217" s="3">
        <f ca="1">IFERROR(__xludf.DUMMYFUNCTION("""COMPUTED_VALUE"""),2.38)</f>
        <v>2.38</v>
      </c>
      <c r="AG217" s="3">
        <f ca="1">IFERROR(__xludf.DUMMYFUNCTION("""COMPUTED_VALUE"""),19.6)</f>
        <v>19.600000000000001</v>
      </c>
    </row>
    <row r="218" spans="1:33" ht="12.75" x14ac:dyDescent="0.2">
      <c r="A218" s="4">
        <f ca="1">IFERROR(__xludf.DUMMYFUNCTION("""COMPUTED_VALUE"""),44874.6666666666)</f>
        <v>44874.666666666599</v>
      </c>
      <c r="B218" s="3">
        <f ca="1">IFERROR(__xludf.DUMMYFUNCTION("""COMPUTED_VALUE"""),120.96)</f>
        <v>120.96</v>
      </c>
      <c r="C218" s="3">
        <f ca="1">IFERROR(__xludf.DUMMYFUNCTION("""COMPUTED_VALUE"""),309.59)</f>
        <v>309.58999999999997</v>
      </c>
      <c r="D218" s="3">
        <f ca="1">IFERROR(__xludf.DUMMYFUNCTION("""COMPUTED_VALUE"""),78.28)</f>
        <v>78.28</v>
      </c>
      <c r="E218" s="3">
        <f ca="1">IFERROR(__xludf.DUMMYFUNCTION("""COMPUTED_VALUE"""),110.84)</f>
        <v>110.84</v>
      </c>
      <c r="F218" s="3">
        <f ca="1">IFERROR(__xludf.DUMMYFUNCTION("""COMPUTED_VALUE"""),42.82)</f>
        <v>42.82</v>
      </c>
      <c r="G218" s="3">
        <f ca="1">IFERROR(__xludf.DUMMYFUNCTION("""COMPUTED_VALUE"""),19.42)</f>
        <v>19.420000000000002</v>
      </c>
      <c r="H218" s="3">
        <f ca="1">IFERROR(__xludf.DUMMYFUNCTION("""COMPUTED_VALUE"""),22.72)</f>
        <v>22.72</v>
      </c>
      <c r="I218" s="3">
        <f ca="1">IFERROR(__xludf.DUMMYFUNCTION("""COMPUTED_VALUE"""),131.44)</f>
        <v>131.44</v>
      </c>
      <c r="J218" s="3">
        <f ca="1">IFERROR(__xludf.DUMMYFUNCTION("""COMPUTED_VALUE"""),239.48)</f>
        <v>239.48</v>
      </c>
      <c r="K218" s="3">
        <f ca="1">IFERROR(__xludf.DUMMYFUNCTION("""COMPUTED_VALUE"""),129.05)</f>
        <v>129.05000000000001</v>
      </c>
      <c r="L218" s="3">
        <f ca="1">IFERROR(__xludf.DUMMYFUNCTION("""COMPUTED_VALUE"""),77.2)</f>
        <v>77.2</v>
      </c>
      <c r="M218" s="3">
        <f ca="1">IFERROR(__xludf.DUMMYFUNCTION("""COMPUTED_VALUE"""),62.45)</f>
        <v>62.45</v>
      </c>
      <c r="N218" s="3">
        <f ca="1">IFERROR(__xludf.DUMMYFUNCTION("""COMPUTED_VALUE"""),61.77)</f>
        <v>61.77</v>
      </c>
      <c r="O218" s="3">
        <f ca="1">IFERROR(__xludf.DUMMYFUNCTION("""COMPUTED_VALUE"""),48.84)</f>
        <v>48.84</v>
      </c>
      <c r="P218" s="3">
        <f ca="1">IFERROR(__xludf.DUMMYFUNCTION("""COMPUTED_VALUE"""),88.53)</f>
        <v>88.53</v>
      </c>
      <c r="Q218" s="3">
        <f ca="1">IFERROR(__xludf.DUMMYFUNCTION("""COMPUTED_VALUE"""),124.1)</f>
        <v>124.1</v>
      </c>
      <c r="R218" s="3">
        <f ca="1">IFERROR(__xludf.DUMMYFUNCTION("""COMPUTED_VALUE"""),76.07)</f>
        <v>76.069999999999993</v>
      </c>
      <c r="S218" s="3">
        <f ca="1">IFERROR(__xludf.DUMMYFUNCTION("""COMPUTED_VALUE"""),48.09)</f>
        <v>48.09</v>
      </c>
      <c r="T218" s="3">
        <f ca="1">IFERROR(__xludf.DUMMYFUNCTION("""COMPUTED_VALUE"""),25.43)</f>
        <v>25.43</v>
      </c>
      <c r="U218" s="3">
        <f ca="1">IFERROR(__xludf.DUMMYFUNCTION("""COMPUTED_VALUE"""),71.67)</f>
        <v>71.67</v>
      </c>
      <c r="V218" s="3">
        <f ca="1">IFERROR(__xludf.DUMMYFUNCTION("""COMPUTED_VALUE"""),74.59)</f>
        <v>74.59</v>
      </c>
      <c r="W218" s="3">
        <f ca="1">IFERROR(__xludf.DUMMYFUNCTION("""COMPUTED_VALUE"""),33.87)</f>
        <v>33.869999999999997</v>
      </c>
      <c r="X218" s="3">
        <f ca="1">IFERROR(__xludf.DUMMYFUNCTION("""COMPUTED_VALUE"""),83.07)</f>
        <v>83.07</v>
      </c>
      <c r="Y218" s="3">
        <f ca="1">IFERROR(__xludf.DUMMYFUNCTION("""COMPUTED_VALUE"""),47.57)</f>
        <v>47.57</v>
      </c>
      <c r="Z218" s="3">
        <f ca="1">IFERROR(__xludf.DUMMYFUNCTION("""COMPUTED_VALUE"""),75.17)</f>
        <v>75.17</v>
      </c>
      <c r="AA218" s="3">
        <f ca="1">IFERROR(__xludf.DUMMYFUNCTION("""COMPUTED_VALUE"""),36)</f>
        <v>36</v>
      </c>
      <c r="AB218" s="3">
        <f ca="1">IFERROR(__xludf.DUMMYFUNCTION("""COMPUTED_VALUE"""),62.57)</f>
        <v>62.57</v>
      </c>
      <c r="AC218" s="3">
        <f ca="1">IFERROR(__xludf.DUMMYFUNCTION("""COMPUTED_VALUE"""),55.74)</f>
        <v>55.74</v>
      </c>
      <c r="AD218" s="3">
        <f ca="1">IFERROR(__xludf.DUMMYFUNCTION("""COMPUTED_VALUE"""),6)</f>
        <v>6</v>
      </c>
      <c r="AE218" s="3">
        <f ca="1">IFERROR(__xludf.DUMMYFUNCTION("""COMPUTED_VALUE"""),9.66)</f>
        <v>9.66</v>
      </c>
      <c r="AF218" s="3">
        <f ca="1">IFERROR(__xludf.DUMMYFUNCTION("""COMPUTED_VALUE"""),2.2)</f>
        <v>2.2000000000000002</v>
      </c>
      <c r="AG218" s="3">
        <f ca="1">IFERROR(__xludf.DUMMYFUNCTION("""COMPUTED_VALUE"""),17.98)</f>
        <v>17.98</v>
      </c>
    </row>
    <row r="219" spans="1:33" ht="12.75" x14ac:dyDescent="0.2">
      <c r="A219" s="4">
        <f ca="1">IFERROR(__xludf.DUMMYFUNCTION("""COMPUTED_VALUE"""),44875.6666666666)</f>
        <v>44875.666666666599</v>
      </c>
      <c r="B219" s="3">
        <f ca="1">IFERROR(__xludf.DUMMYFUNCTION("""COMPUTED_VALUE"""),130.9)</f>
        <v>130.9</v>
      </c>
      <c r="C219" s="3">
        <f ca="1">IFERROR(__xludf.DUMMYFUNCTION("""COMPUTED_VALUE"""),335.82)</f>
        <v>335.82</v>
      </c>
      <c r="D219" s="3">
        <f ca="1">IFERROR(__xludf.DUMMYFUNCTION("""COMPUTED_VALUE"""),80.22)</f>
        <v>80.22</v>
      </c>
      <c r="E219" s="3">
        <f ca="1">IFERROR(__xludf.DUMMYFUNCTION("""COMPUTED_VALUE"""),122.31)</f>
        <v>122.31</v>
      </c>
      <c r="F219" s="3">
        <f ca="1">IFERROR(__xludf.DUMMYFUNCTION("""COMPUTED_VALUE"""),45.32)</f>
        <v>45.32</v>
      </c>
      <c r="G219" s="3">
        <f ca="1">IFERROR(__xludf.DUMMYFUNCTION("""COMPUTED_VALUE"""),20.97)</f>
        <v>20.97</v>
      </c>
      <c r="H219" s="3">
        <f ca="1">IFERROR(__xludf.DUMMYFUNCTION("""COMPUTED_VALUE"""),24.37)</f>
        <v>24.37</v>
      </c>
      <c r="I219" s="3">
        <f ca="1">IFERROR(__xludf.DUMMYFUNCTION("""COMPUTED_VALUE"""),134.78)</f>
        <v>134.78</v>
      </c>
      <c r="J219" s="3">
        <f ca="1">IFERROR(__xludf.DUMMYFUNCTION("""COMPUTED_VALUE"""),246.53)</f>
        <v>246.53</v>
      </c>
      <c r="K219" s="3">
        <f ca="1">IFERROR(__xludf.DUMMYFUNCTION("""COMPUTED_VALUE"""),133.58)</f>
        <v>133.58000000000001</v>
      </c>
      <c r="L219" s="3">
        <f ca="1">IFERROR(__xludf.DUMMYFUNCTION("""COMPUTED_VALUE"""),83.12)</f>
        <v>83.12</v>
      </c>
      <c r="M219" s="3">
        <f ca="1">IFERROR(__xludf.DUMMYFUNCTION("""COMPUTED_VALUE"""),65.21)</f>
        <v>65.209999999999994</v>
      </c>
      <c r="N219" s="3">
        <f ca="1">IFERROR(__xludf.DUMMYFUNCTION("""COMPUTED_VALUE"""),63.52)</f>
        <v>63.52</v>
      </c>
      <c r="O219" s="3">
        <f ca="1">IFERROR(__xludf.DUMMYFUNCTION("""COMPUTED_VALUE"""),53.12)</f>
        <v>53.12</v>
      </c>
      <c r="P219" s="3">
        <f ca="1">IFERROR(__xludf.DUMMYFUNCTION("""COMPUTED_VALUE"""),90.5)</f>
        <v>90.5</v>
      </c>
      <c r="Q219" s="3">
        <f ca="1">IFERROR(__xludf.DUMMYFUNCTION("""COMPUTED_VALUE"""),127)</f>
        <v>127</v>
      </c>
      <c r="R219" s="3">
        <f ca="1">IFERROR(__xludf.DUMMYFUNCTION("""COMPUTED_VALUE"""),80.28)</f>
        <v>80.28</v>
      </c>
      <c r="S219" s="3">
        <f ca="1">IFERROR(__xludf.DUMMYFUNCTION("""COMPUTED_VALUE"""),50.73)</f>
        <v>50.73</v>
      </c>
      <c r="T219" s="3">
        <f ca="1">IFERROR(__xludf.DUMMYFUNCTION("""COMPUTED_VALUE"""),25.66)</f>
        <v>25.66</v>
      </c>
      <c r="U219" s="3">
        <f ca="1">IFERROR(__xludf.DUMMYFUNCTION("""COMPUTED_VALUE"""),72.24)</f>
        <v>72.239999999999995</v>
      </c>
      <c r="V219" s="3">
        <f ca="1">IFERROR(__xludf.DUMMYFUNCTION("""COMPUTED_VALUE"""),81.48)</f>
        <v>81.48</v>
      </c>
      <c r="W219" s="3">
        <f ca="1">IFERROR(__xludf.DUMMYFUNCTION("""COMPUTED_VALUE"""),35.58)</f>
        <v>35.58</v>
      </c>
      <c r="X219" s="3">
        <f ca="1">IFERROR(__xludf.DUMMYFUNCTION("""COMPUTED_VALUE"""),87.41)</f>
        <v>87.41</v>
      </c>
      <c r="Y219" s="3">
        <f ca="1">IFERROR(__xludf.DUMMYFUNCTION("""COMPUTED_VALUE"""),49.99)</f>
        <v>49.99</v>
      </c>
      <c r="Z219" s="3">
        <f ca="1">IFERROR(__xludf.DUMMYFUNCTION("""COMPUTED_VALUE"""),79.11)</f>
        <v>79.11</v>
      </c>
      <c r="AA219" s="3">
        <f ca="1">IFERROR(__xludf.DUMMYFUNCTION("""COMPUTED_VALUE"""),38.76)</f>
        <v>38.76</v>
      </c>
      <c r="AB219" s="3">
        <f ca="1">IFERROR(__xludf.DUMMYFUNCTION("""COMPUTED_VALUE"""),65.49)</f>
        <v>65.489999999999995</v>
      </c>
      <c r="AC219" s="3">
        <f ca="1">IFERROR(__xludf.DUMMYFUNCTION("""COMPUTED_VALUE"""),56.26)</f>
        <v>56.26</v>
      </c>
      <c r="AD219" s="3">
        <f ca="1">IFERROR(__xludf.DUMMYFUNCTION("""COMPUTED_VALUE"""),6.82)</f>
        <v>6.82</v>
      </c>
      <c r="AE219" s="3">
        <f ca="1">IFERROR(__xludf.DUMMYFUNCTION("""COMPUTED_VALUE"""),10.86)</f>
        <v>10.86</v>
      </c>
      <c r="AF219" s="3">
        <f ca="1">IFERROR(__xludf.DUMMYFUNCTION("""COMPUTED_VALUE"""),2.03)</f>
        <v>2.0299999999999998</v>
      </c>
      <c r="AG219" s="3">
        <f ca="1">IFERROR(__xludf.DUMMYFUNCTION("""COMPUTED_VALUE"""),19.36)</f>
        <v>19.36</v>
      </c>
    </row>
    <row r="220" spans="1:33" ht="12.75" x14ac:dyDescent="0.2">
      <c r="A220" s="4">
        <f ca="1">IFERROR(__xludf.DUMMYFUNCTION("""COMPUTED_VALUE"""),44876.6666666666)</f>
        <v>44876.666666666599</v>
      </c>
      <c r="B220" s="3">
        <f ca="1">IFERROR(__xludf.DUMMYFUNCTION("""COMPUTED_VALUE"""),133.14)</f>
        <v>133.13999999999999</v>
      </c>
      <c r="C220" s="3">
        <f ca="1">IFERROR(__xludf.DUMMYFUNCTION("""COMPUTED_VALUE"""),342.67)</f>
        <v>342.67</v>
      </c>
      <c r="D220" s="3">
        <f ca="1">IFERROR(__xludf.DUMMYFUNCTION("""COMPUTED_VALUE"""),79.38)</f>
        <v>79.38</v>
      </c>
      <c r="E220" s="3">
        <f ca="1">IFERROR(__xludf.DUMMYFUNCTION("""COMPUTED_VALUE"""),126.06)</f>
        <v>126.06</v>
      </c>
      <c r="F220" s="3">
        <f ca="1">IFERROR(__xludf.DUMMYFUNCTION("""COMPUTED_VALUE"""),45.96)</f>
        <v>45.96</v>
      </c>
      <c r="G220" s="3">
        <f ca="1">IFERROR(__xludf.DUMMYFUNCTION("""COMPUTED_VALUE"""),21.76)</f>
        <v>21.76</v>
      </c>
      <c r="H220" s="3">
        <f ca="1">IFERROR(__xludf.DUMMYFUNCTION("""COMPUTED_VALUE"""),24.87)</f>
        <v>24.87</v>
      </c>
      <c r="I220" s="3">
        <f ca="1">IFERROR(__xludf.DUMMYFUNCTION("""COMPUTED_VALUE"""),133.13)</f>
        <v>133.13</v>
      </c>
      <c r="J220" s="3">
        <f ca="1">IFERROR(__xludf.DUMMYFUNCTION("""COMPUTED_VALUE"""),244.4)</f>
        <v>244.4</v>
      </c>
      <c r="K220" s="3">
        <f ca="1">IFERROR(__xludf.DUMMYFUNCTION("""COMPUTED_VALUE"""),134.25)</f>
        <v>134.25</v>
      </c>
      <c r="L220" s="3">
        <f ca="1">IFERROR(__xludf.DUMMYFUNCTION("""COMPUTED_VALUE"""),84.76)</f>
        <v>84.76</v>
      </c>
      <c r="M220" s="3">
        <f ca="1">IFERROR(__xludf.DUMMYFUNCTION("""COMPUTED_VALUE"""),65.1)</f>
        <v>65.099999999999994</v>
      </c>
      <c r="N220" s="3">
        <f ca="1">IFERROR(__xludf.DUMMYFUNCTION("""COMPUTED_VALUE"""),62.96)</f>
        <v>62.96</v>
      </c>
      <c r="O220" s="3">
        <f ca="1">IFERROR(__xludf.DUMMYFUNCTION("""COMPUTED_VALUE"""),55.24)</f>
        <v>55.24</v>
      </c>
      <c r="P220" s="3">
        <f ca="1">IFERROR(__xludf.DUMMYFUNCTION("""COMPUTED_VALUE"""),93.13)</f>
        <v>93.13</v>
      </c>
      <c r="Q220" s="3">
        <f ca="1">IFERROR(__xludf.DUMMYFUNCTION("""COMPUTED_VALUE"""),130.72)</f>
        <v>130.72</v>
      </c>
      <c r="R220" s="3">
        <f ca="1">IFERROR(__xludf.DUMMYFUNCTION("""COMPUTED_VALUE"""),81.25)</f>
        <v>81.25</v>
      </c>
      <c r="S220" s="3">
        <f ca="1">IFERROR(__xludf.DUMMYFUNCTION("""COMPUTED_VALUE"""),51.39)</f>
        <v>51.39</v>
      </c>
      <c r="T220" s="3">
        <f ca="1">IFERROR(__xludf.DUMMYFUNCTION("""COMPUTED_VALUE"""),26.15)</f>
        <v>26.15</v>
      </c>
      <c r="U220" s="3">
        <f ca="1">IFERROR(__xludf.DUMMYFUNCTION("""COMPUTED_VALUE"""),74.38)</f>
        <v>74.38</v>
      </c>
      <c r="V220" s="3">
        <f ca="1">IFERROR(__xludf.DUMMYFUNCTION("""COMPUTED_VALUE"""),79.48)</f>
        <v>79.48</v>
      </c>
      <c r="W220" s="3">
        <f ca="1">IFERROR(__xludf.DUMMYFUNCTION("""COMPUTED_VALUE"""),35.87)</f>
        <v>35.869999999999997</v>
      </c>
      <c r="X220" s="3">
        <f ca="1">IFERROR(__xludf.DUMMYFUNCTION("""COMPUTED_VALUE"""),87.96)</f>
        <v>87.96</v>
      </c>
      <c r="Y220" s="3">
        <f ca="1">IFERROR(__xludf.DUMMYFUNCTION("""COMPUTED_VALUE"""),49.79)</f>
        <v>49.79</v>
      </c>
      <c r="Z220" s="3">
        <f ca="1">IFERROR(__xludf.DUMMYFUNCTION("""COMPUTED_VALUE"""),79.73)</f>
        <v>79.73</v>
      </c>
      <c r="AA220" s="3">
        <f ca="1">IFERROR(__xludf.DUMMYFUNCTION("""COMPUTED_VALUE"""),38.74)</f>
        <v>38.74</v>
      </c>
      <c r="AB220" s="3">
        <f ca="1">IFERROR(__xludf.DUMMYFUNCTION("""COMPUTED_VALUE"""),65.03)</f>
        <v>65.03</v>
      </c>
      <c r="AC220" s="3">
        <f ca="1">IFERROR(__xludf.DUMMYFUNCTION("""COMPUTED_VALUE"""),55.27)</f>
        <v>55.27</v>
      </c>
      <c r="AD220" s="3">
        <f ca="1">IFERROR(__xludf.DUMMYFUNCTION("""COMPUTED_VALUE"""),6.13)</f>
        <v>6.13</v>
      </c>
      <c r="AE220" s="3">
        <f ca="1">IFERROR(__xludf.DUMMYFUNCTION("""COMPUTED_VALUE"""),9.78)</f>
        <v>9.7799999999999994</v>
      </c>
      <c r="AF220" s="3">
        <f ca="1">IFERROR(__xludf.DUMMYFUNCTION("""COMPUTED_VALUE"""),2.03)</f>
        <v>2.0299999999999998</v>
      </c>
      <c r="AG220" s="3">
        <f ca="1">IFERROR(__xludf.DUMMYFUNCTION("""COMPUTED_VALUE"""),19.84)</f>
        <v>19.84</v>
      </c>
    </row>
    <row r="221" spans="1:33" ht="12.75" x14ac:dyDescent="0.2">
      <c r="A221" s="4">
        <f ca="1">IFERROR(__xludf.DUMMYFUNCTION("""COMPUTED_VALUE"""),44879.6666666666)</f>
        <v>44879.666666666599</v>
      </c>
      <c r="B221" s="3">
        <f ca="1">IFERROR(__xludf.DUMMYFUNCTION("""COMPUTED_VALUE"""),132)</f>
        <v>132</v>
      </c>
      <c r="C221" s="3">
        <f ca="1">IFERROR(__xludf.DUMMYFUNCTION("""COMPUTED_VALUE"""),339.4)</f>
        <v>339.4</v>
      </c>
      <c r="D221" s="3">
        <f ca="1">IFERROR(__xludf.DUMMYFUNCTION("""COMPUTED_VALUE"""),80.83)</f>
        <v>80.83</v>
      </c>
      <c r="E221" s="3">
        <f ca="1">IFERROR(__xludf.DUMMYFUNCTION("""COMPUTED_VALUE"""),124.68)</f>
        <v>124.68</v>
      </c>
      <c r="F221" s="3">
        <f ca="1">IFERROR(__xludf.DUMMYFUNCTION("""COMPUTED_VALUE"""),45.37)</f>
        <v>45.37</v>
      </c>
      <c r="G221" s="3">
        <f ca="1">IFERROR(__xludf.DUMMYFUNCTION("""COMPUTED_VALUE"""),21.35)</f>
        <v>21.35</v>
      </c>
      <c r="H221" s="3">
        <f ca="1">IFERROR(__xludf.DUMMYFUNCTION("""COMPUTED_VALUE"""),24.61)</f>
        <v>24.61</v>
      </c>
      <c r="I221" s="3">
        <f ca="1">IFERROR(__xludf.DUMMYFUNCTION("""COMPUTED_VALUE"""),133.25)</f>
        <v>133.25</v>
      </c>
      <c r="J221" s="3">
        <f ca="1">IFERROR(__xludf.DUMMYFUNCTION("""COMPUTED_VALUE"""),244.06)</f>
        <v>244.06</v>
      </c>
      <c r="K221" s="3">
        <f ca="1">IFERROR(__xludf.DUMMYFUNCTION("""COMPUTED_VALUE"""),134.68)</f>
        <v>134.68</v>
      </c>
      <c r="L221" s="3">
        <f ca="1">IFERROR(__xludf.DUMMYFUNCTION("""COMPUTED_VALUE"""),84.07)</f>
        <v>84.07</v>
      </c>
      <c r="M221" s="3">
        <f ca="1">IFERROR(__xludf.DUMMYFUNCTION("""COMPUTED_VALUE"""),65.09)</f>
        <v>65.09</v>
      </c>
      <c r="N221" s="3">
        <f ca="1">IFERROR(__xludf.DUMMYFUNCTION("""COMPUTED_VALUE"""),62.99)</f>
        <v>62.99</v>
      </c>
      <c r="O221" s="3">
        <f ca="1">IFERROR(__xludf.DUMMYFUNCTION("""COMPUTED_VALUE"""),54.24)</f>
        <v>54.24</v>
      </c>
      <c r="P221" s="3">
        <f ca="1">IFERROR(__xludf.DUMMYFUNCTION("""COMPUTED_VALUE"""),93.1)</f>
        <v>93.1</v>
      </c>
      <c r="Q221" s="3">
        <f ca="1">IFERROR(__xludf.DUMMYFUNCTION("""COMPUTED_VALUE"""),130.28)</f>
        <v>130.28</v>
      </c>
      <c r="R221" s="3">
        <f ca="1">IFERROR(__xludf.DUMMYFUNCTION("""COMPUTED_VALUE"""),81.14)</f>
        <v>81.14</v>
      </c>
      <c r="S221" s="3">
        <f ca="1">IFERROR(__xludf.DUMMYFUNCTION("""COMPUTED_VALUE"""),51.85)</f>
        <v>51.85</v>
      </c>
      <c r="T221" s="3">
        <f ca="1">IFERROR(__xludf.DUMMYFUNCTION("""COMPUTED_VALUE"""),25.76)</f>
        <v>25.76</v>
      </c>
      <c r="U221" s="3">
        <f ca="1">IFERROR(__xludf.DUMMYFUNCTION("""COMPUTED_VALUE"""),71.91)</f>
        <v>71.91</v>
      </c>
      <c r="V221" s="3">
        <f ca="1">IFERROR(__xludf.DUMMYFUNCTION("""COMPUTED_VALUE"""),79.25)</f>
        <v>79.25</v>
      </c>
      <c r="W221" s="3">
        <f ca="1">IFERROR(__xludf.DUMMYFUNCTION("""COMPUTED_VALUE"""),35.36)</f>
        <v>35.36</v>
      </c>
      <c r="X221" s="3">
        <f ca="1">IFERROR(__xludf.DUMMYFUNCTION("""COMPUTED_VALUE"""),86.49)</f>
        <v>86.49</v>
      </c>
      <c r="Y221" s="3">
        <f ca="1">IFERROR(__xludf.DUMMYFUNCTION("""COMPUTED_VALUE"""),48.95)</f>
        <v>48.95</v>
      </c>
      <c r="Z221" s="3">
        <f ca="1">IFERROR(__xludf.DUMMYFUNCTION("""COMPUTED_VALUE"""),78.33)</f>
        <v>78.33</v>
      </c>
      <c r="AA221" s="3">
        <f ca="1">IFERROR(__xludf.DUMMYFUNCTION("""COMPUTED_VALUE"""),37.71)</f>
        <v>37.71</v>
      </c>
      <c r="AB221" s="3">
        <f ca="1">IFERROR(__xludf.DUMMYFUNCTION("""COMPUTED_VALUE"""),64.11)</f>
        <v>64.11</v>
      </c>
      <c r="AC221" s="3">
        <f ca="1">IFERROR(__xludf.DUMMYFUNCTION("""COMPUTED_VALUE"""),55.5)</f>
        <v>55.5</v>
      </c>
      <c r="AD221" s="3">
        <f ca="1">IFERROR(__xludf.DUMMYFUNCTION("""COMPUTED_VALUE"""),6.15)</f>
        <v>6.15</v>
      </c>
      <c r="AE221" s="3">
        <f ca="1">IFERROR(__xludf.DUMMYFUNCTION("""COMPUTED_VALUE"""),9.81)</f>
        <v>9.81</v>
      </c>
      <c r="AF221" s="3">
        <f ca="1">IFERROR(__xludf.DUMMYFUNCTION("""COMPUTED_VALUE"""),2.06)</f>
        <v>2.06</v>
      </c>
      <c r="AG221" s="3">
        <f ca="1">IFERROR(__xludf.DUMMYFUNCTION("""COMPUTED_VALUE"""),19.24)</f>
        <v>19.239999999999998</v>
      </c>
    </row>
    <row r="222" spans="1:33" ht="12.75" x14ac:dyDescent="0.2">
      <c r="A222" s="4">
        <f ca="1">IFERROR(__xludf.DUMMYFUNCTION("""COMPUTED_VALUE"""),44880.6666666666)</f>
        <v>44880.666666666599</v>
      </c>
      <c r="B222" s="3">
        <f ca="1">IFERROR(__xludf.DUMMYFUNCTION("""COMPUTED_VALUE"""),133.6)</f>
        <v>133.6</v>
      </c>
      <c r="C222" s="3">
        <f ca="1">IFERROR(__xludf.DUMMYFUNCTION("""COMPUTED_VALUE"""),344.3)</f>
        <v>344.3</v>
      </c>
      <c r="D222" s="3">
        <f ca="1">IFERROR(__xludf.DUMMYFUNCTION("""COMPUTED_VALUE"""),79.29)</f>
        <v>79.290000000000006</v>
      </c>
      <c r="E222" s="3">
        <f ca="1">IFERROR(__xludf.DUMMYFUNCTION("""COMPUTED_VALUE"""),128.29)</f>
        <v>128.29</v>
      </c>
      <c r="F222" s="3">
        <f ca="1">IFERROR(__xludf.DUMMYFUNCTION("""COMPUTED_VALUE"""),46.11)</f>
        <v>46.11</v>
      </c>
      <c r="G222" s="3">
        <f ca="1">IFERROR(__xludf.DUMMYFUNCTION("""COMPUTED_VALUE"""),21.67)</f>
        <v>21.67</v>
      </c>
      <c r="H222" s="3">
        <f ca="1">IFERROR(__xludf.DUMMYFUNCTION("""COMPUTED_VALUE"""),25.11)</f>
        <v>25.11</v>
      </c>
      <c r="I222" s="3">
        <f ca="1">IFERROR(__xludf.DUMMYFUNCTION("""COMPUTED_VALUE"""),133.08)</f>
        <v>133.08000000000001</v>
      </c>
      <c r="J222" s="3">
        <f ca="1">IFERROR(__xludf.DUMMYFUNCTION("""COMPUTED_VALUE"""),244.25)</f>
        <v>244.25</v>
      </c>
      <c r="K222" s="3">
        <f ca="1">IFERROR(__xludf.DUMMYFUNCTION("""COMPUTED_VALUE"""),135.11)</f>
        <v>135.11000000000001</v>
      </c>
      <c r="L222" s="3">
        <f ca="1">IFERROR(__xludf.DUMMYFUNCTION("""COMPUTED_VALUE"""),83.85)</f>
        <v>83.85</v>
      </c>
      <c r="M222" s="3">
        <f ca="1">IFERROR(__xludf.DUMMYFUNCTION("""COMPUTED_VALUE"""),65.34)</f>
        <v>65.34</v>
      </c>
      <c r="N222" s="3">
        <f ca="1">IFERROR(__xludf.DUMMYFUNCTION("""COMPUTED_VALUE"""),62.97)</f>
        <v>62.97</v>
      </c>
      <c r="O222" s="3">
        <f ca="1">IFERROR(__xludf.DUMMYFUNCTION("""COMPUTED_VALUE"""),54.88)</f>
        <v>54.88</v>
      </c>
      <c r="P222" s="3">
        <f ca="1">IFERROR(__xludf.DUMMYFUNCTION("""COMPUTED_VALUE"""),94.08)</f>
        <v>94.08</v>
      </c>
      <c r="Q222" s="3">
        <f ca="1">IFERROR(__xludf.DUMMYFUNCTION("""COMPUTED_VALUE"""),131.88)</f>
        <v>131.88</v>
      </c>
      <c r="R222" s="3">
        <f ca="1">IFERROR(__xludf.DUMMYFUNCTION("""COMPUTED_VALUE"""),81.02)</f>
        <v>81.02</v>
      </c>
      <c r="S222" s="3">
        <f ca="1">IFERROR(__xludf.DUMMYFUNCTION("""COMPUTED_VALUE"""),52.29)</f>
        <v>52.29</v>
      </c>
      <c r="T222" s="3">
        <f ca="1">IFERROR(__xludf.DUMMYFUNCTION("""COMPUTED_VALUE"""),26.06)</f>
        <v>26.06</v>
      </c>
      <c r="U222" s="3">
        <f ca="1">IFERROR(__xludf.DUMMYFUNCTION("""COMPUTED_VALUE"""),73.25)</f>
        <v>73.25</v>
      </c>
      <c r="V222" s="3">
        <f ca="1">IFERROR(__xludf.DUMMYFUNCTION("""COMPUTED_VALUE"""),81.82)</f>
        <v>81.819999999999993</v>
      </c>
      <c r="W222" s="3">
        <f ca="1">IFERROR(__xludf.DUMMYFUNCTION("""COMPUTED_VALUE"""),35.44)</f>
        <v>35.44</v>
      </c>
      <c r="X222" s="3">
        <f ca="1">IFERROR(__xludf.DUMMYFUNCTION("""COMPUTED_VALUE"""),86.72)</f>
        <v>86.72</v>
      </c>
      <c r="Y222" s="3">
        <f ca="1">IFERROR(__xludf.DUMMYFUNCTION("""COMPUTED_VALUE"""),49.24)</f>
        <v>49.24</v>
      </c>
      <c r="Z222" s="3">
        <f ca="1">IFERROR(__xludf.DUMMYFUNCTION("""COMPUTED_VALUE"""),78.61)</f>
        <v>78.61</v>
      </c>
      <c r="AA222" s="3">
        <f ca="1">IFERROR(__xludf.DUMMYFUNCTION("""COMPUTED_VALUE"""),38.18)</f>
        <v>38.18</v>
      </c>
      <c r="AB222" s="3">
        <f ca="1">IFERROR(__xludf.DUMMYFUNCTION("""COMPUTED_VALUE"""),64.54)</f>
        <v>64.540000000000006</v>
      </c>
      <c r="AC222" s="3">
        <f ca="1">IFERROR(__xludf.DUMMYFUNCTION("""COMPUTED_VALUE"""),55.03)</f>
        <v>55.03</v>
      </c>
      <c r="AD222" s="3">
        <f ca="1">IFERROR(__xludf.DUMMYFUNCTION("""COMPUTED_VALUE"""),6.42)</f>
        <v>6.42</v>
      </c>
      <c r="AE222" s="3">
        <f ca="1">IFERROR(__xludf.DUMMYFUNCTION("""COMPUTED_VALUE"""),10.27)</f>
        <v>10.27</v>
      </c>
      <c r="AF222" s="3">
        <f ca="1">IFERROR(__xludf.DUMMYFUNCTION("""COMPUTED_VALUE"""),2.09)</f>
        <v>2.09</v>
      </c>
      <c r="AG222" s="3">
        <f ca="1">IFERROR(__xludf.DUMMYFUNCTION("""COMPUTED_VALUE"""),19.84)</f>
        <v>19.84</v>
      </c>
    </row>
    <row r="223" spans="1:33" ht="12.75" x14ac:dyDescent="0.2">
      <c r="A223" s="4">
        <f ca="1">IFERROR(__xludf.DUMMYFUNCTION("""COMPUTED_VALUE"""),44881.6666666666)</f>
        <v>44881.666666666599</v>
      </c>
      <c r="B223" s="3">
        <f ca="1">IFERROR(__xludf.DUMMYFUNCTION("""COMPUTED_VALUE"""),131.77)</f>
        <v>131.77000000000001</v>
      </c>
      <c r="C223" s="3">
        <f ca="1">IFERROR(__xludf.DUMMYFUNCTION("""COMPUTED_VALUE"""),338.43)</f>
        <v>338.43</v>
      </c>
      <c r="D223" s="3">
        <f ca="1">IFERROR(__xludf.DUMMYFUNCTION("""COMPUTED_VALUE"""),79.11)</f>
        <v>79.11</v>
      </c>
      <c r="E223" s="3">
        <f ca="1">IFERROR(__xludf.DUMMYFUNCTION("""COMPUTED_VALUE"""),122.99)</f>
        <v>122.99</v>
      </c>
      <c r="F223" s="3">
        <f ca="1">IFERROR(__xludf.DUMMYFUNCTION("""COMPUTED_VALUE"""),45.54)</f>
        <v>45.54</v>
      </c>
      <c r="G223" s="3">
        <f ca="1">IFERROR(__xludf.DUMMYFUNCTION("""COMPUTED_VALUE"""),21.22)</f>
        <v>21.22</v>
      </c>
      <c r="H223" s="3">
        <f ca="1">IFERROR(__xludf.DUMMYFUNCTION("""COMPUTED_VALUE"""),24.54)</f>
        <v>24.54</v>
      </c>
      <c r="I223" s="3">
        <f ca="1">IFERROR(__xludf.DUMMYFUNCTION("""COMPUTED_VALUE"""),133.02)</f>
        <v>133.02000000000001</v>
      </c>
      <c r="J223" s="3">
        <f ca="1">IFERROR(__xludf.DUMMYFUNCTION("""COMPUTED_VALUE"""),243.45)</f>
        <v>243.45</v>
      </c>
      <c r="K223" s="3">
        <f ca="1">IFERROR(__xludf.DUMMYFUNCTION("""COMPUTED_VALUE"""),134.21)</f>
        <v>134.21</v>
      </c>
      <c r="L223" s="3">
        <f ca="1">IFERROR(__xludf.DUMMYFUNCTION("""COMPUTED_VALUE"""),81.49)</f>
        <v>81.489999999999995</v>
      </c>
      <c r="M223" s="3">
        <f ca="1">IFERROR(__xludf.DUMMYFUNCTION("""COMPUTED_VALUE"""),64.4)</f>
        <v>64.400000000000006</v>
      </c>
      <c r="N223" s="3">
        <f ca="1">IFERROR(__xludf.DUMMYFUNCTION("""COMPUTED_VALUE"""),62.81)</f>
        <v>62.81</v>
      </c>
      <c r="O223" s="3">
        <f ca="1">IFERROR(__xludf.DUMMYFUNCTION("""COMPUTED_VALUE"""),53.68)</f>
        <v>53.68</v>
      </c>
      <c r="P223" s="3">
        <f ca="1">IFERROR(__xludf.DUMMYFUNCTION("""COMPUTED_VALUE"""),92.16)</f>
        <v>92.16</v>
      </c>
      <c r="Q223" s="3">
        <f ca="1">IFERROR(__xludf.DUMMYFUNCTION("""COMPUTED_VALUE"""),129.2)</f>
        <v>129.19999999999999</v>
      </c>
      <c r="R223" s="3">
        <f ca="1">IFERROR(__xludf.DUMMYFUNCTION("""COMPUTED_VALUE"""),80.23)</f>
        <v>80.23</v>
      </c>
      <c r="S223" s="3">
        <f ca="1">IFERROR(__xludf.DUMMYFUNCTION("""COMPUTED_VALUE"""),51.22)</f>
        <v>51.22</v>
      </c>
      <c r="T223" s="3">
        <f ca="1">IFERROR(__xludf.DUMMYFUNCTION("""COMPUTED_VALUE"""),25.77)</f>
        <v>25.77</v>
      </c>
      <c r="U223" s="3">
        <f ca="1">IFERROR(__xludf.DUMMYFUNCTION("""COMPUTED_VALUE"""),72.04)</f>
        <v>72.040000000000006</v>
      </c>
      <c r="V223" s="3">
        <f ca="1">IFERROR(__xludf.DUMMYFUNCTION("""COMPUTED_VALUE"""),81.54)</f>
        <v>81.540000000000006</v>
      </c>
      <c r="W223" s="3">
        <f ca="1">IFERROR(__xludf.DUMMYFUNCTION("""COMPUTED_VALUE"""),35.27)</f>
        <v>35.270000000000003</v>
      </c>
      <c r="X223" s="3">
        <f ca="1">IFERROR(__xludf.DUMMYFUNCTION("""COMPUTED_VALUE"""),86.13)</f>
        <v>86.13</v>
      </c>
      <c r="Y223" s="3">
        <f ca="1">IFERROR(__xludf.DUMMYFUNCTION("""COMPUTED_VALUE"""),48.46)</f>
        <v>48.46</v>
      </c>
      <c r="Z223" s="3">
        <f ca="1">IFERROR(__xludf.DUMMYFUNCTION("""COMPUTED_VALUE"""),78.09)</f>
        <v>78.09</v>
      </c>
      <c r="AA223" s="3">
        <f ca="1">IFERROR(__xludf.DUMMYFUNCTION("""COMPUTED_VALUE"""),37.91)</f>
        <v>37.909999999999997</v>
      </c>
      <c r="AB223" s="3">
        <f ca="1">IFERROR(__xludf.DUMMYFUNCTION("""COMPUTED_VALUE"""),63.49)</f>
        <v>63.49</v>
      </c>
      <c r="AC223" s="3">
        <f ca="1">IFERROR(__xludf.DUMMYFUNCTION("""COMPUTED_VALUE"""),54.6)</f>
        <v>54.6</v>
      </c>
      <c r="AD223" s="3">
        <f ca="1">IFERROR(__xludf.DUMMYFUNCTION("""COMPUTED_VALUE"""),6.27)</f>
        <v>6.27</v>
      </c>
      <c r="AE223" s="3">
        <f ca="1">IFERROR(__xludf.DUMMYFUNCTION("""COMPUTED_VALUE"""),10)</f>
        <v>10</v>
      </c>
      <c r="AF223" s="3">
        <f ca="1">IFERROR(__xludf.DUMMYFUNCTION("""COMPUTED_VALUE"""),2.06)</f>
        <v>2.06</v>
      </c>
      <c r="AG223" s="3">
        <f ca="1">IFERROR(__xludf.DUMMYFUNCTION("""COMPUTED_VALUE"""),18.28)</f>
        <v>18.28</v>
      </c>
    </row>
    <row r="224" spans="1:33" ht="12.75" x14ac:dyDescent="0.2">
      <c r="A224" s="4">
        <f ca="1">IFERROR(__xludf.DUMMYFUNCTION("""COMPUTED_VALUE"""),44882.6666666666)</f>
        <v>44882.666666666599</v>
      </c>
      <c r="B224" s="3">
        <f ca="1">IFERROR(__xludf.DUMMYFUNCTION("""COMPUTED_VALUE"""),131.94)</f>
        <v>131.94</v>
      </c>
      <c r="C224" s="3">
        <f ca="1">IFERROR(__xludf.DUMMYFUNCTION("""COMPUTED_VALUE"""),338.24)</f>
        <v>338.24</v>
      </c>
      <c r="D224" s="3">
        <f ca="1">IFERROR(__xludf.DUMMYFUNCTION("""COMPUTED_VALUE"""),78.98)</f>
        <v>78.98</v>
      </c>
      <c r="E224" s="3">
        <f ca="1">IFERROR(__xludf.DUMMYFUNCTION("""COMPUTED_VALUE"""),123.96)</f>
        <v>123.96</v>
      </c>
      <c r="F224" s="3">
        <f ca="1">IFERROR(__xludf.DUMMYFUNCTION("""COMPUTED_VALUE"""),45.04)</f>
        <v>45.04</v>
      </c>
      <c r="G224" s="3">
        <f ca="1">IFERROR(__xludf.DUMMYFUNCTION("""COMPUTED_VALUE"""),20.99)</f>
        <v>20.99</v>
      </c>
      <c r="H224" s="3">
        <f ca="1">IFERROR(__xludf.DUMMYFUNCTION("""COMPUTED_VALUE"""),24.39)</f>
        <v>24.39</v>
      </c>
      <c r="I224" s="3">
        <f ca="1">IFERROR(__xludf.DUMMYFUNCTION("""COMPUTED_VALUE"""),132.96)</f>
        <v>132.96</v>
      </c>
      <c r="J224" s="3">
        <f ca="1">IFERROR(__xludf.DUMMYFUNCTION("""COMPUTED_VALUE"""),242.98)</f>
        <v>242.98</v>
      </c>
      <c r="K224" s="3">
        <f ca="1">IFERROR(__xludf.DUMMYFUNCTION("""COMPUTED_VALUE"""),133.28)</f>
        <v>133.28</v>
      </c>
      <c r="L224" s="3">
        <f ca="1">IFERROR(__xludf.DUMMYFUNCTION("""COMPUTED_VALUE"""),80.54)</f>
        <v>80.540000000000006</v>
      </c>
      <c r="M224" s="3">
        <f ca="1">IFERROR(__xludf.DUMMYFUNCTION("""COMPUTED_VALUE"""),64.22)</f>
        <v>64.22</v>
      </c>
      <c r="N224" s="3">
        <f ca="1">IFERROR(__xludf.DUMMYFUNCTION("""COMPUTED_VALUE"""),62.68)</f>
        <v>62.68</v>
      </c>
      <c r="O224" s="3">
        <f ca="1">IFERROR(__xludf.DUMMYFUNCTION("""COMPUTED_VALUE"""),52.44)</f>
        <v>52.44</v>
      </c>
      <c r="P224" s="3">
        <f ca="1">IFERROR(__xludf.DUMMYFUNCTION("""COMPUTED_VALUE"""),92.36)</f>
        <v>92.36</v>
      </c>
      <c r="Q224" s="3">
        <f ca="1">IFERROR(__xludf.DUMMYFUNCTION("""COMPUTED_VALUE"""),129.3)</f>
        <v>129.30000000000001</v>
      </c>
      <c r="R224" s="3">
        <f ca="1">IFERROR(__xludf.DUMMYFUNCTION("""COMPUTED_VALUE"""),79.46)</f>
        <v>79.459999999999994</v>
      </c>
      <c r="S224" s="3">
        <f ca="1">IFERROR(__xludf.DUMMYFUNCTION("""COMPUTED_VALUE"""),50.55)</f>
        <v>50.55</v>
      </c>
      <c r="T224" s="3">
        <f ca="1">IFERROR(__xludf.DUMMYFUNCTION("""COMPUTED_VALUE"""),25.34)</f>
        <v>25.34</v>
      </c>
      <c r="U224" s="3">
        <f ca="1">IFERROR(__xludf.DUMMYFUNCTION("""COMPUTED_VALUE"""),70.14)</f>
        <v>70.14</v>
      </c>
      <c r="V224" s="3">
        <f ca="1">IFERROR(__xludf.DUMMYFUNCTION("""COMPUTED_VALUE"""),82.62)</f>
        <v>82.62</v>
      </c>
      <c r="W224" s="3">
        <f ca="1">IFERROR(__xludf.DUMMYFUNCTION("""COMPUTED_VALUE"""),35.08)</f>
        <v>35.08</v>
      </c>
      <c r="X224" s="3">
        <f ca="1">IFERROR(__xludf.DUMMYFUNCTION("""COMPUTED_VALUE"""),85.58)</f>
        <v>85.58</v>
      </c>
      <c r="Y224" s="3">
        <f ca="1">IFERROR(__xludf.DUMMYFUNCTION("""COMPUTED_VALUE"""),47.79)</f>
        <v>47.79</v>
      </c>
      <c r="Z224" s="3">
        <f ca="1">IFERROR(__xludf.DUMMYFUNCTION("""COMPUTED_VALUE"""),77.64)</f>
        <v>77.64</v>
      </c>
      <c r="AA224" s="3">
        <f ca="1">IFERROR(__xludf.DUMMYFUNCTION("""COMPUTED_VALUE"""),37.57)</f>
        <v>37.57</v>
      </c>
      <c r="AB224" s="3">
        <f ca="1">IFERROR(__xludf.DUMMYFUNCTION("""COMPUTED_VALUE"""),62.55)</f>
        <v>62.55</v>
      </c>
      <c r="AC224" s="3">
        <f ca="1">IFERROR(__xludf.DUMMYFUNCTION("""COMPUTED_VALUE"""),54.95)</f>
        <v>54.95</v>
      </c>
      <c r="AD224" s="3">
        <f ca="1">IFERROR(__xludf.DUMMYFUNCTION("""COMPUTED_VALUE"""),6.36)</f>
        <v>6.36</v>
      </c>
      <c r="AE224" s="3">
        <f ca="1">IFERROR(__xludf.DUMMYFUNCTION("""COMPUTED_VALUE"""),10.16)</f>
        <v>10.16</v>
      </c>
      <c r="AF224" s="3">
        <f ca="1">IFERROR(__xludf.DUMMYFUNCTION("""COMPUTED_VALUE"""),1.93)</f>
        <v>1.93</v>
      </c>
      <c r="AG224" s="3">
        <f ca="1">IFERROR(__xludf.DUMMYFUNCTION("""COMPUTED_VALUE"""),17.92)</f>
        <v>17.920000000000002</v>
      </c>
    </row>
    <row r="225" spans="1:33" ht="12.75" x14ac:dyDescent="0.2">
      <c r="A225" s="4">
        <f ca="1">IFERROR(__xludf.DUMMYFUNCTION("""COMPUTED_VALUE"""),44883.6666666666)</f>
        <v>44883.666666666599</v>
      </c>
      <c r="B225" s="3">
        <f ca="1">IFERROR(__xludf.DUMMYFUNCTION("""COMPUTED_VALUE"""),132.09)</f>
        <v>132.09</v>
      </c>
      <c r="C225" s="3">
        <f ca="1">IFERROR(__xludf.DUMMYFUNCTION("""COMPUTED_VALUE"""),338.62)</f>
        <v>338.62</v>
      </c>
      <c r="D225" s="3">
        <f ca="1">IFERROR(__xludf.DUMMYFUNCTION("""COMPUTED_VALUE"""),77.95)</f>
        <v>77.95</v>
      </c>
      <c r="E225" s="3">
        <f ca="1">IFERROR(__xludf.DUMMYFUNCTION("""COMPUTED_VALUE"""),124.23)</f>
        <v>124.23</v>
      </c>
      <c r="F225" s="3">
        <f ca="1">IFERROR(__xludf.DUMMYFUNCTION("""COMPUTED_VALUE"""),45.23)</f>
        <v>45.23</v>
      </c>
      <c r="G225" s="3">
        <f ca="1">IFERROR(__xludf.DUMMYFUNCTION("""COMPUTED_VALUE"""),20.91)</f>
        <v>20.91</v>
      </c>
      <c r="H225" s="3">
        <f ca="1">IFERROR(__xludf.DUMMYFUNCTION("""COMPUTED_VALUE"""),24.47)</f>
        <v>24.47</v>
      </c>
      <c r="I225" s="3">
        <f ca="1">IFERROR(__xludf.DUMMYFUNCTION("""COMPUTED_VALUE"""),134.57)</f>
        <v>134.57</v>
      </c>
      <c r="J225" s="3">
        <f ca="1">IFERROR(__xludf.DUMMYFUNCTION("""COMPUTED_VALUE"""),245.84)</f>
        <v>245.84</v>
      </c>
      <c r="K225" s="3">
        <f ca="1">IFERROR(__xludf.DUMMYFUNCTION("""COMPUTED_VALUE"""),133.74)</f>
        <v>133.74</v>
      </c>
      <c r="L225" s="3">
        <f ca="1">IFERROR(__xludf.DUMMYFUNCTION("""COMPUTED_VALUE"""),81.01)</f>
        <v>81.010000000000005</v>
      </c>
      <c r="M225" s="3">
        <f ca="1">IFERROR(__xludf.DUMMYFUNCTION("""COMPUTED_VALUE"""),64.53)</f>
        <v>64.53</v>
      </c>
      <c r="N225" s="3">
        <f ca="1">IFERROR(__xludf.DUMMYFUNCTION("""COMPUTED_VALUE"""),63.37)</f>
        <v>63.37</v>
      </c>
      <c r="O225" s="3">
        <f ca="1">IFERROR(__xludf.DUMMYFUNCTION("""COMPUTED_VALUE"""),52.08)</f>
        <v>52.08</v>
      </c>
      <c r="P225" s="3">
        <f ca="1">IFERROR(__xludf.DUMMYFUNCTION("""COMPUTED_VALUE"""),91.63)</f>
        <v>91.63</v>
      </c>
      <c r="Q225" s="3">
        <f ca="1">IFERROR(__xludf.DUMMYFUNCTION("""COMPUTED_VALUE"""),128.25)</f>
        <v>128.25</v>
      </c>
      <c r="R225" s="3">
        <f ca="1">IFERROR(__xludf.DUMMYFUNCTION("""COMPUTED_VALUE"""),79.99)</f>
        <v>79.989999999999995</v>
      </c>
      <c r="S225" s="3">
        <f ca="1">IFERROR(__xludf.DUMMYFUNCTION("""COMPUTED_VALUE"""),50.43)</f>
        <v>50.43</v>
      </c>
      <c r="T225" s="3">
        <f ca="1">IFERROR(__xludf.DUMMYFUNCTION("""COMPUTED_VALUE"""),25.16)</f>
        <v>25.16</v>
      </c>
      <c r="U225" s="3">
        <f ca="1">IFERROR(__xludf.DUMMYFUNCTION("""COMPUTED_VALUE"""),69.03)</f>
        <v>69.03</v>
      </c>
      <c r="V225" s="3">
        <f ca="1">IFERROR(__xludf.DUMMYFUNCTION("""COMPUTED_VALUE"""),81.51)</f>
        <v>81.510000000000005</v>
      </c>
      <c r="W225" s="3">
        <f ca="1">IFERROR(__xludf.DUMMYFUNCTION("""COMPUTED_VALUE"""),35.37)</f>
        <v>35.369999999999997</v>
      </c>
      <c r="X225" s="3">
        <f ca="1">IFERROR(__xludf.DUMMYFUNCTION("""COMPUTED_VALUE"""),86.18)</f>
        <v>86.18</v>
      </c>
      <c r="Y225" s="3">
        <f ca="1">IFERROR(__xludf.DUMMYFUNCTION("""COMPUTED_VALUE"""),48.17)</f>
        <v>48.17</v>
      </c>
      <c r="Z225" s="3">
        <f ca="1">IFERROR(__xludf.DUMMYFUNCTION("""COMPUTED_VALUE"""),78.19)</f>
        <v>78.19</v>
      </c>
      <c r="AA225" s="3">
        <f ca="1">IFERROR(__xludf.DUMMYFUNCTION("""COMPUTED_VALUE"""),38.05)</f>
        <v>38.049999999999997</v>
      </c>
      <c r="AB225" s="3">
        <f ca="1">IFERROR(__xludf.DUMMYFUNCTION("""COMPUTED_VALUE"""),62.95)</f>
        <v>62.95</v>
      </c>
      <c r="AC225" s="3">
        <f ca="1">IFERROR(__xludf.DUMMYFUNCTION("""COMPUTED_VALUE"""),54.8)</f>
        <v>54.8</v>
      </c>
      <c r="AD225" s="3">
        <f ca="1">IFERROR(__xludf.DUMMYFUNCTION("""COMPUTED_VALUE"""),6.37)</f>
        <v>6.37</v>
      </c>
      <c r="AE225" s="3">
        <f ca="1">IFERROR(__xludf.DUMMYFUNCTION("""COMPUTED_VALUE"""),10.14)</f>
        <v>10.14</v>
      </c>
      <c r="AF225" s="3">
        <f ca="1">IFERROR(__xludf.DUMMYFUNCTION("""COMPUTED_VALUE"""),1.93)</f>
        <v>1.93</v>
      </c>
      <c r="AG225" s="3">
        <f ca="1">IFERROR(__xludf.DUMMYFUNCTION("""COMPUTED_VALUE"""),17.32)</f>
        <v>17.32</v>
      </c>
    </row>
    <row r="226" spans="1:33" ht="12.75" x14ac:dyDescent="0.2">
      <c r="A226" s="4">
        <f ca="1">IFERROR(__xludf.DUMMYFUNCTION("""COMPUTED_VALUE"""),44886.6666666666)</f>
        <v>44886.666666666599</v>
      </c>
      <c r="B226" s="3">
        <f ca="1">IFERROR(__xludf.DUMMYFUNCTION("""COMPUTED_VALUE"""),130.67)</f>
        <v>130.66999999999999</v>
      </c>
      <c r="C226" s="3">
        <f ca="1">IFERROR(__xludf.DUMMYFUNCTION("""COMPUTED_VALUE"""),334.59)</f>
        <v>334.59</v>
      </c>
      <c r="D226" s="3">
        <f ca="1">IFERROR(__xludf.DUMMYFUNCTION("""COMPUTED_VALUE"""),79.41)</f>
        <v>79.41</v>
      </c>
      <c r="E226" s="3">
        <f ca="1">IFERROR(__xludf.DUMMYFUNCTION("""COMPUTED_VALUE"""),122.17)</f>
        <v>122.17</v>
      </c>
      <c r="F226" s="3">
        <f ca="1">IFERROR(__xludf.DUMMYFUNCTION("""COMPUTED_VALUE"""),45.33)</f>
        <v>45.33</v>
      </c>
      <c r="G226" s="3">
        <f ca="1">IFERROR(__xludf.DUMMYFUNCTION("""COMPUTED_VALUE"""),20.68)</f>
        <v>20.68</v>
      </c>
      <c r="H226" s="3">
        <f ca="1">IFERROR(__xludf.DUMMYFUNCTION("""COMPUTED_VALUE"""),24.23)</f>
        <v>24.23</v>
      </c>
      <c r="I226" s="3">
        <f ca="1">IFERROR(__xludf.DUMMYFUNCTION("""COMPUTED_VALUE"""),134.63)</f>
        <v>134.63</v>
      </c>
      <c r="J226" s="3">
        <f ca="1">IFERROR(__xludf.DUMMYFUNCTION("""COMPUTED_VALUE"""),245.74)</f>
        <v>245.74</v>
      </c>
      <c r="K226" s="3">
        <f ca="1">IFERROR(__xludf.DUMMYFUNCTION("""COMPUTED_VALUE"""),133)</f>
        <v>133</v>
      </c>
      <c r="L226" s="3">
        <f ca="1">IFERROR(__xludf.DUMMYFUNCTION("""COMPUTED_VALUE"""),79.87)</f>
        <v>79.87</v>
      </c>
      <c r="M226" s="3">
        <f ca="1">IFERROR(__xludf.DUMMYFUNCTION("""COMPUTED_VALUE"""),64.45)</f>
        <v>64.45</v>
      </c>
      <c r="N226" s="3">
        <f ca="1">IFERROR(__xludf.DUMMYFUNCTION("""COMPUTED_VALUE"""),63.37)</f>
        <v>63.37</v>
      </c>
      <c r="O226" s="3">
        <f ca="1">IFERROR(__xludf.DUMMYFUNCTION("""COMPUTED_VALUE"""),51.36)</f>
        <v>51.36</v>
      </c>
      <c r="P226" s="3">
        <f ca="1">IFERROR(__xludf.DUMMYFUNCTION("""COMPUTED_VALUE"""),90.39)</f>
        <v>90.39</v>
      </c>
      <c r="Q226" s="3">
        <f ca="1">IFERROR(__xludf.DUMMYFUNCTION("""COMPUTED_VALUE"""),126.32)</f>
        <v>126.32</v>
      </c>
      <c r="R226" s="3">
        <f ca="1">IFERROR(__xludf.DUMMYFUNCTION("""COMPUTED_VALUE"""),80.26)</f>
        <v>80.260000000000005</v>
      </c>
      <c r="S226" s="3">
        <f ca="1">IFERROR(__xludf.DUMMYFUNCTION("""COMPUTED_VALUE"""),50.91)</f>
        <v>50.91</v>
      </c>
      <c r="T226" s="3">
        <f ca="1">IFERROR(__xludf.DUMMYFUNCTION("""COMPUTED_VALUE"""),25.07)</f>
        <v>25.07</v>
      </c>
      <c r="U226" s="3">
        <f ca="1">IFERROR(__xludf.DUMMYFUNCTION("""COMPUTED_VALUE"""),69.03)</f>
        <v>69.03</v>
      </c>
      <c r="V226" s="3">
        <f ca="1">IFERROR(__xludf.DUMMYFUNCTION("""COMPUTED_VALUE"""),80.81)</f>
        <v>80.81</v>
      </c>
      <c r="W226" s="3">
        <f ca="1">IFERROR(__xludf.DUMMYFUNCTION("""COMPUTED_VALUE"""),35.48)</f>
        <v>35.479999999999997</v>
      </c>
      <c r="X226" s="3">
        <f ca="1">IFERROR(__xludf.DUMMYFUNCTION("""COMPUTED_VALUE"""),86.45)</f>
        <v>86.45</v>
      </c>
      <c r="Y226" s="3">
        <f ca="1">IFERROR(__xludf.DUMMYFUNCTION("""COMPUTED_VALUE"""),48.4)</f>
        <v>48.4</v>
      </c>
      <c r="Z226" s="3">
        <f ca="1">IFERROR(__xludf.DUMMYFUNCTION("""COMPUTED_VALUE"""),78.47)</f>
        <v>78.47</v>
      </c>
      <c r="AA226" s="3">
        <f ca="1">IFERROR(__xludf.DUMMYFUNCTION("""COMPUTED_VALUE"""),38.32)</f>
        <v>38.32</v>
      </c>
      <c r="AB226" s="3">
        <f ca="1">IFERROR(__xludf.DUMMYFUNCTION("""COMPUTED_VALUE"""),63.29)</f>
        <v>63.29</v>
      </c>
      <c r="AC226" s="3">
        <f ca="1">IFERROR(__xludf.DUMMYFUNCTION("""COMPUTED_VALUE"""),55.46)</f>
        <v>55.46</v>
      </c>
      <c r="AD226" s="3">
        <f ca="1">IFERROR(__xludf.DUMMYFUNCTION("""COMPUTED_VALUE"""),6.02)</f>
        <v>6.02</v>
      </c>
      <c r="AE226" s="3">
        <f ca="1">IFERROR(__xludf.DUMMYFUNCTION("""COMPUTED_VALUE"""),9.59)</f>
        <v>9.59</v>
      </c>
      <c r="AF226" s="3">
        <f ca="1">IFERROR(__xludf.DUMMYFUNCTION("""COMPUTED_VALUE"""),1.84)</f>
        <v>1.84</v>
      </c>
      <c r="AG226" s="3">
        <f ca="1">IFERROR(__xludf.DUMMYFUNCTION("""COMPUTED_VALUE"""),15.84)</f>
        <v>15.84</v>
      </c>
    </row>
    <row r="227" spans="1:33" ht="12.75" x14ac:dyDescent="0.2">
      <c r="A227" s="4">
        <f ca="1">IFERROR(__xludf.DUMMYFUNCTION("""COMPUTED_VALUE"""),44887.6666666666)</f>
        <v>44887.666666666599</v>
      </c>
      <c r="B227" s="3">
        <f ca="1">IFERROR(__xludf.DUMMYFUNCTION("""COMPUTED_VALUE"""),133.2)</f>
        <v>133.19999999999999</v>
      </c>
      <c r="C227" s="3">
        <f ca="1">IFERROR(__xludf.DUMMYFUNCTION("""COMPUTED_VALUE"""),340.58)</f>
        <v>340.58</v>
      </c>
      <c r="D227" s="3">
        <f ca="1">IFERROR(__xludf.DUMMYFUNCTION("""COMPUTED_VALUE"""),80.33)</f>
        <v>80.33</v>
      </c>
      <c r="E227" s="3">
        <f ca="1">IFERROR(__xludf.DUMMYFUNCTION("""COMPUTED_VALUE"""),125.81)</f>
        <v>125.81</v>
      </c>
      <c r="F227" s="3">
        <f ca="1">IFERROR(__xludf.DUMMYFUNCTION("""COMPUTED_VALUE"""),45.55)</f>
        <v>45.55</v>
      </c>
      <c r="G227" s="3">
        <f ca="1">IFERROR(__xludf.DUMMYFUNCTION("""COMPUTED_VALUE"""),20.97)</f>
        <v>20.97</v>
      </c>
      <c r="H227" s="3">
        <f ca="1">IFERROR(__xludf.DUMMYFUNCTION("""COMPUTED_VALUE"""),24.48)</f>
        <v>24.48</v>
      </c>
      <c r="I227" s="3">
        <f ca="1">IFERROR(__xludf.DUMMYFUNCTION("""COMPUTED_VALUE"""),135.8)</f>
        <v>135.80000000000001</v>
      </c>
      <c r="J227" s="3">
        <f ca="1">IFERROR(__xludf.DUMMYFUNCTION("""COMPUTED_VALUE"""),247.92)</f>
        <v>247.92</v>
      </c>
      <c r="K227" s="3">
        <f ca="1">IFERROR(__xludf.DUMMYFUNCTION("""COMPUTED_VALUE"""),134.05)</f>
        <v>134.05000000000001</v>
      </c>
      <c r="L227" s="3">
        <f ca="1">IFERROR(__xludf.DUMMYFUNCTION("""COMPUTED_VALUE"""),80.97)</f>
        <v>80.97</v>
      </c>
      <c r="M227" s="3">
        <f ca="1">IFERROR(__xludf.DUMMYFUNCTION("""COMPUTED_VALUE"""),65.03)</f>
        <v>65.03</v>
      </c>
      <c r="N227" s="3">
        <f ca="1">IFERROR(__xludf.DUMMYFUNCTION("""COMPUTED_VALUE"""),63.89)</f>
        <v>63.89</v>
      </c>
      <c r="O227" s="3">
        <f ca="1">IFERROR(__xludf.DUMMYFUNCTION("""COMPUTED_VALUE"""),51.76)</f>
        <v>51.76</v>
      </c>
      <c r="P227" s="3">
        <f ca="1">IFERROR(__xludf.DUMMYFUNCTION("""COMPUTED_VALUE"""),93.22)</f>
        <v>93.22</v>
      </c>
      <c r="Q227" s="3">
        <f ca="1">IFERROR(__xludf.DUMMYFUNCTION("""COMPUTED_VALUE"""),130.56)</f>
        <v>130.56</v>
      </c>
      <c r="R227" s="3">
        <f ca="1">IFERROR(__xludf.DUMMYFUNCTION("""COMPUTED_VALUE"""),82.08)</f>
        <v>82.08</v>
      </c>
      <c r="S227" s="3">
        <f ca="1">IFERROR(__xludf.DUMMYFUNCTION("""COMPUTED_VALUE"""),52.55)</f>
        <v>52.55</v>
      </c>
      <c r="T227" s="3">
        <f ca="1">IFERROR(__xludf.DUMMYFUNCTION("""COMPUTED_VALUE"""),25.33)</f>
        <v>25.33</v>
      </c>
      <c r="U227" s="3">
        <f ca="1">IFERROR(__xludf.DUMMYFUNCTION("""COMPUTED_VALUE"""),69.98)</f>
        <v>69.98</v>
      </c>
      <c r="V227" s="3">
        <f ca="1">IFERROR(__xludf.DUMMYFUNCTION("""COMPUTED_VALUE"""),81.49)</f>
        <v>81.489999999999995</v>
      </c>
      <c r="W227" s="3">
        <f ca="1">IFERROR(__xludf.DUMMYFUNCTION("""COMPUTED_VALUE"""),35.84)</f>
        <v>35.840000000000003</v>
      </c>
      <c r="X227" s="3">
        <f ca="1">IFERROR(__xludf.DUMMYFUNCTION("""COMPUTED_VALUE"""),87.36)</f>
        <v>87.36</v>
      </c>
      <c r="Y227" s="3">
        <f ca="1">IFERROR(__xludf.DUMMYFUNCTION("""COMPUTED_VALUE"""),49)</f>
        <v>49</v>
      </c>
      <c r="Z227" s="3">
        <f ca="1">IFERROR(__xludf.DUMMYFUNCTION("""COMPUTED_VALUE"""),79.22)</f>
        <v>79.22</v>
      </c>
      <c r="AA227" s="3">
        <f ca="1">IFERROR(__xludf.DUMMYFUNCTION("""COMPUTED_VALUE"""),38.51)</f>
        <v>38.51</v>
      </c>
      <c r="AB227" s="3">
        <f ca="1">IFERROR(__xludf.DUMMYFUNCTION("""COMPUTED_VALUE"""),63.98)</f>
        <v>63.98</v>
      </c>
      <c r="AC227" s="3">
        <f ca="1">IFERROR(__xludf.DUMMYFUNCTION("""COMPUTED_VALUE"""),55.75)</f>
        <v>55.75</v>
      </c>
      <c r="AD227" s="3">
        <f ca="1">IFERROR(__xludf.DUMMYFUNCTION("""COMPUTED_VALUE"""),6.18)</f>
        <v>6.18</v>
      </c>
      <c r="AE227" s="3">
        <f ca="1">IFERROR(__xludf.DUMMYFUNCTION("""COMPUTED_VALUE"""),9.79)</f>
        <v>9.7899999999999991</v>
      </c>
      <c r="AF227" s="3">
        <f ca="1">IFERROR(__xludf.DUMMYFUNCTION("""COMPUTED_VALUE"""),1.75)</f>
        <v>1.75</v>
      </c>
      <c r="AG227" s="3">
        <f ca="1">IFERROR(__xludf.DUMMYFUNCTION("""COMPUTED_VALUE"""),15.92)</f>
        <v>15.92</v>
      </c>
    </row>
    <row r="228" spans="1:33" ht="12.75" x14ac:dyDescent="0.2">
      <c r="A228" s="4">
        <f ca="1">IFERROR(__xludf.DUMMYFUNCTION("""COMPUTED_VALUE"""),44888.6666666666)</f>
        <v>44888.666666666599</v>
      </c>
      <c r="B228" s="3">
        <f ca="1">IFERROR(__xludf.DUMMYFUNCTION("""COMPUTED_VALUE"""),134.38)</f>
        <v>134.38</v>
      </c>
      <c r="C228" s="3">
        <f ca="1">IFERROR(__xludf.DUMMYFUNCTION("""COMPUTED_VALUE"""),344.22)</f>
        <v>344.22</v>
      </c>
      <c r="D228" s="3">
        <f ca="1">IFERROR(__xludf.DUMMYFUNCTION("""COMPUTED_VALUE"""),79.7)</f>
        <v>79.7</v>
      </c>
      <c r="E228" s="3">
        <f ca="1">IFERROR(__xludf.DUMMYFUNCTION("""COMPUTED_VALUE"""),127.33)</f>
        <v>127.33</v>
      </c>
      <c r="F228" s="3">
        <f ca="1">IFERROR(__xludf.DUMMYFUNCTION("""COMPUTED_VALUE"""),46.01)</f>
        <v>46.01</v>
      </c>
      <c r="G228" s="3">
        <f ca="1">IFERROR(__xludf.DUMMYFUNCTION("""COMPUTED_VALUE"""),21.29)</f>
        <v>21.29</v>
      </c>
      <c r="H228" s="3">
        <f ca="1">IFERROR(__xludf.DUMMYFUNCTION("""COMPUTED_VALUE"""),24.75)</f>
        <v>24.75</v>
      </c>
      <c r="I228" s="3">
        <f ca="1">IFERROR(__xludf.DUMMYFUNCTION("""COMPUTED_VALUE"""),136.34)</f>
        <v>136.34</v>
      </c>
      <c r="J228" s="3">
        <f ca="1">IFERROR(__xludf.DUMMYFUNCTION("""COMPUTED_VALUE"""),249)</f>
        <v>249</v>
      </c>
      <c r="K228" s="3">
        <f ca="1">IFERROR(__xludf.DUMMYFUNCTION("""COMPUTED_VALUE"""),133.55)</f>
        <v>133.55000000000001</v>
      </c>
      <c r="L228" s="3">
        <f ca="1">IFERROR(__xludf.DUMMYFUNCTION("""COMPUTED_VALUE"""),81)</f>
        <v>81</v>
      </c>
      <c r="M228" s="3">
        <f ca="1">IFERROR(__xludf.DUMMYFUNCTION("""COMPUTED_VALUE"""),64.99)</f>
        <v>64.989999999999995</v>
      </c>
      <c r="N228" s="3">
        <f ca="1">IFERROR(__xludf.DUMMYFUNCTION("""COMPUTED_VALUE"""),64.2)</f>
        <v>64.2</v>
      </c>
      <c r="O228" s="3">
        <f ca="1">IFERROR(__xludf.DUMMYFUNCTION("""COMPUTED_VALUE"""),52.12)</f>
        <v>52.12</v>
      </c>
      <c r="P228" s="3">
        <f ca="1">IFERROR(__xludf.DUMMYFUNCTION("""COMPUTED_VALUE"""),92.21)</f>
        <v>92.21</v>
      </c>
      <c r="Q228" s="3">
        <f ca="1">IFERROR(__xludf.DUMMYFUNCTION("""COMPUTED_VALUE"""),128.97)</f>
        <v>128.97</v>
      </c>
      <c r="R228" s="3">
        <f ca="1">IFERROR(__xludf.DUMMYFUNCTION("""COMPUTED_VALUE"""),82.4)</f>
        <v>82.4</v>
      </c>
      <c r="S228" s="3">
        <f ca="1">IFERROR(__xludf.DUMMYFUNCTION("""COMPUTED_VALUE"""),52.73)</f>
        <v>52.73</v>
      </c>
      <c r="T228" s="3">
        <f ca="1">IFERROR(__xludf.DUMMYFUNCTION("""COMPUTED_VALUE"""),24.98)</f>
        <v>24.98</v>
      </c>
      <c r="U228" s="3">
        <f ca="1">IFERROR(__xludf.DUMMYFUNCTION("""COMPUTED_VALUE"""),67.41)</f>
        <v>67.41</v>
      </c>
      <c r="V228" s="3">
        <f ca="1">IFERROR(__xludf.DUMMYFUNCTION("""COMPUTED_VALUE"""),82.35)</f>
        <v>82.35</v>
      </c>
      <c r="W228" s="3">
        <f ca="1">IFERROR(__xludf.DUMMYFUNCTION("""COMPUTED_VALUE"""),35.99)</f>
        <v>35.99</v>
      </c>
      <c r="X228" s="3">
        <f ca="1">IFERROR(__xludf.DUMMYFUNCTION("""COMPUTED_VALUE"""),87.66)</f>
        <v>87.66</v>
      </c>
      <c r="Y228" s="3">
        <f ca="1">IFERROR(__xludf.DUMMYFUNCTION("""COMPUTED_VALUE"""),49)</f>
        <v>49</v>
      </c>
      <c r="Z228" s="3">
        <f ca="1">IFERROR(__xludf.DUMMYFUNCTION("""COMPUTED_VALUE"""),79.55)</f>
        <v>79.55</v>
      </c>
      <c r="AA228" s="3">
        <f ca="1">IFERROR(__xludf.DUMMYFUNCTION("""COMPUTED_VALUE"""),38.57)</f>
        <v>38.57</v>
      </c>
      <c r="AB228" s="3">
        <f ca="1">IFERROR(__xludf.DUMMYFUNCTION("""COMPUTED_VALUE"""),63.97)</f>
        <v>63.97</v>
      </c>
      <c r="AC228" s="3">
        <f ca="1">IFERROR(__xludf.DUMMYFUNCTION("""COMPUTED_VALUE"""),55.97)</f>
        <v>55.97</v>
      </c>
      <c r="AD228" s="3">
        <f ca="1">IFERROR(__xludf.DUMMYFUNCTION("""COMPUTED_VALUE"""),6.41)</f>
        <v>6.41</v>
      </c>
      <c r="AE228" s="3">
        <f ca="1">IFERROR(__xludf.DUMMYFUNCTION("""COMPUTED_VALUE"""),10.19)</f>
        <v>10.19</v>
      </c>
      <c r="AF228" s="3">
        <f ca="1">IFERROR(__xludf.DUMMYFUNCTION("""COMPUTED_VALUE"""),1.8)</f>
        <v>1.8</v>
      </c>
      <c r="AG228" s="3">
        <f ca="1">IFERROR(__xludf.DUMMYFUNCTION("""COMPUTED_VALUE"""),16.4)</f>
        <v>16.399999999999999</v>
      </c>
    </row>
    <row r="229" spans="1:33" ht="12.75" x14ac:dyDescent="0.2">
      <c r="A229" s="4">
        <f ca="1">IFERROR(__xludf.DUMMYFUNCTION("""COMPUTED_VALUE"""),44890.5520833333)</f>
        <v>44890.552083333299</v>
      </c>
      <c r="B229" s="3">
        <f ca="1">IFERROR(__xludf.DUMMYFUNCTION("""COMPUTED_VALUE"""),133.6)</f>
        <v>133.6</v>
      </c>
      <c r="C229" s="3">
        <f ca="1">IFERROR(__xludf.DUMMYFUNCTION("""COMPUTED_VALUE"""),342.06)</f>
        <v>342.06</v>
      </c>
      <c r="D229" s="3">
        <f ca="1">IFERROR(__xludf.DUMMYFUNCTION("""COMPUTED_VALUE"""),77.97)</f>
        <v>77.97</v>
      </c>
      <c r="E229" s="3">
        <f ca="1">IFERROR(__xludf.DUMMYFUNCTION("""COMPUTED_VALUE"""),125.64)</f>
        <v>125.64</v>
      </c>
      <c r="F229" s="3">
        <f ca="1">IFERROR(__xludf.DUMMYFUNCTION("""COMPUTED_VALUE"""),46.05)</f>
        <v>46.05</v>
      </c>
      <c r="G229" s="3">
        <f ca="1">IFERROR(__xludf.DUMMYFUNCTION("""COMPUTED_VALUE"""),21.37)</f>
        <v>21.37</v>
      </c>
      <c r="H229" s="3">
        <f ca="1">IFERROR(__xludf.DUMMYFUNCTION("""COMPUTED_VALUE"""),24.75)</f>
        <v>24.75</v>
      </c>
      <c r="I229" s="3">
        <f ca="1">IFERROR(__xludf.DUMMYFUNCTION("""COMPUTED_VALUE"""),137.15)</f>
        <v>137.15</v>
      </c>
      <c r="J229" s="3">
        <f ca="1">IFERROR(__xludf.DUMMYFUNCTION("""COMPUTED_VALUE"""),250.47)</f>
        <v>250.47</v>
      </c>
      <c r="K229" s="3">
        <f ca="1">IFERROR(__xludf.DUMMYFUNCTION("""COMPUTED_VALUE"""),133.82)</f>
        <v>133.82</v>
      </c>
      <c r="L229" s="3">
        <f ca="1">IFERROR(__xludf.DUMMYFUNCTION("""COMPUTED_VALUE"""),81.06)</f>
        <v>81.06</v>
      </c>
      <c r="M229" s="3">
        <f ca="1">IFERROR(__xludf.DUMMYFUNCTION("""COMPUTED_VALUE"""),64.9)</f>
        <v>64.900000000000006</v>
      </c>
      <c r="N229" s="3">
        <f ca="1">IFERROR(__xludf.DUMMYFUNCTION("""COMPUTED_VALUE"""),64.56)</f>
        <v>64.56</v>
      </c>
      <c r="O229" s="3">
        <f ca="1">IFERROR(__xludf.DUMMYFUNCTION("""COMPUTED_VALUE"""),52.16)</f>
        <v>52.16</v>
      </c>
      <c r="P229" s="3">
        <f ca="1">IFERROR(__xludf.DUMMYFUNCTION("""COMPUTED_VALUE"""),91.87)</f>
        <v>91.87</v>
      </c>
      <c r="Q229" s="3">
        <f ca="1">IFERROR(__xludf.DUMMYFUNCTION("""COMPUTED_VALUE"""),128.76)</f>
        <v>128.76</v>
      </c>
      <c r="R229" s="3">
        <f ca="1">IFERROR(__xludf.DUMMYFUNCTION("""COMPUTED_VALUE"""),82.37)</f>
        <v>82.37</v>
      </c>
      <c r="S229" s="3">
        <f ca="1">IFERROR(__xludf.DUMMYFUNCTION("""COMPUTED_VALUE"""),52.46)</f>
        <v>52.46</v>
      </c>
      <c r="T229" s="3">
        <f ca="1">IFERROR(__xludf.DUMMYFUNCTION("""COMPUTED_VALUE"""),24.76)</f>
        <v>24.76</v>
      </c>
      <c r="U229" s="3">
        <f ca="1">IFERROR(__xludf.DUMMYFUNCTION("""COMPUTED_VALUE"""),66.96)</f>
        <v>66.959999999999994</v>
      </c>
      <c r="V229" s="3">
        <f ca="1">IFERROR(__xludf.DUMMYFUNCTION("""COMPUTED_VALUE"""),82.49)</f>
        <v>82.49</v>
      </c>
      <c r="W229" s="3">
        <f ca="1">IFERROR(__xludf.DUMMYFUNCTION("""COMPUTED_VALUE"""),36.11)</f>
        <v>36.11</v>
      </c>
      <c r="X229" s="3">
        <f ca="1">IFERROR(__xludf.DUMMYFUNCTION("""COMPUTED_VALUE"""),88.05)</f>
        <v>88.05</v>
      </c>
      <c r="Y229" s="3">
        <f ca="1">IFERROR(__xludf.DUMMYFUNCTION("""COMPUTED_VALUE"""),49.36)</f>
        <v>49.36</v>
      </c>
      <c r="Z229" s="3">
        <f ca="1">IFERROR(__xludf.DUMMYFUNCTION("""COMPUTED_VALUE"""),79.94)</f>
        <v>79.94</v>
      </c>
      <c r="AA229" s="3">
        <f ca="1">IFERROR(__xludf.DUMMYFUNCTION("""COMPUTED_VALUE"""),38.8)</f>
        <v>38.799999999999997</v>
      </c>
      <c r="AB229" s="3">
        <f ca="1">IFERROR(__xludf.DUMMYFUNCTION("""COMPUTED_VALUE"""),64.45)</f>
        <v>64.45</v>
      </c>
      <c r="AC229" s="3">
        <f ca="1">IFERROR(__xludf.DUMMYFUNCTION("""COMPUTED_VALUE"""),54.98)</f>
        <v>54.98</v>
      </c>
      <c r="AD229" s="3">
        <f ca="1">IFERROR(__xludf.DUMMYFUNCTION("""COMPUTED_VALUE"""),6.43)</f>
        <v>6.43</v>
      </c>
      <c r="AE229" s="3">
        <f ca="1">IFERROR(__xludf.DUMMYFUNCTION("""COMPUTED_VALUE"""),10.19)</f>
        <v>10.19</v>
      </c>
      <c r="AF229" s="3">
        <f ca="1">IFERROR(__xludf.DUMMYFUNCTION("""COMPUTED_VALUE"""),1.82)</f>
        <v>1.82</v>
      </c>
      <c r="AG229" s="3">
        <f ca="1">IFERROR(__xludf.DUMMYFUNCTION("""COMPUTED_VALUE"""),16.36)</f>
        <v>16.36</v>
      </c>
    </row>
    <row r="230" spans="1:33" ht="12.75" x14ac:dyDescent="0.2">
      <c r="A230" s="4">
        <f ca="1">IFERROR(__xludf.DUMMYFUNCTION("""COMPUTED_VALUE"""),44893.6666666666)</f>
        <v>44893.666666666599</v>
      </c>
      <c r="B230" s="3">
        <f ca="1">IFERROR(__xludf.DUMMYFUNCTION("""COMPUTED_VALUE"""),130.74)</f>
        <v>130.74</v>
      </c>
      <c r="C230" s="3">
        <f ca="1">IFERROR(__xludf.DUMMYFUNCTION("""COMPUTED_VALUE"""),334.83)</f>
        <v>334.83</v>
      </c>
      <c r="D230" s="3">
        <f ca="1">IFERROR(__xludf.DUMMYFUNCTION("""COMPUTED_VALUE"""),77.23)</f>
        <v>77.23</v>
      </c>
      <c r="E230" s="3">
        <f ca="1">IFERROR(__xludf.DUMMYFUNCTION("""COMPUTED_VALUE"""),122.5)</f>
        <v>122.5</v>
      </c>
      <c r="F230" s="3">
        <f ca="1">IFERROR(__xludf.DUMMYFUNCTION("""COMPUTED_VALUE"""),45.59)</f>
        <v>45.59</v>
      </c>
      <c r="G230" s="3">
        <f ca="1">IFERROR(__xludf.DUMMYFUNCTION("""COMPUTED_VALUE"""),20.94)</f>
        <v>20.94</v>
      </c>
      <c r="H230" s="3">
        <f ca="1">IFERROR(__xludf.DUMMYFUNCTION("""COMPUTED_VALUE"""),24.36)</f>
        <v>24.36</v>
      </c>
      <c r="I230" s="3">
        <f ca="1">IFERROR(__xludf.DUMMYFUNCTION("""COMPUTED_VALUE"""),136.12)</f>
        <v>136.12</v>
      </c>
      <c r="J230" s="3">
        <f ca="1">IFERROR(__xludf.DUMMYFUNCTION("""COMPUTED_VALUE"""),248.35)</f>
        <v>248.35</v>
      </c>
      <c r="K230" s="3">
        <f ca="1">IFERROR(__xludf.DUMMYFUNCTION("""COMPUTED_VALUE"""),132.89)</f>
        <v>132.88999999999999</v>
      </c>
      <c r="L230" s="3">
        <f ca="1">IFERROR(__xludf.DUMMYFUNCTION("""COMPUTED_VALUE"""),79.65)</f>
        <v>79.650000000000006</v>
      </c>
      <c r="M230" s="3">
        <f ca="1">IFERROR(__xludf.DUMMYFUNCTION("""COMPUTED_VALUE"""),64.49)</f>
        <v>64.489999999999995</v>
      </c>
      <c r="N230" s="3">
        <f ca="1">IFERROR(__xludf.DUMMYFUNCTION("""COMPUTED_VALUE"""),64.02)</f>
        <v>64.02</v>
      </c>
      <c r="O230" s="3">
        <f ca="1">IFERROR(__xludf.DUMMYFUNCTION("""COMPUTED_VALUE"""),51.52)</f>
        <v>51.52</v>
      </c>
      <c r="P230" s="3">
        <f ca="1">IFERROR(__xludf.DUMMYFUNCTION("""COMPUTED_VALUE"""),89.35)</f>
        <v>89.35</v>
      </c>
      <c r="Q230" s="3">
        <f ca="1">IFERROR(__xludf.DUMMYFUNCTION("""COMPUTED_VALUE"""),125.12)</f>
        <v>125.12</v>
      </c>
      <c r="R230" s="3">
        <f ca="1">IFERROR(__xludf.DUMMYFUNCTION("""COMPUTED_VALUE"""),80.53)</f>
        <v>80.53</v>
      </c>
      <c r="S230" s="3">
        <f ca="1">IFERROR(__xludf.DUMMYFUNCTION("""COMPUTED_VALUE"""),50.8)</f>
        <v>50.8</v>
      </c>
      <c r="T230" s="3">
        <f ca="1">IFERROR(__xludf.DUMMYFUNCTION("""COMPUTED_VALUE"""),24.61)</f>
        <v>24.61</v>
      </c>
      <c r="U230" s="3">
        <f ca="1">IFERROR(__xludf.DUMMYFUNCTION("""COMPUTED_VALUE"""),66.88)</f>
        <v>66.88</v>
      </c>
      <c r="V230" s="3">
        <f ca="1">IFERROR(__xludf.DUMMYFUNCTION("""COMPUTED_VALUE"""),80.46)</f>
        <v>80.459999999999994</v>
      </c>
      <c r="W230" s="3">
        <f ca="1">IFERROR(__xludf.DUMMYFUNCTION("""COMPUTED_VALUE"""),35.49)</f>
        <v>35.49</v>
      </c>
      <c r="X230" s="3">
        <f ca="1">IFERROR(__xludf.DUMMYFUNCTION("""COMPUTED_VALUE"""),86.45)</f>
        <v>86.45</v>
      </c>
      <c r="Y230" s="3">
        <f ca="1">IFERROR(__xludf.DUMMYFUNCTION("""COMPUTED_VALUE"""),48.27)</f>
        <v>48.27</v>
      </c>
      <c r="Z230" s="3">
        <f ca="1">IFERROR(__xludf.DUMMYFUNCTION("""COMPUTED_VALUE"""),78.5)</f>
        <v>78.5</v>
      </c>
      <c r="AA230" s="3">
        <f ca="1">IFERROR(__xludf.DUMMYFUNCTION("""COMPUTED_VALUE"""),37.71)</f>
        <v>37.71</v>
      </c>
      <c r="AB230" s="3">
        <f ca="1">IFERROR(__xludf.DUMMYFUNCTION("""COMPUTED_VALUE"""),63.01)</f>
        <v>63.01</v>
      </c>
      <c r="AC230" s="3">
        <f ca="1">IFERROR(__xludf.DUMMYFUNCTION("""COMPUTED_VALUE"""),55.17)</f>
        <v>55.17</v>
      </c>
      <c r="AD230" s="3">
        <f ca="1">IFERROR(__xludf.DUMMYFUNCTION("""COMPUTED_VALUE"""),6.29)</f>
        <v>6.29</v>
      </c>
      <c r="AE230" s="3">
        <f ca="1">IFERROR(__xludf.DUMMYFUNCTION("""COMPUTED_VALUE"""),9.99)</f>
        <v>9.99</v>
      </c>
      <c r="AF230" s="3">
        <f ca="1">IFERROR(__xludf.DUMMYFUNCTION("""COMPUTED_VALUE"""),1.78)</f>
        <v>1.78</v>
      </c>
      <c r="AG230" s="3">
        <f ca="1">IFERROR(__xludf.DUMMYFUNCTION("""COMPUTED_VALUE"""),15.56)</f>
        <v>15.56</v>
      </c>
    </row>
    <row r="231" spans="1:33" ht="12.75" x14ac:dyDescent="0.2">
      <c r="A231" s="4">
        <f ca="1">IFERROR(__xludf.DUMMYFUNCTION("""COMPUTED_VALUE"""),44894.6666666666)</f>
        <v>44894.666666666599</v>
      </c>
      <c r="B231" s="3">
        <f ca="1">IFERROR(__xludf.DUMMYFUNCTION("""COMPUTED_VALUE"""),129.46)</f>
        <v>129.46</v>
      </c>
      <c r="C231" s="3">
        <f ca="1">IFERROR(__xludf.DUMMYFUNCTION("""COMPUTED_VALUE"""),331.73)</f>
        <v>331.73</v>
      </c>
      <c r="D231" s="3">
        <f ca="1">IFERROR(__xludf.DUMMYFUNCTION("""COMPUTED_VALUE"""),81.42)</f>
        <v>81.42</v>
      </c>
      <c r="E231" s="3">
        <f ca="1">IFERROR(__xludf.DUMMYFUNCTION("""COMPUTED_VALUE"""),122.02)</f>
        <v>122.02</v>
      </c>
      <c r="F231" s="3">
        <f ca="1">IFERROR(__xludf.DUMMYFUNCTION("""COMPUTED_VALUE"""),45.29)</f>
        <v>45.29</v>
      </c>
      <c r="G231" s="3">
        <f ca="1">IFERROR(__xludf.DUMMYFUNCTION("""COMPUTED_VALUE"""),20.68)</f>
        <v>20.68</v>
      </c>
      <c r="H231" s="3">
        <f ca="1">IFERROR(__xludf.DUMMYFUNCTION("""COMPUTED_VALUE"""),24.36)</f>
        <v>24.36</v>
      </c>
      <c r="I231" s="3">
        <f ca="1">IFERROR(__xludf.DUMMYFUNCTION("""COMPUTED_VALUE"""),135.78)</f>
        <v>135.78</v>
      </c>
      <c r="J231" s="3">
        <f ca="1">IFERROR(__xludf.DUMMYFUNCTION("""COMPUTED_VALUE"""),247.76)</f>
        <v>247.76</v>
      </c>
      <c r="K231" s="3">
        <f ca="1">IFERROR(__xludf.DUMMYFUNCTION("""COMPUTED_VALUE"""),132.27)</f>
        <v>132.27000000000001</v>
      </c>
      <c r="L231" s="3">
        <f ca="1">IFERROR(__xludf.DUMMYFUNCTION("""COMPUTED_VALUE"""),79.98)</f>
        <v>79.98</v>
      </c>
      <c r="M231" s="3">
        <f ca="1">IFERROR(__xludf.DUMMYFUNCTION("""COMPUTED_VALUE"""),64.28)</f>
        <v>64.28</v>
      </c>
      <c r="N231" s="3">
        <f ca="1">IFERROR(__xludf.DUMMYFUNCTION("""COMPUTED_VALUE"""),63.8)</f>
        <v>63.8</v>
      </c>
      <c r="O231" s="3">
        <f ca="1">IFERROR(__xludf.DUMMYFUNCTION("""COMPUTED_VALUE"""),51.12)</f>
        <v>51.12</v>
      </c>
      <c r="P231" s="3">
        <f ca="1">IFERROR(__xludf.DUMMYFUNCTION("""COMPUTED_VALUE"""),90.7)</f>
        <v>90.7</v>
      </c>
      <c r="Q231" s="3">
        <f ca="1">IFERROR(__xludf.DUMMYFUNCTION("""COMPUTED_VALUE"""),126.8)</f>
        <v>126.8</v>
      </c>
      <c r="R231" s="3">
        <f ca="1">IFERROR(__xludf.DUMMYFUNCTION("""COMPUTED_VALUE"""),80.8)</f>
        <v>80.8</v>
      </c>
      <c r="S231" s="3">
        <f ca="1">IFERROR(__xludf.DUMMYFUNCTION("""COMPUTED_VALUE"""),51.98)</f>
        <v>51.98</v>
      </c>
      <c r="T231" s="3">
        <f ca="1">IFERROR(__xludf.DUMMYFUNCTION("""COMPUTED_VALUE"""),24.93)</f>
        <v>24.93</v>
      </c>
      <c r="U231" s="3">
        <f ca="1">IFERROR(__xludf.DUMMYFUNCTION("""COMPUTED_VALUE"""),68.34)</f>
        <v>68.34</v>
      </c>
      <c r="V231" s="3">
        <f ca="1">IFERROR(__xludf.DUMMYFUNCTION("""COMPUTED_VALUE"""),79.49)</f>
        <v>79.489999999999995</v>
      </c>
      <c r="W231" s="3">
        <f ca="1">IFERROR(__xludf.DUMMYFUNCTION("""COMPUTED_VALUE"""),35.7)</f>
        <v>35.700000000000003</v>
      </c>
      <c r="X231" s="3">
        <f ca="1">IFERROR(__xludf.DUMMYFUNCTION("""COMPUTED_VALUE"""),87.05)</f>
        <v>87.05</v>
      </c>
      <c r="Y231" s="3">
        <f ca="1">IFERROR(__xludf.DUMMYFUNCTION("""COMPUTED_VALUE"""),48.64)</f>
        <v>48.64</v>
      </c>
      <c r="Z231" s="3">
        <f ca="1">IFERROR(__xludf.DUMMYFUNCTION("""COMPUTED_VALUE"""),78.91)</f>
        <v>78.91</v>
      </c>
      <c r="AA231" s="3">
        <f ca="1">IFERROR(__xludf.DUMMYFUNCTION("""COMPUTED_VALUE"""),38.34)</f>
        <v>38.340000000000003</v>
      </c>
      <c r="AB231" s="3">
        <f ca="1">IFERROR(__xludf.DUMMYFUNCTION("""COMPUTED_VALUE"""),63.39)</f>
        <v>63.39</v>
      </c>
      <c r="AC231" s="3">
        <f ca="1">IFERROR(__xludf.DUMMYFUNCTION("""COMPUTED_VALUE"""),56.4)</f>
        <v>56.4</v>
      </c>
      <c r="AD231" s="3">
        <f ca="1">IFERROR(__xludf.DUMMYFUNCTION("""COMPUTED_VALUE"""),6.42)</f>
        <v>6.42</v>
      </c>
      <c r="AE231" s="3">
        <f ca="1">IFERROR(__xludf.DUMMYFUNCTION("""COMPUTED_VALUE"""),10.16)</f>
        <v>10.16</v>
      </c>
      <c r="AF231" s="3">
        <f ca="1">IFERROR(__xludf.DUMMYFUNCTION("""COMPUTED_VALUE"""),1.77)</f>
        <v>1.77</v>
      </c>
      <c r="AG231" s="3">
        <f ca="1">IFERROR(__xludf.DUMMYFUNCTION("""COMPUTED_VALUE"""),15.64)</f>
        <v>15.64</v>
      </c>
    </row>
    <row r="232" spans="1:33" ht="12.75" x14ac:dyDescent="0.2">
      <c r="A232" s="4">
        <f ca="1">IFERROR(__xludf.DUMMYFUNCTION("""COMPUTED_VALUE"""),44895.6666666666)</f>
        <v>44895.666666666599</v>
      </c>
      <c r="B232" s="3">
        <f ca="1">IFERROR(__xludf.DUMMYFUNCTION("""COMPUTED_VALUE"""),135.96)</f>
        <v>135.96</v>
      </c>
      <c r="C232" s="3">
        <f ca="1">IFERROR(__xludf.DUMMYFUNCTION("""COMPUTED_VALUE"""),347.94)</f>
        <v>347.94</v>
      </c>
      <c r="D232" s="3">
        <f ca="1">IFERROR(__xludf.DUMMYFUNCTION("""COMPUTED_VALUE"""),81.72)</f>
        <v>81.72</v>
      </c>
      <c r="E232" s="3">
        <f ca="1">IFERROR(__xludf.DUMMYFUNCTION("""COMPUTED_VALUE"""),129.34)</f>
        <v>129.34</v>
      </c>
      <c r="F232" s="3">
        <f ca="1">IFERROR(__xludf.DUMMYFUNCTION("""COMPUTED_VALUE"""),45.98)</f>
        <v>45.98</v>
      </c>
      <c r="G232" s="3">
        <f ca="1">IFERROR(__xludf.DUMMYFUNCTION("""COMPUTED_VALUE"""),21.43)</f>
        <v>21.43</v>
      </c>
      <c r="H232" s="3">
        <f ca="1">IFERROR(__xludf.DUMMYFUNCTION("""COMPUTED_VALUE"""),25.3)</f>
        <v>25.3</v>
      </c>
      <c r="I232" s="3">
        <f ca="1">IFERROR(__xludf.DUMMYFUNCTION("""COMPUTED_VALUE"""),139.02)</f>
        <v>139.02000000000001</v>
      </c>
      <c r="J232" s="3">
        <f ca="1">IFERROR(__xludf.DUMMYFUNCTION("""COMPUTED_VALUE"""),254.35)</f>
        <v>254.35</v>
      </c>
      <c r="K232" s="3">
        <f ca="1">IFERROR(__xludf.DUMMYFUNCTION("""COMPUTED_VALUE"""),136.53)</f>
        <v>136.53</v>
      </c>
      <c r="L232" s="3">
        <f ca="1">IFERROR(__xludf.DUMMYFUNCTION("""COMPUTED_VALUE"""),83.62)</f>
        <v>83.62</v>
      </c>
      <c r="M232" s="3">
        <f ca="1">IFERROR(__xludf.DUMMYFUNCTION("""COMPUTED_VALUE"""),66.62)</f>
        <v>66.62</v>
      </c>
      <c r="N232" s="3">
        <f ca="1">IFERROR(__xludf.DUMMYFUNCTION("""COMPUTED_VALUE"""),65.57)</f>
        <v>65.569999999999993</v>
      </c>
      <c r="O232" s="3">
        <f ca="1">IFERROR(__xludf.DUMMYFUNCTION("""COMPUTED_VALUE"""),54)</f>
        <v>54</v>
      </c>
      <c r="P232" s="3">
        <f ca="1">IFERROR(__xludf.DUMMYFUNCTION("""COMPUTED_VALUE"""),91.15)</f>
        <v>91.15</v>
      </c>
      <c r="Q232" s="3">
        <f ca="1">IFERROR(__xludf.DUMMYFUNCTION("""COMPUTED_VALUE"""),127.63)</f>
        <v>127.63</v>
      </c>
      <c r="R232" s="3">
        <f ca="1">IFERROR(__xludf.DUMMYFUNCTION("""COMPUTED_VALUE"""),82.75)</f>
        <v>82.75</v>
      </c>
      <c r="S232" s="3">
        <f ca="1">IFERROR(__xludf.DUMMYFUNCTION("""COMPUTED_VALUE"""),53.93)</f>
        <v>53.93</v>
      </c>
      <c r="T232" s="3">
        <f ca="1">IFERROR(__xludf.DUMMYFUNCTION("""COMPUTED_VALUE"""),25.49)</f>
        <v>25.49</v>
      </c>
      <c r="U232" s="3">
        <f ca="1">IFERROR(__xludf.DUMMYFUNCTION("""COMPUTED_VALUE"""),70.23)</f>
        <v>70.23</v>
      </c>
      <c r="V232" s="3">
        <f ca="1">IFERROR(__xludf.DUMMYFUNCTION("""COMPUTED_VALUE"""),83.98)</f>
        <v>83.98</v>
      </c>
      <c r="W232" s="3">
        <f ca="1">IFERROR(__xludf.DUMMYFUNCTION("""COMPUTED_VALUE"""),36.31)</f>
        <v>36.31</v>
      </c>
      <c r="X232" s="3">
        <f ca="1">IFERROR(__xludf.DUMMYFUNCTION("""COMPUTED_VALUE"""),88.6)</f>
        <v>88.6</v>
      </c>
      <c r="Y232" s="3">
        <f ca="1">IFERROR(__xludf.DUMMYFUNCTION("""COMPUTED_VALUE"""),49.52)</f>
        <v>49.52</v>
      </c>
      <c r="Z232" s="3">
        <f ca="1">IFERROR(__xludf.DUMMYFUNCTION("""COMPUTED_VALUE"""),80.38)</f>
        <v>80.38</v>
      </c>
      <c r="AA232" s="3">
        <f ca="1">IFERROR(__xludf.DUMMYFUNCTION("""COMPUTED_VALUE"""),39.24)</f>
        <v>39.24</v>
      </c>
      <c r="AB232" s="3">
        <f ca="1">IFERROR(__xludf.DUMMYFUNCTION("""COMPUTED_VALUE"""),64.52)</f>
        <v>64.52</v>
      </c>
      <c r="AC232" s="3">
        <f ca="1">IFERROR(__xludf.DUMMYFUNCTION("""COMPUTED_VALUE"""),56.14)</f>
        <v>56.14</v>
      </c>
      <c r="AD232" s="3">
        <f ca="1">IFERROR(__xludf.DUMMYFUNCTION("""COMPUTED_VALUE"""),6.73)</f>
        <v>6.73</v>
      </c>
      <c r="AE232" s="3">
        <f ca="1">IFERROR(__xludf.DUMMYFUNCTION("""COMPUTED_VALUE"""),10.7)</f>
        <v>10.7</v>
      </c>
      <c r="AF232" s="3">
        <f ca="1">IFERROR(__xludf.DUMMYFUNCTION("""COMPUTED_VALUE"""),1.79)</f>
        <v>1.79</v>
      </c>
      <c r="AG232" s="3">
        <f ca="1">IFERROR(__xludf.DUMMYFUNCTION("""COMPUTED_VALUE"""),16.52)</f>
        <v>16.52</v>
      </c>
    </row>
    <row r="233" spans="1:33" ht="12.75" x14ac:dyDescent="0.2">
      <c r="A233" s="4">
        <f ca="1">IFERROR(__xludf.DUMMYFUNCTION("""COMPUTED_VALUE"""),44896.6666666666)</f>
        <v>44896.666666666599</v>
      </c>
      <c r="B233" s="3">
        <f ca="1">IFERROR(__xludf.DUMMYFUNCTION("""COMPUTED_VALUE"""),136.15)</f>
        <v>136.15</v>
      </c>
      <c r="C233" s="3">
        <f ca="1">IFERROR(__xludf.DUMMYFUNCTION("""COMPUTED_VALUE"""),349.17)</f>
        <v>349.17</v>
      </c>
      <c r="D233" s="3">
        <f ca="1">IFERROR(__xludf.DUMMYFUNCTION("""COMPUTED_VALUE"""),81.13)</f>
        <v>81.13</v>
      </c>
      <c r="E233" s="3">
        <f ca="1">IFERROR(__xludf.DUMMYFUNCTION("""COMPUTED_VALUE"""),128.41)</f>
        <v>128.41</v>
      </c>
      <c r="F233" s="3">
        <f ca="1">IFERROR(__xludf.DUMMYFUNCTION("""COMPUTED_VALUE"""),47.53)</f>
        <v>47.53</v>
      </c>
      <c r="G233" s="3">
        <f ca="1">IFERROR(__xludf.DUMMYFUNCTION("""COMPUTED_VALUE"""),21.74)</f>
        <v>21.74</v>
      </c>
      <c r="H233" s="3">
        <f ca="1">IFERROR(__xludf.DUMMYFUNCTION("""COMPUTED_VALUE"""),25.5)</f>
        <v>25.5</v>
      </c>
      <c r="I233" s="3">
        <f ca="1">IFERROR(__xludf.DUMMYFUNCTION("""COMPUTED_VALUE"""),139.42)</f>
        <v>139.41999999999999</v>
      </c>
      <c r="J233" s="3">
        <f ca="1">IFERROR(__xludf.DUMMYFUNCTION("""COMPUTED_VALUE"""),255.24)</f>
        <v>255.24</v>
      </c>
      <c r="K233" s="3">
        <f ca="1">IFERROR(__xludf.DUMMYFUNCTION("""COMPUTED_VALUE"""),137.16)</f>
        <v>137.16</v>
      </c>
      <c r="L233" s="3">
        <f ca="1">IFERROR(__xludf.DUMMYFUNCTION("""COMPUTED_VALUE"""),83.09)</f>
        <v>83.09</v>
      </c>
      <c r="M233" s="3">
        <f ca="1">IFERROR(__xludf.DUMMYFUNCTION("""COMPUTED_VALUE"""),66.87)</f>
        <v>66.87</v>
      </c>
      <c r="N233" s="3">
        <f ca="1">IFERROR(__xludf.DUMMYFUNCTION("""COMPUTED_VALUE"""),65.78)</f>
        <v>65.78</v>
      </c>
      <c r="O233" s="3">
        <f ca="1">IFERROR(__xludf.DUMMYFUNCTION("""COMPUTED_VALUE"""),54.04)</f>
        <v>54.04</v>
      </c>
      <c r="P233" s="3">
        <f ca="1">IFERROR(__xludf.DUMMYFUNCTION("""COMPUTED_VALUE"""),90.85)</f>
        <v>90.85</v>
      </c>
      <c r="Q233" s="3">
        <f ca="1">IFERROR(__xludf.DUMMYFUNCTION("""COMPUTED_VALUE"""),126.92)</f>
        <v>126.92</v>
      </c>
      <c r="R233" s="3">
        <f ca="1">IFERROR(__xludf.DUMMYFUNCTION("""COMPUTED_VALUE"""),82.85)</f>
        <v>82.85</v>
      </c>
      <c r="S233" s="3">
        <f ca="1">IFERROR(__xludf.DUMMYFUNCTION("""COMPUTED_VALUE"""),53.51)</f>
        <v>53.51</v>
      </c>
      <c r="T233" s="3">
        <f ca="1">IFERROR(__xludf.DUMMYFUNCTION("""COMPUTED_VALUE"""),25.36)</f>
        <v>25.36</v>
      </c>
      <c r="U233" s="3">
        <f ca="1">IFERROR(__xludf.DUMMYFUNCTION("""COMPUTED_VALUE"""),70.45)</f>
        <v>70.45</v>
      </c>
      <c r="V233" s="3">
        <f ca="1">IFERROR(__xludf.DUMMYFUNCTION("""COMPUTED_VALUE"""),81.5)</f>
        <v>81.5</v>
      </c>
      <c r="W233" s="3">
        <f ca="1">IFERROR(__xludf.DUMMYFUNCTION("""COMPUTED_VALUE"""),36.1)</f>
        <v>36.1</v>
      </c>
      <c r="X233" s="3">
        <f ca="1">IFERROR(__xludf.DUMMYFUNCTION("""COMPUTED_VALUE"""),87.96)</f>
        <v>87.96</v>
      </c>
      <c r="Y233" s="3">
        <f ca="1">IFERROR(__xludf.DUMMYFUNCTION("""COMPUTED_VALUE"""),49.18)</f>
        <v>49.18</v>
      </c>
      <c r="Z233" s="3">
        <f ca="1">IFERROR(__xludf.DUMMYFUNCTION("""COMPUTED_VALUE"""),79.9)</f>
        <v>79.900000000000006</v>
      </c>
      <c r="AA233" s="3">
        <f ca="1">IFERROR(__xludf.DUMMYFUNCTION("""COMPUTED_VALUE"""),39.16)</f>
        <v>39.159999999999997</v>
      </c>
      <c r="AB233" s="3">
        <f ca="1">IFERROR(__xludf.DUMMYFUNCTION("""COMPUTED_VALUE"""),64.07)</f>
        <v>64.069999999999993</v>
      </c>
      <c r="AC233" s="3">
        <f ca="1">IFERROR(__xludf.DUMMYFUNCTION("""COMPUTED_VALUE"""),55.8)</f>
        <v>55.8</v>
      </c>
      <c r="AD233" s="3">
        <f ca="1">IFERROR(__xludf.DUMMYFUNCTION("""COMPUTED_VALUE"""),6.62)</f>
        <v>6.62</v>
      </c>
      <c r="AE233" s="3">
        <f ca="1">IFERROR(__xludf.DUMMYFUNCTION("""COMPUTED_VALUE"""),10.54)</f>
        <v>10.54</v>
      </c>
      <c r="AF233" s="3">
        <f ca="1">IFERROR(__xludf.DUMMYFUNCTION("""COMPUTED_VALUE"""),1.85)</f>
        <v>1.85</v>
      </c>
      <c r="AG233" s="3">
        <f ca="1">IFERROR(__xludf.DUMMYFUNCTION("""COMPUTED_VALUE"""),16.64)</f>
        <v>16.64</v>
      </c>
    </row>
    <row r="234" spans="1:33" ht="12.75" x14ac:dyDescent="0.2">
      <c r="A234" s="4">
        <f ca="1">IFERROR(__xludf.DUMMYFUNCTION("""COMPUTED_VALUE"""),44897.6666666666)</f>
        <v>44897.666666666599</v>
      </c>
      <c r="B234" s="3">
        <f ca="1">IFERROR(__xludf.DUMMYFUNCTION("""COMPUTED_VALUE"""),135.36)</f>
        <v>135.36000000000001</v>
      </c>
      <c r="C234" s="3">
        <f ca="1">IFERROR(__xludf.DUMMYFUNCTION("""COMPUTED_VALUE"""),347.21)</f>
        <v>347.21</v>
      </c>
      <c r="D234" s="3">
        <f ca="1">IFERROR(__xludf.DUMMYFUNCTION("""COMPUTED_VALUE"""),79.64)</f>
        <v>79.64</v>
      </c>
      <c r="E234" s="3">
        <f ca="1">IFERROR(__xludf.DUMMYFUNCTION("""COMPUTED_VALUE"""),126.96)</f>
        <v>126.96</v>
      </c>
      <c r="F234" s="3">
        <f ca="1">IFERROR(__xludf.DUMMYFUNCTION("""COMPUTED_VALUE"""),46.88)</f>
        <v>46.88</v>
      </c>
      <c r="G234" s="3">
        <f ca="1">IFERROR(__xludf.DUMMYFUNCTION("""COMPUTED_VALUE"""),21.72)</f>
        <v>21.72</v>
      </c>
      <c r="H234" s="3">
        <f ca="1">IFERROR(__xludf.DUMMYFUNCTION("""COMPUTED_VALUE"""),25.57)</f>
        <v>25.57</v>
      </c>
      <c r="I234" s="3">
        <f ca="1">IFERROR(__xludf.DUMMYFUNCTION("""COMPUTED_VALUE"""),139.78)</f>
        <v>139.78</v>
      </c>
      <c r="J234" s="3">
        <f ca="1">IFERROR(__xludf.DUMMYFUNCTION("""COMPUTED_VALUE"""),255.96)</f>
        <v>255.96</v>
      </c>
      <c r="K234" s="3">
        <f ca="1">IFERROR(__xludf.DUMMYFUNCTION("""COMPUTED_VALUE"""),138.43)</f>
        <v>138.43</v>
      </c>
      <c r="L234" s="3">
        <f ca="1">IFERROR(__xludf.DUMMYFUNCTION("""COMPUTED_VALUE"""),85.66)</f>
        <v>85.66</v>
      </c>
      <c r="M234" s="3">
        <f ca="1">IFERROR(__xludf.DUMMYFUNCTION("""COMPUTED_VALUE"""),68.03)</f>
        <v>68.03</v>
      </c>
      <c r="N234" s="3">
        <f ca="1">IFERROR(__xludf.DUMMYFUNCTION("""COMPUTED_VALUE"""),66.02)</f>
        <v>66.02</v>
      </c>
      <c r="O234" s="3">
        <f ca="1">IFERROR(__xludf.DUMMYFUNCTION("""COMPUTED_VALUE"""),54.8)</f>
        <v>54.8</v>
      </c>
      <c r="P234" s="3">
        <f ca="1">IFERROR(__xludf.DUMMYFUNCTION("""COMPUTED_VALUE"""),90.31)</f>
        <v>90.31</v>
      </c>
      <c r="Q234" s="3">
        <f ca="1">IFERROR(__xludf.DUMMYFUNCTION("""COMPUTED_VALUE"""),126.28)</f>
        <v>126.28</v>
      </c>
      <c r="R234" s="3">
        <f ca="1">IFERROR(__xludf.DUMMYFUNCTION("""COMPUTED_VALUE"""),83.76)</f>
        <v>83.76</v>
      </c>
      <c r="S234" s="3">
        <f ca="1">IFERROR(__xludf.DUMMYFUNCTION("""COMPUTED_VALUE"""),54.79)</f>
        <v>54.79</v>
      </c>
      <c r="T234" s="3">
        <f ca="1">IFERROR(__xludf.DUMMYFUNCTION("""COMPUTED_VALUE"""),25.09)</f>
        <v>25.09</v>
      </c>
      <c r="U234" s="3">
        <f ca="1">IFERROR(__xludf.DUMMYFUNCTION("""COMPUTED_VALUE"""),69.84)</f>
        <v>69.84</v>
      </c>
      <c r="V234" s="3">
        <f ca="1">IFERROR(__xludf.DUMMYFUNCTION("""COMPUTED_VALUE"""),83.76)</f>
        <v>83.76</v>
      </c>
      <c r="W234" s="3">
        <f ca="1">IFERROR(__xludf.DUMMYFUNCTION("""COMPUTED_VALUE"""),35.93)</f>
        <v>35.93</v>
      </c>
      <c r="X234" s="3">
        <f ca="1">IFERROR(__xludf.DUMMYFUNCTION("""COMPUTED_VALUE"""),87.64)</f>
        <v>87.64</v>
      </c>
      <c r="Y234" s="3">
        <f ca="1">IFERROR(__xludf.DUMMYFUNCTION("""COMPUTED_VALUE"""),48.97)</f>
        <v>48.97</v>
      </c>
      <c r="Z234" s="3">
        <f ca="1">IFERROR(__xludf.DUMMYFUNCTION("""COMPUTED_VALUE"""),79.56)</f>
        <v>79.56</v>
      </c>
      <c r="AA234" s="3">
        <f ca="1">IFERROR(__xludf.DUMMYFUNCTION("""COMPUTED_VALUE"""),38.97)</f>
        <v>38.97</v>
      </c>
      <c r="AB234" s="3">
        <f ca="1">IFERROR(__xludf.DUMMYFUNCTION("""COMPUTED_VALUE"""),63.95)</f>
        <v>63.95</v>
      </c>
      <c r="AC234" s="3">
        <f ca="1">IFERROR(__xludf.DUMMYFUNCTION("""COMPUTED_VALUE"""),54.25)</f>
        <v>54.25</v>
      </c>
      <c r="AD234" s="3">
        <f ca="1">IFERROR(__xludf.DUMMYFUNCTION("""COMPUTED_VALUE"""),6.69)</f>
        <v>6.69</v>
      </c>
      <c r="AE234" s="3">
        <f ca="1">IFERROR(__xludf.DUMMYFUNCTION("""COMPUTED_VALUE"""),10.64)</f>
        <v>10.64</v>
      </c>
      <c r="AF234" s="3">
        <f ca="1">IFERROR(__xludf.DUMMYFUNCTION("""COMPUTED_VALUE"""),1.82)</f>
        <v>1.82</v>
      </c>
      <c r="AG234" s="3">
        <f ca="1">IFERROR(__xludf.DUMMYFUNCTION("""COMPUTED_VALUE"""),16.96)</f>
        <v>16.96</v>
      </c>
    </row>
    <row r="235" spans="1:33" ht="12.75" x14ac:dyDescent="0.2">
      <c r="A235" s="4">
        <f ca="1">IFERROR(__xludf.DUMMYFUNCTION("""COMPUTED_VALUE"""),44900.6666666666)</f>
        <v>44900.666666666599</v>
      </c>
      <c r="B235" s="3">
        <f ca="1">IFERROR(__xludf.DUMMYFUNCTION("""COMPUTED_VALUE"""),133.11)</f>
        <v>133.11000000000001</v>
      </c>
      <c r="C235" s="3">
        <f ca="1">IFERROR(__xludf.DUMMYFUNCTION("""COMPUTED_VALUE"""),340.6)</f>
        <v>340.6</v>
      </c>
      <c r="D235" s="3">
        <f ca="1">IFERROR(__xludf.DUMMYFUNCTION("""COMPUTED_VALUE"""),77.8)</f>
        <v>77.8</v>
      </c>
      <c r="E235" s="3">
        <f ca="1">IFERROR(__xludf.DUMMYFUNCTION("""COMPUTED_VALUE"""),125.36)</f>
        <v>125.36</v>
      </c>
      <c r="F235" s="3">
        <f ca="1">IFERROR(__xludf.DUMMYFUNCTION("""COMPUTED_VALUE"""),45.72)</f>
        <v>45.72</v>
      </c>
      <c r="G235" s="3">
        <f ca="1">IFERROR(__xludf.DUMMYFUNCTION("""COMPUTED_VALUE"""),21.29)</f>
        <v>21.29</v>
      </c>
      <c r="H235" s="3">
        <f ca="1">IFERROR(__xludf.DUMMYFUNCTION("""COMPUTED_VALUE"""),25.01)</f>
        <v>25.01</v>
      </c>
      <c r="I235" s="3">
        <f ca="1">IFERROR(__xludf.DUMMYFUNCTION("""COMPUTED_VALUE"""),138.44)</f>
        <v>138.44</v>
      </c>
      <c r="J235" s="3">
        <f ca="1">IFERROR(__xludf.DUMMYFUNCTION("""COMPUTED_VALUE"""),252.99)</f>
        <v>252.99</v>
      </c>
      <c r="K235" s="3">
        <f ca="1">IFERROR(__xludf.DUMMYFUNCTION("""COMPUTED_VALUE"""),135.49)</f>
        <v>135.49</v>
      </c>
      <c r="L235" s="3">
        <f ca="1">IFERROR(__xludf.DUMMYFUNCTION("""COMPUTED_VALUE"""),82.88)</f>
        <v>82.88</v>
      </c>
      <c r="M235" s="3">
        <f ca="1">IFERROR(__xludf.DUMMYFUNCTION("""COMPUTED_VALUE"""),66.38)</f>
        <v>66.38</v>
      </c>
      <c r="N235" s="3">
        <f ca="1">IFERROR(__xludf.DUMMYFUNCTION("""COMPUTED_VALUE"""),65.21)</f>
        <v>65.209999999999994</v>
      </c>
      <c r="O235" s="3">
        <f ca="1">IFERROR(__xludf.DUMMYFUNCTION("""COMPUTED_VALUE"""),52.84)</f>
        <v>52.84</v>
      </c>
      <c r="P235" s="3">
        <f ca="1">IFERROR(__xludf.DUMMYFUNCTION("""COMPUTED_VALUE"""),87.63)</f>
        <v>87.63</v>
      </c>
      <c r="Q235" s="3">
        <f ca="1">IFERROR(__xludf.DUMMYFUNCTION("""COMPUTED_VALUE"""),122.19)</f>
        <v>122.19</v>
      </c>
      <c r="R235" s="3">
        <f ca="1">IFERROR(__xludf.DUMMYFUNCTION("""COMPUTED_VALUE"""),82.1)</f>
        <v>82.1</v>
      </c>
      <c r="S235" s="3">
        <f ca="1">IFERROR(__xludf.DUMMYFUNCTION("""COMPUTED_VALUE"""),52.47)</f>
        <v>52.47</v>
      </c>
      <c r="T235" s="3">
        <f ca="1">IFERROR(__xludf.DUMMYFUNCTION("""COMPUTED_VALUE"""),24.44)</f>
        <v>24.44</v>
      </c>
      <c r="U235" s="3">
        <f ca="1">IFERROR(__xludf.DUMMYFUNCTION("""COMPUTED_VALUE"""),67.72)</f>
        <v>67.72</v>
      </c>
      <c r="V235" s="3">
        <f ca="1">IFERROR(__xludf.DUMMYFUNCTION("""COMPUTED_VALUE"""),81.9)</f>
        <v>81.900000000000006</v>
      </c>
      <c r="W235" s="3">
        <f ca="1">IFERROR(__xludf.DUMMYFUNCTION("""COMPUTED_VALUE"""),35.04)</f>
        <v>35.04</v>
      </c>
      <c r="X235" s="3">
        <f ca="1">IFERROR(__xludf.DUMMYFUNCTION("""COMPUTED_VALUE"""),85.21)</f>
        <v>85.21</v>
      </c>
      <c r="Y235" s="3">
        <f ca="1">IFERROR(__xludf.DUMMYFUNCTION("""COMPUTED_VALUE"""),46.67)</f>
        <v>46.67</v>
      </c>
      <c r="Z235" s="3">
        <f ca="1">IFERROR(__xludf.DUMMYFUNCTION("""COMPUTED_VALUE"""),77.35)</f>
        <v>77.349999999999994</v>
      </c>
      <c r="AA235" s="3">
        <f ca="1">IFERROR(__xludf.DUMMYFUNCTION("""COMPUTED_VALUE"""),38.31)</f>
        <v>38.31</v>
      </c>
      <c r="AB235" s="3">
        <f ca="1">IFERROR(__xludf.DUMMYFUNCTION("""COMPUTED_VALUE"""),60.75)</f>
        <v>60.75</v>
      </c>
      <c r="AC235" s="3">
        <f ca="1">IFERROR(__xludf.DUMMYFUNCTION("""COMPUTED_VALUE"""),53.46)</f>
        <v>53.46</v>
      </c>
      <c r="AD235" s="3">
        <f ca="1">IFERROR(__xludf.DUMMYFUNCTION("""COMPUTED_VALUE"""),6.64)</f>
        <v>6.64</v>
      </c>
      <c r="AE235" s="3">
        <f ca="1">IFERROR(__xludf.DUMMYFUNCTION("""COMPUTED_VALUE"""),10.53)</f>
        <v>10.53</v>
      </c>
      <c r="AF235" s="3">
        <f ca="1">IFERROR(__xludf.DUMMYFUNCTION("""COMPUTED_VALUE"""),1.89)</f>
        <v>1.89</v>
      </c>
      <c r="AG235" s="3">
        <f ca="1">IFERROR(__xludf.DUMMYFUNCTION("""COMPUTED_VALUE"""),16)</f>
        <v>16</v>
      </c>
    </row>
    <row r="236" spans="1:33" ht="12.75" x14ac:dyDescent="0.2">
      <c r="A236" s="4">
        <f ca="1">IFERROR(__xludf.DUMMYFUNCTION("""COMPUTED_VALUE"""),44901.6666666666)</f>
        <v>44901.666666666599</v>
      </c>
      <c r="B236" s="3">
        <f ca="1">IFERROR(__xludf.DUMMYFUNCTION("""COMPUTED_VALUE"""),130.26)</f>
        <v>130.26</v>
      </c>
      <c r="C236" s="3">
        <f ca="1">IFERROR(__xludf.DUMMYFUNCTION("""COMPUTED_VALUE"""),333.2)</f>
        <v>333.2</v>
      </c>
      <c r="D236" s="3">
        <f ca="1">IFERROR(__xludf.DUMMYFUNCTION("""COMPUTED_VALUE"""),77.26)</f>
        <v>77.260000000000005</v>
      </c>
      <c r="E236" s="3">
        <f ca="1">IFERROR(__xludf.DUMMYFUNCTION("""COMPUTED_VALUE"""),122.72)</f>
        <v>122.72</v>
      </c>
      <c r="F236" s="3">
        <f ca="1">IFERROR(__xludf.DUMMYFUNCTION("""COMPUTED_VALUE"""),45.23)</f>
        <v>45.23</v>
      </c>
      <c r="G236" s="3">
        <f ca="1">IFERROR(__xludf.DUMMYFUNCTION("""COMPUTED_VALUE"""),20.87)</f>
        <v>20.87</v>
      </c>
      <c r="H236" s="3">
        <f ca="1">IFERROR(__xludf.DUMMYFUNCTION("""COMPUTED_VALUE"""),24.46)</f>
        <v>24.46</v>
      </c>
      <c r="I236" s="3">
        <f ca="1">IFERROR(__xludf.DUMMYFUNCTION("""COMPUTED_VALUE"""),137.39)</f>
        <v>137.38999999999999</v>
      </c>
      <c r="J236" s="3">
        <f ca="1">IFERROR(__xludf.DUMMYFUNCTION("""COMPUTED_VALUE"""),250.54)</f>
        <v>250.54</v>
      </c>
      <c r="K236" s="3">
        <f ca="1">IFERROR(__xludf.DUMMYFUNCTION("""COMPUTED_VALUE"""),133.25)</f>
        <v>133.25</v>
      </c>
      <c r="L236" s="3">
        <f ca="1">IFERROR(__xludf.DUMMYFUNCTION("""COMPUTED_VALUE"""),80.59)</f>
        <v>80.59</v>
      </c>
      <c r="M236" s="3">
        <f ca="1">IFERROR(__xludf.DUMMYFUNCTION("""COMPUTED_VALUE"""),65.36)</f>
        <v>65.36</v>
      </c>
      <c r="N236" s="3">
        <f ca="1">IFERROR(__xludf.DUMMYFUNCTION("""COMPUTED_VALUE"""),64.56)</f>
        <v>64.56</v>
      </c>
      <c r="O236" s="3">
        <f ca="1">IFERROR(__xludf.DUMMYFUNCTION("""COMPUTED_VALUE"""),51.72)</f>
        <v>51.72</v>
      </c>
      <c r="P236" s="3">
        <f ca="1">IFERROR(__xludf.DUMMYFUNCTION("""COMPUTED_VALUE"""),85.32)</f>
        <v>85.32</v>
      </c>
      <c r="Q236" s="3">
        <f ca="1">IFERROR(__xludf.DUMMYFUNCTION("""COMPUTED_VALUE"""),118.91)</f>
        <v>118.91</v>
      </c>
      <c r="R236" s="3">
        <f ca="1">IFERROR(__xludf.DUMMYFUNCTION("""COMPUTED_VALUE"""),81.37)</f>
        <v>81.37</v>
      </c>
      <c r="S236" s="3">
        <f ca="1">IFERROR(__xludf.DUMMYFUNCTION("""COMPUTED_VALUE"""),52.6)</f>
        <v>52.6</v>
      </c>
      <c r="T236" s="3">
        <f ca="1">IFERROR(__xludf.DUMMYFUNCTION("""COMPUTED_VALUE"""),24.05)</f>
        <v>24.05</v>
      </c>
      <c r="U236" s="3">
        <f ca="1">IFERROR(__xludf.DUMMYFUNCTION("""COMPUTED_VALUE"""),65.23)</f>
        <v>65.23</v>
      </c>
      <c r="V236" s="3">
        <f ca="1">IFERROR(__xludf.DUMMYFUNCTION("""COMPUTED_VALUE"""),79.09)</f>
        <v>79.09</v>
      </c>
      <c r="W236" s="3">
        <f ca="1">IFERROR(__xludf.DUMMYFUNCTION("""COMPUTED_VALUE"""),34.73)</f>
        <v>34.729999999999997</v>
      </c>
      <c r="X236" s="3">
        <f ca="1">IFERROR(__xludf.DUMMYFUNCTION("""COMPUTED_VALUE"""),84.49)</f>
        <v>84.49</v>
      </c>
      <c r="Y236" s="3">
        <f ca="1">IFERROR(__xludf.DUMMYFUNCTION("""COMPUTED_VALUE"""),46.19)</f>
        <v>46.19</v>
      </c>
      <c r="Z236" s="3">
        <f ca="1">IFERROR(__xludf.DUMMYFUNCTION("""COMPUTED_VALUE"""),76.74)</f>
        <v>76.739999999999995</v>
      </c>
      <c r="AA236" s="3">
        <f ca="1">IFERROR(__xludf.DUMMYFUNCTION("""COMPUTED_VALUE"""),38.02)</f>
        <v>38.020000000000003</v>
      </c>
      <c r="AB236" s="3">
        <f ca="1">IFERROR(__xludf.DUMMYFUNCTION("""COMPUTED_VALUE"""),60.16)</f>
        <v>60.16</v>
      </c>
      <c r="AC236" s="3">
        <f ca="1">IFERROR(__xludf.DUMMYFUNCTION("""COMPUTED_VALUE"""),53.23)</f>
        <v>53.23</v>
      </c>
      <c r="AD236" s="3">
        <f ca="1">IFERROR(__xludf.DUMMYFUNCTION("""COMPUTED_VALUE"""),6.67)</f>
        <v>6.67</v>
      </c>
      <c r="AE236" s="3">
        <f ca="1">IFERROR(__xludf.DUMMYFUNCTION("""COMPUTED_VALUE"""),10.61)</f>
        <v>10.61</v>
      </c>
      <c r="AF236" s="3">
        <f ca="1">IFERROR(__xludf.DUMMYFUNCTION("""COMPUTED_VALUE"""),1.81)</f>
        <v>1.81</v>
      </c>
      <c r="AG236" s="3">
        <f ca="1">IFERROR(__xludf.DUMMYFUNCTION("""COMPUTED_VALUE"""),15.24)</f>
        <v>15.24</v>
      </c>
    </row>
    <row r="237" spans="1:33" ht="12.75" x14ac:dyDescent="0.2">
      <c r="A237" s="4">
        <f ca="1">IFERROR(__xludf.DUMMYFUNCTION("""COMPUTED_VALUE"""),44902.6666666666)</f>
        <v>44902.666666666599</v>
      </c>
      <c r="B237" s="3">
        <f ca="1">IFERROR(__xludf.DUMMYFUNCTION("""COMPUTED_VALUE"""),129.6)</f>
        <v>129.6</v>
      </c>
      <c r="C237" s="3">
        <f ca="1">IFERROR(__xludf.DUMMYFUNCTION("""COMPUTED_VALUE"""),331.68)</f>
        <v>331.68</v>
      </c>
      <c r="D237" s="3">
        <f ca="1">IFERROR(__xludf.DUMMYFUNCTION("""COMPUTED_VALUE"""),78.52)</f>
        <v>78.52</v>
      </c>
      <c r="E237" s="3">
        <f ca="1">IFERROR(__xludf.DUMMYFUNCTION("""COMPUTED_VALUE"""),122.46)</f>
        <v>122.46</v>
      </c>
      <c r="F237" s="3">
        <f ca="1">IFERROR(__xludf.DUMMYFUNCTION("""COMPUTED_VALUE"""),44.93)</f>
        <v>44.93</v>
      </c>
      <c r="G237" s="3">
        <f ca="1">IFERROR(__xludf.DUMMYFUNCTION("""COMPUTED_VALUE"""),20.84)</f>
        <v>20.84</v>
      </c>
      <c r="H237" s="3">
        <f ca="1">IFERROR(__xludf.DUMMYFUNCTION("""COMPUTED_VALUE"""),24.45)</f>
        <v>24.45</v>
      </c>
      <c r="I237" s="3">
        <f ca="1">IFERROR(__xludf.DUMMYFUNCTION("""COMPUTED_VALUE"""),138.52)</f>
        <v>138.52000000000001</v>
      </c>
      <c r="J237" s="3">
        <f ca="1">IFERROR(__xludf.DUMMYFUNCTION("""COMPUTED_VALUE"""),252.4)</f>
        <v>252.4</v>
      </c>
      <c r="K237" s="3">
        <f ca="1">IFERROR(__xludf.DUMMYFUNCTION("""COMPUTED_VALUE"""),134.13)</f>
        <v>134.13</v>
      </c>
      <c r="L237" s="3">
        <f ca="1">IFERROR(__xludf.DUMMYFUNCTION("""COMPUTED_VALUE"""),81.09)</f>
        <v>81.09</v>
      </c>
      <c r="M237" s="3">
        <f ca="1">IFERROR(__xludf.DUMMYFUNCTION("""COMPUTED_VALUE"""),65.72)</f>
        <v>65.72</v>
      </c>
      <c r="N237" s="3">
        <f ca="1">IFERROR(__xludf.DUMMYFUNCTION("""COMPUTED_VALUE"""),65.1)</f>
        <v>65.099999999999994</v>
      </c>
      <c r="O237" s="3">
        <f ca="1">IFERROR(__xludf.DUMMYFUNCTION("""COMPUTED_VALUE"""),52)</f>
        <v>52</v>
      </c>
      <c r="P237" s="3">
        <f ca="1">IFERROR(__xludf.DUMMYFUNCTION("""COMPUTED_VALUE"""),85.12)</f>
        <v>85.12</v>
      </c>
      <c r="Q237" s="3">
        <f ca="1">IFERROR(__xludf.DUMMYFUNCTION("""COMPUTED_VALUE"""),118.58)</f>
        <v>118.58</v>
      </c>
      <c r="R237" s="3">
        <f ca="1">IFERROR(__xludf.DUMMYFUNCTION("""COMPUTED_VALUE"""),81.19)</f>
        <v>81.19</v>
      </c>
      <c r="S237" s="3">
        <f ca="1">IFERROR(__xludf.DUMMYFUNCTION("""COMPUTED_VALUE"""),52.45)</f>
        <v>52.45</v>
      </c>
      <c r="T237" s="3">
        <f ca="1">IFERROR(__xludf.DUMMYFUNCTION("""COMPUTED_VALUE"""),23.93)</f>
        <v>23.93</v>
      </c>
      <c r="U237" s="3">
        <f ca="1">IFERROR(__xludf.DUMMYFUNCTION("""COMPUTED_VALUE"""),63.65)</f>
        <v>63.65</v>
      </c>
      <c r="V237" s="3">
        <f ca="1">IFERROR(__xludf.DUMMYFUNCTION("""COMPUTED_VALUE"""),78.46)</f>
        <v>78.459999999999994</v>
      </c>
      <c r="W237" s="3">
        <f ca="1">IFERROR(__xludf.DUMMYFUNCTION("""COMPUTED_VALUE"""),34.59)</f>
        <v>34.590000000000003</v>
      </c>
      <c r="X237" s="3">
        <f ca="1">IFERROR(__xludf.DUMMYFUNCTION("""COMPUTED_VALUE"""),84.14)</f>
        <v>84.14</v>
      </c>
      <c r="Y237" s="3">
        <f ca="1">IFERROR(__xludf.DUMMYFUNCTION("""COMPUTED_VALUE"""),46.19)</f>
        <v>46.19</v>
      </c>
      <c r="Z237" s="3">
        <f ca="1">IFERROR(__xludf.DUMMYFUNCTION("""COMPUTED_VALUE"""),76.31)</f>
        <v>76.31</v>
      </c>
      <c r="AA237" s="3">
        <f ca="1">IFERROR(__xludf.DUMMYFUNCTION("""COMPUTED_VALUE"""),38.1)</f>
        <v>38.1</v>
      </c>
      <c r="AB237" s="3">
        <f ca="1">IFERROR(__xludf.DUMMYFUNCTION("""COMPUTED_VALUE"""),60.12)</f>
        <v>60.12</v>
      </c>
      <c r="AC237" s="3">
        <f ca="1">IFERROR(__xludf.DUMMYFUNCTION("""COMPUTED_VALUE"""),53.45)</f>
        <v>53.45</v>
      </c>
      <c r="AD237" s="3">
        <f ca="1">IFERROR(__xludf.DUMMYFUNCTION("""COMPUTED_VALUE"""),6.59)</f>
        <v>6.59</v>
      </c>
      <c r="AE237" s="3">
        <f ca="1">IFERROR(__xludf.DUMMYFUNCTION("""COMPUTED_VALUE"""),10.47)</f>
        <v>10.47</v>
      </c>
      <c r="AF237" s="3">
        <f ca="1">IFERROR(__xludf.DUMMYFUNCTION("""COMPUTED_VALUE"""),1.76)</f>
        <v>1.76</v>
      </c>
      <c r="AG237" s="3">
        <f ca="1">IFERROR(__xludf.DUMMYFUNCTION("""COMPUTED_VALUE"""),14.87)</f>
        <v>14.87</v>
      </c>
    </row>
    <row r="238" spans="1:33" ht="12.75" x14ac:dyDescent="0.2">
      <c r="A238" s="4">
        <f ca="1">IFERROR(__xludf.DUMMYFUNCTION("""COMPUTED_VALUE"""),44903.6666666666)</f>
        <v>44903.666666666599</v>
      </c>
      <c r="B238" s="3">
        <f ca="1">IFERROR(__xludf.DUMMYFUNCTION("""COMPUTED_VALUE"""),131.72)</f>
        <v>131.72</v>
      </c>
      <c r="C238" s="3">
        <f ca="1">IFERROR(__xludf.DUMMYFUNCTION("""COMPUTED_VALUE"""),337.46)</f>
        <v>337.46</v>
      </c>
      <c r="D238" s="3">
        <f ca="1">IFERROR(__xludf.DUMMYFUNCTION("""COMPUTED_VALUE"""),78.1)</f>
        <v>78.099999999999994</v>
      </c>
      <c r="E238" s="3">
        <f ca="1">IFERROR(__xludf.DUMMYFUNCTION("""COMPUTED_VALUE"""),126)</f>
        <v>126</v>
      </c>
      <c r="F238" s="3">
        <f ca="1">IFERROR(__xludf.DUMMYFUNCTION("""COMPUTED_VALUE"""),45.7)</f>
        <v>45.7</v>
      </c>
      <c r="G238" s="3">
        <f ca="1">IFERROR(__xludf.DUMMYFUNCTION("""COMPUTED_VALUE"""),21.21)</f>
        <v>21.21</v>
      </c>
      <c r="H238" s="3">
        <f ca="1">IFERROR(__xludf.DUMMYFUNCTION("""COMPUTED_VALUE"""),24.81)</f>
        <v>24.81</v>
      </c>
      <c r="I238" s="3">
        <f ca="1">IFERROR(__xludf.DUMMYFUNCTION("""COMPUTED_VALUE"""),139.77)</f>
        <v>139.77000000000001</v>
      </c>
      <c r="J238" s="3">
        <f ca="1">IFERROR(__xludf.DUMMYFUNCTION("""COMPUTED_VALUE"""),254.91)</f>
        <v>254.91</v>
      </c>
      <c r="K238" s="3">
        <f ca="1">IFERROR(__xludf.DUMMYFUNCTION("""COMPUTED_VALUE"""),135.89)</f>
        <v>135.88999999999999</v>
      </c>
      <c r="L238" s="3">
        <f ca="1">IFERROR(__xludf.DUMMYFUNCTION("""COMPUTED_VALUE"""),81.58)</f>
        <v>81.58</v>
      </c>
      <c r="M238" s="3">
        <f ca="1">IFERROR(__xludf.DUMMYFUNCTION("""COMPUTED_VALUE"""),65.87)</f>
        <v>65.87</v>
      </c>
      <c r="N238" s="3">
        <f ca="1">IFERROR(__xludf.DUMMYFUNCTION("""COMPUTED_VALUE"""),65.69)</f>
        <v>65.69</v>
      </c>
      <c r="O238" s="3">
        <f ca="1">IFERROR(__xludf.DUMMYFUNCTION("""COMPUTED_VALUE"""),52.88)</f>
        <v>52.88</v>
      </c>
      <c r="P238" s="3">
        <f ca="1">IFERROR(__xludf.DUMMYFUNCTION("""COMPUTED_VALUE"""),84.74)</f>
        <v>84.74</v>
      </c>
      <c r="Q238" s="3">
        <f ca="1">IFERROR(__xludf.DUMMYFUNCTION("""COMPUTED_VALUE"""),117.88)</f>
        <v>117.88</v>
      </c>
      <c r="R238" s="3">
        <f ca="1">IFERROR(__xludf.DUMMYFUNCTION("""COMPUTED_VALUE"""),81.79)</f>
        <v>81.790000000000006</v>
      </c>
      <c r="S238" s="3">
        <f ca="1">IFERROR(__xludf.DUMMYFUNCTION("""COMPUTED_VALUE"""),52.61)</f>
        <v>52.61</v>
      </c>
      <c r="T238" s="3">
        <f ca="1">IFERROR(__xludf.DUMMYFUNCTION("""COMPUTED_VALUE"""),23.89)</f>
        <v>23.89</v>
      </c>
      <c r="U238" s="3">
        <f ca="1">IFERROR(__xludf.DUMMYFUNCTION("""COMPUTED_VALUE"""),62.71)</f>
        <v>62.71</v>
      </c>
      <c r="V238" s="3">
        <f ca="1">IFERROR(__xludf.DUMMYFUNCTION("""COMPUTED_VALUE"""),79.09)</f>
        <v>79.09</v>
      </c>
      <c r="W238" s="3">
        <f ca="1">IFERROR(__xludf.DUMMYFUNCTION("""COMPUTED_VALUE"""),34.62)</f>
        <v>34.619999999999997</v>
      </c>
      <c r="X238" s="3">
        <f ca="1">IFERROR(__xludf.DUMMYFUNCTION("""COMPUTED_VALUE"""),84.25)</f>
        <v>84.25</v>
      </c>
      <c r="Y238" s="3">
        <f ca="1">IFERROR(__xludf.DUMMYFUNCTION("""COMPUTED_VALUE"""),46.3)</f>
        <v>46.3</v>
      </c>
      <c r="Z238" s="3">
        <f ca="1">IFERROR(__xludf.DUMMYFUNCTION("""COMPUTED_VALUE"""),76.55)</f>
        <v>76.55</v>
      </c>
      <c r="AA238" s="3">
        <f ca="1">IFERROR(__xludf.DUMMYFUNCTION("""COMPUTED_VALUE"""),38.38)</f>
        <v>38.380000000000003</v>
      </c>
      <c r="AB238" s="3">
        <f ca="1">IFERROR(__xludf.DUMMYFUNCTION("""COMPUTED_VALUE"""),60.28)</f>
        <v>60.28</v>
      </c>
      <c r="AC238" s="3">
        <f ca="1">IFERROR(__xludf.DUMMYFUNCTION("""COMPUTED_VALUE"""),53.26)</f>
        <v>53.26</v>
      </c>
      <c r="AD238" s="3">
        <f ca="1">IFERROR(__xludf.DUMMYFUNCTION("""COMPUTED_VALUE"""),6.77)</f>
        <v>6.77</v>
      </c>
      <c r="AE238" s="3">
        <f ca="1">IFERROR(__xludf.DUMMYFUNCTION("""COMPUTED_VALUE"""),10.78)</f>
        <v>10.78</v>
      </c>
      <c r="AF238" s="3">
        <f ca="1">IFERROR(__xludf.DUMMYFUNCTION("""COMPUTED_VALUE"""),1.71)</f>
        <v>1.71</v>
      </c>
      <c r="AG238" s="3">
        <f ca="1">IFERROR(__xludf.DUMMYFUNCTION("""COMPUTED_VALUE"""),15.24)</f>
        <v>15.24</v>
      </c>
    </row>
    <row r="239" spans="1:33" ht="12.75" x14ac:dyDescent="0.2">
      <c r="A239" s="4">
        <f ca="1">IFERROR(__xludf.DUMMYFUNCTION("""COMPUTED_VALUE"""),44904.6666666666)</f>
        <v>44904.666666666599</v>
      </c>
      <c r="B239" s="3">
        <f ca="1">IFERROR(__xludf.DUMMYFUNCTION("""COMPUTED_VALUE"""),130.91)</f>
        <v>130.91</v>
      </c>
      <c r="C239" s="3">
        <f ca="1">IFERROR(__xludf.DUMMYFUNCTION("""COMPUTED_VALUE"""),335.41)</f>
        <v>335.41</v>
      </c>
      <c r="D239" s="3">
        <f ca="1">IFERROR(__xludf.DUMMYFUNCTION("""COMPUTED_VALUE"""),79.59)</f>
        <v>79.59</v>
      </c>
      <c r="E239" s="3">
        <f ca="1">IFERROR(__xludf.DUMMYFUNCTION("""COMPUTED_VALUE"""),124.83)</f>
        <v>124.83</v>
      </c>
      <c r="F239" s="3">
        <f ca="1">IFERROR(__xludf.DUMMYFUNCTION("""COMPUTED_VALUE"""),45.38)</f>
        <v>45.38</v>
      </c>
      <c r="G239" s="3">
        <f ca="1">IFERROR(__xludf.DUMMYFUNCTION("""COMPUTED_VALUE"""),21.15)</f>
        <v>21.15</v>
      </c>
      <c r="H239" s="3">
        <f ca="1">IFERROR(__xludf.DUMMYFUNCTION("""COMPUTED_VALUE"""),24.6)</f>
        <v>24.6</v>
      </c>
      <c r="I239" s="3">
        <f ca="1">IFERROR(__xludf.DUMMYFUNCTION("""COMPUTED_VALUE"""),137.98)</f>
        <v>137.97999999999999</v>
      </c>
      <c r="J239" s="3">
        <f ca="1">IFERROR(__xludf.DUMMYFUNCTION("""COMPUTED_VALUE"""),251.35)</f>
        <v>251.35</v>
      </c>
      <c r="K239" s="3">
        <f ca="1">IFERROR(__xludf.DUMMYFUNCTION("""COMPUTED_VALUE"""),133.01)</f>
        <v>133.01</v>
      </c>
      <c r="L239" s="3">
        <f ca="1">IFERROR(__xludf.DUMMYFUNCTION("""COMPUTED_VALUE"""),79.53)</f>
        <v>79.53</v>
      </c>
      <c r="M239" s="3">
        <f ca="1">IFERROR(__xludf.DUMMYFUNCTION("""COMPUTED_VALUE"""),64.65)</f>
        <v>64.650000000000006</v>
      </c>
      <c r="N239" s="3">
        <f ca="1">IFERROR(__xludf.DUMMYFUNCTION("""COMPUTED_VALUE"""),64.84)</f>
        <v>64.84</v>
      </c>
      <c r="O239" s="3">
        <f ca="1">IFERROR(__xludf.DUMMYFUNCTION("""COMPUTED_VALUE"""),51.68)</f>
        <v>51.68</v>
      </c>
      <c r="P239" s="3">
        <f ca="1">IFERROR(__xludf.DUMMYFUNCTION("""COMPUTED_VALUE"""),82.68)</f>
        <v>82.68</v>
      </c>
      <c r="Q239" s="3">
        <f ca="1">IFERROR(__xludf.DUMMYFUNCTION("""COMPUTED_VALUE"""),115.27)</f>
        <v>115.27</v>
      </c>
      <c r="R239" s="3">
        <f ca="1">IFERROR(__xludf.DUMMYFUNCTION("""COMPUTED_VALUE"""),80.98)</f>
        <v>80.98</v>
      </c>
      <c r="S239" s="3">
        <f ca="1">IFERROR(__xludf.DUMMYFUNCTION("""COMPUTED_VALUE"""),51.29)</f>
        <v>51.29</v>
      </c>
      <c r="T239" s="3">
        <f ca="1">IFERROR(__xludf.DUMMYFUNCTION("""COMPUTED_VALUE"""),23.92)</f>
        <v>23.92</v>
      </c>
      <c r="U239" s="3">
        <f ca="1">IFERROR(__xludf.DUMMYFUNCTION("""COMPUTED_VALUE"""),62.85)</f>
        <v>62.85</v>
      </c>
      <c r="V239" s="3">
        <f ca="1">IFERROR(__xludf.DUMMYFUNCTION("""COMPUTED_VALUE"""),78.62)</f>
        <v>78.62</v>
      </c>
      <c r="W239" s="3">
        <f ca="1">IFERROR(__xludf.DUMMYFUNCTION("""COMPUTED_VALUE"""),34.53)</f>
        <v>34.53</v>
      </c>
      <c r="X239" s="3">
        <f ca="1">IFERROR(__xludf.DUMMYFUNCTION("""COMPUTED_VALUE"""),83.95)</f>
        <v>83.95</v>
      </c>
      <c r="Y239" s="3">
        <f ca="1">IFERROR(__xludf.DUMMYFUNCTION("""COMPUTED_VALUE"""),46.1)</f>
        <v>46.1</v>
      </c>
      <c r="Z239" s="3">
        <f ca="1">IFERROR(__xludf.DUMMYFUNCTION("""COMPUTED_VALUE"""),76.19)</f>
        <v>76.19</v>
      </c>
      <c r="AA239" s="3">
        <f ca="1">IFERROR(__xludf.DUMMYFUNCTION("""COMPUTED_VALUE"""),38.3)</f>
        <v>38.299999999999997</v>
      </c>
      <c r="AB239" s="3">
        <f ca="1">IFERROR(__xludf.DUMMYFUNCTION("""COMPUTED_VALUE"""),60.04)</f>
        <v>60.04</v>
      </c>
      <c r="AC239" s="3">
        <f ca="1">IFERROR(__xludf.DUMMYFUNCTION("""COMPUTED_VALUE"""),54.12)</f>
        <v>54.12</v>
      </c>
      <c r="AD239" s="3">
        <f ca="1">IFERROR(__xludf.DUMMYFUNCTION("""COMPUTED_VALUE"""),6.72)</f>
        <v>6.72</v>
      </c>
      <c r="AE239" s="3">
        <f ca="1">IFERROR(__xludf.DUMMYFUNCTION("""COMPUTED_VALUE"""),10.66)</f>
        <v>10.66</v>
      </c>
      <c r="AF239" s="3">
        <f ca="1">IFERROR(__xludf.DUMMYFUNCTION("""COMPUTED_VALUE"""),1.75)</f>
        <v>1.75</v>
      </c>
      <c r="AG239" s="3">
        <f ca="1">IFERROR(__xludf.DUMMYFUNCTION("""COMPUTED_VALUE"""),15.08)</f>
        <v>15.08</v>
      </c>
    </row>
    <row r="240" spans="1:33" ht="12.75" x14ac:dyDescent="0.2">
      <c r="A240" s="4">
        <f ca="1">IFERROR(__xludf.DUMMYFUNCTION("""COMPUTED_VALUE"""),44907.6666666666)</f>
        <v>44907.666666666599</v>
      </c>
      <c r="B240" s="3">
        <f ca="1">IFERROR(__xludf.DUMMYFUNCTION("""COMPUTED_VALUE"""),133.77)</f>
        <v>133.77000000000001</v>
      </c>
      <c r="C240" s="3">
        <f ca="1">IFERROR(__xludf.DUMMYFUNCTION("""COMPUTED_VALUE"""),342.77)</f>
        <v>342.77</v>
      </c>
      <c r="D240" s="3">
        <f ca="1">IFERROR(__xludf.DUMMYFUNCTION("""COMPUTED_VALUE"""),80.79)</f>
        <v>80.790000000000006</v>
      </c>
      <c r="E240" s="3">
        <f ca="1">IFERROR(__xludf.DUMMYFUNCTION("""COMPUTED_VALUE"""),127.04)</f>
        <v>127.04</v>
      </c>
      <c r="F240" s="3">
        <f ca="1">IFERROR(__xludf.DUMMYFUNCTION("""COMPUTED_VALUE"""),46.23)</f>
        <v>46.23</v>
      </c>
      <c r="G240" s="3">
        <f ca="1">IFERROR(__xludf.DUMMYFUNCTION("""COMPUTED_VALUE"""),21.49)</f>
        <v>21.49</v>
      </c>
      <c r="H240" s="3">
        <f ca="1">IFERROR(__xludf.DUMMYFUNCTION("""COMPUTED_VALUE"""),25.06)</f>
        <v>25.06</v>
      </c>
      <c r="I240" s="3">
        <f ca="1">IFERROR(__xludf.DUMMYFUNCTION("""COMPUTED_VALUE"""),139.45)</f>
        <v>139.44999999999999</v>
      </c>
      <c r="J240" s="3">
        <f ca="1">IFERROR(__xludf.DUMMYFUNCTION("""COMPUTED_VALUE"""),254.22)</f>
        <v>254.22</v>
      </c>
      <c r="K240" s="3">
        <f ca="1">IFERROR(__xludf.DUMMYFUNCTION("""COMPUTED_VALUE"""),134.06)</f>
        <v>134.06</v>
      </c>
      <c r="L240" s="3">
        <f ca="1">IFERROR(__xludf.DUMMYFUNCTION("""COMPUTED_VALUE"""),81.53)</f>
        <v>81.53</v>
      </c>
      <c r="M240" s="3">
        <f ca="1">IFERROR(__xludf.DUMMYFUNCTION("""COMPUTED_VALUE"""),65.77)</f>
        <v>65.77</v>
      </c>
      <c r="N240" s="3">
        <f ca="1">IFERROR(__xludf.DUMMYFUNCTION("""COMPUTED_VALUE"""),65.57)</f>
        <v>65.569999999999993</v>
      </c>
      <c r="O240" s="3">
        <f ca="1">IFERROR(__xludf.DUMMYFUNCTION("""COMPUTED_VALUE"""),52.72)</f>
        <v>52.72</v>
      </c>
      <c r="P240" s="3">
        <f ca="1">IFERROR(__xludf.DUMMYFUNCTION("""COMPUTED_VALUE"""),84.85)</f>
        <v>84.85</v>
      </c>
      <c r="Q240" s="3">
        <f ca="1">IFERROR(__xludf.DUMMYFUNCTION("""COMPUTED_VALUE"""),118.25)</f>
        <v>118.25</v>
      </c>
      <c r="R240" s="3">
        <f ca="1">IFERROR(__xludf.DUMMYFUNCTION("""COMPUTED_VALUE"""),81.68)</f>
        <v>81.680000000000007</v>
      </c>
      <c r="S240" s="3">
        <f ca="1">IFERROR(__xludf.DUMMYFUNCTION("""COMPUTED_VALUE"""),51.91)</f>
        <v>51.91</v>
      </c>
      <c r="T240" s="3">
        <f ca="1">IFERROR(__xludf.DUMMYFUNCTION("""COMPUTED_VALUE"""),24.18)</f>
        <v>24.18</v>
      </c>
      <c r="U240" s="3">
        <f ca="1">IFERROR(__xludf.DUMMYFUNCTION("""COMPUTED_VALUE"""),64.41)</f>
        <v>64.41</v>
      </c>
      <c r="V240" s="3">
        <f ca="1">IFERROR(__xludf.DUMMYFUNCTION("""COMPUTED_VALUE"""),79.46)</f>
        <v>79.459999999999994</v>
      </c>
      <c r="W240" s="3">
        <f ca="1">IFERROR(__xludf.DUMMYFUNCTION("""COMPUTED_VALUE"""),34.99)</f>
        <v>34.99</v>
      </c>
      <c r="X240" s="3">
        <f ca="1">IFERROR(__xludf.DUMMYFUNCTION("""COMPUTED_VALUE"""),85.01)</f>
        <v>85.01</v>
      </c>
      <c r="Y240" s="3">
        <f ca="1">IFERROR(__xludf.DUMMYFUNCTION("""COMPUTED_VALUE"""),46.55)</f>
        <v>46.55</v>
      </c>
      <c r="Z240" s="3">
        <f ca="1">IFERROR(__xludf.DUMMYFUNCTION("""COMPUTED_VALUE"""),77.18)</f>
        <v>77.180000000000007</v>
      </c>
      <c r="AA240" s="3">
        <f ca="1">IFERROR(__xludf.DUMMYFUNCTION("""COMPUTED_VALUE"""),38.62)</f>
        <v>38.619999999999997</v>
      </c>
      <c r="AB240" s="3">
        <f ca="1">IFERROR(__xludf.DUMMYFUNCTION("""COMPUTED_VALUE"""),60.59)</f>
        <v>60.59</v>
      </c>
      <c r="AC240" s="3">
        <f ca="1">IFERROR(__xludf.DUMMYFUNCTION("""COMPUTED_VALUE"""),53.93)</f>
        <v>53.93</v>
      </c>
      <c r="AD240" s="3">
        <f ca="1">IFERROR(__xludf.DUMMYFUNCTION("""COMPUTED_VALUE"""),6.75)</f>
        <v>6.75</v>
      </c>
      <c r="AE240" s="3">
        <f ca="1">IFERROR(__xludf.DUMMYFUNCTION("""COMPUTED_VALUE"""),10.72)</f>
        <v>10.72</v>
      </c>
      <c r="AF240" s="3">
        <f ca="1">IFERROR(__xludf.DUMMYFUNCTION("""COMPUTED_VALUE"""),1.69)</f>
        <v>1.69</v>
      </c>
      <c r="AG240" s="3">
        <f ca="1">IFERROR(__xludf.DUMMYFUNCTION("""COMPUTED_VALUE"""),15.04)</f>
        <v>15.04</v>
      </c>
    </row>
    <row r="241" spans="1:33" ht="12.75" x14ac:dyDescent="0.2">
      <c r="A241" s="4">
        <f ca="1">IFERROR(__xludf.DUMMYFUNCTION("""COMPUTED_VALUE"""),44908.6666666666)</f>
        <v>44908.666666666599</v>
      </c>
      <c r="B241" s="3">
        <f ca="1">IFERROR(__xludf.DUMMYFUNCTION("""COMPUTED_VALUE"""),135.35)</f>
        <v>135.35</v>
      </c>
      <c r="C241" s="3">
        <f ca="1">IFERROR(__xludf.DUMMYFUNCTION("""COMPUTED_VALUE"""),346.86)</f>
        <v>346.86</v>
      </c>
      <c r="D241" s="3">
        <f ca="1">IFERROR(__xludf.DUMMYFUNCTION("""COMPUTED_VALUE"""),80.19)</f>
        <v>80.19</v>
      </c>
      <c r="E241" s="3">
        <f ca="1">IFERROR(__xludf.DUMMYFUNCTION("""COMPUTED_VALUE"""),128.86)</f>
        <v>128.86000000000001</v>
      </c>
      <c r="F241" s="3">
        <f ca="1">IFERROR(__xludf.DUMMYFUNCTION("""COMPUTED_VALUE"""),46.55)</f>
        <v>46.55</v>
      </c>
      <c r="G241" s="3">
        <f ca="1">IFERROR(__xludf.DUMMYFUNCTION("""COMPUTED_VALUE"""),21.95)</f>
        <v>21.95</v>
      </c>
      <c r="H241" s="3">
        <f ca="1">IFERROR(__xludf.DUMMYFUNCTION("""COMPUTED_VALUE"""),25.36)</f>
        <v>25.36</v>
      </c>
      <c r="I241" s="3">
        <f ca="1">IFERROR(__xludf.DUMMYFUNCTION("""COMPUTED_VALUE"""),139.88)</f>
        <v>139.88</v>
      </c>
      <c r="J241" s="3">
        <f ca="1">IFERROR(__xludf.DUMMYFUNCTION("""COMPUTED_VALUE"""),255.39)</f>
        <v>255.39</v>
      </c>
      <c r="K241" s="3">
        <f ca="1">IFERROR(__xludf.DUMMYFUNCTION("""COMPUTED_VALUE"""),136)</f>
        <v>136</v>
      </c>
      <c r="L241" s="3">
        <f ca="1">IFERROR(__xludf.DUMMYFUNCTION("""COMPUTED_VALUE"""),82.82)</f>
        <v>82.82</v>
      </c>
      <c r="M241" s="3">
        <f ca="1">IFERROR(__xludf.DUMMYFUNCTION("""COMPUTED_VALUE"""),66.57)</f>
        <v>66.569999999999993</v>
      </c>
      <c r="N241" s="3">
        <f ca="1">IFERROR(__xludf.DUMMYFUNCTION("""COMPUTED_VALUE"""),65.89)</f>
        <v>65.89</v>
      </c>
      <c r="O241" s="3">
        <f ca="1">IFERROR(__xludf.DUMMYFUNCTION("""COMPUTED_VALUE"""),53.76)</f>
        <v>53.76</v>
      </c>
      <c r="P241" s="3">
        <f ca="1">IFERROR(__xludf.DUMMYFUNCTION("""COMPUTED_VALUE"""),86.46)</f>
        <v>86.46</v>
      </c>
      <c r="Q241" s="3">
        <f ca="1">IFERROR(__xludf.DUMMYFUNCTION("""COMPUTED_VALUE"""),120.48)</f>
        <v>120.48</v>
      </c>
      <c r="R241" s="3">
        <f ca="1">IFERROR(__xludf.DUMMYFUNCTION("""COMPUTED_VALUE"""),82.81)</f>
        <v>82.81</v>
      </c>
      <c r="S241" s="3">
        <f ca="1">IFERROR(__xludf.DUMMYFUNCTION("""COMPUTED_VALUE"""),52.33)</f>
        <v>52.33</v>
      </c>
      <c r="T241" s="3">
        <f ca="1">IFERROR(__xludf.DUMMYFUNCTION("""COMPUTED_VALUE"""),24.58)</f>
        <v>24.58</v>
      </c>
      <c r="U241" s="3">
        <f ca="1">IFERROR(__xludf.DUMMYFUNCTION("""COMPUTED_VALUE"""),65.86)</f>
        <v>65.86</v>
      </c>
      <c r="V241" s="3">
        <f ca="1">IFERROR(__xludf.DUMMYFUNCTION("""COMPUTED_VALUE"""),81.15)</f>
        <v>81.150000000000006</v>
      </c>
      <c r="W241" s="3">
        <f ca="1">IFERROR(__xludf.DUMMYFUNCTION("""COMPUTED_VALUE"""),35.08)</f>
        <v>35.08</v>
      </c>
      <c r="X241" s="3">
        <f ca="1">IFERROR(__xludf.DUMMYFUNCTION("""COMPUTED_VALUE"""),85.19)</f>
        <v>85.19</v>
      </c>
      <c r="Y241" s="3">
        <f ca="1">IFERROR(__xludf.DUMMYFUNCTION("""COMPUTED_VALUE"""),46.01)</f>
        <v>46.01</v>
      </c>
      <c r="Z241" s="3">
        <f ca="1">IFERROR(__xludf.DUMMYFUNCTION("""COMPUTED_VALUE"""),77)</f>
        <v>77</v>
      </c>
      <c r="AA241" s="3">
        <f ca="1">IFERROR(__xludf.DUMMYFUNCTION("""COMPUTED_VALUE"""),39.47)</f>
        <v>39.47</v>
      </c>
      <c r="AB241" s="3">
        <f ca="1">IFERROR(__xludf.DUMMYFUNCTION("""COMPUTED_VALUE"""),59.6)</f>
        <v>59.6</v>
      </c>
      <c r="AC241" s="3">
        <f ca="1">IFERROR(__xludf.DUMMYFUNCTION("""COMPUTED_VALUE"""),53.32)</f>
        <v>53.32</v>
      </c>
      <c r="AD241" s="3">
        <f ca="1">IFERROR(__xludf.DUMMYFUNCTION("""COMPUTED_VALUE"""),7)</f>
        <v>7</v>
      </c>
      <c r="AE241" s="3">
        <f ca="1">IFERROR(__xludf.DUMMYFUNCTION("""COMPUTED_VALUE"""),11.1)</f>
        <v>11.1</v>
      </c>
      <c r="AF241" s="3">
        <f ca="1">IFERROR(__xludf.DUMMYFUNCTION("""COMPUTED_VALUE"""),1.72)</f>
        <v>1.72</v>
      </c>
      <c r="AG241" s="3">
        <f ca="1">IFERROR(__xludf.DUMMYFUNCTION("""COMPUTED_VALUE"""),15.09)</f>
        <v>15.09</v>
      </c>
    </row>
    <row r="242" spans="1:33" ht="12.75" x14ac:dyDescent="0.2">
      <c r="A242" s="4">
        <f ca="1">IFERROR(__xludf.DUMMYFUNCTION("""COMPUTED_VALUE"""),44909.6666666666)</f>
        <v>44909.666666666599</v>
      </c>
      <c r="B242" s="3">
        <f ca="1">IFERROR(__xludf.DUMMYFUNCTION("""COMPUTED_VALUE"""),134.21)</f>
        <v>134.21</v>
      </c>
      <c r="C242" s="3">
        <f ca="1">IFERROR(__xludf.DUMMYFUNCTION("""COMPUTED_VALUE"""),344.27)</f>
        <v>344.27</v>
      </c>
      <c r="D242" s="3">
        <f ca="1">IFERROR(__xludf.DUMMYFUNCTION("""COMPUTED_VALUE"""),77.07)</f>
        <v>77.069999999999993</v>
      </c>
      <c r="E242" s="3">
        <f ca="1">IFERROR(__xludf.DUMMYFUNCTION("""COMPUTED_VALUE"""),126.93)</f>
        <v>126.93</v>
      </c>
      <c r="F242" s="3">
        <f ca="1">IFERROR(__xludf.DUMMYFUNCTION("""COMPUTED_VALUE"""),46.48)</f>
        <v>46.48</v>
      </c>
      <c r="G242" s="3">
        <f ca="1">IFERROR(__xludf.DUMMYFUNCTION("""COMPUTED_VALUE"""),21.8)</f>
        <v>21.8</v>
      </c>
      <c r="H242" s="3">
        <f ca="1">IFERROR(__xludf.DUMMYFUNCTION("""COMPUTED_VALUE"""),25.2)</f>
        <v>25.2</v>
      </c>
      <c r="I242" s="3">
        <f ca="1">IFERROR(__xludf.DUMMYFUNCTION("""COMPUTED_VALUE"""),140.1)</f>
        <v>140.1</v>
      </c>
      <c r="J242" s="3">
        <f ca="1">IFERROR(__xludf.DUMMYFUNCTION("""COMPUTED_VALUE"""),255.81)</f>
        <v>255.81</v>
      </c>
      <c r="K242" s="3">
        <f ca="1">IFERROR(__xludf.DUMMYFUNCTION("""COMPUTED_VALUE"""),136.73)</f>
        <v>136.72999999999999</v>
      </c>
      <c r="L242" s="3">
        <f ca="1">IFERROR(__xludf.DUMMYFUNCTION("""COMPUTED_VALUE"""),83.09)</f>
        <v>83.09</v>
      </c>
      <c r="M242" s="3">
        <f ca="1">IFERROR(__xludf.DUMMYFUNCTION("""COMPUTED_VALUE"""),66.64)</f>
        <v>66.64</v>
      </c>
      <c r="N242" s="3">
        <f ca="1">IFERROR(__xludf.DUMMYFUNCTION("""COMPUTED_VALUE"""),65.94)</f>
        <v>65.94</v>
      </c>
      <c r="O242" s="3">
        <f ca="1">IFERROR(__xludf.DUMMYFUNCTION("""COMPUTED_VALUE"""),53.8)</f>
        <v>53.8</v>
      </c>
      <c r="P242" s="3">
        <f ca="1">IFERROR(__xludf.DUMMYFUNCTION("""COMPUTED_VALUE"""),85.93)</f>
        <v>85.93</v>
      </c>
      <c r="Q242" s="3">
        <f ca="1">IFERROR(__xludf.DUMMYFUNCTION("""COMPUTED_VALUE"""),119.78)</f>
        <v>119.78</v>
      </c>
      <c r="R242" s="3">
        <f ca="1">IFERROR(__xludf.DUMMYFUNCTION("""COMPUTED_VALUE"""),81.92)</f>
        <v>81.92</v>
      </c>
      <c r="S242" s="3">
        <f ca="1">IFERROR(__xludf.DUMMYFUNCTION("""COMPUTED_VALUE"""),51.88)</f>
        <v>51.88</v>
      </c>
      <c r="T242" s="3">
        <f ca="1">IFERROR(__xludf.DUMMYFUNCTION("""COMPUTED_VALUE"""),24.77)</f>
        <v>24.77</v>
      </c>
      <c r="U242" s="3">
        <f ca="1">IFERROR(__xludf.DUMMYFUNCTION("""COMPUTED_VALUE"""),67.36)</f>
        <v>67.36</v>
      </c>
      <c r="V242" s="3">
        <f ca="1">IFERROR(__xludf.DUMMYFUNCTION("""COMPUTED_VALUE"""),82.73)</f>
        <v>82.73</v>
      </c>
      <c r="W242" s="3">
        <f ca="1">IFERROR(__xludf.DUMMYFUNCTION("""COMPUTED_VALUE"""),34.64)</f>
        <v>34.64</v>
      </c>
      <c r="X242" s="3">
        <f ca="1">IFERROR(__xludf.DUMMYFUNCTION("""COMPUTED_VALUE"""),84.07)</f>
        <v>84.07</v>
      </c>
      <c r="Y242" s="3">
        <f ca="1">IFERROR(__xludf.DUMMYFUNCTION("""COMPUTED_VALUE"""),45.25)</f>
        <v>45.25</v>
      </c>
      <c r="Z242" s="3">
        <f ca="1">IFERROR(__xludf.DUMMYFUNCTION("""COMPUTED_VALUE"""),75.96)</f>
        <v>75.959999999999994</v>
      </c>
      <c r="AA242" s="3">
        <f ca="1">IFERROR(__xludf.DUMMYFUNCTION("""COMPUTED_VALUE"""),39.09)</f>
        <v>39.090000000000003</v>
      </c>
      <c r="AB242" s="3">
        <f ca="1">IFERROR(__xludf.DUMMYFUNCTION("""COMPUTED_VALUE"""),58.5)</f>
        <v>58.5</v>
      </c>
      <c r="AC242" s="3">
        <f ca="1">IFERROR(__xludf.DUMMYFUNCTION("""COMPUTED_VALUE"""),51.97)</f>
        <v>51.97</v>
      </c>
      <c r="AD242" s="3">
        <f ca="1">IFERROR(__xludf.DUMMYFUNCTION("""COMPUTED_VALUE"""),7.02)</f>
        <v>7.02</v>
      </c>
      <c r="AE242" s="3">
        <f ca="1">IFERROR(__xludf.DUMMYFUNCTION("""COMPUTED_VALUE"""),11.14)</f>
        <v>11.14</v>
      </c>
      <c r="AF242" s="3">
        <f ca="1">IFERROR(__xludf.DUMMYFUNCTION("""COMPUTED_VALUE"""),1.67)</f>
        <v>1.67</v>
      </c>
      <c r="AG242" s="3">
        <f ca="1">IFERROR(__xludf.DUMMYFUNCTION("""COMPUTED_VALUE"""),15.64)</f>
        <v>15.64</v>
      </c>
    </row>
    <row r="243" spans="1:33" ht="12.75" x14ac:dyDescent="0.2">
      <c r="A243" s="4">
        <f ca="1">IFERROR(__xludf.DUMMYFUNCTION("""COMPUTED_VALUE"""),44910.6666666666)</f>
        <v>44910.666666666599</v>
      </c>
      <c r="B243" s="3">
        <f ca="1">IFERROR(__xludf.DUMMYFUNCTION("""COMPUTED_VALUE"""),129.19)</f>
        <v>129.19</v>
      </c>
      <c r="C243" s="3">
        <f ca="1">IFERROR(__xludf.DUMMYFUNCTION("""COMPUTED_VALUE"""),330.39)</f>
        <v>330.39</v>
      </c>
      <c r="D243" s="3">
        <f ca="1">IFERROR(__xludf.DUMMYFUNCTION("""COMPUTED_VALUE"""),76.27)</f>
        <v>76.27</v>
      </c>
      <c r="E243" s="3">
        <f ca="1">IFERROR(__xludf.DUMMYFUNCTION("""COMPUTED_VALUE"""),121.56)</f>
        <v>121.56</v>
      </c>
      <c r="F243" s="3">
        <f ca="1">IFERROR(__xludf.DUMMYFUNCTION("""COMPUTED_VALUE"""),45.12)</f>
        <v>45.12</v>
      </c>
      <c r="G243" s="3">
        <f ca="1">IFERROR(__xludf.DUMMYFUNCTION("""COMPUTED_VALUE"""),20.93)</f>
        <v>20.93</v>
      </c>
      <c r="H243" s="3">
        <f ca="1">IFERROR(__xludf.DUMMYFUNCTION("""COMPUTED_VALUE"""),24.37)</f>
        <v>24.37</v>
      </c>
      <c r="I243" s="3">
        <f ca="1">IFERROR(__xludf.DUMMYFUNCTION("""COMPUTED_VALUE"""),137.53)</f>
        <v>137.53</v>
      </c>
      <c r="J243" s="3">
        <f ca="1">IFERROR(__xludf.DUMMYFUNCTION("""COMPUTED_VALUE"""),249.87)</f>
        <v>249.87</v>
      </c>
      <c r="K243" s="3">
        <f ca="1">IFERROR(__xludf.DUMMYFUNCTION("""COMPUTED_VALUE"""),134.24)</f>
        <v>134.24</v>
      </c>
      <c r="L243" s="3">
        <f ca="1">IFERROR(__xludf.DUMMYFUNCTION("""COMPUTED_VALUE"""),80.69)</f>
        <v>80.69</v>
      </c>
      <c r="M243" s="3">
        <f ca="1">IFERROR(__xludf.DUMMYFUNCTION("""COMPUTED_VALUE"""),64.7)</f>
        <v>64.7</v>
      </c>
      <c r="N243" s="3">
        <f ca="1">IFERROR(__xludf.DUMMYFUNCTION("""COMPUTED_VALUE"""),64.7)</f>
        <v>64.7</v>
      </c>
      <c r="O243" s="3">
        <f ca="1">IFERROR(__xludf.DUMMYFUNCTION("""COMPUTED_VALUE"""),52.37)</f>
        <v>52.37</v>
      </c>
      <c r="P243" s="3">
        <f ca="1">IFERROR(__xludf.DUMMYFUNCTION("""COMPUTED_VALUE"""),85.41)</f>
        <v>85.41</v>
      </c>
      <c r="Q243" s="3">
        <f ca="1">IFERROR(__xludf.DUMMYFUNCTION("""COMPUTED_VALUE"""),117.82)</f>
        <v>117.82</v>
      </c>
      <c r="R243" s="3">
        <f ca="1">IFERROR(__xludf.DUMMYFUNCTION("""COMPUTED_VALUE"""),79.42)</f>
        <v>79.42</v>
      </c>
      <c r="S243" s="3">
        <f ca="1">IFERROR(__xludf.DUMMYFUNCTION("""COMPUTED_VALUE"""),49.83)</f>
        <v>49.83</v>
      </c>
      <c r="T243" s="3">
        <f ca="1">IFERROR(__xludf.DUMMYFUNCTION("""COMPUTED_VALUE"""),24.47)</f>
        <v>24.47</v>
      </c>
      <c r="U243" s="3">
        <f ca="1">IFERROR(__xludf.DUMMYFUNCTION("""COMPUTED_VALUE"""),66.15)</f>
        <v>66.150000000000006</v>
      </c>
      <c r="V243" s="3">
        <f ca="1">IFERROR(__xludf.DUMMYFUNCTION("""COMPUTED_VALUE"""),80.24)</f>
        <v>80.239999999999995</v>
      </c>
      <c r="W243" s="3">
        <f ca="1">IFERROR(__xludf.DUMMYFUNCTION("""COMPUTED_VALUE"""),33.96)</f>
        <v>33.96</v>
      </c>
      <c r="X243" s="3">
        <f ca="1">IFERROR(__xludf.DUMMYFUNCTION("""COMPUTED_VALUE"""),81.83)</f>
        <v>81.83</v>
      </c>
      <c r="Y243" s="3">
        <f ca="1">IFERROR(__xludf.DUMMYFUNCTION("""COMPUTED_VALUE"""),44.42)</f>
        <v>44.42</v>
      </c>
      <c r="Z243" s="3">
        <f ca="1">IFERROR(__xludf.DUMMYFUNCTION("""COMPUTED_VALUE"""),74.56)</f>
        <v>74.56</v>
      </c>
      <c r="AA243" s="3">
        <f ca="1">IFERROR(__xludf.DUMMYFUNCTION("""COMPUTED_VALUE"""),38.64)</f>
        <v>38.64</v>
      </c>
      <c r="AB243" s="3">
        <f ca="1">IFERROR(__xludf.DUMMYFUNCTION("""COMPUTED_VALUE"""),57.43)</f>
        <v>57.43</v>
      </c>
      <c r="AC243" s="3">
        <f ca="1">IFERROR(__xludf.DUMMYFUNCTION("""COMPUTED_VALUE"""),51.63)</f>
        <v>51.63</v>
      </c>
      <c r="AD243" s="3">
        <f ca="1">IFERROR(__xludf.DUMMYFUNCTION("""COMPUTED_VALUE"""),6.86)</f>
        <v>6.86</v>
      </c>
      <c r="AE243" s="3">
        <f ca="1">IFERROR(__xludf.DUMMYFUNCTION("""COMPUTED_VALUE"""),10.88)</f>
        <v>10.88</v>
      </c>
      <c r="AF243" s="3">
        <f ca="1">IFERROR(__xludf.DUMMYFUNCTION("""COMPUTED_VALUE"""),1.67)</f>
        <v>1.67</v>
      </c>
      <c r="AG243" s="3">
        <f ca="1">IFERROR(__xludf.DUMMYFUNCTION("""COMPUTED_VALUE"""),15.96)</f>
        <v>15.96</v>
      </c>
    </row>
    <row r="244" spans="1:33" ht="12.75" x14ac:dyDescent="0.2">
      <c r="A244" s="4">
        <f ca="1">IFERROR(__xludf.DUMMYFUNCTION("""COMPUTED_VALUE"""),44911.6666666666)</f>
        <v>44911.666666666599</v>
      </c>
      <c r="B244" s="3">
        <f ca="1">IFERROR(__xludf.DUMMYFUNCTION("""COMPUTED_VALUE"""),127.48)</f>
        <v>127.48</v>
      </c>
      <c r="C244" s="3">
        <f ca="1">IFERROR(__xludf.DUMMYFUNCTION("""COMPUTED_VALUE"""),326.07)</f>
        <v>326.07</v>
      </c>
      <c r="D244" s="3">
        <f ca="1">IFERROR(__xludf.DUMMYFUNCTION("""COMPUTED_VALUE"""),75.05)</f>
        <v>75.05</v>
      </c>
      <c r="E244" s="3">
        <f ca="1">IFERROR(__xludf.DUMMYFUNCTION("""COMPUTED_VALUE"""),120.64)</f>
        <v>120.64</v>
      </c>
      <c r="F244" s="3">
        <f ca="1">IFERROR(__xludf.DUMMYFUNCTION("""COMPUTED_VALUE"""),44.82)</f>
        <v>44.82</v>
      </c>
      <c r="G244" s="3">
        <f ca="1">IFERROR(__xludf.DUMMYFUNCTION("""COMPUTED_VALUE"""),20.96)</f>
        <v>20.96</v>
      </c>
      <c r="H244" s="3">
        <f ca="1">IFERROR(__xludf.DUMMYFUNCTION("""COMPUTED_VALUE"""),24.16)</f>
        <v>24.16</v>
      </c>
      <c r="I244" s="3">
        <f ca="1">IFERROR(__xludf.DUMMYFUNCTION("""COMPUTED_VALUE"""),135.53)</f>
        <v>135.53</v>
      </c>
      <c r="J244" s="3">
        <f ca="1">IFERROR(__xludf.DUMMYFUNCTION("""COMPUTED_VALUE"""),246.62)</f>
        <v>246.62</v>
      </c>
      <c r="K244" s="3">
        <f ca="1">IFERROR(__xludf.DUMMYFUNCTION("""COMPUTED_VALUE"""),133)</f>
        <v>133</v>
      </c>
      <c r="L244" s="3">
        <f ca="1">IFERROR(__xludf.DUMMYFUNCTION("""COMPUTED_VALUE"""),80.96)</f>
        <v>80.959999999999994</v>
      </c>
      <c r="M244" s="3">
        <f ca="1">IFERROR(__xludf.DUMMYFUNCTION("""COMPUTED_VALUE"""),64.72)</f>
        <v>64.72</v>
      </c>
      <c r="N244" s="3">
        <f ca="1">IFERROR(__xludf.DUMMYFUNCTION("""COMPUTED_VALUE"""),63.67)</f>
        <v>63.67</v>
      </c>
      <c r="O244" s="3">
        <f ca="1">IFERROR(__xludf.DUMMYFUNCTION("""COMPUTED_VALUE"""),52.28)</f>
        <v>52.28</v>
      </c>
      <c r="P244" s="3">
        <f ca="1">IFERROR(__xludf.DUMMYFUNCTION("""COMPUTED_VALUE"""),84.36)</f>
        <v>84.36</v>
      </c>
      <c r="Q244" s="3">
        <f ca="1">IFERROR(__xludf.DUMMYFUNCTION("""COMPUTED_VALUE"""),116.29)</f>
        <v>116.29</v>
      </c>
      <c r="R244" s="3">
        <f ca="1">IFERROR(__xludf.DUMMYFUNCTION("""COMPUTED_VALUE"""),79.08)</f>
        <v>79.08</v>
      </c>
      <c r="S244" s="3">
        <f ca="1">IFERROR(__xludf.DUMMYFUNCTION("""COMPUTED_VALUE"""),49.97)</f>
        <v>49.97</v>
      </c>
      <c r="T244" s="3">
        <f ca="1">IFERROR(__xludf.DUMMYFUNCTION("""COMPUTED_VALUE"""),24.16)</f>
        <v>24.16</v>
      </c>
      <c r="U244" s="3">
        <f ca="1">IFERROR(__xludf.DUMMYFUNCTION("""COMPUTED_VALUE"""),64.9)</f>
        <v>64.900000000000006</v>
      </c>
      <c r="V244" s="3">
        <f ca="1">IFERROR(__xludf.DUMMYFUNCTION("""COMPUTED_VALUE"""),78.43)</f>
        <v>78.430000000000007</v>
      </c>
      <c r="W244" s="3">
        <f ca="1">IFERROR(__xludf.DUMMYFUNCTION("""COMPUTED_VALUE"""),33.7)</f>
        <v>33.700000000000003</v>
      </c>
      <c r="X244" s="3">
        <f ca="1">IFERROR(__xludf.DUMMYFUNCTION("""COMPUTED_VALUE"""),81.08)</f>
        <v>81.08</v>
      </c>
      <c r="Y244" s="3">
        <f ca="1">IFERROR(__xludf.DUMMYFUNCTION("""COMPUTED_VALUE"""),44.06)</f>
        <v>44.06</v>
      </c>
      <c r="Z244" s="3">
        <f ca="1">IFERROR(__xludf.DUMMYFUNCTION("""COMPUTED_VALUE"""),73.92)</f>
        <v>73.92</v>
      </c>
      <c r="AA244" s="3">
        <f ca="1">IFERROR(__xludf.DUMMYFUNCTION("""COMPUTED_VALUE"""),37.5)</f>
        <v>37.5</v>
      </c>
      <c r="AB244" s="3">
        <f ca="1">IFERROR(__xludf.DUMMYFUNCTION("""COMPUTED_VALUE"""),56.94)</f>
        <v>56.94</v>
      </c>
      <c r="AC244" s="3">
        <f ca="1">IFERROR(__xludf.DUMMYFUNCTION("""COMPUTED_VALUE"""),51.38)</f>
        <v>51.38</v>
      </c>
      <c r="AD244" s="3">
        <f ca="1">IFERROR(__xludf.DUMMYFUNCTION("""COMPUTED_VALUE"""),6.61)</f>
        <v>6.61</v>
      </c>
      <c r="AE244" s="3">
        <f ca="1">IFERROR(__xludf.DUMMYFUNCTION("""COMPUTED_VALUE"""),10.5)</f>
        <v>10.5</v>
      </c>
      <c r="AF244" s="3">
        <f ca="1">IFERROR(__xludf.DUMMYFUNCTION("""COMPUTED_VALUE"""),1.64)</f>
        <v>1.64</v>
      </c>
      <c r="AG244" s="3">
        <f ca="1">IFERROR(__xludf.DUMMYFUNCTION("""COMPUTED_VALUE"""),14.56)</f>
        <v>14.56</v>
      </c>
    </row>
    <row r="245" spans="1:33" ht="12.75" x14ac:dyDescent="0.2">
      <c r="A245" s="4">
        <f ca="1">IFERROR(__xludf.DUMMYFUNCTION("""COMPUTED_VALUE"""),44914.6666666666)</f>
        <v>44914.666666666599</v>
      </c>
      <c r="B245" s="3">
        <f ca="1">IFERROR(__xludf.DUMMYFUNCTION("""COMPUTED_VALUE"""),125.42)</f>
        <v>125.42</v>
      </c>
      <c r="C245" s="3">
        <f ca="1">IFERROR(__xludf.DUMMYFUNCTION("""COMPUTED_VALUE"""),321.37)</f>
        <v>321.37</v>
      </c>
      <c r="D245" s="3">
        <f ca="1">IFERROR(__xludf.DUMMYFUNCTION("""COMPUTED_VALUE"""),75.22)</f>
        <v>75.22</v>
      </c>
      <c r="E245" s="3">
        <f ca="1">IFERROR(__xludf.DUMMYFUNCTION("""COMPUTED_VALUE"""),119.15)</f>
        <v>119.15</v>
      </c>
      <c r="F245" s="3">
        <f ca="1">IFERROR(__xludf.DUMMYFUNCTION("""COMPUTED_VALUE"""),43.99)</f>
        <v>43.99</v>
      </c>
      <c r="G245" s="3">
        <f ca="1">IFERROR(__xludf.DUMMYFUNCTION("""COMPUTED_VALUE"""),20.73)</f>
        <v>20.73</v>
      </c>
      <c r="H245" s="3">
        <f ca="1">IFERROR(__xludf.DUMMYFUNCTION("""COMPUTED_VALUE"""),23.72)</f>
        <v>23.72</v>
      </c>
      <c r="I245" s="3">
        <f ca="1">IFERROR(__xludf.DUMMYFUNCTION("""COMPUTED_VALUE"""),134.47)</f>
        <v>134.47</v>
      </c>
      <c r="J245" s="3">
        <f ca="1">IFERROR(__xludf.DUMMYFUNCTION("""COMPUTED_VALUE"""),245.44)</f>
        <v>245.44</v>
      </c>
      <c r="K245" s="3">
        <f ca="1">IFERROR(__xludf.DUMMYFUNCTION("""COMPUTED_VALUE"""),130.56)</f>
        <v>130.56</v>
      </c>
      <c r="L245" s="3">
        <f ca="1">IFERROR(__xludf.DUMMYFUNCTION("""COMPUTED_VALUE"""),79.3)</f>
        <v>79.3</v>
      </c>
      <c r="M245" s="3">
        <f ca="1">IFERROR(__xludf.DUMMYFUNCTION("""COMPUTED_VALUE"""),63.43)</f>
        <v>63.43</v>
      </c>
      <c r="N245" s="3">
        <f ca="1">IFERROR(__xludf.DUMMYFUNCTION("""COMPUTED_VALUE"""),63.32)</f>
        <v>63.32</v>
      </c>
      <c r="O245" s="3">
        <f ca="1">IFERROR(__xludf.DUMMYFUNCTION("""COMPUTED_VALUE"""),50.28)</f>
        <v>50.28</v>
      </c>
      <c r="P245" s="3">
        <f ca="1">IFERROR(__xludf.DUMMYFUNCTION("""COMPUTED_VALUE"""),83.49)</f>
        <v>83.49</v>
      </c>
      <c r="Q245" s="3">
        <f ca="1">IFERROR(__xludf.DUMMYFUNCTION("""COMPUTED_VALUE"""),116.06)</f>
        <v>116.06</v>
      </c>
      <c r="R245" s="3">
        <f ca="1">IFERROR(__xludf.DUMMYFUNCTION("""COMPUTED_VALUE"""),77.55)</f>
        <v>77.55</v>
      </c>
      <c r="S245" s="3">
        <f ca="1">IFERROR(__xludf.DUMMYFUNCTION("""COMPUTED_VALUE"""),48.75)</f>
        <v>48.75</v>
      </c>
      <c r="T245" s="3">
        <f ca="1">IFERROR(__xludf.DUMMYFUNCTION("""COMPUTED_VALUE"""),23.97)</f>
        <v>23.97</v>
      </c>
      <c r="U245" s="3">
        <f ca="1">IFERROR(__xludf.DUMMYFUNCTION("""COMPUTED_VALUE"""),66.07)</f>
        <v>66.069999999999993</v>
      </c>
      <c r="V245" s="3">
        <f ca="1">IFERROR(__xludf.DUMMYFUNCTION("""COMPUTED_VALUE"""),77.4)</f>
        <v>77.400000000000006</v>
      </c>
      <c r="W245" s="3">
        <f ca="1">IFERROR(__xludf.DUMMYFUNCTION("""COMPUTED_VALUE"""),33.4)</f>
        <v>33.4</v>
      </c>
      <c r="X245" s="3">
        <f ca="1">IFERROR(__xludf.DUMMYFUNCTION("""COMPUTED_VALUE"""),80.86)</f>
        <v>80.86</v>
      </c>
      <c r="Y245" s="3">
        <f ca="1">IFERROR(__xludf.DUMMYFUNCTION("""COMPUTED_VALUE"""),43.77)</f>
        <v>43.77</v>
      </c>
      <c r="Z245" s="3">
        <f ca="1">IFERROR(__xludf.DUMMYFUNCTION("""COMPUTED_VALUE"""),73.74)</f>
        <v>73.739999999999995</v>
      </c>
      <c r="AA245" s="3">
        <f ca="1">IFERROR(__xludf.DUMMYFUNCTION("""COMPUTED_VALUE"""),36.64)</f>
        <v>36.64</v>
      </c>
      <c r="AB245" s="3">
        <f ca="1">IFERROR(__xludf.DUMMYFUNCTION("""COMPUTED_VALUE"""),56.83)</f>
        <v>56.83</v>
      </c>
      <c r="AC245" s="3">
        <f ca="1">IFERROR(__xludf.DUMMYFUNCTION("""COMPUTED_VALUE"""),51.43)</f>
        <v>51.43</v>
      </c>
      <c r="AD245" s="3">
        <f ca="1">IFERROR(__xludf.DUMMYFUNCTION("""COMPUTED_VALUE"""),6.49)</f>
        <v>6.49</v>
      </c>
      <c r="AE245" s="3">
        <f ca="1">IFERROR(__xludf.DUMMYFUNCTION("""COMPUTED_VALUE"""),10.32)</f>
        <v>10.32</v>
      </c>
      <c r="AF245" s="3">
        <f ca="1">IFERROR(__xludf.DUMMYFUNCTION("""COMPUTED_VALUE"""),1.56)</f>
        <v>1.56</v>
      </c>
      <c r="AG245" s="3">
        <f ca="1">IFERROR(__xludf.DUMMYFUNCTION("""COMPUTED_VALUE"""),13.52)</f>
        <v>13.52</v>
      </c>
    </row>
    <row r="246" spans="1:33" ht="12.75" x14ac:dyDescent="0.2">
      <c r="A246" s="4">
        <f ca="1">IFERROR(__xludf.DUMMYFUNCTION("""COMPUTED_VALUE"""),44915.6666666666)</f>
        <v>44915.666666666599</v>
      </c>
      <c r="B246" s="3">
        <f ca="1">IFERROR(__xludf.DUMMYFUNCTION("""COMPUTED_VALUE"""),125.61)</f>
        <v>125.61</v>
      </c>
      <c r="C246" s="3">
        <f ca="1">IFERROR(__xludf.DUMMYFUNCTION("""COMPUTED_VALUE"""),322.08)</f>
        <v>322.08</v>
      </c>
      <c r="D246" s="3">
        <f ca="1">IFERROR(__xludf.DUMMYFUNCTION("""COMPUTED_VALUE"""),76.48)</f>
        <v>76.48</v>
      </c>
      <c r="E246" s="3">
        <f ca="1">IFERROR(__xludf.DUMMYFUNCTION("""COMPUTED_VALUE"""),118.42)</f>
        <v>118.42</v>
      </c>
      <c r="F246" s="3">
        <f ca="1">IFERROR(__xludf.DUMMYFUNCTION("""COMPUTED_VALUE"""),44.33)</f>
        <v>44.33</v>
      </c>
      <c r="G246" s="3">
        <f ca="1">IFERROR(__xludf.DUMMYFUNCTION("""COMPUTED_VALUE"""),20.75)</f>
        <v>20.75</v>
      </c>
      <c r="H246" s="3">
        <f ca="1">IFERROR(__xludf.DUMMYFUNCTION("""COMPUTED_VALUE"""),23.81)</f>
        <v>23.81</v>
      </c>
      <c r="I246" s="3">
        <f ca="1">IFERROR(__xludf.DUMMYFUNCTION("""COMPUTED_VALUE"""),134.44)</f>
        <v>134.44</v>
      </c>
      <c r="J246" s="3">
        <f ca="1">IFERROR(__xludf.DUMMYFUNCTION("""COMPUTED_VALUE"""),245.74)</f>
        <v>245.74</v>
      </c>
      <c r="K246" s="3">
        <f ca="1">IFERROR(__xludf.DUMMYFUNCTION("""COMPUTED_VALUE"""),132.08)</f>
        <v>132.08000000000001</v>
      </c>
      <c r="L246" s="3">
        <f ca="1">IFERROR(__xludf.DUMMYFUNCTION("""COMPUTED_VALUE"""),80.78)</f>
        <v>80.78</v>
      </c>
      <c r="M246" s="3">
        <f ca="1">IFERROR(__xludf.DUMMYFUNCTION("""COMPUTED_VALUE"""),64.23)</f>
        <v>64.23</v>
      </c>
      <c r="N246" s="3">
        <f ca="1">IFERROR(__xludf.DUMMYFUNCTION("""COMPUTED_VALUE"""),63.39)</f>
        <v>63.39</v>
      </c>
      <c r="O246" s="3">
        <f ca="1">IFERROR(__xludf.DUMMYFUNCTION("""COMPUTED_VALUE"""),50.96)</f>
        <v>50.96</v>
      </c>
      <c r="P246" s="3">
        <f ca="1">IFERROR(__xludf.DUMMYFUNCTION("""COMPUTED_VALUE"""),84.75)</f>
        <v>84.75</v>
      </c>
      <c r="Q246" s="3">
        <f ca="1">IFERROR(__xludf.DUMMYFUNCTION("""COMPUTED_VALUE"""),117.83)</f>
        <v>117.83</v>
      </c>
      <c r="R246" s="3">
        <f ca="1">IFERROR(__xludf.DUMMYFUNCTION("""COMPUTED_VALUE"""),78.06)</f>
        <v>78.06</v>
      </c>
      <c r="S246" s="3">
        <f ca="1">IFERROR(__xludf.DUMMYFUNCTION("""COMPUTED_VALUE"""),50.03)</f>
        <v>50.03</v>
      </c>
      <c r="T246" s="3">
        <f ca="1">IFERROR(__xludf.DUMMYFUNCTION("""COMPUTED_VALUE"""),24.08)</f>
        <v>24.08</v>
      </c>
      <c r="U246" s="3">
        <f ca="1">IFERROR(__xludf.DUMMYFUNCTION("""COMPUTED_VALUE"""),66.22)</f>
        <v>66.22</v>
      </c>
      <c r="V246" s="3">
        <f ca="1">IFERROR(__xludf.DUMMYFUNCTION("""COMPUTED_VALUE"""),76.81)</f>
        <v>76.81</v>
      </c>
      <c r="W246" s="3">
        <f ca="1">IFERROR(__xludf.DUMMYFUNCTION("""COMPUTED_VALUE"""),33.54)</f>
        <v>33.54</v>
      </c>
      <c r="X246" s="3">
        <f ca="1">IFERROR(__xludf.DUMMYFUNCTION("""COMPUTED_VALUE"""),81.21)</f>
        <v>81.209999999999994</v>
      </c>
      <c r="Y246" s="3">
        <f ca="1">IFERROR(__xludf.DUMMYFUNCTION("""COMPUTED_VALUE"""),43.99)</f>
        <v>43.99</v>
      </c>
      <c r="Z246" s="3">
        <f ca="1">IFERROR(__xludf.DUMMYFUNCTION("""COMPUTED_VALUE"""),73.96)</f>
        <v>73.959999999999994</v>
      </c>
      <c r="AA246" s="3">
        <f ca="1">IFERROR(__xludf.DUMMYFUNCTION("""COMPUTED_VALUE"""),36.56)</f>
        <v>36.56</v>
      </c>
      <c r="AB246" s="3">
        <f ca="1">IFERROR(__xludf.DUMMYFUNCTION("""COMPUTED_VALUE"""),57.11)</f>
        <v>57.11</v>
      </c>
      <c r="AC246" s="3">
        <f ca="1">IFERROR(__xludf.DUMMYFUNCTION("""COMPUTED_VALUE"""),52.2)</f>
        <v>52.2</v>
      </c>
      <c r="AD246" s="3">
        <f ca="1">IFERROR(__xludf.DUMMYFUNCTION("""COMPUTED_VALUE"""),6.64)</f>
        <v>6.64</v>
      </c>
      <c r="AE246" s="3">
        <f ca="1">IFERROR(__xludf.DUMMYFUNCTION("""COMPUTED_VALUE"""),10.55)</f>
        <v>10.55</v>
      </c>
      <c r="AF246" s="3">
        <f ca="1">IFERROR(__xludf.DUMMYFUNCTION("""COMPUTED_VALUE"""),1.52)</f>
        <v>1.52</v>
      </c>
      <c r="AG246" s="3">
        <f ca="1">IFERROR(__xludf.DUMMYFUNCTION("""COMPUTED_VALUE"""),13.58)</f>
        <v>13.58</v>
      </c>
    </row>
    <row r="247" spans="1:33" ht="12.75" x14ac:dyDescent="0.2">
      <c r="A247" s="4">
        <f ca="1">IFERROR(__xludf.DUMMYFUNCTION("""COMPUTED_VALUE"""),44916.6666666666)</f>
        <v>44916.666666666599</v>
      </c>
      <c r="B247" s="3">
        <f ca="1">IFERROR(__xludf.DUMMYFUNCTION("""COMPUTED_VALUE"""),127.69)</f>
        <v>127.69</v>
      </c>
      <c r="C247" s="3">
        <f ca="1">IFERROR(__xludf.DUMMYFUNCTION("""COMPUTED_VALUE"""),327.18)</f>
        <v>327.18</v>
      </c>
      <c r="D247" s="3">
        <f ca="1">IFERROR(__xludf.DUMMYFUNCTION("""COMPUTED_VALUE"""),74.37)</f>
        <v>74.37</v>
      </c>
      <c r="E247" s="3">
        <f ca="1">IFERROR(__xludf.DUMMYFUNCTION("""COMPUTED_VALUE"""),121.09)</f>
        <v>121.09</v>
      </c>
      <c r="F247" s="3">
        <f ca="1">IFERROR(__xludf.DUMMYFUNCTION("""COMPUTED_VALUE"""),44.36)</f>
        <v>44.36</v>
      </c>
      <c r="G247" s="3">
        <f ca="1">IFERROR(__xludf.DUMMYFUNCTION("""COMPUTED_VALUE"""),21.04)</f>
        <v>21.04</v>
      </c>
      <c r="H247" s="3">
        <f ca="1">IFERROR(__xludf.DUMMYFUNCTION("""COMPUTED_VALUE"""),24.21)</f>
        <v>24.21</v>
      </c>
      <c r="I247" s="3">
        <f ca="1">IFERROR(__xludf.DUMMYFUNCTION("""COMPUTED_VALUE"""),136.21)</f>
        <v>136.21</v>
      </c>
      <c r="J247" s="3">
        <f ca="1">IFERROR(__xludf.DUMMYFUNCTION("""COMPUTED_VALUE"""),248.89)</f>
        <v>248.89</v>
      </c>
      <c r="K247" s="3">
        <f ca="1">IFERROR(__xludf.DUMMYFUNCTION("""COMPUTED_VALUE"""),133.73)</f>
        <v>133.72999999999999</v>
      </c>
      <c r="L247" s="3">
        <f ca="1">IFERROR(__xludf.DUMMYFUNCTION("""COMPUTED_VALUE"""),82.58)</f>
        <v>82.58</v>
      </c>
      <c r="M247" s="3">
        <f ca="1">IFERROR(__xludf.DUMMYFUNCTION("""COMPUTED_VALUE"""),64.61)</f>
        <v>64.61</v>
      </c>
      <c r="N247" s="3">
        <f ca="1">IFERROR(__xludf.DUMMYFUNCTION("""COMPUTED_VALUE"""),64.25)</f>
        <v>64.25</v>
      </c>
      <c r="O247" s="3">
        <f ca="1">IFERROR(__xludf.DUMMYFUNCTION("""COMPUTED_VALUE"""),52.08)</f>
        <v>52.08</v>
      </c>
      <c r="P247" s="3">
        <f ca="1">IFERROR(__xludf.DUMMYFUNCTION("""COMPUTED_VALUE"""),86.36)</f>
        <v>86.36</v>
      </c>
      <c r="Q247" s="3">
        <f ca="1">IFERROR(__xludf.DUMMYFUNCTION("""COMPUTED_VALUE"""),120.19)</f>
        <v>120.19</v>
      </c>
      <c r="R247" s="3">
        <f ca="1">IFERROR(__xludf.DUMMYFUNCTION("""COMPUTED_VALUE"""),78.74)</f>
        <v>78.739999999999995</v>
      </c>
      <c r="S247" s="3">
        <f ca="1">IFERROR(__xludf.DUMMYFUNCTION("""COMPUTED_VALUE"""),51.31)</f>
        <v>51.31</v>
      </c>
      <c r="T247" s="3">
        <f ca="1">IFERROR(__xludf.DUMMYFUNCTION("""COMPUTED_VALUE"""),24.39)</f>
        <v>24.39</v>
      </c>
      <c r="U247" s="3">
        <f ca="1">IFERROR(__xludf.DUMMYFUNCTION("""COMPUTED_VALUE"""),68.06)</f>
        <v>68.06</v>
      </c>
      <c r="V247" s="3">
        <f ca="1">IFERROR(__xludf.DUMMYFUNCTION("""COMPUTED_VALUE"""),78.42)</f>
        <v>78.42</v>
      </c>
      <c r="W247" s="3">
        <f ca="1">IFERROR(__xludf.DUMMYFUNCTION("""COMPUTED_VALUE"""),34.06)</f>
        <v>34.06</v>
      </c>
      <c r="X247" s="3">
        <f ca="1">IFERROR(__xludf.DUMMYFUNCTION("""COMPUTED_VALUE"""),82.59)</f>
        <v>82.59</v>
      </c>
      <c r="Y247" s="3">
        <f ca="1">IFERROR(__xludf.DUMMYFUNCTION("""COMPUTED_VALUE"""),44.79)</f>
        <v>44.79</v>
      </c>
      <c r="Z247" s="3">
        <f ca="1">IFERROR(__xludf.DUMMYFUNCTION("""COMPUTED_VALUE"""),75.29)</f>
        <v>75.290000000000006</v>
      </c>
      <c r="AA247" s="3">
        <f ca="1">IFERROR(__xludf.DUMMYFUNCTION("""COMPUTED_VALUE"""),36.93)</f>
        <v>36.93</v>
      </c>
      <c r="AB247" s="3">
        <f ca="1">IFERROR(__xludf.DUMMYFUNCTION("""COMPUTED_VALUE"""),58.06)</f>
        <v>58.06</v>
      </c>
      <c r="AC247" s="3">
        <f ca="1">IFERROR(__xludf.DUMMYFUNCTION("""COMPUTED_VALUE"""),51.76)</f>
        <v>51.76</v>
      </c>
      <c r="AD247" s="3">
        <f ca="1">IFERROR(__xludf.DUMMYFUNCTION("""COMPUTED_VALUE"""),6.6)</f>
        <v>6.6</v>
      </c>
      <c r="AE247" s="3">
        <f ca="1">IFERROR(__xludf.DUMMYFUNCTION("""COMPUTED_VALUE"""),10.48)</f>
        <v>10.48</v>
      </c>
      <c r="AF247" s="3">
        <f ca="1">IFERROR(__xludf.DUMMYFUNCTION("""COMPUTED_VALUE"""),1.53)</f>
        <v>1.53</v>
      </c>
      <c r="AG247" s="3">
        <f ca="1">IFERROR(__xludf.DUMMYFUNCTION("""COMPUTED_VALUE"""),13.26)</f>
        <v>13.26</v>
      </c>
    </row>
    <row r="248" spans="1:33" ht="12.75" x14ac:dyDescent="0.2">
      <c r="A248" s="4">
        <f ca="1">IFERROR(__xludf.DUMMYFUNCTION("""COMPUTED_VALUE"""),44917.6666666666)</f>
        <v>44917.666666666599</v>
      </c>
      <c r="B248" s="3">
        <f ca="1">IFERROR(__xludf.DUMMYFUNCTION("""COMPUTED_VALUE"""),124.47)</f>
        <v>124.47</v>
      </c>
      <c r="C248" s="3">
        <f ca="1">IFERROR(__xludf.DUMMYFUNCTION("""COMPUTED_VALUE"""),319.07)</f>
        <v>319.07</v>
      </c>
      <c r="D248" s="3">
        <f ca="1">IFERROR(__xludf.DUMMYFUNCTION("""COMPUTED_VALUE"""),74.47)</f>
        <v>74.47</v>
      </c>
      <c r="E248" s="3">
        <f ca="1">IFERROR(__xludf.DUMMYFUNCTION("""COMPUTED_VALUE"""),116.19)</f>
        <v>116.19</v>
      </c>
      <c r="F248" s="3">
        <f ca="1">IFERROR(__xludf.DUMMYFUNCTION("""COMPUTED_VALUE"""),43.82)</f>
        <v>43.82</v>
      </c>
      <c r="G248" s="3">
        <f ca="1">IFERROR(__xludf.DUMMYFUNCTION("""COMPUTED_VALUE"""),20.52)</f>
        <v>20.52</v>
      </c>
      <c r="H248" s="3">
        <f ca="1">IFERROR(__xludf.DUMMYFUNCTION("""COMPUTED_VALUE"""),23.93)</f>
        <v>23.93</v>
      </c>
      <c r="I248" s="3">
        <f ca="1">IFERROR(__xludf.DUMMYFUNCTION("""COMPUTED_VALUE"""),136.02)</f>
        <v>136.02000000000001</v>
      </c>
      <c r="J248" s="3">
        <f ca="1">IFERROR(__xludf.DUMMYFUNCTION("""COMPUTED_VALUE"""),248.65)</f>
        <v>248.65</v>
      </c>
      <c r="K248" s="3">
        <f ca="1">IFERROR(__xludf.DUMMYFUNCTION("""COMPUTED_VALUE"""),133.83)</f>
        <v>133.83000000000001</v>
      </c>
      <c r="L248" s="3">
        <f ca="1">IFERROR(__xludf.DUMMYFUNCTION("""COMPUTED_VALUE"""),82.82)</f>
        <v>82.82</v>
      </c>
      <c r="M248" s="3">
        <f ca="1">IFERROR(__xludf.DUMMYFUNCTION("""COMPUTED_VALUE"""),64.39)</f>
        <v>64.39</v>
      </c>
      <c r="N248" s="3">
        <f ca="1">IFERROR(__xludf.DUMMYFUNCTION("""COMPUTED_VALUE"""),64.15)</f>
        <v>64.150000000000006</v>
      </c>
      <c r="O248" s="3">
        <f ca="1">IFERROR(__xludf.DUMMYFUNCTION("""COMPUTED_VALUE"""),51.92)</f>
        <v>51.92</v>
      </c>
      <c r="P248" s="3">
        <f ca="1">IFERROR(__xludf.DUMMYFUNCTION("""COMPUTED_VALUE"""),84.37)</f>
        <v>84.37</v>
      </c>
      <c r="Q248" s="3">
        <f ca="1">IFERROR(__xludf.DUMMYFUNCTION("""COMPUTED_VALUE"""),117.19)</f>
        <v>117.19</v>
      </c>
      <c r="R248" s="3">
        <f ca="1">IFERROR(__xludf.DUMMYFUNCTION("""COMPUTED_VALUE"""),77.98)</f>
        <v>77.98</v>
      </c>
      <c r="S248" s="3">
        <f ca="1">IFERROR(__xludf.DUMMYFUNCTION("""COMPUTED_VALUE"""),50.41)</f>
        <v>50.41</v>
      </c>
      <c r="T248" s="3">
        <f ca="1">IFERROR(__xludf.DUMMYFUNCTION("""COMPUTED_VALUE"""),24.08)</f>
        <v>24.08</v>
      </c>
      <c r="U248" s="3">
        <f ca="1">IFERROR(__xludf.DUMMYFUNCTION("""COMPUTED_VALUE"""),67.7)</f>
        <v>67.7</v>
      </c>
      <c r="V248" s="3">
        <f ca="1">IFERROR(__xludf.DUMMYFUNCTION("""COMPUTED_VALUE"""),75.86)</f>
        <v>75.86</v>
      </c>
      <c r="W248" s="3">
        <f ca="1">IFERROR(__xludf.DUMMYFUNCTION("""COMPUTED_VALUE"""),33.76)</f>
        <v>33.76</v>
      </c>
      <c r="X248" s="3">
        <f ca="1">IFERROR(__xludf.DUMMYFUNCTION("""COMPUTED_VALUE"""),81.78)</f>
        <v>81.78</v>
      </c>
      <c r="Y248" s="3">
        <f ca="1">IFERROR(__xludf.DUMMYFUNCTION("""COMPUTED_VALUE"""),44.51)</f>
        <v>44.51</v>
      </c>
      <c r="Z248" s="3">
        <f ca="1">IFERROR(__xludf.DUMMYFUNCTION("""COMPUTED_VALUE"""),74.54)</f>
        <v>74.540000000000006</v>
      </c>
      <c r="AA248" s="3">
        <f ca="1">IFERROR(__xludf.DUMMYFUNCTION("""COMPUTED_VALUE"""),36.75)</f>
        <v>36.75</v>
      </c>
      <c r="AB248" s="3">
        <f ca="1">IFERROR(__xludf.DUMMYFUNCTION("""COMPUTED_VALUE"""),57.84)</f>
        <v>57.84</v>
      </c>
      <c r="AC248" s="3">
        <f ca="1">IFERROR(__xludf.DUMMYFUNCTION("""COMPUTED_VALUE"""),52)</f>
        <v>52</v>
      </c>
      <c r="AD248" s="3">
        <f ca="1">IFERROR(__xludf.DUMMYFUNCTION("""COMPUTED_VALUE"""),6.6)</f>
        <v>6.6</v>
      </c>
      <c r="AE248" s="3">
        <f ca="1">IFERROR(__xludf.DUMMYFUNCTION("""COMPUTED_VALUE"""),10.46)</f>
        <v>10.46</v>
      </c>
      <c r="AF248" s="3">
        <f ca="1">IFERROR(__xludf.DUMMYFUNCTION("""COMPUTED_VALUE"""),1.52)</f>
        <v>1.52</v>
      </c>
      <c r="AG248" s="3">
        <f ca="1">IFERROR(__xludf.DUMMYFUNCTION("""COMPUTED_VALUE"""),13.15)</f>
        <v>13.15</v>
      </c>
    </row>
    <row r="249" spans="1:33" ht="12.75" x14ac:dyDescent="0.2">
      <c r="A249" s="4">
        <f ca="1">IFERROR(__xludf.DUMMYFUNCTION("""COMPUTED_VALUE"""),44918.6666666666)</f>
        <v>44918.666666666599</v>
      </c>
      <c r="B249" s="3">
        <f ca="1">IFERROR(__xludf.DUMMYFUNCTION("""COMPUTED_VALUE"""),124.6)</f>
        <v>124.6</v>
      </c>
      <c r="C249" s="3">
        <f ca="1">IFERROR(__xludf.DUMMYFUNCTION("""COMPUTED_VALUE"""),319.19)</f>
        <v>319.19</v>
      </c>
      <c r="D249" s="3">
        <f ca="1">IFERROR(__xludf.DUMMYFUNCTION("""COMPUTED_VALUE"""),73.6)</f>
        <v>73.599999999999994</v>
      </c>
      <c r="E249" s="3">
        <f ca="1">IFERROR(__xludf.DUMMYFUNCTION("""COMPUTED_VALUE"""),116.29)</f>
        <v>116.29</v>
      </c>
      <c r="F249" s="3">
        <f ca="1">IFERROR(__xludf.DUMMYFUNCTION("""COMPUTED_VALUE"""),43.62)</f>
        <v>43.62</v>
      </c>
      <c r="G249" s="3">
        <f ca="1">IFERROR(__xludf.DUMMYFUNCTION("""COMPUTED_VALUE"""),20.52)</f>
        <v>20.52</v>
      </c>
      <c r="H249" s="3">
        <f ca="1">IFERROR(__xludf.DUMMYFUNCTION("""COMPUTED_VALUE"""),23.94)</f>
        <v>23.94</v>
      </c>
      <c r="I249" s="3">
        <f ca="1">IFERROR(__xludf.DUMMYFUNCTION("""COMPUTED_VALUE"""),136.1)</f>
        <v>136.1</v>
      </c>
      <c r="J249" s="3">
        <f ca="1">IFERROR(__xludf.DUMMYFUNCTION("""COMPUTED_VALUE"""),248.36)</f>
        <v>248.36</v>
      </c>
      <c r="K249" s="3">
        <f ca="1">IFERROR(__xludf.DUMMYFUNCTION("""COMPUTED_VALUE"""),132.03)</f>
        <v>132.03</v>
      </c>
      <c r="L249" s="3">
        <f ca="1">IFERROR(__xludf.DUMMYFUNCTION("""COMPUTED_VALUE"""),80.88)</f>
        <v>80.88</v>
      </c>
      <c r="M249" s="3">
        <f ca="1">IFERROR(__xludf.DUMMYFUNCTION("""COMPUTED_VALUE"""),63.38)</f>
        <v>63.38</v>
      </c>
      <c r="N249" s="3">
        <f ca="1">IFERROR(__xludf.DUMMYFUNCTION("""COMPUTED_VALUE"""),64.07)</f>
        <v>64.069999999999993</v>
      </c>
      <c r="O249" s="3">
        <f ca="1">IFERROR(__xludf.DUMMYFUNCTION("""COMPUTED_VALUE"""),50.6)</f>
        <v>50.6</v>
      </c>
      <c r="P249" s="3">
        <f ca="1">IFERROR(__xludf.DUMMYFUNCTION("""COMPUTED_VALUE"""),87.06)</f>
        <v>87.06</v>
      </c>
      <c r="Q249" s="3">
        <f ca="1">IFERROR(__xludf.DUMMYFUNCTION("""COMPUTED_VALUE"""),121.05)</f>
        <v>121.05</v>
      </c>
      <c r="R249" s="3">
        <f ca="1">IFERROR(__xludf.DUMMYFUNCTION("""COMPUTED_VALUE"""),78.52)</f>
        <v>78.52</v>
      </c>
      <c r="S249" s="3">
        <f ca="1">IFERROR(__xludf.DUMMYFUNCTION("""COMPUTED_VALUE"""),50.79)</f>
        <v>50.79</v>
      </c>
      <c r="T249" s="3">
        <f ca="1">IFERROR(__xludf.DUMMYFUNCTION("""COMPUTED_VALUE"""),24.52)</f>
        <v>24.52</v>
      </c>
      <c r="U249" s="3">
        <f ca="1">IFERROR(__xludf.DUMMYFUNCTION("""COMPUTED_VALUE"""),69.32)</f>
        <v>69.319999999999993</v>
      </c>
      <c r="V249" s="3">
        <f ca="1">IFERROR(__xludf.DUMMYFUNCTION("""COMPUTED_VALUE"""),74.86)</f>
        <v>74.86</v>
      </c>
      <c r="W249" s="3">
        <f ca="1">IFERROR(__xludf.DUMMYFUNCTION("""COMPUTED_VALUE"""),33.95)</f>
        <v>33.950000000000003</v>
      </c>
      <c r="X249" s="3">
        <f ca="1">IFERROR(__xludf.DUMMYFUNCTION("""COMPUTED_VALUE"""),82.33)</f>
        <v>82.33</v>
      </c>
      <c r="Y249" s="3">
        <f ca="1">IFERROR(__xludf.DUMMYFUNCTION("""COMPUTED_VALUE"""),44.79)</f>
        <v>44.79</v>
      </c>
      <c r="Z249" s="3">
        <f ca="1">IFERROR(__xludf.DUMMYFUNCTION("""COMPUTED_VALUE"""),75)</f>
        <v>75</v>
      </c>
      <c r="AA249" s="3">
        <f ca="1">IFERROR(__xludf.DUMMYFUNCTION("""COMPUTED_VALUE"""),37.08)</f>
        <v>37.08</v>
      </c>
      <c r="AB249" s="3">
        <f ca="1">IFERROR(__xludf.DUMMYFUNCTION("""COMPUTED_VALUE"""),58.22)</f>
        <v>58.22</v>
      </c>
      <c r="AC249" s="3">
        <f ca="1">IFERROR(__xludf.DUMMYFUNCTION("""COMPUTED_VALUE"""),51.98)</f>
        <v>51.98</v>
      </c>
      <c r="AD249" s="3">
        <f ca="1">IFERROR(__xludf.DUMMYFUNCTION("""COMPUTED_VALUE"""),6.62)</f>
        <v>6.62</v>
      </c>
      <c r="AE249" s="3">
        <f ca="1">IFERROR(__xludf.DUMMYFUNCTION("""COMPUTED_VALUE"""),10.5)</f>
        <v>10.5</v>
      </c>
      <c r="AF249" s="3">
        <f ca="1">IFERROR(__xludf.DUMMYFUNCTION("""COMPUTED_VALUE"""),1.5)</f>
        <v>1.5</v>
      </c>
      <c r="AG249" s="3">
        <f ca="1">IFERROR(__xludf.DUMMYFUNCTION("""COMPUTED_VALUE"""),13.18)</f>
        <v>13.18</v>
      </c>
    </row>
    <row r="250" spans="1:33" ht="12.75" x14ac:dyDescent="0.2">
      <c r="A250" s="4">
        <f ca="1">IFERROR(__xludf.DUMMYFUNCTION("""COMPUTED_VALUE"""),44922.6666666666)</f>
        <v>44922.666666666599</v>
      </c>
      <c r="B250" s="3">
        <f ca="1">IFERROR(__xludf.DUMMYFUNCTION("""COMPUTED_VALUE"""),123.42)</f>
        <v>123.42</v>
      </c>
      <c r="C250" s="3">
        <f ca="1">IFERROR(__xludf.DUMMYFUNCTION("""COMPUTED_VALUE"""),316.07)</f>
        <v>316.07</v>
      </c>
      <c r="D250" s="3">
        <f ca="1">IFERROR(__xludf.DUMMYFUNCTION("""COMPUTED_VALUE"""),72.4)</f>
        <v>72.400000000000006</v>
      </c>
      <c r="E250" s="3">
        <f ca="1">IFERROR(__xludf.DUMMYFUNCTION("""COMPUTED_VALUE"""),114.19)</f>
        <v>114.19</v>
      </c>
      <c r="F250" s="3">
        <f ca="1">IFERROR(__xludf.DUMMYFUNCTION("""COMPUTED_VALUE"""),43.35)</f>
        <v>43.35</v>
      </c>
      <c r="G250" s="3">
        <f ca="1">IFERROR(__xludf.DUMMYFUNCTION("""COMPUTED_VALUE"""),20.28)</f>
        <v>20.28</v>
      </c>
      <c r="H250" s="3">
        <f ca="1">IFERROR(__xludf.DUMMYFUNCTION("""COMPUTED_VALUE"""),23.8)</f>
        <v>23.8</v>
      </c>
      <c r="I250" s="3">
        <f ca="1">IFERROR(__xludf.DUMMYFUNCTION("""COMPUTED_VALUE"""),135.75)</f>
        <v>135.75</v>
      </c>
      <c r="J250" s="3">
        <f ca="1">IFERROR(__xludf.DUMMYFUNCTION("""COMPUTED_VALUE"""),247.16)</f>
        <v>247.16</v>
      </c>
      <c r="K250" s="3">
        <f ca="1">IFERROR(__xludf.DUMMYFUNCTION("""COMPUTED_VALUE"""),129.27)</f>
        <v>129.27000000000001</v>
      </c>
      <c r="L250" s="3">
        <f ca="1">IFERROR(__xludf.DUMMYFUNCTION("""COMPUTED_VALUE"""),78.54)</f>
        <v>78.540000000000006</v>
      </c>
      <c r="M250" s="3">
        <f ca="1">IFERROR(__xludf.DUMMYFUNCTION("""COMPUTED_VALUE"""),62.3)</f>
        <v>62.3</v>
      </c>
      <c r="N250" s="3">
        <f ca="1">IFERROR(__xludf.DUMMYFUNCTION("""COMPUTED_VALUE"""),63.77)</f>
        <v>63.77</v>
      </c>
      <c r="O250" s="3">
        <f ca="1">IFERROR(__xludf.DUMMYFUNCTION("""COMPUTED_VALUE"""),49.16)</f>
        <v>49.16</v>
      </c>
      <c r="P250" s="3">
        <f ca="1">IFERROR(__xludf.DUMMYFUNCTION("""COMPUTED_VALUE"""),87.99)</f>
        <v>87.99</v>
      </c>
      <c r="Q250" s="3">
        <f ca="1">IFERROR(__xludf.DUMMYFUNCTION("""COMPUTED_VALUE"""),122.27)</f>
        <v>122.27</v>
      </c>
      <c r="R250" s="3">
        <f ca="1">IFERROR(__xludf.DUMMYFUNCTION("""COMPUTED_VALUE"""),78.59)</f>
        <v>78.59</v>
      </c>
      <c r="S250" s="3">
        <f ca="1">IFERROR(__xludf.DUMMYFUNCTION("""COMPUTED_VALUE"""),51.2)</f>
        <v>51.2</v>
      </c>
      <c r="T250" s="3">
        <f ca="1">IFERROR(__xludf.DUMMYFUNCTION("""COMPUTED_VALUE"""),24.74)</f>
        <v>24.74</v>
      </c>
      <c r="U250" s="3">
        <f ca="1">IFERROR(__xludf.DUMMYFUNCTION("""COMPUTED_VALUE"""),69.53)</f>
        <v>69.53</v>
      </c>
      <c r="V250" s="3">
        <f ca="1">IFERROR(__xludf.DUMMYFUNCTION("""COMPUTED_VALUE"""),73.08)</f>
        <v>73.08</v>
      </c>
      <c r="W250" s="3">
        <f ca="1">IFERROR(__xludf.DUMMYFUNCTION("""COMPUTED_VALUE"""),33.94)</f>
        <v>33.94</v>
      </c>
      <c r="X250" s="3">
        <f ca="1">IFERROR(__xludf.DUMMYFUNCTION("""COMPUTED_VALUE"""),82.24)</f>
        <v>82.24</v>
      </c>
      <c r="Y250" s="3">
        <f ca="1">IFERROR(__xludf.DUMMYFUNCTION("""COMPUTED_VALUE"""),44.82)</f>
        <v>44.82</v>
      </c>
      <c r="Z250" s="3">
        <f ca="1">IFERROR(__xludf.DUMMYFUNCTION("""COMPUTED_VALUE"""),74.96)</f>
        <v>74.959999999999994</v>
      </c>
      <c r="AA250" s="3">
        <f ca="1">IFERROR(__xludf.DUMMYFUNCTION("""COMPUTED_VALUE"""),37.05)</f>
        <v>37.049999999999997</v>
      </c>
      <c r="AB250" s="3">
        <f ca="1">IFERROR(__xludf.DUMMYFUNCTION("""COMPUTED_VALUE"""),58.28)</f>
        <v>58.28</v>
      </c>
      <c r="AC250" s="3">
        <f ca="1">IFERROR(__xludf.DUMMYFUNCTION("""COMPUTED_VALUE"""),51.77)</f>
        <v>51.77</v>
      </c>
      <c r="AD250" s="3">
        <f ca="1">IFERROR(__xludf.DUMMYFUNCTION("""COMPUTED_VALUE"""),6.55)</f>
        <v>6.55</v>
      </c>
      <c r="AE250" s="3">
        <f ca="1">IFERROR(__xludf.DUMMYFUNCTION("""COMPUTED_VALUE"""),10.37)</f>
        <v>10.37</v>
      </c>
      <c r="AF250" s="3">
        <f ca="1">IFERROR(__xludf.DUMMYFUNCTION("""COMPUTED_VALUE"""),1.4)</f>
        <v>1.4</v>
      </c>
      <c r="AG250" s="3">
        <f ca="1">IFERROR(__xludf.DUMMYFUNCTION("""COMPUTED_VALUE"""),12.5)</f>
        <v>12.5</v>
      </c>
    </row>
    <row r="251" spans="1:33" ht="12.75" x14ac:dyDescent="0.2">
      <c r="A251" s="4">
        <f ca="1">IFERROR(__xludf.DUMMYFUNCTION("""COMPUTED_VALUE"""),44923.6666666666)</f>
        <v>44923.666666666599</v>
      </c>
      <c r="B251" s="3">
        <f ca="1">IFERROR(__xludf.DUMMYFUNCTION("""COMPUTED_VALUE"""),121.43)</f>
        <v>121.43</v>
      </c>
      <c r="C251" s="3">
        <f ca="1">IFERROR(__xludf.DUMMYFUNCTION("""COMPUTED_VALUE"""),311.1)</f>
        <v>311.10000000000002</v>
      </c>
      <c r="D251" s="3">
        <f ca="1">IFERROR(__xludf.DUMMYFUNCTION("""COMPUTED_VALUE"""),74.53)</f>
        <v>74.53</v>
      </c>
      <c r="E251" s="3">
        <f ca="1">IFERROR(__xludf.DUMMYFUNCTION("""COMPUTED_VALUE"""),112.51)</f>
        <v>112.51</v>
      </c>
      <c r="F251" s="3">
        <f ca="1">IFERROR(__xludf.DUMMYFUNCTION("""COMPUTED_VALUE"""),42.91)</f>
        <v>42.91</v>
      </c>
      <c r="G251" s="3">
        <f ca="1">IFERROR(__xludf.DUMMYFUNCTION("""COMPUTED_VALUE"""),20.05)</f>
        <v>20.05</v>
      </c>
      <c r="H251" s="3">
        <f ca="1">IFERROR(__xludf.DUMMYFUNCTION("""COMPUTED_VALUE"""),23.44)</f>
        <v>23.44</v>
      </c>
      <c r="I251" s="3">
        <f ca="1">IFERROR(__xludf.DUMMYFUNCTION("""COMPUTED_VALUE"""),134.87)</f>
        <v>134.87</v>
      </c>
      <c r="J251" s="3">
        <f ca="1">IFERROR(__xludf.DUMMYFUNCTION("""COMPUTED_VALUE"""),245.8)</f>
        <v>245.8</v>
      </c>
      <c r="K251" s="3">
        <f ca="1">IFERROR(__xludf.DUMMYFUNCTION("""COMPUTED_VALUE"""),128.39)</f>
        <v>128.38999999999999</v>
      </c>
      <c r="L251" s="3">
        <f ca="1">IFERROR(__xludf.DUMMYFUNCTION("""COMPUTED_VALUE"""),78.83)</f>
        <v>78.83</v>
      </c>
      <c r="M251" s="3">
        <f ca="1">IFERROR(__xludf.DUMMYFUNCTION("""COMPUTED_VALUE"""),62.06)</f>
        <v>62.06</v>
      </c>
      <c r="N251" s="3">
        <f ca="1">IFERROR(__xludf.DUMMYFUNCTION("""COMPUTED_VALUE"""),63.39)</f>
        <v>63.39</v>
      </c>
      <c r="O251" s="3">
        <f ca="1">IFERROR(__xludf.DUMMYFUNCTION("""COMPUTED_VALUE"""),48.44)</f>
        <v>48.44</v>
      </c>
      <c r="P251" s="3">
        <f ca="1">IFERROR(__xludf.DUMMYFUNCTION("""COMPUTED_VALUE"""),86.02)</f>
        <v>86.02</v>
      </c>
      <c r="Q251" s="3">
        <f ca="1">IFERROR(__xludf.DUMMYFUNCTION("""COMPUTED_VALUE"""),119.14)</f>
        <v>119.14</v>
      </c>
      <c r="R251" s="3">
        <f ca="1">IFERROR(__xludf.DUMMYFUNCTION("""COMPUTED_VALUE"""),77.39)</f>
        <v>77.39</v>
      </c>
      <c r="S251" s="3">
        <f ca="1">IFERROR(__xludf.DUMMYFUNCTION("""COMPUTED_VALUE"""),49.15)</f>
        <v>49.15</v>
      </c>
      <c r="T251" s="3">
        <f ca="1">IFERROR(__xludf.DUMMYFUNCTION("""COMPUTED_VALUE"""),24.46)</f>
        <v>24.46</v>
      </c>
      <c r="U251" s="3">
        <f ca="1">IFERROR(__xludf.DUMMYFUNCTION("""COMPUTED_VALUE"""),68.58)</f>
        <v>68.58</v>
      </c>
      <c r="V251" s="3">
        <f ca="1">IFERROR(__xludf.DUMMYFUNCTION("""COMPUTED_VALUE"""),71.83)</f>
        <v>71.83</v>
      </c>
      <c r="W251" s="3">
        <f ca="1">IFERROR(__xludf.DUMMYFUNCTION("""COMPUTED_VALUE"""),33.82)</f>
        <v>33.82</v>
      </c>
      <c r="X251" s="3">
        <f ca="1">IFERROR(__xludf.DUMMYFUNCTION("""COMPUTED_VALUE"""),81.72)</f>
        <v>81.72</v>
      </c>
      <c r="Y251" s="3">
        <f ca="1">IFERROR(__xludf.DUMMYFUNCTION("""COMPUTED_VALUE"""),44.47)</f>
        <v>44.47</v>
      </c>
      <c r="Z251" s="3">
        <f ca="1">IFERROR(__xludf.DUMMYFUNCTION("""COMPUTED_VALUE"""),74.56)</f>
        <v>74.56</v>
      </c>
      <c r="AA251" s="3">
        <f ca="1">IFERROR(__xludf.DUMMYFUNCTION("""COMPUTED_VALUE"""),36.46)</f>
        <v>36.46</v>
      </c>
      <c r="AB251" s="3">
        <f ca="1">IFERROR(__xludf.DUMMYFUNCTION("""COMPUTED_VALUE"""),57.87)</f>
        <v>57.87</v>
      </c>
      <c r="AC251" s="3">
        <f ca="1">IFERROR(__xludf.DUMMYFUNCTION("""COMPUTED_VALUE"""),52.59)</f>
        <v>52.59</v>
      </c>
      <c r="AD251" s="3">
        <f ca="1">IFERROR(__xludf.DUMMYFUNCTION("""COMPUTED_VALUE"""),6.53)</f>
        <v>6.53</v>
      </c>
      <c r="AE251" s="3">
        <f ca="1">IFERROR(__xludf.DUMMYFUNCTION("""COMPUTED_VALUE"""),10.35)</f>
        <v>10.35</v>
      </c>
      <c r="AF251" s="3">
        <f ca="1">IFERROR(__xludf.DUMMYFUNCTION("""COMPUTED_VALUE"""),1.37)</f>
        <v>1.37</v>
      </c>
      <c r="AG251" s="3">
        <f ca="1">IFERROR(__xludf.DUMMYFUNCTION("""COMPUTED_VALUE"""),12.24)</f>
        <v>12.24</v>
      </c>
    </row>
    <row r="252" spans="1:33" ht="12.75" x14ac:dyDescent="0.2">
      <c r="A252" s="4">
        <f ca="1">IFERROR(__xludf.DUMMYFUNCTION("""COMPUTED_VALUE"""),44924.6666666666)</f>
        <v>44924.666666666599</v>
      </c>
      <c r="B252" s="3">
        <f ca="1">IFERROR(__xludf.DUMMYFUNCTION("""COMPUTED_VALUE"""),124.61)</f>
        <v>124.61</v>
      </c>
      <c r="C252" s="3">
        <f ca="1">IFERROR(__xludf.DUMMYFUNCTION("""COMPUTED_VALUE"""),319.58)</f>
        <v>319.58</v>
      </c>
      <c r="D252" s="3">
        <f ca="1">IFERROR(__xludf.DUMMYFUNCTION("""COMPUTED_VALUE"""),74.49)</f>
        <v>74.489999999999995</v>
      </c>
      <c r="E252" s="3">
        <f ca="1">IFERROR(__xludf.DUMMYFUNCTION("""COMPUTED_VALUE"""),116.1)</f>
        <v>116.1</v>
      </c>
      <c r="F252" s="3">
        <f ca="1">IFERROR(__xludf.DUMMYFUNCTION("""COMPUTED_VALUE"""),44.05)</f>
        <v>44.05</v>
      </c>
      <c r="G252" s="3">
        <f ca="1">IFERROR(__xludf.DUMMYFUNCTION("""COMPUTED_VALUE"""),20.72)</f>
        <v>20.72</v>
      </c>
      <c r="H252" s="3">
        <f ca="1">IFERROR(__xludf.DUMMYFUNCTION("""COMPUTED_VALUE"""),24.01)</f>
        <v>24.01</v>
      </c>
      <c r="I252" s="3">
        <f ca="1">IFERROR(__xludf.DUMMYFUNCTION("""COMPUTED_VALUE"""),136.34)</f>
        <v>136.34</v>
      </c>
      <c r="J252" s="3">
        <f ca="1">IFERROR(__xludf.DUMMYFUNCTION("""COMPUTED_VALUE"""),248.82)</f>
        <v>248.82</v>
      </c>
      <c r="K252" s="3">
        <f ca="1">IFERROR(__xludf.DUMMYFUNCTION("""COMPUTED_VALUE"""),131.34)</f>
        <v>131.34</v>
      </c>
      <c r="L252" s="3">
        <f ca="1">IFERROR(__xludf.DUMMYFUNCTION("""COMPUTED_VALUE"""),82.27)</f>
        <v>82.27</v>
      </c>
      <c r="M252" s="3">
        <f ca="1">IFERROR(__xludf.DUMMYFUNCTION("""COMPUTED_VALUE"""),63.34)</f>
        <v>63.34</v>
      </c>
      <c r="N252" s="3">
        <f ca="1">IFERROR(__xludf.DUMMYFUNCTION("""COMPUTED_VALUE"""),64.18)</f>
        <v>64.180000000000007</v>
      </c>
      <c r="O252" s="3">
        <f ca="1">IFERROR(__xludf.DUMMYFUNCTION("""COMPUTED_VALUE"""),50.68)</f>
        <v>50.68</v>
      </c>
      <c r="P252" s="3">
        <f ca="1">IFERROR(__xludf.DUMMYFUNCTION("""COMPUTED_VALUE"""),86.92)</f>
        <v>86.92</v>
      </c>
      <c r="Q252" s="3">
        <f ca="1">IFERROR(__xludf.DUMMYFUNCTION("""COMPUTED_VALUE"""),120.52)</f>
        <v>120.52</v>
      </c>
      <c r="R252" s="3">
        <f ca="1">IFERROR(__xludf.DUMMYFUNCTION("""COMPUTED_VALUE"""),78.23)</f>
        <v>78.23</v>
      </c>
      <c r="S252" s="3">
        <f ca="1">IFERROR(__xludf.DUMMYFUNCTION("""COMPUTED_VALUE"""),50.07)</f>
        <v>50.07</v>
      </c>
      <c r="T252" s="3">
        <f ca="1">IFERROR(__xludf.DUMMYFUNCTION("""COMPUTED_VALUE"""),24.43)</f>
        <v>24.43</v>
      </c>
      <c r="U252" s="3">
        <f ca="1">IFERROR(__xludf.DUMMYFUNCTION("""COMPUTED_VALUE"""),68.53)</f>
        <v>68.53</v>
      </c>
      <c r="V252" s="3">
        <f ca="1">IFERROR(__xludf.DUMMYFUNCTION("""COMPUTED_VALUE"""),73.08)</f>
        <v>73.08</v>
      </c>
      <c r="W252" s="3">
        <f ca="1">IFERROR(__xludf.DUMMYFUNCTION("""COMPUTED_VALUE"""),34.29)</f>
        <v>34.29</v>
      </c>
      <c r="X252" s="3">
        <f ca="1">IFERROR(__xludf.DUMMYFUNCTION("""COMPUTED_VALUE"""),83.02)</f>
        <v>83.02</v>
      </c>
      <c r="Y252" s="3">
        <f ca="1">IFERROR(__xludf.DUMMYFUNCTION("""COMPUTED_VALUE"""),45.39)</f>
        <v>45.39</v>
      </c>
      <c r="Z252" s="3">
        <f ca="1">IFERROR(__xludf.DUMMYFUNCTION("""COMPUTED_VALUE"""),75.75)</f>
        <v>75.75</v>
      </c>
      <c r="AA252" s="3">
        <f ca="1">IFERROR(__xludf.DUMMYFUNCTION("""COMPUTED_VALUE"""),37.27)</f>
        <v>37.270000000000003</v>
      </c>
      <c r="AB252" s="3">
        <f ca="1">IFERROR(__xludf.DUMMYFUNCTION("""COMPUTED_VALUE"""),58.96)</f>
        <v>58.96</v>
      </c>
      <c r="AC252" s="3">
        <f ca="1">IFERROR(__xludf.DUMMYFUNCTION("""COMPUTED_VALUE"""),52.51)</f>
        <v>52.51</v>
      </c>
      <c r="AD252" s="3">
        <f ca="1">IFERROR(__xludf.DUMMYFUNCTION("""COMPUTED_VALUE"""),6.53)</f>
        <v>6.53</v>
      </c>
      <c r="AE252" s="3">
        <f ca="1">IFERROR(__xludf.DUMMYFUNCTION("""COMPUTED_VALUE"""),10.35)</f>
        <v>10.35</v>
      </c>
      <c r="AF252" s="3">
        <f ca="1">IFERROR(__xludf.DUMMYFUNCTION("""COMPUTED_VALUE"""),1.42)</f>
        <v>1.42</v>
      </c>
      <c r="AG252" s="3">
        <f ca="1">IFERROR(__xludf.DUMMYFUNCTION("""COMPUTED_VALUE"""),12.72)</f>
        <v>12.72</v>
      </c>
    </row>
    <row r="253" spans="1:33" ht="12.75" x14ac:dyDescent="0.2">
      <c r="A253" s="4">
        <f ca="1">IFERROR(__xludf.DUMMYFUNCTION("""COMPUTED_VALUE"""),44925.6666666666)</f>
        <v>44925.666666666599</v>
      </c>
      <c r="B253" s="3">
        <f ca="1">IFERROR(__xludf.DUMMYFUNCTION("""COMPUTED_VALUE"""),124.44)</f>
        <v>124.44</v>
      </c>
      <c r="C253" s="3">
        <f ca="1">IFERROR(__xludf.DUMMYFUNCTION("""COMPUTED_VALUE"""),319.41)</f>
        <v>319.41000000000003</v>
      </c>
      <c r="D253" s="3">
        <f ca="1">IFERROR(__xludf.DUMMYFUNCTION("""COMPUTED_VALUE"""),73.95)</f>
        <v>73.95</v>
      </c>
      <c r="E253" s="3">
        <f ca="1">IFERROR(__xludf.DUMMYFUNCTION("""COMPUTED_VALUE"""),115.99)</f>
        <v>115.99</v>
      </c>
      <c r="F253" s="3">
        <f ca="1">IFERROR(__xludf.DUMMYFUNCTION("""COMPUTED_VALUE"""),44.05)</f>
        <v>44.05</v>
      </c>
      <c r="G253" s="3">
        <f ca="1">IFERROR(__xludf.DUMMYFUNCTION("""COMPUTED_VALUE"""),20.55)</f>
        <v>20.55</v>
      </c>
      <c r="H253" s="3">
        <f ca="1">IFERROR(__xludf.DUMMYFUNCTION("""COMPUTED_VALUE"""),23.91)</f>
        <v>23.91</v>
      </c>
      <c r="I253" s="3">
        <f ca="1">IFERROR(__xludf.DUMMYFUNCTION("""COMPUTED_VALUE"""),135.85)</f>
        <v>135.85</v>
      </c>
      <c r="J253" s="3">
        <f ca="1">IFERROR(__xludf.DUMMYFUNCTION("""COMPUTED_VALUE"""),248.05)</f>
        <v>248.05</v>
      </c>
      <c r="K253" s="3">
        <f ca="1">IFERROR(__xludf.DUMMYFUNCTION("""COMPUTED_VALUE"""),131.29)</f>
        <v>131.29</v>
      </c>
      <c r="L253" s="3">
        <f ca="1">IFERROR(__xludf.DUMMYFUNCTION("""COMPUTED_VALUE"""),83)</f>
        <v>83</v>
      </c>
      <c r="M253" s="3">
        <f ca="1">IFERROR(__xludf.DUMMYFUNCTION("""COMPUTED_VALUE"""),63.5)</f>
        <v>63.5</v>
      </c>
      <c r="N253" s="3">
        <f ca="1">IFERROR(__xludf.DUMMYFUNCTION("""COMPUTED_VALUE"""),63.98)</f>
        <v>63.98</v>
      </c>
      <c r="O253" s="3">
        <f ca="1">IFERROR(__xludf.DUMMYFUNCTION("""COMPUTED_VALUE"""),50.6)</f>
        <v>50.6</v>
      </c>
      <c r="P253" s="3">
        <f ca="1">IFERROR(__xludf.DUMMYFUNCTION("""COMPUTED_VALUE"""),87.47)</f>
        <v>87.47</v>
      </c>
      <c r="Q253" s="3">
        <f ca="1">IFERROR(__xludf.DUMMYFUNCTION("""COMPUTED_VALUE"""),121.28)</f>
        <v>121.28</v>
      </c>
      <c r="R253" s="3">
        <f ca="1">IFERROR(__xludf.DUMMYFUNCTION("""COMPUTED_VALUE"""),77.68)</f>
        <v>77.680000000000007</v>
      </c>
      <c r="S253" s="3">
        <f ca="1">IFERROR(__xludf.DUMMYFUNCTION("""COMPUTED_VALUE"""),49.81)</f>
        <v>49.81</v>
      </c>
      <c r="T253" s="3">
        <f ca="1">IFERROR(__xludf.DUMMYFUNCTION("""COMPUTED_VALUE"""),24.65)</f>
        <v>24.65</v>
      </c>
      <c r="U253" s="3">
        <f ca="1">IFERROR(__xludf.DUMMYFUNCTION("""COMPUTED_VALUE"""),70.11)</f>
        <v>70.11</v>
      </c>
      <c r="V253" s="3">
        <f ca="1">IFERROR(__xludf.DUMMYFUNCTION("""COMPUTED_VALUE"""),72.94)</f>
        <v>72.94</v>
      </c>
      <c r="W253" s="3">
        <f ca="1">IFERROR(__xludf.DUMMYFUNCTION("""COMPUTED_VALUE"""),34.2)</f>
        <v>34.200000000000003</v>
      </c>
      <c r="X253" s="3">
        <f ca="1">IFERROR(__xludf.DUMMYFUNCTION("""COMPUTED_VALUE"""),82.73)</f>
        <v>82.73</v>
      </c>
      <c r="Y253" s="3">
        <f ca="1">IFERROR(__xludf.DUMMYFUNCTION("""COMPUTED_VALUE"""),45.15)</f>
        <v>45.15</v>
      </c>
      <c r="Z253" s="3">
        <f ca="1">IFERROR(__xludf.DUMMYFUNCTION("""COMPUTED_VALUE"""),75.47)</f>
        <v>75.47</v>
      </c>
      <c r="AA253" s="3">
        <f ca="1">IFERROR(__xludf.DUMMYFUNCTION("""COMPUTED_VALUE"""),36.93)</f>
        <v>36.93</v>
      </c>
      <c r="AB253" s="3">
        <f ca="1">IFERROR(__xludf.DUMMYFUNCTION("""COMPUTED_VALUE"""),58.74)</f>
        <v>58.74</v>
      </c>
      <c r="AC253" s="3">
        <f ca="1">IFERROR(__xludf.DUMMYFUNCTION("""COMPUTED_VALUE"""),52.64)</f>
        <v>52.64</v>
      </c>
      <c r="AD253" s="3">
        <f ca="1">IFERROR(__xludf.DUMMYFUNCTION("""COMPUTED_VALUE"""),6.61)</f>
        <v>6.61</v>
      </c>
      <c r="AE253" s="3">
        <f ca="1">IFERROR(__xludf.DUMMYFUNCTION("""COMPUTED_VALUE"""),10.43)</f>
        <v>10.43</v>
      </c>
      <c r="AF253" s="3">
        <f ca="1">IFERROR(__xludf.DUMMYFUNCTION("""COMPUTED_VALUE"""),1.43)</f>
        <v>1.43</v>
      </c>
      <c r="AG253" s="3">
        <f ca="1">IFERROR(__xludf.DUMMYFUNCTION("""COMPUTED_VALUE"""),12.88)</f>
        <v>12.88</v>
      </c>
    </row>
    <row r="254" spans="1:33" ht="12.75" x14ac:dyDescent="0.2">
      <c r="A254" s="4">
        <f ca="1">IFERROR(__xludf.DUMMYFUNCTION("""COMPUTED_VALUE"""),44929.6666666666)</f>
        <v>44929.666666666599</v>
      </c>
      <c r="B254" s="3">
        <f ca="1">IFERROR(__xludf.DUMMYFUNCTION("""COMPUTED_VALUE"""),123.26)</f>
        <v>123.26</v>
      </c>
      <c r="C254" s="3">
        <f ca="1">IFERROR(__xludf.DUMMYFUNCTION("""COMPUTED_VALUE"""),316.35)</f>
        <v>316.35000000000002</v>
      </c>
      <c r="D254" s="3">
        <f ca="1">IFERROR(__xludf.DUMMYFUNCTION("""COMPUTED_VALUE"""),74.18)</f>
        <v>74.180000000000007</v>
      </c>
      <c r="E254" s="3">
        <f ca="1">IFERROR(__xludf.DUMMYFUNCTION("""COMPUTED_VALUE"""),114.86)</f>
        <v>114.86</v>
      </c>
      <c r="F254" s="3">
        <f ca="1">IFERROR(__xludf.DUMMYFUNCTION("""COMPUTED_VALUE"""),43.94)</f>
        <v>43.94</v>
      </c>
      <c r="G254" s="3">
        <f ca="1">IFERROR(__xludf.DUMMYFUNCTION("""COMPUTED_VALUE"""),20.65)</f>
        <v>20.65</v>
      </c>
      <c r="H254" s="3">
        <f ca="1">IFERROR(__xludf.DUMMYFUNCTION("""COMPUTED_VALUE"""),23.77)</f>
        <v>23.77</v>
      </c>
      <c r="I254" s="3">
        <f ca="1">IFERROR(__xludf.DUMMYFUNCTION("""COMPUTED_VALUE"""),135.46)</f>
        <v>135.46</v>
      </c>
      <c r="J254" s="3">
        <f ca="1">IFERROR(__xludf.DUMMYFUNCTION("""COMPUTED_VALUE"""),247.03)</f>
        <v>247.03</v>
      </c>
      <c r="K254" s="3">
        <f ca="1">IFERROR(__xludf.DUMMYFUNCTION("""COMPUTED_VALUE"""),130.04)</f>
        <v>130.04</v>
      </c>
      <c r="L254" s="3">
        <f ca="1">IFERROR(__xludf.DUMMYFUNCTION("""COMPUTED_VALUE"""),81.53)</f>
        <v>81.53</v>
      </c>
      <c r="M254" s="3">
        <f ca="1">IFERROR(__xludf.DUMMYFUNCTION("""COMPUTED_VALUE"""),62.96)</f>
        <v>62.96</v>
      </c>
      <c r="N254" s="3">
        <f ca="1">IFERROR(__xludf.DUMMYFUNCTION("""COMPUTED_VALUE"""),63.76)</f>
        <v>63.76</v>
      </c>
      <c r="O254" s="3">
        <f ca="1">IFERROR(__xludf.DUMMYFUNCTION("""COMPUTED_VALUE"""),50.08)</f>
        <v>50.08</v>
      </c>
      <c r="P254" s="3">
        <f ca="1">IFERROR(__xludf.DUMMYFUNCTION("""COMPUTED_VALUE"""),84.4)</f>
        <v>84.4</v>
      </c>
      <c r="Q254" s="3">
        <f ca="1">IFERROR(__xludf.DUMMYFUNCTION("""COMPUTED_VALUE"""),116.47)</f>
        <v>116.47</v>
      </c>
      <c r="R254" s="3">
        <f ca="1">IFERROR(__xludf.DUMMYFUNCTION("""COMPUTED_VALUE"""),77.6)</f>
        <v>77.599999999999994</v>
      </c>
      <c r="S254" s="3">
        <f ca="1">IFERROR(__xludf.DUMMYFUNCTION("""COMPUTED_VALUE"""),49.12)</f>
        <v>49.12</v>
      </c>
      <c r="T254" s="3">
        <f ca="1">IFERROR(__xludf.DUMMYFUNCTION("""COMPUTED_VALUE"""),24.06)</f>
        <v>24.06</v>
      </c>
      <c r="U254" s="3">
        <f ca="1">IFERROR(__xludf.DUMMYFUNCTION("""COMPUTED_VALUE"""),67.64)</f>
        <v>67.64</v>
      </c>
      <c r="V254" s="3">
        <f ca="1">IFERROR(__xludf.DUMMYFUNCTION("""COMPUTED_VALUE"""),72.17)</f>
        <v>72.17</v>
      </c>
      <c r="W254" s="3">
        <f ca="1">IFERROR(__xludf.DUMMYFUNCTION("""COMPUTED_VALUE"""),34.32)</f>
        <v>34.32</v>
      </c>
      <c r="X254" s="3">
        <f ca="1">IFERROR(__xludf.DUMMYFUNCTION("""COMPUTED_VALUE"""),82.99)</f>
        <v>82.99</v>
      </c>
      <c r="Y254" s="3">
        <f ca="1">IFERROR(__xludf.DUMMYFUNCTION("""COMPUTED_VALUE"""),44.97)</f>
        <v>44.97</v>
      </c>
      <c r="Z254" s="3">
        <f ca="1">IFERROR(__xludf.DUMMYFUNCTION("""COMPUTED_VALUE"""),75.72)</f>
        <v>75.72</v>
      </c>
      <c r="AA254" s="3">
        <f ca="1">IFERROR(__xludf.DUMMYFUNCTION("""COMPUTED_VALUE"""),37.07)</f>
        <v>37.07</v>
      </c>
      <c r="AB254" s="3">
        <f ca="1">IFERROR(__xludf.DUMMYFUNCTION("""COMPUTED_VALUE"""),58.33)</f>
        <v>58.33</v>
      </c>
      <c r="AC254" s="3">
        <f ca="1">IFERROR(__xludf.DUMMYFUNCTION("""COMPUTED_VALUE"""),53.61)</f>
        <v>53.61</v>
      </c>
      <c r="AD254" s="3">
        <f ca="1">IFERROR(__xludf.DUMMYFUNCTION("""COMPUTED_VALUE"""),6.62)</f>
        <v>6.62</v>
      </c>
      <c r="AE254" s="3">
        <f ca="1">IFERROR(__xludf.DUMMYFUNCTION("""COMPUTED_VALUE"""),10.49)</f>
        <v>10.49</v>
      </c>
      <c r="AF254" s="3">
        <f ca="1">IFERROR(__xludf.DUMMYFUNCTION("""COMPUTED_VALUE"""),1.43)</f>
        <v>1.43</v>
      </c>
      <c r="AG254" s="3">
        <f ca="1">IFERROR(__xludf.DUMMYFUNCTION("""COMPUTED_VALUE"""),12.74)</f>
        <v>12.74</v>
      </c>
    </row>
    <row r="255" spans="1:33" ht="12.75" x14ac:dyDescent="0.2">
      <c r="A255" s="4">
        <f ca="1">IFERROR(__xludf.DUMMYFUNCTION("""COMPUTED_VALUE"""),44930.6666666666)</f>
        <v>44930.666666666599</v>
      </c>
      <c r="B255" s="3">
        <f ca="1">IFERROR(__xludf.DUMMYFUNCTION("""COMPUTED_VALUE"""),123.58)</f>
        <v>123.58</v>
      </c>
      <c r="C255" s="3">
        <f ca="1">IFERROR(__xludf.DUMMYFUNCTION("""COMPUTED_VALUE"""),317.72)</f>
        <v>317.72000000000003</v>
      </c>
      <c r="D255" s="3">
        <f ca="1">IFERROR(__xludf.DUMMYFUNCTION("""COMPUTED_VALUE"""),72.54)</f>
        <v>72.540000000000006</v>
      </c>
      <c r="E255" s="3">
        <f ca="1">IFERROR(__xludf.DUMMYFUNCTION("""COMPUTED_VALUE"""),117.82)</f>
        <v>117.82</v>
      </c>
      <c r="F255" s="3">
        <f ca="1">IFERROR(__xludf.DUMMYFUNCTION("""COMPUTED_VALUE"""),44.11)</f>
        <v>44.11</v>
      </c>
      <c r="G255" s="3">
        <f ca="1">IFERROR(__xludf.DUMMYFUNCTION("""COMPUTED_VALUE"""),20.96)</f>
        <v>20.96</v>
      </c>
      <c r="H255" s="3">
        <f ca="1">IFERROR(__xludf.DUMMYFUNCTION("""COMPUTED_VALUE"""),24.25)</f>
        <v>24.25</v>
      </c>
      <c r="I255" s="3">
        <f ca="1">IFERROR(__xludf.DUMMYFUNCTION("""COMPUTED_VALUE"""),135.82)</f>
        <v>135.82</v>
      </c>
      <c r="J255" s="3">
        <f ca="1">IFERROR(__xludf.DUMMYFUNCTION("""COMPUTED_VALUE"""),248.11)</f>
        <v>248.11</v>
      </c>
      <c r="K255" s="3">
        <f ca="1">IFERROR(__xludf.DUMMYFUNCTION("""COMPUTED_VALUE"""),131.71)</f>
        <v>131.71</v>
      </c>
      <c r="L255" s="3">
        <f ca="1">IFERROR(__xludf.DUMMYFUNCTION("""COMPUTED_VALUE"""),83.24)</f>
        <v>83.24</v>
      </c>
      <c r="M255" s="3">
        <f ca="1">IFERROR(__xludf.DUMMYFUNCTION("""COMPUTED_VALUE"""),64.09)</f>
        <v>64.09</v>
      </c>
      <c r="N255" s="3">
        <f ca="1">IFERROR(__xludf.DUMMYFUNCTION("""COMPUTED_VALUE"""),64.03)</f>
        <v>64.03</v>
      </c>
      <c r="O255" s="3">
        <f ca="1">IFERROR(__xludf.DUMMYFUNCTION("""COMPUTED_VALUE"""),51.38)</f>
        <v>51.38</v>
      </c>
      <c r="P255" s="3">
        <f ca="1">IFERROR(__xludf.DUMMYFUNCTION("""COMPUTED_VALUE"""),84.39)</f>
        <v>84.39</v>
      </c>
      <c r="Q255" s="3">
        <f ca="1">IFERROR(__xludf.DUMMYFUNCTION("""COMPUTED_VALUE"""),116.68)</f>
        <v>116.68</v>
      </c>
      <c r="R255" s="3">
        <f ca="1">IFERROR(__xludf.DUMMYFUNCTION("""COMPUTED_VALUE"""),78.95)</f>
        <v>78.95</v>
      </c>
      <c r="S255" s="3">
        <f ca="1">IFERROR(__xludf.DUMMYFUNCTION("""COMPUTED_VALUE"""),50.33)</f>
        <v>50.33</v>
      </c>
      <c r="T255" s="3">
        <f ca="1">IFERROR(__xludf.DUMMYFUNCTION("""COMPUTED_VALUE"""),23.63)</f>
        <v>23.63</v>
      </c>
      <c r="U255" s="3">
        <f ca="1">IFERROR(__xludf.DUMMYFUNCTION("""COMPUTED_VALUE"""),64.3)</f>
        <v>64.3</v>
      </c>
      <c r="V255" s="3">
        <f ca="1">IFERROR(__xludf.DUMMYFUNCTION("""COMPUTED_VALUE"""),73.3)</f>
        <v>73.3</v>
      </c>
      <c r="W255" s="3">
        <f ca="1">IFERROR(__xludf.DUMMYFUNCTION("""COMPUTED_VALUE"""),34.87)</f>
        <v>34.869999999999997</v>
      </c>
      <c r="X255" s="3">
        <f ca="1">IFERROR(__xludf.DUMMYFUNCTION("""COMPUTED_VALUE"""),84.24)</f>
        <v>84.24</v>
      </c>
      <c r="Y255" s="3">
        <f ca="1">IFERROR(__xludf.DUMMYFUNCTION("""COMPUTED_VALUE"""),45.48)</f>
        <v>45.48</v>
      </c>
      <c r="Z255" s="3">
        <f ca="1">IFERROR(__xludf.DUMMYFUNCTION("""COMPUTED_VALUE"""),76.9)</f>
        <v>76.900000000000006</v>
      </c>
      <c r="AA255" s="3">
        <f ca="1">IFERROR(__xludf.DUMMYFUNCTION("""COMPUTED_VALUE"""),37.92)</f>
        <v>37.92</v>
      </c>
      <c r="AB255" s="3">
        <f ca="1">IFERROR(__xludf.DUMMYFUNCTION("""COMPUTED_VALUE"""),59.12)</f>
        <v>59.12</v>
      </c>
      <c r="AC255" s="3">
        <f ca="1">IFERROR(__xludf.DUMMYFUNCTION("""COMPUTED_VALUE"""),53.08)</f>
        <v>53.08</v>
      </c>
      <c r="AD255" s="3">
        <f ca="1">IFERROR(__xludf.DUMMYFUNCTION("""COMPUTED_VALUE"""),6.69)</f>
        <v>6.69</v>
      </c>
      <c r="AE255" s="3">
        <f ca="1">IFERROR(__xludf.DUMMYFUNCTION("""COMPUTED_VALUE"""),10.59)</f>
        <v>10.59</v>
      </c>
      <c r="AF255" s="3">
        <f ca="1">IFERROR(__xludf.DUMMYFUNCTION("""COMPUTED_VALUE"""),1.61)</f>
        <v>1.61</v>
      </c>
      <c r="AG255" s="3">
        <f ca="1">IFERROR(__xludf.DUMMYFUNCTION("""COMPUTED_VALUE"""),14.22)</f>
        <v>14.22</v>
      </c>
    </row>
    <row r="256" spans="1:33" ht="12.75" x14ac:dyDescent="0.2">
      <c r="A256" s="4">
        <f ca="1">IFERROR(__xludf.DUMMYFUNCTION("""COMPUTED_VALUE"""),44931.6666666666)</f>
        <v>44931.666666666599</v>
      </c>
      <c r="B256" s="3">
        <f ca="1">IFERROR(__xludf.DUMMYFUNCTION("""COMPUTED_VALUE"""),121.18)</f>
        <v>121.18</v>
      </c>
      <c r="C256" s="3">
        <f ca="1">IFERROR(__xludf.DUMMYFUNCTION("""COMPUTED_VALUE"""),311.14)</f>
        <v>311.14</v>
      </c>
      <c r="D256" s="3">
        <f ca="1">IFERROR(__xludf.DUMMYFUNCTION("""COMPUTED_VALUE"""),74.47)</f>
        <v>74.47</v>
      </c>
      <c r="E256" s="3">
        <f ca="1">IFERROR(__xludf.DUMMYFUNCTION("""COMPUTED_VALUE"""),115.83)</f>
        <v>115.83</v>
      </c>
      <c r="F256" s="3">
        <f ca="1">IFERROR(__xludf.DUMMYFUNCTION("""COMPUTED_VALUE"""),42.66)</f>
        <v>42.66</v>
      </c>
      <c r="G256" s="3">
        <f ca="1">IFERROR(__xludf.DUMMYFUNCTION("""COMPUTED_VALUE"""),20.65)</f>
        <v>20.65</v>
      </c>
      <c r="H256" s="3">
        <f ca="1">IFERROR(__xludf.DUMMYFUNCTION("""COMPUTED_VALUE"""),24.04)</f>
        <v>24.04</v>
      </c>
      <c r="I256" s="3">
        <f ca="1">IFERROR(__xludf.DUMMYFUNCTION("""COMPUTED_VALUE"""),134.43)</f>
        <v>134.43</v>
      </c>
      <c r="J256" s="3">
        <f ca="1">IFERROR(__xludf.DUMMYFUNCTION("""COMPUTED_VALUE"""),245.86)</f>
        <v>245.86</v>
      </c>
      <c r="K256" s="3">
        <f ca="1">IFERROR(__xludf.DUMMYFUNCTION("""COMPUTED_VALUE"""),131.82)</f>
        <v>131.82</v>
      </c>
      <c r="L256" s="3">
        <f ca="1">IFERROR(__xludf.DUMMYFUNCTION("""COMPUTED_VALUE"""),82.52)</f>
        <v>82.52</v>
      </c>
      <c r="M256" s="3">
        <f ca="1">IFERROR(__xludf.DUMMYFUNCTION("""COMPUTED_VALUE"""),63.78)</f>
        <v>63.78</v>
      </c>
      <c r="N256" s="3">
        <f ca="1">IFERROR(__xludf.DUMMYFUNCTION("""COMPUTED_VALUE"""),63.41)</f>
        <v>63.41</v>
      </c>
      <c r="O256" s="3">
        <f ca="1">IFERROR(__xludf.DUMMYFUNCTION("""COMPUTED_VALUE"""),51.24)</f>
        <v>51.24</v>
      </c>
      <c r="P256" s="3">
        <f ca="1">IFERROR(__xludf.DUMMYFUNCTION("""COMPUTED_VALUE"""),85.93)</f>
        <v>85.93</v>
      </c>
      <c r="Q256" s="3">
        <f ca="1">IFERROR(__xludf.DUMMYFUNCTION("""COMPUTED_VALUE"""),118.63)</f>
        <v>118.63</v>
      </c>
      <c r="R256" s="3">
        <f ca="1">IFERROR(__xludf.DUMMYFUNCTION("""COMPUTED_VALUE"""),77.7)</f>
        <v>77.7</v>
      </c>
      <c r="S256" s="3">
        <f ca="1">IFERROR(__xludf.DUMMYFUNCTION("""COMPUTED_VALUE"""),50.6)</f>
        <v>50.6</v>
      </c>
      <c r="T256" s="3">
        <f ca="1">IFERROR(__xludf.DUMMYFUNCTION("""COMPUTED_VALUE"""),23.51)</f>
        <v>23.51</v>
      </c>
      <c r="U256" s="3">
        <f ca="1">IFERROR(__xludf.DUMMYFUNCTION("""COMPUTED_VALUE"""),64.78)</f>
        <v>64.78</v>
      </c>
      <c r="V256" s="3">
        <f ca="1">IFERROR(__xludf.DUMMYFUNCTION("""COMPUTED_VALUE"""),70.91)</f>
        <v>70.91</v>
      </c>
      <c r="W256" s="3">
        <f ca="1">IFERROR(__xludf.DUMMYFUNCTION("""COMPUTED_VALUE"""),34.61)</f>
        <v>34.61</v>
      </c>
      <c r="X256" s="3">
        <f ca="1">IFERROR(__xludf.DUMMYFUNCTION("""COMPUTED_VALUE"""),83.53)</f>
        <v>83.53</v>
      </c>
      <c r="Y256" s="3">
        <f ca="1">IFERROR(__xludf.DUMMYFUNCTION("""COMPUTED_VALUE"""),45.04)</f>
        <v>45.04</v>
      </c>
      <c r="Z256" s="3">
        <f ca="1">IFERROR(__xludf.DUMMYFUNCTION("""COMPUTED_VALUE"""),76.28)</f>
        <v>76.28</v>
      </c>
      <c r="AA256" s="3">
        <f ca="1">IFERROR(__xludf.DUMMYFUNCTION("""COMPUTED_VALUE"""),36.81)</f>
        <v>36.81</v>
      </c>
      <c r="AB256" s="3">
        <f ca="1">IFERROR(__xludf.DUMMYFUNCTION("""COMPUTED_VALUE"""),58)</f>
        <v>58</v>
      </c>
      <c r="AC256" s="3">
        <f ca="1">IFERROR(__xludf.DUMMYFUNCTION("""COMPUTED_VALUE"""),54.49)</f>
        <v>54.49</v>
      </c>
      <c r="AD256" s="3">
        <f ca="1">IFERROR(__xludf.DUMMYFUNCTION("""COMPUTED_VALUE"""),6.72)</f>
        <v>6.72</v>
      </c>
      <c r="AE256" s="3">
        <f ca="1">IFERROR(__xludf.DUMMYFUNCTION("""COMPUTED_VALUE"""),10.64)</f>
        <v>10.64</v>
      </c>
      <c r="AF256" s="3">
        <f ca="1">IFERROR(__xludf.DUMMYFUNCTION("""COMPUTED_VALUE"""),1.52)</f>
        <v>1.52</v>
      </c>
      <c r="AG256" s="3">
        <f ca="1">IFERROR(__xludf.DUMMYFUNCTION("""COMPUTED_VALUE"""),13.96)</f>
        <v>13.96</v>
      </c>
    </row>
    <row r="257" spans="1:33" ht="12.75" x14ac:dyDescent="0.2">
      <c r="A257" s="4">
        <f ca="1">IFERROR(__xludf.DUMMYFUNCTION("""COMPUTED_VALUE"""),44932.6666666666)</f>
        <v>44932.666666666599</v>
      </c>
      <c r="B257" s="3">
        <f ca="1">IFERROR(__xludf.DUMMYFUNCTION("""COMPUTED_VALUE"""),124.73)</f>
        <v>124.73</v>
      </c>
      <c r="C257" s="3">
        <f ca="1">IFERROR(__xludf.DUMMYFUNCTION("""COMPUTED_VALUE"""),320.04)</f>
        <v>320.04000000000002</v>
      </c>
      <c r="D257" s="3">
        <f ca="1">IFERROR(__xludf.DUMMYFUNCTION("""COMPUTED_VALUE"""),75.48)</f>
        <v>75.48</v>
      </c>
      <c r="E257" s="3">
        <f ca="1">IFERROR(__xludf.DUMMYFUNCTION("""COMPUTED_VALUE"""),121.22)</f>
        <v>121.22</v>
      </c>
      <c r="F257" s="3">
        <f ca="1">IFERROR(__xludf.DUMMYFUNCTION("""COMPUTED_VALUE"""),43.14)</f>
        <v>43.14</v>
      </c>
      <c r="G257" s="3">
        <f ca="1">IFERROR(__xludf.DUMMYFUNCTION("""COMPUTED_VALUE"""),21.24)</f>
        <v>21.24</v>
      </c>
      <c r="H257" s="3">
        <f ca="1">IFERROR(__xludf.DUMMYFUNCTION("""COMPUTED_VALUE"""),24.46)</f>
        <v>24.46</v>
      </c>
      <c r="I257" s="3">
        <f ca="1">IFERROR(__xludf.DUMMYFUNCTION("""COMPUTED_VALUE"""),135.67)</f>
        <v>135.66999999999999</v>
      </c>
      <c r="J257" s="3">
        <f ca="1">IFERROR(__xludf.DUMMYFUNCTION("""COMPUTED_VALUE"""),247.93)</f>
        <v>247.93</v>
      </c>
      <c r="K257" s="3">
        <f ca="1">IFERROR(__xludf.DUMMYFUNCTION("""COMPUTED_VALUE"""),133.14)</f>
        <v>133.13999999999999</v>
      </c>
      <c r="L257" s="3">
        <f ca="1">IFERROR(__xludf.DUMMYFUNCTION("""COMPUTED_VALUE"""),83.16)</f>
        <v>83.16</v>
      </c>
      <c r="M257" s="3">
        <f ca="1">IFERROR(__xludf.DUMMYFUNCTION("""COMPUTED_VALUE"""),64.79)</f>
        <v>64.790000000000006</v>
      </c>
      <c r="N257" s="3">
        <f ca="1">IFERROR(__xludf.DUMMYFUNCTION("""COMPUTED_VALUE"""),63.96)</f>
        <v>63.96</v>
      </c>
      <c r="O257" s="3">
        <f ca="1">IFERROR(__xludf.DUMMYFUNCTION("""COMPUTED_VALUE"""),51.16)</f>
        <v>51.16</v>
      </c>
      <c r="P257" s="3">
        <f ca="1">IFERROR(__xludf.DUMMYFUNCTION("""COMPUTED_VALUE"""),87.56)</f>
        <v>87.56</v>
      </c>
      <c r="Q257" s="3">
        <f ca="1">IFERROR(__xludf.DUMMYFUNCTION("""COMPUTED_VALUE"""),120.64)</f>
        <v>120.64</v>
      </c>
      <c r="R257" s="3">
        <f ca="1">IFERROR(__xludf.DUMMYFUNCTION("""COMPUTED_VALUE"""),80.37)</f>
        <v>80.37</v>
      </c>
      <c r="S257" s="3">
        <f ca="1">IFERROR(__xludf.DUMMYFUNCTION("""COMPUTED_VALUE"""),52.87)</f>
        <v>52.87</v>
      </c>
      <c r="T257" s="3">
        <f ca="1">IFERROR(__xludf.DUMMYFUNCTION("""COMPUTED_VALUE"""),23.64)</f>
        <v>23.64</v>
      </c>
      <c r="U257" s="3">
        <f ca="1">IFERROR(__xludf.DUMMYFUNCTION("""COMPUTED_VALUE"""),64.83)</f>
        <v>64.83</v>
      </c>
      <c r="V257" s="3">
        <f ca="1">IFERROR(__xludf.DUMMYFUNCTION("""COMPUTED_VALUE"""),73.87)</f>
        <v>73.87</v>
      </c>
      <c r="W257" s="3">
        <f ca="1">IFERROR(__xludf.DUMMYFUNCTION("""COMPUTED_VALUE"""),35.38)</f>
        <v>35.380000000000003</v>
      </c>
      <c r="X257" s="3">
        <f ca="1">IFERROR(__xludf.DUMMYFUNCTION("""COMPUTED_VALUE"""),85.55)</f>
        <v>85.55</v>
      </c>
      <c r="Y257" s="3">
        <f ca="1">IFERROR(__xludf.DUMMYFUNCTION("""COMPUTED_VALUE"""),46.25)</f>
        <v>46.25</v>
      </c>
      <c r="Z257" s="3">
        <f ca="1">IFERROR(__xludf.DUMMYFUNCTION("""COMPUTED_VALUE"""),78.05)</f>
        <v>78.05</v>
      </c>
      <c r="AA257" s="3">
        <f ca="1">IFERROR(__xludf.DUMMYFUNCTION("""COMPUTED_VALUE"""),37.88)</f>
        <v>37.880000000000003</v>
      </c>
      <c r="AB257" s="3">
        <f ca="1">IFERROR(__xludf.DUMMYFUNCTION("""COMPUTED_VALUE"""),59.7)</f>
        <v>59.7</v>
      </c>
      <c r="AC257" s="3">
        <f ca="1">IFERROR(__xludf.DUMMYFUNCTION("""COMPUTED_VALUE"""),54.65)</f>
        <v>54.65</v>
      </c>
      <c r="AD257" s="3">
        <f ca="1">IFERROR(__xludf.DUMMYFUNCTION("""COMPUTED_VALUE"""),6.74)</f>
        <v>6.74</v>
      </c>
      <c r="AE257" s="3">
        <f ca="1">IFERROR(__xludf.DUMMYFUNCTION("""COMPUTED_VALUE"""),10.67)</f>
        <v>10.67</v>
      </c>
      <c r="AF257" s="3">
        <f ca="1">IFERROR(__xludf.DUMMYFUNCTION("""COMPUTED_VALUE"""),1.54)</f>
        <v>1.54</v>
      </c>
      <c r="AG257" s="3">
        <f ca="1">IFERROR(__xludf.DUMMYFUNCTION("""COMPUTED_VALUE"""),14.14)</f>
        <v>14.14</v>
      </c>
    </row>
    <row r="258" spans="1:33" ht="12.75" x14ac:dyDescent="0.2">
      <c r="A258" s="4">
        <f ca="1">IFERROR(__xludf.DUMMYFUNCTION("""COMPUTED_VALUE"""),44935.6666666666)</f>
        <v>44935.666666666599</v>
      </c>
      <c r="B258" s="3">
        <f ca="1">IFERROR(__xludf.DUMMYFUNCTION("""COMPUTED_VALUE"""),126.18)</f>
        <v>126.18</v>
      </c>
      <c r="C258" s="3">
        <f ca="1">IFERROR(__xludf.DUMMYFUNCTION("""COMPUTED_VALUE"""),324.05)</f>
        <v>324.05</v>
      </c>
      <c r="D258" s="3">
        <f ca="1">IFERROR(__xludf.DUMMYFUNCTION("""COMPUTED_VALUE"""),76.01)</f>
        <v>76.010000000000005</v>
      </c>
      <c r="E258" s="3">
        <f ca="1">IFERROR(__xludf.DUMMYFUNCTION("""COMPUTED_VALUE"""),123.46)</f>
        <v>123.46</v>
      </c>
      <c r="F258" s="3">
        <f ca="1">IFERROR(__xludf.DUMMYFUNCTION("""COMPUTED_VALUE"""),43.13)</f>
        <v>43.13</v>
      </c>
      <c r="G258" s="3">
        <f ca="1">IFERROR(__xludf.DUMMYFUNCTION("""COMPUTED_VALUE"""),21.57)</f>
        <v>21.57</v>
      </c>
      <c r="H258" s="3">
        <f ca="1">IFERROR(__xludf.DUMMYFUNCTION("""COMPUTED_VALUE"""),24.6)</f>
        <v>24.6</v>
      </c>
      <c r="I258" s="3">
        <f ca="1">IFERROR(__xludf.DUMMYFUNCTION("""COMPUTED_VALUE"""),133.4)</f>
        <v>133.4</v>
      </c>
      <c r="J258" s="3">
        <f ca="1">IFERROR(__xludf.DUMMYFUNCTION("""COMPUTED_VALUE"""),244.05)</f>
        <v>244.05</v>
      </c>
      <c r="K258" s="3">
        <f ca="1">IFERROR(__xludf.DUMMYFUNCTION("""COMPUTED_VALUE"""),130.28)</f>
        <v>130.28</v>
      </c>
      <c r="L258" s="3">
        <f ca="1">IFERROR(__xludf.DUMMYFUNCTION("""COMPUTED_VALUE"""),81.27)</f>
        <v>81.27</v>
      </c>
      <c r="M258" s="3">
        <f ca="1">IFERROR(__xludf.DUMMYFUNCTION("""COMPUTED_VALUE"""),63.09)</f>
        <v>63.09</v>
      </c>
      <c r="N258" s="3">
        <f ca="1">IFERROR(__xludf.DUMMYFUNCTION("""COMPUTED_VALUE"""),62.98)</f>
        <v>62.98</v>
      </c>
      <c r="O258" s="3">
        <f ca="1">IFERROR(__xludf.DUMMYFUNCTION("""COMPUTED_VALUE"""),50.36)</f>
        <v>50.36</v>
      </c>
      <c r="P258" s="3">
        <f ca="1">IFERROR(__xludf.DUMMYFUNCTION("""COMPUTED_VALUE"""),87.25)</f>
        <v>87.25</v>
      </c>
      <c r="Q258" s="3">
        <f ca="1">IFERROR(__xludf.DUMMYFUNCTION("""COMPUTED_VALUE"""),120.43)</f>
        <v>120.43</v>
      </c>
      <c r="R258" s="3">
        <f ca="1">IFERROR(__xludf.DUMMYFUNCTION("""COMPUTED_VALUE"""),80.88)</f>
        <v>80.88</v>
      </c>
      <c r="S258" s="3">
        <f ca="1">IFERROR(__xludf.DUMMYFUNCTION("""COMPUTED_VALUE"""),52.79)</f>
        <v>52.79</v>
      </c>
      <c r="T258" s="3">
        <f ca="1">IFERROR(__xludf.DUMMYFUNCTION("""COMPUTED_VALUE"""),23.92)</f>
        <v>23.92</v>
      </c>
      <c r="U258" s="3">
        <f ca="1">IFERROR(__xludf.DUMMYFUNCTION("""COMPUTED_VALUE"""),65.88)</f>
        <v>65.88</v>
      </c>
      <c r="V258" s="3">
        <f ca="1">IFERROR(__xludf.DUMMYFUNCTION("""COMPUTED_VALUE"""),74.71)</f>
        <v>74.709999999999994</v>
      </c>
      <c r="W258" s="3">
        <f ca="1">IFERROR(__xludf.DUMMYFUNCTION("""COMPUTED_VALUE"""),35.25)</f>
        <v>35.25</v>
      </c>
      <c r="X258" s="3">
        <f ca="1">IFERROR(__xludf.DUMMYFUNCTION("""COMPUTED_VALUE"""),85.24)</f>
        <v>85.24</v>
      </c>
      <c r="Y258" s="3">
        <f ca="1">IFERROR(__xludf.DUMMYFUNCTION("""COMPUTED_VALUE"""),45.96)</f>
        <v>45.96</v>
      </c>
      <c r="Z258" s="3">
        <f ca="1">IFERROR(__xludf.DUMMYFUNCTION("""COMPUTED_VALUE"""),77.84)</f>
        <v>77.84</v>
      </c>
      <c r="AA258" s="3">
        <f ca="1">IFERROR(__xludf.DUMMYFUNCTION("""COMPUTED_VALUE"""),37.86)</f>
        <v>37.86</v>
      </c>
      <c r="AB258" s="3">
        <f ca="1">IFERROR(__xludf.DUMMYFUNCTION("""COMPUTED_VALUE"""),59.16)</f>
        <v>59.16</v>
      </c>
      <c r="AC258" s="3">
        <f ca="1">IFERROR(__xludf.DUMMYFUNCTION("""COMPUTED_VALUE"""),55.06)</f>
        <v>55.06</v>
      </c>
      <c r="AD258" s="3">
        <f ca="1">IFERROR(__xludf.DUMMYFUNCTION("""COMPUTED_VALUE"""),6.87)</f>
        <v>6.87</v>
      </c>
      <c r="AE258" s="3">
        <f ca="1">IFERROR(__xludf.DUMMYFUNCTION("""COMPUTED_VALUE"""),10.88)</f>
        <v>10.88</v>
      </c>
      <c r="AF258" s="3">
        <f ca="1">IFERROR(__xludf.DUMMYFUNCTION("""COMPUTED_VALUE"""),1.63)</f>
        <v>1.63</v>
      </c>
      <c r="AG258" s="3">
        <f ca="1">IFERROR(__xludf.DUMMYFUNCTION("""COMPUTED_VALUE"""),15.5)</f>
        <v>15.5</v>
      </c>
    </row>
    <row r="259" spans="1:33" ht="12.75" x14ac:dyDescent="0.2">
      <c r="A259" s="4">
        <f ca="1">IFERROR(__xludf.DUMMYFUNCTION("""COMPUTED_VALUE"""),44936.6666666666)</f>
        <v>44936.666666666599</v>
      </c>
      <c r="B259" s="3">
        <f ca="1">IFERROR(__xludf.DUMMYFUNCTION("""COMPUTED_VALUE"""),126.96)</f>
        <v>126.96</v>
      </c>
      <c r="C259" s="3">
        <f ca="1">IFERROR(__xludf.DUMMYFUNCTION("""COMPUTED_VALUE"""),326.15)</f>
        <v>326.14999999999998</v>
      </c>
      <c r="D259" s="3">
        <f ca="1">IFERROR(__xludf.DUMMYFUNCTION("""COMPUTED_VALUE"""),77.43)</f>
        <v>77.430000000000007</v>
      </c>
      <c r="E259" s="3">
        <f ca="1">IFERROR(__xludf.DUMMYFUNCTION("""COMPUTED_VALUE"""),125.05)</f>
        <v>125.05</v>
      </c>
      <c r="F259" s="3">
        <f ca="1">IFERROR(__xludf.DUMMYFUNCTION("""COMPUTED_VALUE"""),43.17)</f>
        <v>43.17</v>
      </c>
      <c r="G259" s="3">
        <f ca="1">IFERROR(__xludf.DUMMYFUNCTION("""COMPUTED_VALUE"""),21.71)</f>
        <v>21.71</v>
      </c>
      <c r="H259" s="3">
        <f ca="1">IFERROR(__xludf.DUMMYFUNCTION("""COMPUTED_VALUE"""),24.84)</f>
        <v>24.84</v>
      </c>
      <c r="I259" s="3">
        <f ca="1">IFERROR(__xludf.DUMMYFUNCTION("""COMPUTED_VALUE"""),134.52)</f>
        <v>134.52000000000001</v>
      </c>
      <c r="J259" s="3">
        <f ca="1">IFERROR(__xludf.DUMMYFUNCTION("""COMPUTED_VALUE"""),246.5)</f>
        <v>246.5</v>
      </c>
      <c r="K259" s="3">
        <f ca="1">IFERROR(__xludf.DUMMYFUNCTION("""COMPUTED_VALUE"""),133.23)</f>
        <v>133.22999999999999</v>
      </c>
      <c r="L259" s="3">
        <f ca="1">IFERROR(__xludf.DUMMYFUNCTION("""COMPUTED_VALUE"""),83.58)</f>
        <v>83.58</v>
      </c>
      <c r="M259" s="3">
        <f ca="1">IFERROR(__xludf.DUMMYFUNCTION("""COMPUTED_VALUE"""),64.98)</f>
        <v>64.98</v>
      </c>
      <c r="N259" s="3">
        <f ca="1">IFERROR(__xludf.DUMMYFUNCTION("""COMPUTED_VALUE"""),63.61)</f>
        <v>63.61</v>
      </c>
      <c r="O259" s="3">
        <f ca="1">IFERROR(__xludf.DUMMYFUNCTION("""COMPUTED_VALUE"""),51.88)</f>
        <v>51.88</v>
      </c>
      <c r="P259" s="3">
        <f ca="1">IFERROR(__xludf.DUMMYFUNCTION("""COMPUTED_VALUE"""),87.87)</f>
        <v>87.87</v>
      </c>
      <c r="Q259" s="3">
        <f ca="1">IFERROR(__xludf.DUMMYFUNCTION("""COMPUTED_VALUE"""),121.43)</f>
        <v>121.43</v>
      </c>
      <c r="R259" s="3">
        <f ca="1">IFERROR(__xludf.DUMMYFUNCTION("""COMPUTED_VALUE"""),81.69)</f>
        <v>81.69</v>
      </c>
      <c r="S259" s="3">
        <f ca="1">IFERROR(__xludf.DUMMYFUNCTION("""COMPUTED_VALUE"""),54.1)</f>
        <v>54.1</v>
      </c>
      <c r="T259" s="3">
        <f ca="1">IFERROR(__xludf.DUMMYFUNCTION("""COMPUTED_VALUE"""),23.92)</f>
        <v>23.92</v>
      </c>
      <c r="U259" s="3">
        <f ca="1">IFERROR(__xludf.DUMMYFUNCTION("""COMPUTED_VALUE"""),65.9)</f>
        <v>65.900000000000006</v>
      </c>
      <c r="V259" s="3">
        <f ca="1">IFERROR(__xludf.DUMMYFUNCTION("""COMPUTED_VALUE"""),77.04)</f>
        <v>77.040000000000006</v>
      </c>
      <c r="W259" s="3">
        <f ca="1">IFERROR(__xludf.DUMMYFUNCTION("""COMPUTED_VALUE"""),35.45)</f>
        <v>35.450000000000003</v>
      </c>
      <c r="X259" s="3">
        <f ca="1">IFERROR(__xludf.DUMMYFUNCTION("""COMPUTED_VALUE"""),85.9)</f>
        <v>85.9</v>
      </c>
      <c r="Y259" s="3">
        <f ca="1">IFERROR(__xludf.DUMMYFUNCTION("""COMPUTED_VALUE"""),46.3)</f>
        <v>46.3</v>
      </c>
      <c r="Z259" s="3">
        <f ca="1">IFERROR(__xludf.DUMMYFUNCTION("""COMPUTED_VALUE"""),78.35)</f>
        <v>78.349999999999994</v>
      </c>
      <c r="AA259" s="3">
        <f ca="1">IFERROR(__xludf.DUMMYFUNCTION("""COMPUTED_VALUE"""),37.97)</f>
        <v>37.97</v>
      </c>
      <c r="AB259" s="3">
        <f ca="1">IFERROR(__xludf.DUMMYFUNCTION("""COMPUTED_VALUE"""),59.61)</f>
        <v>59.61</v>
      </c>
      <c r="AC259" s="3">
        <f ca="1">IFERROR(__xludf.DUMMYFUNCTION("""COMPUTED_VALUE"""),55.62)</f>
        <v>55.62</v>
      </c>
      <c r="AD259" s="3">
        <f ca="1">IFERROR(__xludf.DUMMYFUNCTION("""COMPUTED_VALUE"""),6.99)</f>
        <v>6.99</v>
      </c>
      <c r="AE259" s="3">
        <f ca="1">IFERROR(__xludf.DUMMYFUNCTION("""COMPUTED_VALUE"""),11.08)</f>
        <v>11.08</v>
      </c>
      <c r="AF259" s="3">
        <f ca="1">IFERROR(__xludf.DUMMYFUNCTION("""COMPUTED_VALUE"""),1.78)</f>
        <v>1.78</v>
      </c>
      <c r="AG259" s="3">
        <f ca="1">IFERROR(__xludf.DUMMYFUNCTION("""COMPUTED_VALUE"""),16.76)</f>
        <v>16.760000000000002</v>
      </c>
    </row>
    <row r="260" spans="1:33" ht="12.75" x14ac:dyDescent="0.2">
      <c r="A260" s="4">
        <f ca="1">IFERROR(__xludf.DUMMYFUNCTION("""COMPUTED_VALUE"""),44937.6666666666)</f>
        <v>44937.666666666599</v>
      </c>
      <c r="B260" s="3">
        <f ca="1">IFERROR(__xludf.DUMMYFUNCTION("""COMPUTED_VALUE"""),129.16)</f>
        <v>129.16</v>
      </c>
      <c r="C260" s="3">
        <f ca="1">IFERROR(__xludf.DUMMYFUNCTION("""COMPUTED_VALUE"""),331.65)</f>
        <v>331.65</v>
      </c>
      <c r="D260" s="3">
        <f ca="1">IFERROR(__xludf.DUMMYFUNCTION("""COMPUTED_VALUE"""),77.98)</f>
        <v>77.98</v>
      </c>
      <c r="E260" s="3">
        <f ca="1">IFERROR(__xludf.DUMMYFUNCTION("""COMPUTED_VALUE"""),126.67)</f>
        <v>126.67</v>
      </c>
      <c r="F260" s="3">
        <f ca="1">IFERROR(__xludf.DUMMYFUNCTION("""COMPUTED_VALUE"""),43.47)</f>
        <v>43.47</v>
      </c>
      <c r="G260" s="3">
        <f ca="1">IFERROR(__xludf.DUMMYFUNCTION("""COMPUTED_VALUE"""),22.14)</f>
        <v>22.14</v>
      </c>
      <c r="H260" s="3">
        <f ca="1">IFERROR(__xludf.DUMMYFUNCTION("""COMPUTED_VALUE"""),25.25)</f>
        <v>25.25</v>
      </c>
      <c r="I260" s="3">
        <f ca="1">IFERROR(__xludf.DUMMYFUNCTION("""COMPUTED_VALUE"""),135.28)</f>
        <v>135.28</v>
      </c>
      <c r="J260" s="3">
        <f ca="1">IFERROR(__xludf.DUMMYFUNCTION("""COMPUTED_VALUE"""),248.05)</f>
        <v>248.05</v>
      </c>
      <c r="K260" s="3">
        <f ca="1">IFERROR(__xludf.DUMMYFUNCTION("""COMPUTED_VALUE"""),133.99)</f>
        <v>133.99</v>
      </c>
      <c r="L260" s="3">
        <f ca="1">IFERROR(__xludf.DUMMYFUNCTION("""COMPUTED_VALUE"""),84.38)</f>
        <v>84.38</v>
      </c>
      <c r="M260" s="3">
        <f ca="1">IFERROR(__xludf.DUMMYFUNCTION("""COMPUTED_VALUE"""),65.61)</f>
        <v>65.61</v>
      </c>
      <c r="N260" s="3">
        <f ca="1">IFERROR(__xludf.DUMMYFUNCTION("""COMPUTED_VALUE"""),63.99)</f>
        <v>63.99</v>
      </c>
      <c r="O260" s="3">
        <f ca="1">IFERROR(__xludf.DUMMYFUNCTION("""COMPUTED_VALUE"""),52.82)</f>
        <v>52.82</v>
      </c>
      <c r="P260" s="3">
        <f ca="1">IFERROR(__xludf.DUMMYFUNCTION("""COMPUTED_VALUE"""),88.14)</f>
        <v>88.14</v>
      </c>
      <c r="Q260" s="3">
        <f ca="1">IFERROR(__xludf.DUMMYFUNCTION("""COMPUTED_VALUE"""),121.85)</f>
        <v>121.85</v>
      </c>
      <c r="R260" s="3">
        <f ca="1">IFERROR(__xludf.DUMMYFUNCTION("""COMPUTED_VALUE"""),82.97)</f>
        <v>82.97</v>
      </c>
      <c r="S260" s="3">
        <f ca="1">IFERROR(__xludf.DUMMYFUNCTION("""COMPUTED_VALUE"""),54.39)</f>
        <v>54.39</v>
      </c>
      <c r="T260" s="3">
        <f ca="1">IFERROR(__xludf.DUMMYFUNCTION("""COMPUTED_VALUE"""),24.35)</f>
        <v>24.35</v>
      </c>
      <c r="U260" s="3">
        <f ca="1">IFERROR(__xludf.DUMMYFUNCTION("""COMPUTED_VALUE"""),68.05)</f>
        <v>68.05</v>
      </c>
      <c r="V260" s="3">
        <f ca="1">IFERROR(__xludf.DUMMYFUNCTION("""COMPUTED_VALUE"""),80.21)</f>
        <v>80.209999999999994</v>
      </c>
      <c r="W260" s="3">
        <f ca="1">IFERROR(__xludf.DUMMYFUNCTION("""COMPUTED_VALUE"""),35.78)</f>
        <v>35.78</v>
      </c>
      <c r="X260" s="3">
        <f ca="1">IFERROR(__xludf.DUMMYFUNCTION("""COMPUTED_VALUE"""),86.64)</f>
        <v>86.64</v>
      </c>
      <c r="Y260" s="3">
        <f ca="1">IFERROR(__xludf.DUMMYFUNCTION("""COMPUTED_VALUE"""),46.7)</f>
        <v>46.7</v>
      </c>
      <c r="Z260" s="3">
        <f ca="1">IFERROR(__xludf.DUMMYFUNCTION("""COMPUTED_VALUE"""),79.07)</f>
        <v>79.069999999999993</v>
      </c>
      <c r="AA260" s="3">
        <f ca="1">IFERROR(__xludf.DUMMYFUNCTION("""COMPUTED_VALUE"""),39.35)</f>
        <v>39.35</v>
      </c>
      <c r="AB260" s="3">
        <f ca="1">IFERROR(__xludf.DUMMYFUNCTION("""COMPUTED_VALUE"""),59.94)</f>
        <v>59.94</v>
      </c>
      <c r="AC260" s="3">
        <f ca="1">IFERROR(__xludf.DUMMYFUNCTION("""COMPUTED_VALUE"""),55.99)</f>
        <v>55.99</v>
      </c>
      <c r="AD260" s="3">
        <f ca="1">IFERROR(__xludf.DUMMYFUNCTION("""COMPUTED_VALUE"""),7.02)</f>
        <v>7.02</v>
      </c>
      <c r="AE260" s="3">
        <f ca="1">IFERROR(__xludf.DUMMYFUNCTION("""COMPUTED_VALUE"""),11.13)</f>
        <v>11.13</v>
      </c>
      <c r="AF260" s="3">
        <f ca="1">IFERROR(__xludf.DUMMYFUNCTION("""COMPUTED_VALUE"""),1.81)</f>
        <v>1.81</v>
      </c>
      <c r="AG260" s="3">
        <f ca="1">IFERROR(__xludf.DUMMYFUNCTION("""COMPUTED_VALUE"""),16.52)</f>
        <v>16.52</v>
      </c>
    </row>
    <row r="261" spans="1:33" ht="12.75" x14ac:dyDescent="0.2">
      <c r="A261" s="4">
        <f ca="1">IFERROR(__xludf.DUMMYFUNCTION("""COMPUTED_VALUE"""),44938.6666666666)</f>
        <v>44938.666666666599</v>
      </c>
      <c r="B261" s="3">
        <f ca="1">IFERROR(__xludf.DUMMYFUNCTION("""COMPUTED_VALUE"""),130.12)</f>
        <v>130.12</v>
      </c>
      <c r="C261" s="3">
        <f ca="1">IFERROR(__xludf.DUMMYFUNCTION("""COMPUTED_VALUE"""),334.24)</f>
        <v>334.24</v>
      </c>
      <c r="D261" s="3">
        <f ca="1">IFERROR(__xludf.DUMMYFUNCTION("""COMPUTED_VALUE"""),78.37)</f>
        <v>78.37</v>
      </c>
      <c r="E261" s="3">
        <f ca="1">IFERROR(__xludf.DUMMYFUNCTION("""COMPUTED_VALUE"""),128.21)</f>
        <v>128.21</v>
      </c>
      <c r="F261" s="3">
        <f ca="1">IFERROR(__xludf.DUMMYFUNCTION("""COMPUTED_VALUE"""),43.43)</f>
        <v>43.43</v>
      </c>
      <c r="G261" s="3">
        <f ca="1">IFERROR(__xludf.DUMMYFUNCTION("""COMPUTED_VALUE"""),22.44)</f>
        <v>22.44</v>
      </c>
      <c r="H261" s="3">
        <f ca="1">IFERROR(__xludf.DUMMYFUNCTION("""COMPUTED_VALUE"""),25.36)</f>
        <v>25.36</v>
      </c>
      <c r="I261" s="3">
        <f ca="1">IFERROR(__xludf.DUMMYFUNCTION("""COMPUTED_VALUE"""),134.85)</f>
        <v>134.85</v>
      </c>
      <c r="J261" s="3">
        <f ca="1">IFERROR(__xludf.DUMMYFUNCTION("""COMPUTED_VALUE"""),247.93)</f>
        <v>247.93</v>
      </c>
      <c r="K261" s="3">
        <f ca="1">IFERROR(__xludf.DUMMYFUNCTION("""COMPUTED_VALUE"""),135.11)</f>
        <v>135.11000000000001</v>
      </c>
      <c r="L261" s="3">
        <f ca="1">IFERROR(__xludf.DUMMYFUNCTION("""COMPUTED_VALUE"""),87.92)</f>
        <v>87.92</v>
      </c>
      <c r="M261" s="3">
        <f ca="1">IFERROR(__xludf.DUMMYFUNCTION("""COMPUTED_VALUE"""),66.92)</f>
        <v>66.92</v>
      </c>
      <c r="N261" s="3">
        <f ca="1">IFERROR(__xludf.DUMMYFUNCTION("""COMPUTED_VALUE"""),63.97)</f>
        <v>63.97</v>
      </c>
      <c r="O261" s="3">
        <f ca="1">IFERROR(__xludf.DUMMYFUNCTION("""COMPUTED_VALUE"""),53.48)</f>
        <v>53.48</v>
      </c>
      <c r="P261" s="3">
        <f ca="1">IFERROR(__xludf.DUMMYFUNCTION("""COMPUTED_VALUE"""),89.82)</f>
        <v>89.82</v>
      </c>
      <c r="Q261" s="3">
        <f ca="1">IFERROR(__xludf.DUMMYFUNCTION("""COMPUTED_VALUE"""),124.3)</f>
        <v>124.3</v>
      </c>
      <c r="R261" s="3">
        <f ca="1">IFERROR(__xludf.DUMMYFUNCTION("""COMPUTED_VALUE"""),83.28)</f>
        <v>83.28</v>
      </c>
      <c r="S261" s="3">
        <f ca="1">IFERROR(__xludf.DUMMYFUNCTION("""COMPUTED_VALUE"""),55.48)</f>
        <v>55.48</v>
      </c>
      <c r="T261" s="3">
        <f ca="1">IFERROR(__xludf.DUMMYFUNCTION("""COMPUTED_VALUE"""),24.55)</f>
        <v>24.55</v>
      </c>
      <c r="U261" s="3">
        <f ca="1">IFERROR(__xludf.DUMMYFUNCTION("""COMPUTED_VALUE"""),68.61)</f>
        <v>68.61</v>
      </c>
      <c r="V261" s="3">
        <f ca="1">IFERROR(__xludf.DUMMYFUNCTION("""COMPUTED_VALUE"""),81.68)</f>
        <v>81.680000000000007</v>
      </c>
      <c r="W261" s="3">
        <f ca="1">IFERROR(__xludf.DUMMYFUNCTION("""COMPUTED_VALUE"""),35.85)</f>
        <v>35.85</v>
      </c>
      <c r="X261" s="3">
        <f ca="1">IFERROR(__xludf.DUMMYFUNCTION("""COMPUTED_VALUE"""),87.08)</f>
        <v>87.08</v>
      </c>
      <c r="Y261" s="3">
        <f ca="1">IFERROR(__xludf.DUMMYFUNCTION("""COMPUTED_VALUE"""),47.15)</f>
        <v>47.15</v>
      </c>
      <c r="Z261" s="3">
        <f ca="1">IFERROR(__xludf.DUMMYFUNCTION("""COMPUTED_VALUE"""),79.4)</f>
        <v>79.400000000000006</v>
      </c>
      <c r="AA261" s="3">
        <f ca="1">IFERROR(__xludf.DUMMYFUNCTION("""COMPUTED_VALUE"""),39.79)</f>
        <v>39.79</v>
      </c>
      <c r="AB261" s="3">
        <f ca="1">IFERROR(__xludf.DUMMYFUNCTION("""COMPUTED_VALUE"""),60.68)</f>
        <v>60.68</v>
      </c>
      <c r="AC261" s="3">
        <f ca="1">IFERROR(__xludf.DUMMYFUNCTION("""COMPUTED_VALUE"""),56.31)</f>
        <v>56.31</v>
      </c>
      <c r="AD261" s="3">
        <f ca="1">IFERROR(__xludf.DUMMYFUNCTION("""COMPUTED_VALUE"""),7.64)</f>
        <v>7.64</v>
      </c>
      <c r="AE261" s="3">
        <f ca="1">IFERROR(__xludf.DUMMYFUNCTION("""COMPUTED_VALUE"""),12.1)</f>
        <v>12.1</v>
      </c>
      <c r="AF261" s="3">
        <f ca="1">IFERROR(__xludf.DUMMYFUNCTION("""COMPUTED_VALUE"""),1.96)</f>
        <v>1.96</v>
      </c>
      <c r="AG261" s="3">
        <f ca="1">IFERROR(__xludf.DUMMYFUNCTION("""COMPUTED_VALUE"""),19)</f>
        <v>19</v>
      </c>
    </row>
    <row r="262" spans="1:33" ht="12.75" x14ac:dyDescent="0.2">
      <c r="A262" s="4">
        <f ca="1">IFERROR(__xludf.DUMMYFUNCTION("""COMPUTED_VALUE"""),44939.6666666666)</f>
        <v>44939.666666666599</v>
      </c>
      <c r="B262" s="3">
        <f ca="1">IFERROR(__xludf.DUMMYFUNCTION("""COMPUTED_VALUE"""),130.49)</f>
        <v>130.49</v>
      </c>
      <c r="C262" s="3">
        <f ca="1">IFERROR(__xludf.DUMMYFUNCTION("""COMPUTED_VALUE"""),335.65)</f>
        <v>335.65</v>
      </c>
      <c r="D262" s="3">
        <f ca="1">IFERROR(__xludf.DUMMYFUNCTION("""COMPUTED_VALUE"""),78.7)</f>
        <v>78.7</v>
      </c>
      <c r="E262" s="3">
        <f ca="1">IFERROR(__xludf.DUMMYFUNCTION("""COMPUTED_VALUE"""),128.74)</f>
        <v>128.74</v>
      </c>
      <c r="F262" s="3">
        <f ca="1">IFERROR(__xludf.DUMMYFUNCTION("""COMPUTED_VALUE"""),43.7)</f>
        <v>43.7</v>
      </c>
      <c r="G262" s="3">
        <f ca="1">IFERROR(__xludf.DUMMYFUNCTION("""COMPUTED_VALUE"""),22.49)</f>
        <v>22.49</v>
      </c>
      <c r="H262" s="3">
        <f ca="1">IFERROR(__xludf.DUMMYFUNCTION("""COMPUTED_VALUE"""),25.45)</f>
        <v>25.45</v>
      </c>
      <c r="I262" s="3">
        <f ca="1">IFERROR(__xludf.DUMMYFUNCTION("""COMPUTED_VALUE"""),135.45)</f>
        <v>135.44999999999999</v>
      </c>
      <c r="J262" s="3">
        <f ca="1">IFERROR(__xludf.DUMMYFUNCTION("""COMPUTED_VALUE"""),249)</f>
        <v>249</v>
      </c>
      <c r="K262" s="3">
        <f ca="1">IFERROR(__xludf.DUMMYFUNCTION("""COMPUTED_VALUE"""),136.23)</f>
        <v>136.22999999999999</v>
      </c>
      <c r="L262" s="3">
        <f ca="1">IFERROR(__xludf.DUMMYFUNCTION("""COMPUTED_VALUE"""),87.88)</f>
        <v>87.88</v>
      </c>
      <c r="M262" s="3">
        <f ca="1">IFERROR(__xludf.DUMMYFUNCTION("""COMPUTED_VALUE"""),66.93)</f>
        <v>66.930000000000007</v>
      </c>
      <c r="N262" s="3">
        <f ca="1">IFERROR(__xludf.DUMMYFUNCTION("""COMPUTED_VALUE"""),64.29)</f>
        <v>64.290000000000006</v>
      </c>
      <c r="O262" s="3">
        <f ca="1">IFERROR(__xludf.DUMMYFUNCTION("""COMPUTED_VALUE"""),54.4)</f>
        <v>54.4</v>
      </c>
      <c r="P262" s="3">
        <f ca="1">IFERROR(__xludf.DUMMYFUNCTION("""COMPUTED_VALUE"""),89.95)</f>
        <v>89.95</v>
      </c>
      <c r="Q262" s="3">
        <f ca="1">IFERROR(__xludf.DUMMYFUNCTION("""COMPUTED_VALUE"""),124.57)</f>
        <v>124.57</v>
      </c>
      <c r="R262" s="3">
        <f ca="1">IFERROR(__xludf.DUMMYFUNCTION("""COMPUTED_VALUE"""),83.79)</f>
        <v>83.79</v>
      </c>
      <c r="S262" s="3">
        <f ca="1">IFERROR(__xludf.DUMMYFUNCTION("""COMPUTED_VALUE"""),56.22)</f>
        <v>56.22</v>
      </c>
      <c r="T262" s="3">
        <f ca="1">IFERROR(__xludf.DUMMYFUNCTION("""COMPUTED_VALUE"""),24.79)</f>
        <v>24.79</v>
      </c>
      <c r="U262" s="3">
        <f ca="1">IFERROR(__xludf.DUMMYFUNCTION("""COMPUTED_VALUE"""),70.05)</f>
        <v>70.05</v>
      </c>
      <c r="V262" s="3">
        <f ca="1">IFERROR(__xludf.DUMMYFUNCTION("""COMPUTED_VALUE"""),81.74)</f>
        <v>81.739999999999995</v>
      </c>
      <c r="W262" s="3">
        <f ca="1">IFERROR(__xludf.DUMMYFUNCTION("""COMPUTED_VALUE"""),36.12)</f>
        <v>36.119999999999997</v>
      </c>
      <c r="X262" s="3">
        <f ca="1">IFERROR(__xludf.DUMMYFUNCTION("""COMPUTED_VALUE"""),87.65)</f>
        <v>87.65</v>
      </c>
      <c r="Y262" s="3">
        <f ca="1">IFERROR(__xludf.DUMMYFUNCTION("""COMPUTED_VALUE"""),47.27)</f>
        <v>47.27</v>
      </c>
      <c r="Z262" s="3">
        <f ca="1">IFERROR(__xludf.DUMMYFUNCTION("""COMPUTED_VALUE"""),79.88)</f>
        <v>79.88</v>
      </c>
      <c r="AA262" s="3">
        <f ca="1">IFERROR(__xludf.DUMMYFUNCTION("""COMPUTED_VALUE"""),39.56)</f>
        <v>39.56</v>
      </c>
      <c r="AB262" s="3">
        <f ca="1">IFERROR(__xludf.DUMMYFUNCTION("""COMPUTED_VALUE"""),60.61)</f>
        <v>60.61</v>
      </c>
      <c r="AC262" s="3">
        <f ca="1">IFERROR(__xludf.DUMMYFUNCTION("""COMPUTED_VALUE"""),56.12)</f>
        <v>56.12</v>
      </c>
      <c r="AD262" s="3">
        <f ca="1">IFERROR(__xludf.DUMMYFUNCTION("""COMPUTED_VALUE"""),7.8)</f>
        <v>7.8</v>
      </c>
      <c r="AE262" s="3">
        <f ca="1">IFERROR(__xludf.DUMMYFUNCTION("""COMPUTED_VALUE"""),12.38)</f>
        <v>12.38</v>
      </c>
      <c r="AF262" s="3">
        <f ca="1">IFERROR(__xludf.DUMMYFUNCTION("""COMPUTED_VALUE"""),2.14)</f>
        <v>2.14</v>
      </c>
      <c r="AG262" s="3">
        <f ca="1">IFERROR(__xludf.DUMMYFUNCTION("""COMPUTED_VALUE"""),19.45)</f>
        <v>19.45</v>
      </c>
    </row>
    <row r="263" spans="1:33" ht="12.75" x14ac:dyDescent="0.2">
      <c r="A263" s="4">
        <f ca="1">IFERROR(__xludf.DUMMYFUNCTION("""COMPUTED_VALUE"""),44943.6666666666)</f>
        <v>44943.666666666599</v>
      </c>
      <c r="B263" s="3">
        <f ca="1">IFERROR(__xludf.DUMMYFUNCTION("""COMPUTED_VALUE"""),131.08)</f>
        <v>131.08000000000001</v>
      </c>
      <c r="C263" s="3">
        <f ca="1">IFERROR(__xludf.DUMMYFUNCTION("""COMPUTED_VALUE"""),337.33)</f>
        <v>337.33</v>
      </c>
      <c r="D263" s="3">
        <f ca="1">IFERROR(__xludf.DUMMYFUNCTION("""COMPUTED_VALUE"""),77.8)</f>
        <v>77.8</v>
      </c>
      <c r="E263" s="3">
        <f ca="1">IFERROR(__xludf.DUMMYFUNCTION("""COMPUTED_VALUE"""),128.88)</f>
        <v>128.88</v>
      </c>
      <c r="F263" s="3">
        <f ca="1">IFERROR(__xludf.DUMMYFUNCTION("""COMPUTED_VALUE"""),44.3)</f>
        <v>44.3</v>
      </c>
      <c r="G263" s="3">
        <f ca="1">IFERROR(__xludf.DUMMYFUNCTION("""COMPUTED_VALUE"""),22.84)</f>
        <v>22.84</v>
      </c>
      <c r="H263" s="3">
        <f ca="1">IFERROR(__xludf.DUMMYFUNCTION("""COMPUTED_VALUE"""),25.5)</f>
        <v>25.5</v>
      </c>
      <c r="I263" s="3">
        <f ca="1">IFERROR(__xludf.DUMMYFUNCTION("""COMPUTED_VALUE"""),134.82)</f>
        <v>134.82</v>
      </c>
      <c r="J263" s="3">
        <f ca="1">IFERROR(__xludf.DUMMYFUNCTION("""COMPUTED_VALUE"""),248.02)</f>
        <v>248.02</v>
      </c>
      <c r="K263" s="3">
        <f ca="1">IFERROR(__xludf.DUMMYFUNCTION("""COMPUTED_VALUE"""),136.28)</f>
        <v>136.28</v>
      </c>
      <c r="L263" s="3">
        <f ca="1">IFERROR(__xludf.DUMMYFUNCTION("""COMPUTED_VALUE"""),86.86)</f>
        <v>86.86</v>
      </c>
      <c r="M263" s="3">
        <f ca="1">IFERROR(__xludf.DUMMYFUNCTION("""COMPUTED_VALUE"""),66.89)</f>
        <v>66.89</v>
      </c>
      <c r="N263" s="3">
        <f ca="1">IFERROR(__xludf.DUMMYFUNCTION("""COMPUTED_VALUE"""),63.95)</f>
        <v>63.95</v>
      </c>
      <c r="O263" s="3">
        <f ca="1">IFERROR(__xludf.DUMMYFUNCTION("""COMPUTED_VALUE"""),54.24)</f>
        <v>54.24</v>
      </c>
      <c r="P263" s="3">
        <f ca="1">IFERROR(__xludf.DUMMYFUNCTION("""COMPUTED_VALUE"""),90.14)</f>
        <v>90.14</v>
      </c>
      <c r="Q263" s="3">
        <f ca="1">IFERROR(__xludf.DUMMYFUNCTION("""COMPUTED_VALUE"""),124.7)</f>
        <v>124.7</v>
      </c>
      <c r="R263" s="3">
        <f ca="1">IFERROR(__xludf.DUMMYFUNCTION("""COMPUTED_VALUE"""),82.95)</f>
        <v>82.95</v>
      </c>
      <c r="S263" s="3">
        <f ca="1">IFERROR(__xludf.DUMMYFUNCTION("""COMPUTED_VALUE"""),55.65)</f>
        <v>55.65</v>
      </c>
      <c r="T263" s="3">
        <f ca="1">IFERROR(__xludf.DUMMYFUNCTION("""COMPUTED_VALUE"""),24.96)</f>
        <v>24.96</v>
      </c>
      <c r="U263" s="3">
        <f ca="1">IFERROR(__xludf.DUMMYFUNCTION("""COMPUTED_VALUE"""),70.86)</f>
        <v>70.86</v>
      </c>
      <c r="V263" s="3">
        <f ca="1">IFERROR(__xludf.DUMMYFUNCTION("""COMPUTED_VALUE"""),82.29)</f>
        <v>82.29</v>
      </c>
      <c r="W263" s="3">
        <f ca="1">IFERROR(__xludf.DUMMYFUNCTION("""COMPUTED_VALUE"""),35.88)</f>
        <v>35.880000000000003</v>
      </c>
      <c r="X263" s="3">
        <f ca="1">IFERROR(__xludf.DUMMYFUNCTION("""COMPUTED_VALUE"""),87.12)</f>
        <v>87.12</v>
      </c>
      <c r="Y263" s="3">
        <f ca="1">IFERROR(__xludf.DUMMYFUNCTION("""COMPUTED_VALUE"""),47.09)</f>
        <v>47.09</v>
      </c>
      <c r="Z263" s="3">
        <f ca="1">IFERROR(__xludf.DUMMYFUNCTION("""COMPUTED_VALUE"""),79.44)</f>
        <v>79.44</v>
      </c>
      <c r="AA263" s="3">
        <f ca="1">IFERROR(__xludf.DUMMYFUNCTION("""COMPUTED_VALUE"""),39.57)</f>
        <v>39.57</v>
      </c>
      <c r="AB263" s="3">
        <f ca="1">IFERROR(__xludf.DUMMYFUNCTION("""COMPUTED_VALUE"""),60.24)</f>
        <v>60.24</v>
      </c>
      <c r="AC263" s="3">
        <f ca="1">IFERROR(__xludf.DUMMYFUNCTION("""COMPUTED_VALUE"""),55.1)</f>
        <v>55.1</v>
      </c>
      <c r="AD263" s="3">
        <f ca="1">IFERROR(__xludf.DUMMYFUNCTION("""COMPUTED_VALUE"""),8.56)</f>
        <v>8.56</v>
      </c>
      <c r="AE263" s="3">
        <f ca="1">IFERROR(__xludf.DUMMYFUNCTION("""COMPUTED_VALUE"""),13.62)</f>
        <v>13.62</v>
      </c>
      <c r="AF263" s="3">
        <f ca="1">IFERROR(__xludf.DUMMYFUNCTION("""COMPUTED_VALUE"""),2.14)</f>
        <v>2.14</v>
      </c>
      <c r="AG263" s="3">
        <f ca="1">IFERROR(__xludf.DUMMYFUNCTION("""COMPUTED_VALUE"""),20.75)</f>
        <v>20.75</v>
      </c>
    </row>
    <row r="264" spans="1:33" ht="12.75" x14ac:dyDescent="0.2">
      <c r="A264" s="4">
        <f ca="1">IFERROR(__xludf.DUMMYFUNCTION("""COMPUTED_VALUE"""),44944.6666666666)</f>
        <v>44944.666666666599</v>
      </c>
      <c r="B264" s="3">
        <f ca="1">IFERROR(__xludf.DUMMYFUNCTION("""COMPUTED_VALUE"""),129.39)</f>
        <v>129.38999999999999</v>
      </c>
      <c r="C264" s="3">
        <f ca="1">IFERROR(__xludf.DUMMYFUNCTION("""COMPUTED_VALUE"""),333.08)</f>
        <v>333.08</v>
      </c>
      <c r="D264" s="3">
        <f ca="1">IFERROR(__xludf.DUMMYFUNCTION("""COMPUTED_VALUE"""),77.19)</f>
        <v>77.19</v>
      </c>
      <c r="E264" s="3">
        <f ca="1">IFERROR(__xludf.DUMMYFUNCTION("""COMPUTED_VALUE"""),128.21)</f>
        <v>128.21</v>
      </c>
      <c r="F264" s="3">
        <f ca="1">IFERROR(__xludf.DUMMYFUNCTION("""COMPUTED_VALUE"""),43.64)</f>
        <v>43.64</v>
      </c>
      <c r="G264" s="3">
        <f ca="1">IFERROR(__xludf.DUMMYFUNCTION("""COMPUTED_VALUE"""),22.65)</f>
        <v>22.65</v>
      </c>
      <c r="H264" s="3">
        <f ca="1">IFERROR(__xludf.DUMMYFUNCTION("""COMPUTED_VALUE"""),25.21)</f>
        <v>25.21</v>
      </c>
      <c r="I264" s="3">
        <f ca="1">IFERROR(__xludf.DUMMYFUNCTION("""COMPUTED_VALUE"""),132.92)</f>
        <v>132.91999999999999</v>
      </c>
      <c r="J264" s="3">
        <f ca="1">IFERROR(__xludf.DUMMYFUNCTION("""COMPUTED_VALUE"""),244.54)</f>
        <v>244.54</v>
      </c>
      <c r="K264" s="3">
        <f ca="1">IFERROR(__xludf.DUMMYFUNCTION("""COMPUTED_VALUE"""),135.26)</f>
        <v>135.26</v>
      </c>
      <c r="L264" s="3">
        <f ca="1">IFERROR(__xludf.DUMMYFUNCTION("""COMPUTED_VALUE"""),85.78)</f>
        <v>85.78</v>
      </c>
      <c r="M264" s="3">
        <f ca="1">IFERROR(__xludf.DUMMYFUNCTION("""COMPUTED_VALUE"""),66.75)</f>
        <v>66.75</v>
      </c>
      <c r="N264" s="3">
        <f ca="1">IFERROR(__xludf.DUMMYFUNCTION("""COMPUTED_VALUE"""),63.09)</f>
        <v>63.09</v>
      </c>
      <c r="O264" s="3">
        <f ca="1">IFERROR(__xludf.DUMMYFUNCTION("""COMPUTED_VALUE"""),53.96)</f>
        <v>53.96</v>
      </c>
      <c r="P264" s="3">
        <f ca="1">IFERROR(__xludf.DUMMYFUNCTION("""COMPUTED_VALUE"""),88.49)</f>
        <v>88.49</v>
      </c>
      <c r="Q264" s="3">
        <f ca="1">IFERROR(__xludf.DUMMYFUNCTION("""COMPUTED_VALUE"""),122.36)</f>
        <v>122.36</v>
      </c>
      <c r="R264" s="3">
        <f ca="1">IFERROR(__xludf.DUMMYFUNCTION("""COMPUTED_VALUE"""),81.78)</f>
        <v>81.78</v>
      </c>
      <c r="S264" s="3">
        <f ca="1">IFERROR(__xludf.DUMMYFUNCTION("""COMPUTED_VALUE"""),54.69)</f>
        <v>54.69</v>
      </c>
      <c r="T264" s="3">
        <f ca="1">IFERROR(__xludf.DUMMYFUNCTION("""COMPUTED_VALUE"""),24.69)</f>
        <v>24.69</v>
      </c>
      <c r="U264" s="3">
        <f ca="1">IFERROR(__xludf.DUMMYFUNCTION("""COMPUTED_VALUE"""),69.51)</f>
        <v>69.510000000000005</v>
      </c>
      <c r="V264" s="3">
        <f ca="1">IFERROR(__xludf.DUMMYFUNCTION("""COMPUTED_VALUE"""),81.79)</f>
        <v>81.790000000000006</v>
      </c>
      <c r="W264" s="3">
        <f ca="1">IFERROR(__xludf.DUMMYFUNCTION("""COMPUTED_VALUE"""),35.21)</f>
        <v>35.21</v>
      </c>
      <c r="X264" s="3">
        <f ca="1">IFERROR(__xludf.DUMMYFUNCTION("""COMPUTED_VALUE"""),85.49)</f>
        <v>85.49</v>
      </c>
      <c r="Y264" s="3">
        <f ca="1">IFERROR(__xludf.DUMMYFUNCTION("""COMPUTED_VALUE"""),45.7)</f>
        <v>45.7</v>
      </c>
      <c r="Z264" s="3">
        <f ca="1">IFERROR(__xludf.DUMMYFUNCTION("""COMPUTED_VALUE"""),78.01)</f>
        <v>78.010000000000005</v>
      </c>
      <c r="AA264" s="3">
        <f ca="1">IFERROR(__xludf.DUMMYFUNCTION("""COMPUTED_VALUE"""),38.96)</f>
        <v>38.96</v>
      </c>
      <c r="AB264" s="3">
        <f ca="1">IFERROR(__xludf.DUMMYFUNCTION("""COMPUTED_VALUE"""),58.09)</f>
        <v>58.09</v>
      </c>
      <c r="AC264" s="3">
        <f ca="1">IFERROR(__xludf.DUMMYFUNCTION("""COMPUTED_VALUE"""),54.47)</f>
        <v>54.47</v>
      </c>
      <c r="AD264" s="3">
        <f ca="1">IFERROR(__xludf.DUMMYFUNCTION("""COMPUTED_VALUE"""),8.31)</f>
        <v>8.31</v>
      </c>
      <c r="AE264" s="3">
        <f ca="1">IFERROR(__xludf.DUMMYFUNCTION("""COMPUTED_VALUE"""),13.16)</f>
        <v>13.16</v>
      </c>
      <c r="AF264" s="3">
        <f ca="1">IFERROR(__xludf.DUMMYFUNCTION("""COMPUTED_VALUE"""),2.15)</f>
        <v>2.15</v>
      </c>
      <c r="AG264" s="3">
        <f ca="1">IFERROR(__xludf.DUMMYFUNCTION("""COMPUTED_VALUE"""),19.02)</f>
        <v>19.02</v>
      </c>
    </row>
    <row r="265" spans="1:33" ht="12.75" x14ac:dyDescent="0.2">
      <c r="A265" s="4">
        <f ca="1">IFERROR(__xludf.DUMMYFUNCTION("""COMPUTED_VALUE"""),44945.6666666666)</f>
        <v>44945.666666666599</v>
      </c>
      <c r="B265" s="3">
        <f ca="1">IFERROR(__xludf.DUMMYFUNCTION("""COMPUTED_VALUE"""),127.88)</f>
        <v>127.88</v>
      </c>
      <c r="C265" s="3">
        <f ca="1">IFERROR(__xludf.DUMMYFUNCTION("""COMPUTED_VALUE"""),328.99)</f>
        <v>328.99</v>
      </c>
      <c r="D265" s="3">
        <f ca="1">IFERROR(__xludf.DUMMYFUNCTION("""COMPUTED_VALUE"""),79.61)</f>
        <v>79.61</v>
      </c>
      <c r="E265" s="3">
        <f ca="1">IFERROR(__xludf.DUMMYFUNCTION("""COMPUTED_VALUE"""),124.61)</f>
        <v>124.61</v>
      </c>
      <c r="F265" s="3">
        <f ca="1">IFERROR(__xludf.DUMMYFUNCTION("""COMPUTED_VALUE"""),43.22)</f>
        <v>43.22</v>
      </c>
      <c r="G265" s="3">
        <f ca="1">IFERROR(__xludf.DUMMYFUNCTION("""COMPUTED_VALUE"""),22.4)</f>
        <v>22.4</v>
      </c>
      <c r="H265" s="3">
        <f ca="1">IFERROR(__xludf.DUMMYFUNCTION("""COMPUTED_VALUE"""),24.91)</f>
        <v>24.91</v>
      </c>
      <c r="I265" s="3">
        <f ca="1">IFERROR(__xludf.DUMMYFUNCTION("""COMPUTED_VALUE"""),133.24)</f>
        <v>133.24</v>
      </c>
      <c r="J265" s="3">
        <f ca="1">IFERROR(__xludf.DUMMYFUNCTION("""COMPUTED_VALUE"""),244.89)</f>
        <v>244.89</v>
      </c>
      <c r="K265" s="3">
        <f ca="1">IFERROR(__xludf.DUMMYFUNCTION("""COMPUTED_VALUE"""),134.05)</f>
        <v>134.05000000000001</v>
      </c>
      <c r="L265" s="3">
        <f ca="1">IFERROR(__xludf.DUMMYFUNCTION("""COMPUTED_VALUE"""),84.89)</f>
        <v>84.89</v>
      </c>
      <c r="M265" s="3">
        <f ca="1">IFERROR(__xludf.DUMMYFUNCTION("""COMPUTED_VALUE"""),66.36)</f>
        <v>66.36</v>
      </c>
      <c r="N265" s="3">
        <f ca="1">IFERROR(__xludf.DUMMYFUNCTION("""COMPUTED_VALUE"""),63.21)</f>
        <v>63.21</v>
      </c>
      <c r="O265" s="3">
        <f ca="1">IFERROR(__xludf.DUMMYFUNCTION("""COMPUTED_VALUE"""),52.48)</f>
        <v>52.48</v>
      </c>
      <c r="P265" s="3">
        <f ca="1">IFERROR(__xludf.DUMMYFUNCTION("""COMPUTED_VALUE"""),89.59)</f>
        <v>89.59</v>
      </c>
      <c r="Q265" s="3">
        <f ca="1">IFERROR(__xludf.DUMMYFUNCTION("""COMPUTED_VALUE"""),123.74)</f>
        <v>123.74</v>
      </c>
      <c r="R265" s="3">
        <f ca="1">IFERROR(__xludf.DUMMYFUNCTION("""COMPUTED_VALUE"""),81.15)</f>
        <v>81.150000000000006</v>
      </c>
      <c r="S265" s="3">
        <f ca="1">IFERROR(__xludf.DUMMYFUNCTION("""COMPUTED_VALUE"""),54.6)</f>
        <v>54.6</v>
      </c>
      <c r="T265" s="3">
        <f ca="1">IFERROR(__xludf.DUMMYFUNCTION("""COMPUTED_VALUE"""),24.94)</f>
        <v>24.94</v>
      </c>
      <c r="U265" s="3">
        <f ca="1">IFERROR(__xludf.DUMMYFUNCTION("""COMPUTED_VALUE"""),70.59)</f>
        <v>70.59</v>
      </c>
      <c r="V265" s="3">
        <f ca="1">IFERROR(__xludf.DUMMYFUNCTION("""COMPUTED_VALUE"""),77.96)</f>
        <v>77.959999999999994</v>
      </c>
      <c r="W265" s="3">
        <f ca="1">IFERROR(__xludf.DUMMYFUNCTION("""COMPUTED_VALUE"""),34.8)</f>
        <v>34.799999999999997</v>
      </c>
      <c r="X265" s="3">
        <f ca="1">IFERROR(__xludf.DUMMYFUNCTION("""COMPUTED_VALUE"""),84.51)</f>
        <v>84.51</v>
      </c>
      <c r="Y265" s="3">
        <f ca="1">IFERROR(__xludf.DUMMYFUNCTION("""COMPUTED_VALUE"""),45.6)</f>
        <v>45.6</v>
      </c>
      <c r="Z265" s="3">
        <f ca="1">IFERROR(__xludf.DUMMYFUNCTION("""COMPUTED_VALUE"""),77.07)</f>
        <v>77.069999999999993</v>
      </c>
      <c r="AA265" s="3">
        <f ca="1">IFERROR(__xludf.DUMMYFUNCTION("""COMPUTED_VALUE"""),38.77)</f>
        <v>38.770000000000003</v>
      </c>
      <c r="AB265" s="3">
        <f ca="1">IFERROR(__xludf.DUMMYFUNCTION("""COMPUTED_VALUE"""),58.16)</f>
        <v>58.16</v>
      </c>
      <c r="AC265" s="3">
        <f ca="1">IFERROR(__xludf.DUMMYFUNCTION("""COMPUTED_VALUE"""),55.56)</f>
        <v>55.56</v>
      </c>
      <c r="AD265" s="3">
        <f ca="1">IFERROR(__xludf.DUMMYFUNCTION("""COMPUTED_VALUE"""),8.45)</f>
        <v>8.4499999999999993</v>
      </c>
      <c r="AE265" s="3">
        <f ca="1">IFERROR(__xludf.DUMMYFUNCTION("""COMPUTED_VALUE"""),13.41)</f>
        <v>13.41</v>
      </c>
      <c r="AF265" s="3">
        <f ca="1">IFERROR(__xludf.DUMMYFUNCTION("""COMPUTED_VALUE"""),1.98)</f>
        <v>1.98</v>
      </c>
      <c r="AG265" s="3">
        <f ca="1">IFERROR(__xludf.DUMMYFUNCTION("""COMPUTED_VALUE"""),19.07)</f>
        <v>19.07</v>
      </c>
    </row>
    <row r="266" spans="1:33" ht="12.75" x14ac:dyDescent="0.2">
      <c r="A266" s="4">
        <f ca="1">IFERROR(__xludf.DUMMYFUNCTION("""COMPUTED_VALUE"""),44946.6666666666)</f>
        <v>44946.666666666599</v>
      </c>
      <c r="B266" s="3">
        <f ca="1">IFERROR(__xludf.DUMMYFUNCTION("""COMPUTED_VALUE"""),131.34)</f>
        <v>131.34</v>
      </c>
      <c r="C266" s="3">
        <f ca="1">IFERROR(__xludf.DUMMYFUNCTION("""COMPUTED_VALUE"""),338.2)</f>
        <v>338.2</v>
      </c>
      <c r="D266" s="3">
        <f ca="1">IFERROR(__xludf.DUMMYFUNCTION("""COMPUTED_VALUE"""),81.78)</f>
        <v>81.78</v>
      </c>
      <c r="E266" s="3">
        <f ca="1">IFERROR(__xludf.DUMMYFUNCTION("""COMPUTED_VALUE"""),128.51)</f>
        <v>128.51</v>
      </c>
      <c r="F266" s="3">
        <f ca="1">IFERROR(__xludf.DUMMYFUNCTION("""COMPUTED_VALUE"""),44.23)</f>
        <v>44.23</v>
      </c>
      <c r="G266" s="3">
        <f ca="1">IFERROR(__xludf.DUMMYFUNCTION("""COMPUTED_VALUE"""),22.87)</f>
        <v>22.87</v>
      </c>
      <c r="H266" s="3">
        <f ca="1">IFERROR(__xludf.DUMMYFUNCTION("""COMPUTED_VALUE"""),25.39)</f>
        <v>25.39</v>
      </c>
      <c r="I266" s="3">
        <f ca="1">IFERROR(__xludf.DUMMYFUNCTION("""COMPUTED_VALUE"""),133.91)</f>
        <v>133.91</v>
      </c>
      <c r="J266" s="3">
        <f ca="1">IFERROR(__xludf.DUMMYFUNCTION("""COMPUTED_VALUE"""),246.53)</f>
        <v>246.53</v>
      </c>
      <c r="K266" s="3">
        <f ca="1">IFERROR(__xludf.DUMMYFUNCTION("""COMPUTED_VALUE"""),135.47)</f>
        <v>135.47</v>
      </c>
      <c r="L266" s="3">
        <f ca="1">IFERROR(__xludf.DUMMYFUNCTION("""COMPUTED_VALUE"""),86.99)</f>
        <v>86.99</v>
      </c>
      <c r="M266" s="3">
        <f ca="1">IFERROR(__xludf.DUMMYFUNCTION("""COMPUTED_VALUE"""),67.25)</f>
        <v>67.25</v>
      </c>
      <c r="N266" s="3">
        <f ca="1">IFERROR(__xludf.DUMMYFUNCTION("""COMPUTED_VALUE"""),63.63)</f>
        <v>63.63</v>
      </c>
      <c r="O266" s="3">
        <f ca="1">IFERROR(__xludf.DUMMYFUNCTION("""COMPUTED_VALUE"""),53.72)</f>
        <v>53.72</v>
      </c>
      <c r="P266" s="3">
        <f ca="1">IFERROR(__xludf.DUMMYFUNCTION("""COMPUTED_VALUE"""),90.48)</f>
        <v>90.48</v>
      </c>
      <c r="Q266" s="3">
        <f ca="1">IFERROR(__xludf.DUMMYFUNCTION("""COMPUTED_VALUE"""),125.34)</f>
        <v>125.34</v>
      </c>
      <c r="R266" s="3">
        <f ca="1">IFERROR(__xludf.DUMMYFUNCTION("""COMPUTED_VALUE"""),82.78)</f>
        <v>82.78</v>
      </c>
      <c r="S266" s="3">
        <f ca="1">IFERROR(__xludf.DUMMYFUNCTION("""COMPUTED_VALUE"""),55.94)</f>
        <v>55.94</v>
      </c>
      <c r="T266" s="3">
        <f ca="1">IFERROR(__xludf.DUMMYFUNCTION("""COMPUTED_VALUE"""),25.09)</f>
        <v>25.09</v>
      </c>
      <c r="U266" s="3">
        <f ca="1">IFERROR(__xludf.DUMMYFUNCTION("""COMPUTED_VALUE"""),71.55)</f>
        <v>71.55</v>
      </c>
      <c r="V266" s="3">
        <f ca="1">IFERROR(__xludf.DUMMYFUNCTION("""COMPUTED_VALUE"""),79.47)</f>
        <v>79.47</v>
      </c>
      <c r="W266" s="3">
        <f ca="1">IFERROR(__xludf.DUMMYFUNCTION("""COMPUTED_VALUE"""),35.35)</f>
        <v>35.35</v>
      </c>
      <c r="X266" s="3">
        <f ca="1">IFERROR(__xludf.DUMMYFUNCTION("""COMPUTED_VALUE"""),85.98)</f>
        <v>85.98</v>
      </c>
      <c r="Y266" s="3">
        <f ca="1">IFERROR(__xludf.DUMMYFUNCTION("""COMPUTED_VALUE"""),46.82)</f>
        <v>46.82</v>
      </c>
      <c r="Z266" s="3">
        <f ca="1">IFERROR(__xludf.DUMMYFUNCTION("""COMPUTED_VALUE"""),78.36)</f>
        <v>78.36</v>
      </c>
      <c r="AA266" s="3">
        <f ca="1">IFERROR(__xludf.DUMMYFUNCTION("""COMPUTED_VALUE"""),39.22)</f>
        <v>39.22</v>
      </c>
      <c r="AB266" s="3">
        <f ca="1">IFERROR(__xludf.DUMMYFUNCTION("""COMPUTED_VALUE"""),59.77)</f>
        <v>59.77</v>
      </c>
      <c r="AC266" s="3">
        <f ca="1">IFERROR(__xludf.DUMMYFUNCTION("""COMPUTED_VALUE"""),56.29)</f>
        <v>56.29</v>
      </c>
      <c r="AD266" s="3">
        <f ca="1">IFERROR(__xludf.DUMMYFUNCTION("""COMPUTED_VALUE"""),8.93)</f>
        <v>8.93</v>
      </c>
      <c r="AE266" s="3">
        <f ca="1">IFERROR(__xludf.DUMMYFUNCTION("""COMPUTED_VALUE"""),14.19)</f>
        <v>14.19</v>
      </c>
      <c r="AF266" s="3">
        <f ca="1">IFERROR(__xludf.DUMMYFUNCTION("""COMPUTED_VALUE"""),2.01)</f>
        <v>2.0099999999999998</v>
      </c>
      <c r="AG266" s="3">
        <f ca="1">IFERROR(__xludf.DUMMYFUNCTION("""COMPUTED_VALUE"""),20.53)</f>
        <v>20.53</v>
      </c>
    </row>
    <row r="267" spans="1:33" ht="12.75" x14ac:dyDescent="0.2">
      <c r="A267" s="4">
        <f ca="1">IFERROR(__xludf.DUMMYFUNCTION("""COMPUTED_VALUE"""),44949.6666666666)</f>
        <v>44949.666666666599</v>
      </c>
      <c r="B267" s="3">
        <f ca="1">IFERROR(__xludf.DUMMYFUNCTION("""COMPUTED_VALUE"""),134.33)</f>
        <v>134.33000000000001</v>
      </c>
      <c r="C267" s="3">
        <f ca="1">IFERROR(__xludf.DUMMYFUNCTION("""COMPUTED_VALUE"""),346.23)</f>
        <v>346.23</v>
      </c>
      <c r="D267" s="3">
        <f ca="1">IFERROR(__xludf.DUMMYFUNCTION("""COMPUTED_VALUE"""),81.47)</f>
        <v>81.47</v>
      </c>
      <c r="E267" s="3">
        <f ca="1">IFERROR(__xludf.DUMMYFUNCTION("""COMPUTED_VALUE"""),134.96)</f>
        <v>134.96</v>
      </c>
      <c r="F267" s="3">
        <f ca="1">IFERROR(__xludf.DUMMYFUNCTION("""COMPUTED_VALUE"""),44.95)</f>
        <v>44.95</v>
      </c>
      <c r="G267" s="3">
        <f ca="1">IFERROR(__xludf.DUMMYFUNCTION("""COMPUTED_VALUE"""),23.29)</f>
        <v>23.29</v>
      </c>
      <c r="H267" s="3">
        <f ca="1">IFERROR(__xludf.DUMMYFUNCTION("""COMPUTED_VALUE"""),25.92)</f>
        <v>25.92</v>
      </c>
      <c r="I267" s="3">
        <f ca="1">IFERROR(__xludf.DUMMYFUNCTION("""COMPUTED_VALUE"""),134.37)</f>
        <v>134.37</v>
      </c>
      <c r="J267" s="3">
        <f ca="1">IFERROR(__xludf.DUMMYFUNCTION("""COMPUTED_VALUE"""),247.52)</f>
        <v>247.52</v>
      </c>
      <c r="K267" s="3">
        <f ca="1">IFERROR(__xludf.DUMMYFUNCTION("""COMPUTED_VALUE"""),136.79)</f>
        <v>136.79</v>
      </c>
      <c r="L267" s="3">
        <f ca="1">IFERROR(__xludf.DUMMYFUNCTION("""COMPUTED_VALUE"""),87.16)</f>
        <v>87.16</v>
      </c>
      <c r="M267" s="3">
        <f ca="1">IFERROR(__xludf.DUMMYFUNCTION("""COMPUTED_VALUE"""),67.14)</f>
        <v>67.14</v>
      </c>
      <c r="N267" s="3">
        <f ca="1">IFERROR(__xludf.DUMMYFUNCTION("""COMPUTED_VALUE"""),63.83)</f>
        <v>63.83</v>
      </c>
      <c r="O267" s="3">
        <f ca="1">IFERROR(__xludf.DUMMYFUNCTION("""COMPUTED_VALUE"""),54.6)</f>
        <v>54.6</v>
      </c>
      <c r="P267" s="3">
        <f ca="1">IFERROR(__xludf.DUMMYFUNCTION("""COMPUTED_VALUE"""),90.6)</f>
        <v>90.6</v>
      </c>
      <c r="Q267" s="3">
        <f ca="1">IFERROR(__xludf.DUMMYFUNCTION("""COMPUTED_VALUE"""),125.43)</f>
        <v>125.43</v>
      </c>
      <c r="R267" s="3">
        <f ca="1">IFERROR(__xludf.DUMMYFUNCTION("""COMPUTED_VALUE"""),83.05)</f>
        <v>83.05</v>
      </c>
      <c r="S267" s="3">
        <f ca="1">IFERROR(__xludf.DUMMYFUNCTION("""COMPUTED_VALUE"""),56.09)</f>
        <v>56.09</v>
      </c>
      <c r="T267" s="3">
        <f ca="1">IFERROR(__xludf.DUMMYFUNCTION("""COMPUTED_VALUE"""),25.15)</f>
        <v>25.15</v>
      </c>
      <c r="U267" s="3">
        <f ca="1">IFERROR(__xludf.DUMMYFUNCTION("""COMPUTED_VALUE"""),71.5)</f>
        <v>71.5</v>
      </c>
      <c r="V267" s="3">
        <f ca="1">IFERROR(__xludf.DUMMYFUNCTION("""COMPUTED_VALUE"""),81.61)</f>
        <v>81.61</v>
      </c>
      <c r="W267" s="3">
        <f ca="1">IFERROR(__xludf.DUMMYFUNCTION("""COMPUTED_VALUE"""),35.76)</f>
        <v>35.76</v>
      </c>
      <c r="X267" s="3">
        <f ca="1">IFERROR(__xludf.DUMMYFUNCTION("""COMPUTED_VALUE"""),87.05)</f>
        <v>87.05</v>
      </c>
      <c r="Y267" s="3">
        <f ca="1">IFERROR(__xludf.DUMMYFUNCTION("""COMPUTED_VALUE"""),47.45)</f>
        <v>47.45</v>
      </c>
      <c r="Z267" s="3">
        <f ca="1">IFERROR(__xludf.DUMMYFUNCTION("""COMPUTED_VALUE"""),79.26)</f>
        <v>79.260000000000005</v>
      </c>
      <c r="AA267" s="3">
        <f ca="1">IFERROR(__xludf.DUMMYFUNCTION("""COMPUTED_VALUE"""),39.33)</f>
        <v>39.33</v>
      </c>
      <c r="AB267" s="3">
        <f ca="1">IFERROR(__xludf.DUMMYFUNCTION("""COMPUTED_VALUE"""),60.72)</f>
        <v>60.72</v>
      </c>
      <c r="AC267" s="3">
        <f ca="1">IFERROR(__xludf.DUMMYFUNCTION("""COMPUTED_VALUE"""),56.21)</f>
        <v>56.21</v>
      </c>
      <c r="AD267" s="3">
        <f ca="1">IFERROR(__xludf.DUMMYFUNCTION("""COMPUTED_VALUE"""),9.21)</f>
        <v>9.2100000000000009</v>
      </c>
      <c r="AE267" s="3">
        <f ca="1">IFERROR(__xludf.DUMMYFUNCTION("""COMPUTED_VALUE"""),14.67)</f>
        <v>14.67</v>
      </c>
      <c r="AF267" s="3">
        <f ca="1">IFERROR(__xludf.DUMMYFUNCTION("""COMPUTED_VALUE"""),2.16)</f>
        <v>2.16</v>
      </c>
      <c r="AG267" s="3">
        <f ca="1">IFERROR(__xludf.DUMMYFUNCTION("""COMPUTED_VALUE"""),21.58)</f>
        <v>21.58</v>
      </c>
    </row>
    <row r="268" spans="1:33" ht="12.75" x14ac:dyDescent="0.2">
      <c r="A268" s="4">
        <f ca="1">IFERROR(__xludf.DUMMYFUNCTION("""COMPUTED_VALUE"""),44950.6666666666)</f>
        <v>44950.666666666599</v>
      </c>
      <c r="B268" s="3">
        <f ca="1">IFERROR(__xludf.DUMMYFUNCTION("""COMPUTED_VALUE"""),134.27)</f>
        <v>134.27000000000001</v>
      </c>
      <c r="C268" s="3">
        <f ca="1">IFERROR(__xludf.DUMMYFUNCTION("""COMPUTED_VALUE"""),345.65)</f>
        <v>345.65</v>
      </c>
      <c r="D268" s="3">
        <f ca="1">IFERROR(__xludf.DUMMYFUNCTION("""COMPUTED_VALUE"""),81.07)</f>
        <v>81.069999999999993</v>
      </c>
      <c r="E268" s="3">
        <f ca="1">IFERROR(__xludf.DUMMYFUNCTION("""COMPUTED_VALUE"""),133.94)</f>
        <v>133.94</v>
      </c>
      <c r="F268" s="3">
        <f ca="1">IFERROR(__xludf.DUMMYFUNCTION("""COMPUTED_VALUE"""),44.78)</f>
        <v>44.78</v>
      </c>
      <c r="G268" s="3">
        <f ca="1">IFERROR(__xludf.DUMMYFUNCTION("""COMPUTED_VALUE"""),23.22)</f>
        <v>23.22</v>
      </c>
      <c r="H268" s="3">
        <f ca="1">IFERROR(__xludf.DUMMYFUNCTION("""COMPUTED_VALUE"""),25.72)</f>
        <v>25.72</v>
      </c>
      <c r="I268" s="3">
        <f ca="1">IFERROR(__xludf.DUMMYFUNCTION("""COMPUTED_VALUE"""),133.48)</f>
        <v>133.47999999999999</v>
      </c>
      <c r="J268" s="3">
        <f ca="1">IFERROR(__xludf.DUMMYFUNCTION("""COMPUTED_VALUE"""),245.84)</f>
        <v>245.84</v>
      </c>
      <c r="K268" s="3">
        <f ca="1">IFERROR(__xludf.DUMMYFUNCTION("""COMPUTED_VALUE"""),136.78)</f>
        <v>136.78</v>
      </c>
      <c r="L268" s="3">
        <f ca="1">IFERROR(__xludf.DUMMYFUNCTION("""COMPUTED_VALUE"""),88.82)</f>
        <v>88.82</v>
      </c>
      <c r="M268" s="3">
        <f ca="1">IFERROR(__xludf.DUMMYFUNCTION("""COMPUTED_VALUE"""),67.07)</f>
        <v>67.069999999999993</v>
      </c>
      <c r="N268" s="3">
        <f ca="1">IFERROR(__xludf.DUMMYFUNCTION("""COMPUTED_VALUE"""),63.48)</f>
        <v>63.48</v>
      </c>
      <c r="O268" s="3">
        <f ca="1">IFERROR(__xludf.DUMMYFUNCTION("""COMPUTED_VALUE"""),54.44)</f>
        <v>54.44</v>
      </c>
      <c r="P268" s="3">
        <f ca="1">IFERROR(__xludf.DUMMYFUNCTION("""COMPUTED_VALUE"""),90.25)</f>
        <v>90.25</v>
      </c>
      <c r="Q268" s="3">
        <f ca="1">IFERROR(__xludf.DUMMYFUNCTION("""COMPUTED_VALUE"""),125.01)</f>
        <v>125.01</v>
      </c>
      <c r="R268" s="3">
        <f ca="1">IFERROR(__xludf.DUMMYFUNCTION("""COMPUTED_VALUE"""),83.1)</f>
        <v>83.1</v>
      </c>
      <c r="S268" s="3">
        <f ca="1">IFERROR(__xludf.DUMMYFUNCTION("""COMPUTED_VALUE"""),56.2)</f>
        <v>56.2</v>
      </c>
      <c r="T268" s="3">
        <f ca="1">IFERROR(__xludf.DUMMYFUNCTION("""COMPUTED_VALUE"""),25.01)</f>
        <v>25.01</v>
      </c>
      <c r="U268" s="3">
        <f ca="1">IFERROR(__xludf.DUMMYFUNCTION("""COMPUTED_VALUE"""),70.22)</f>
        <v>70.22</v>
      </c>
      <c r="V268" s="3">
        <f ca="1">IFERROR(__xludf.DUMMYFUNCTION("""COMPUTED_VALUE"""),80.68)</f>
        <v>80.680000000000007</v>
      </c>
      <c r="W268" s="3">
        <f ca="1">IFERROR(__xludf.DUMMYFUNCTION("""COMPUTED_VALUE"""),35.78)</f>
        <v>35.78</v>
      </c>
      <c r="X268" s="3">
        <f ca="1">IFERROR(__xludf.DUMMYFUNCTION("""COMPUTED_VALUE"""),86.96)</f>
        <v>86.96</v>
      </c>
      <c r="Y268" s="3">
        <f ca="1">IFERROR(__xludf.DUMMYFUNCTION("""COMPUTED_VALUE"""),46.99)</f>
        <v>46.99</v>
      </c>
      <c r="Z268" s="3">
        <f ca="1">IFERROR(__xludf.DUMMYFUNCTION("""COMPUTED_VALUE"""),79.29)</f>
        <v>79.290000000000006</v>
      </c>
      <c r="AA268" s="3">
        <f ca="1">IFERROR(__xludf.DUMMYFUNCTION("""COMPUTED_VALUE"""),39.5)</f>
        <v>39.5</v>
      </c>
      <c r="AB268" s="3">
        <f ca="1">IFERROR(__xludf.DUMMYFUNCTION("""COMPUTED_VALUE"""),60)</f>
        <v>60</v>
      </c>
      <c r="AC268" s="3">
        <f ca="1">IFERROR(__xludf.DUMMYFUNCTION("""COMPUTED_VALUE"""),56.59)</f>
        <v>56.59</v>
      </c>
      <c r="AD268" s="3">
        <f ca="1">IFERROR(__xludf.DUMMYFUNCTION("""COMPUTED_VALUE"""),9.19)</f>
        <v>9.19</v>
      </c>
      <c r="AE268" s="3">
        <f ca="1">IFERROR(__xludf.DUMMYFUNCTION("""COMPUTED_VALUE"""),14.62)</f>
        <v>14.62</v>
      </c>
      <c r="AF268" s="3">
        <f ca="1">IFERROR(__xludf.DUMMYFUNCTION("""COMPUTED_VALUE"""),2.22)</f>
        <v>2.2200000000000002</v>
      </c>
      <c r="AG268" s="3">
        <f ca="1">IFERROR(__xludf.DUMMYFUNCTION("""COMPUTED_VALUE"""),21.07)</f>
        <v>21.07</v>
      </c>
    </row>
    <row r="269" spans="1:33" ht="12.75" x14ac:dyDescent="0.2">
      <c r="A269" s="4">
        <f ca="1">IFERROR(__xludf.DUMMYFUNCTION("""COMPUTED_VALUE"""),44951.6666666666)</f>
        <v>44951.666666666599</v>
      </c>
      <c r="B269" s="3">
        <f ca="1">IFERROR(__xludf.DUMMYFUNCTION("""COMPUTED_VALUE"""),133.99)</f>
        <v>133.99</v>
      </c>
      <c r="C269" s="3">
        <f ca="1">IFERROR(__xludf.DUMMYFUNCTION("""COMPUTED_VALUE"""),344.92)</f>
        <v>344.92</v>
      </c>
      <c r="D269" s="3">
        <f ca="1">IFERROR(__xludf.DUMMYFUNCTION("""COMPUTED_VALUE"""),82.71)</f>
        <v>82.71</v>
      </c>
      <c r="E269" s="3">
        <f ca="1">IFERROR(__xludf.DUMMYFUNCTION("""COMPUTED_VALUE"""),134.31)</f>
        <v>134.31</v>
      </c>
      <c r="F269" s="3">
        <f ca="1">IFERROR(__xludf.DUMMYFUNCTION("""COMPUTED_VALUE"""),44.75)</f>
        <v>44.75</v>
      </c>
      <c r="G269" s="3">
        <f ca="1">IFERROR(__xludf.DUMMYFUNCTION("""COMPUTED_VALUE"""),23.25)</f>
        <v>23.25</v>
      </c>
      <c r="H269" s="3">
        <f ca="1">IFERROR(__xludf.DUMMYFUNCTION("""COMPUTED_VALUE"""),25.82)</f>
        <v>25.82</v>
      </c>
      <c r="I269" s="3">
        <f ca="1">IFERROR(__xludf.DUMMYFUNCTION("""COMPUTED_VALUE"""),133.52)</f>
        <v>133.52000000000001</v>
      </c>
      <c r="J269" s="3">
        <f ca="1">IFERROR(__xludf.DUMMYFUNCTION("""COMPUTED_VALUE"""),246.16)</f>
        <v>246.16</v>
      </c>
      <c r="K269" s="3">
        <f ca="1">IFERROR(__xludf.DUMMYFUNCTION("""COMPUTED_VALUE"""),136.79)</f>
        <v>136.79</v>
      </c>
      <c r="L269" s="3">
        <f ca="1">IFERROR(__xludf.DUMMYFUNCTION("""COMPUTED_VALUE"""),88.9)</f>
        <v>88.9</v>
      </c>
      <c r="M269" s="3">
        <f ca="1">IFERROR(__xludf.DUMMYFUNCTION("""COMPUTED_VALUE"""),66.94)</f>
        <v>66.94</v>
      </c>
      <c r="N269" s="3">
        <f ca="1">IFERROR(__xludf.DUMMYFUNCTION("""COMPUTED_VALUE"""),63.51)</f>
        <v>63.51</v>
      </c>
      <c r="O269" s="3">
        <f ca="1">IFERROR(__xludf.DUMMYFUNCTION("""COMPUTED_VALUE"""),54.48)</f>
        <v>54.48</v>
      </c>
      <c r="P269" s="3">
        <f ca="1">IFERROR(__xludf.DUMMYFUNCTION("""COMPUTED_VALUE"""),90.26)</f>
        <v>90.26</v>
      </c>
      <c r="Q269" s="3">
        <f ca="1">IFERROR(__xludf.DUMMYFUNCTION("""COMPUTED_VALUE"""),124.93)</f>
        <v>124.93</v>
      </c>
      <c r="R269" s="3">
        <f ca="1">IFERROR(__xludf.DUMMYFUNCTION("""COMPUTED_VALUE"""),83.27)</f>
        <v>83.27</v>
      </c>
      <c r="S269" s="3">
        <f ca="1">IFERROR(__xludf.DUMMYFUNCTION("""COMPUTED_VALUE"""),56.9)</f>
        <v>56.9</v>
      </c>
      <c r="T269" s="3">
        <f ca="1">IFERROR(__xludf.DUMMYFUNCTION("""COMPUTED_VALUE"""),24.94)</f>
        <v>24.94</v>
      </c>
      <c r="U269" s="3">
        <f ca="1">IFERROR(__xludf.DUMMYFUNCTION("""COMPUTED_VALUE"""),70.51)</f>
        <v>70.510000000000005</v>
      </c>
      <c r="V269" s="3">
        <f ca="1">IFERROR(__xludf.DUMMYFUNCTION("""COMPUTED_VALUE"""),79.2)</f>
        <v>79.2</v>
      </c>
      <c r="W269" s="3">
        <f ca="1">IFERROR(__xludf.DUMMYFUNCTION("""COMPUTED_VALUE"""),36.06)</f>
        <v>36.06</v>
      </c>
      <c r="X269" s="3">
        <f ca="1">IFERROR(__xludf.DUMMYFUNCTION("""COMPUTED_VALUE"""),87.55)</f>
        <v>87.55</v>
      </c>
      <c r="Y269" s="3">
        <f ca="1">IFERROR(__xludf.DUMMYFUNCTION("""COMPUTED_VALUE"""),47.21)</f>
        <v>47.21</v>
      </c>
      <c r="Z269" s="3">
        <f ca="1">IFERROR(__xludf.DUMMYFUNCTION("""COMPUTED_VALUE"""),79.79)</f>
        <v>79.790000000000006</v>
      </c>
      <c r="AA269" s="3">
        <f ca="1">IFERROR(__xludf.DUMMYFUNCTION("""COMPUTED_VALUE"""),39.54)</f>
        <v>39.54</v>
      </c>
      <c r="AB269" s="3">
        <f ca="1">IFERROR(__xludf.DUMMYFUNCTION("""COMPUTED_VALUE"""),60.14)</f>
        <v>60.14</v>
      </c>
      <c r="AC269" s="3">
        <f ca="1">IFERROR(__xludf.DUMMYFUNCTION("""COMPUTED_VALUE"""),56.94)</f>
        <v>56.94</v>
      </c>
      <c r="AD269" s="3">
        <f ca="1">IFERROR(__xludf.DUMMYFUNCTION("""COMPUTED_VALUE"""),9.16)</f>
        <v>9.16</v>
      </c>
      <c r="AE269" s="3">
        <f ca="1">IFERROR(__xludf.DUMMYFUNCTION("""COMPUTED_VALUE"""),14.55)</f>
        <v>14.55</v>
      </c>
      <c r="AF269" s="3">
        <f ca="1">IFERROR(__xludf.DUMMYFUNCTION("""COMPUTED_VALUE"""),2.09)</f>
        <v>2.09</v>
      </c>
      <c r="AG269" s="3">
        <f ca="1">IFERROR(__xludf.DUMMYFUNCTION("""COMPUTED_VALUE"""),20.91)</f>
        <v>20.91</v>
      </c>
    </row>
    <row r="270" spans="1:33" ht="12.75" x14ac:dyDescent="0.2">
      <c r="A270" s="4">
        <f ca="1">IFERROR(__xludf.DUMMYFUNCTION("""COMPUTED_VALUE"""),44952.6666666666)</f>
        <v>44952.666666666599</v>
      </c>
      <c r="B270" s="3">
        <f ca="1">IFERROR(__xludf.DUMMYFUNCTION("""COMPUTED_VALUE"""),136.13)</f>
        <v>136.13</v>
      </c>
      <c r="C270" s="3">
        <f ca="1">IFERROR(__xludf.DUMMYFUNCTION("""COMPUTED_VALUE"""),350.41)</f>
        <v>350.41</v>
      </c>
      <c r="D270" s="3">
        <f ca="1">IFERROR(__xludf.DUMMYFUNCTION("""COMPUTED_VALUE"""),83.22)</f>
        <v>83.22</v>
      </c>
      <c r="E270" s="3">
        <f ca="1">IFERROR(__xludf.DUMMYFUNCTION("""COMPUTED_VALUE"""),136.57)</f>
        <v>136.57</v>
      </c>
      <c r="F270" s="3">
        <f ca="1">IFERROR(__xludf.DUMMYFUNCTION("""COMPUTED_VALUE"""),45.66)</f>
        <v>45.66</v>
      </c>
      <c r="G270" s="3">
        <f ca="1">IFERROR(__xludf.DUMMYFUNCTION("""COMPUTED_VALUE"""),23.48)</f>
        <v>23.48</v>
      </c>
      <c r="H270" s="3">
        <f ca="1">IFERROR(__xludf.DUMMYFUNCTION("""COMPUTED_VALUE"""),26.15)</f>
        <v>26.15</v>
      </c>
      <c r="I270" s="3">
        <f ca="1">IFERROR(__xludf.DUMMYFUNCTION("""COMPUTED_VALUE"""),133.77)</f>
        <v>133.77000000000001</v>
      </c>
      <c r="J270" s="3">
        <f ca="1">IFERROR(__xludf.DUMMYFUNCTION("""COMPUTED_VALUE"""),246.77)</f>
        <v>246.77</v>
      </c>
      <c r="K270" s="3">
        <f ca="1">IFERROR(__xludf.DUMMYFUNCTION("""COMPUTED_VALUE"""),137.16)</f>
        <v>137.16</v>
      </c>
      <c r="L270" s="3">
        <f ca="1">IFERROR(__xludf.DUMMYFUNCTION("""COMPUTED_VALUE"""),88.59)</f>
        <v>88.59</v>
      </c>
      <c r="M270" s="3">
        <f ca="1">IFERROR(__xludf.DUMMYFUNCTION("""COMPUTED_VALUE"""),66.94)</f>
        <v>66.94</v>
      </c>
      <c r="N270" s="3">
        <f ca="1">IFERROR(__xludf.DUMMYFUNCTION("""COMPUTED_VALUE"""),63.61)</f>
        <v>63.61</v>
      </c>
      <c r="O270" s="3">
        <f ca="1">IFERROR(__xludf.DUMMYFUNCTION("""COMPUTED_VALUE"""),54.84)</f>
        <v>54.84</v>
      </c>
      <c r="P270" s="3">
        <f ca="1">IFERROR(__xludf.DUMMYFUNCTION("""COMPUTED_VALUE"""),93.11)</f>
        <v>93.11</v>
      </c>
      <c r="Q270" s="3">
        <f ca="1">IFERROR(__xludf.DUMMYFUNCTION("""COMPUTED_VALUE"""),128.7)</f>
        <v>128.69999999999999</v>
      </c>
      <c r="R270" s="3">
        <f ca="1">IFERROR(__xludf.DUMMYFUNCTION("""COMPUTED_VALUE"""),83.67)</f>
        <v>83.67</v>
      </c>
      <c r="S270" s="3">
        <f ca="1">IFERROR(__xludf.DUMMYFUNCTION("""COMPUTED_VALUE"""),57.33)</f>
        <v>57.33</v>
      </c>
      <c r="T270" s="3">
        <f ca="1">IFERROR(__xludf.DUMMYFUNCTION("""COMPUTED_VALUE"""),25.05)</f>
        <v>25.05</v>
      </c>
      <c r="U270" s="3">
        <f ca="1">IFERROR(__xludf.DUMMYFUNCTION("""COMPUTED_VALUE"""),70.93)</f>
        <v>70.930000000000007</v>
      </c>
      <c r="V270" s="3">
        <f ca="1">IFERROR(__xludf.DUMMYFUNCTION("""COMPUTED_VALUE"""),79.48)</f>
        <v>79.48</v>
      </c>
      <c r="W270" s="3">
        <f ca="1">IFERROR(__xludf.DUMMYFUNCTION("""COMPUTED_VALUE"""),36.25)</f>
        <v>36.25</v>
      </c>
      <c r="X270" s="3">
        <f ca="1">IFERROR(__xludf.DUMMYFUNCTION("""COMPUTED_VALUE"""),88.13)</f>
        <v>88.13</v>
      </c>
      <c r="Y270" s="3">
        <f ca="1">IFERROR(__xludf.DUMMYFUNCTION("""COMPUTED_VALUE"""),47.72)</f>
        <v>47.72</v>
      </c>
      <c r="Z270" s="3">
        <f ca="1">IFERROR(__xludf.DUMMYFUNCTION("""COMPUTED_VALUE"""),80.38)</f>
        <v>80.38</v>
      </c>
      <c r="AA270" s="3">
        <f ca="1">IFERROR(__xludf.DUMMYFUNCTION("""COMPUTED_VALUE"""),39.99)</f>
        <v>39.99</v>
      </c>
      <c r="AB270" s="3">
        <f ca="1">IFERROR(__xludf.DUMMYFUNCTION("""COMPUTED_VALUE"""),60.56)</f>
        <v>60.56</v>
      </c>
      <c r="AC270" s="3">
        <f ca="1">IFERROR(__xludf.DUMMYFUNCTION("""COMPUTED_VALUE"""),57.34)</f>
        <v>57.34</v>
      </c>
      <c r="AD270" s="3">
        <f ca="1">IFERROR(__xludf.DUMMYFUNCTION("""COMPUTED_VALUE"""),9.22)</f>
        <v>9.2200000000000006</v>
      </c>
      <c r="AE270" s="3">
        <f ca="1">IFERROR(__xludf.DUMMYFUNCTION("""COMPUTED_VALUE"""),14.7)</f>
        <v>14.7</v>
      </c>
      <c r="AF270" s="3">
        <f ca="1">IFERROR(__xludf.DUMMYFUNCTION("""COMPUTED_VALUE"""),2.08)</f>
        <v>2.08</v>
      </c>
      <c r="AG270" s="3">
        <f ca="1">IFERROR(__xludf.DUMMYFUNCTION("""COMPUTED_VALUE"""),21.09)</f>
        <v>21.09</v>
      </c>
    </row>
    <row r="271" spans="1:33" ht="12.75" x14ac:dyDescent="0.2">
      <c r="A271" s="4">
        <f ca="1">IFERROR(__xludf.DUMMYFUNCTION("""COMPUTED_VALUE"""),44953.6666666666)</f>
        <v>44953.666666666599</v>
      </c>
      <c r="B271" s="3">
        <f ca="1">IFERROR(__xludf.DUMMYFUNCTION("""COMPUTED_VALUE"""),136.7)</f>
        <v>136.69999999999999</v>
      </c>
      <c r="C271" s="3">
        <f ca="1">IFERROR(__xludf.DUMMYFUNCTION("""COMPUTED_VALUE"""),352.02)</f>
        <v>352.02</v>
      </c>
      <c r="D271" s="3">
        <f ca="1">IFERROR(__xludf.DUMMYFUNCTION("""COMPUTED_VALUE"""),81.4)</f>
        <v>81.400000000000006</v>
      </c>
      <c r="E271" s="3">
        <f ca="1">IFERROR(__xludf.DUMMYFUNCTION("""COMPUTED_VALUE"""),135.7)</f>
        <v>135.69999999999999</v>
      </c>
      <c r="F271" s="3">
        <f ca="1">IFERROR(__xludf.DUMMYFUNCTION("""COMPUTED_VALUE"""),45.76)</f>
        <v>45.76</v>
      </c>
      <c r="G271" s="3">
        <f ca="1">IFERROR(__xludf.DUMMYFUNCTION("""COMPUTED_VALUE"""),23.77)</f>
        <v>23.77</v>
      </c>
      <c r="H271" s="3">
        <f ca="1">IFERROR(__xludf.DUMMYFUNCTION("""COMPUTED_VALUE"""),26.22)</f>
        <v>26.22</v>
      </c>
      <c r="I271" s="3">
        <f ca="1">IFERROR(__xludf.DUMMYFUNCTION("""COMPUTED_VALUE"""),132.86)</f>
        <v>132.86000000000001</v>
      </c>
      <c r="J271" s="3">
        <f ca="1">IFERROR(__xludf.DUMMYFUNCTION("""COMPUTED_VALUE"""),245.26)</f>
        <v>245.26</v>
      </c>
      <c r="K271" s="3">
        <f ca="1">IFERROR(__xludf.DUMMYFUNCTION("""COMPUTED_VALUE"""),137.23)</f>
        <v>137.22999999999999</v>
      </c>
      <c r="L271" s="3">
        <f ca="1">IFERROR(__xludf.DUMMYFUNCTION("""COMPUTED_VALUE"""),89.39)</f>
        <v>89.39</v>
      </c>
      <c r="M271" s="3">
        <f ca="1">IFERROR(__xludf.DUMMYFUNCTION("""COMPUTED_VALUE"""),67.18)</f>
        <v>67.180000000000007</v>
      </c>
      <c r="N271" s="3">
        <f ca="1">IFERROR(__xludf.DUMMYFUNCTION("""COMPUTED_VALUE"""),63.31)</f>
        <v>63.31</v>
      </c>
      <c r="O271" s="3">
        <f ca="1">IFERROR(__xludf.DUMMYFUNCTION("""COMPUTED_VALUE"""),55.32)</f>
        <v>55.32</v>
      </c>
      <c r="P271" s="3">
        <f ca="1">IFERROR(__xludf.DUMMYFUNCTION("""COMPUTED_VALUE"""),91.23)</f>
        <v>91.23</v>
      </c>
      <c r="Q271" s="3">
        <f ca="1">IFERROR(__xludf.DUMMYFUNCTION("""COMPUTED_VALUE"""),126.38)</f>
        <v>126.38</v>
      </c>
      <c r="R271" s="3">
        <f ca="1">IFERROR(__xludf.DUMMYFUNCTION("""COMPUTED_VALUE"""),83.4)</f>
        <v>83.4</v>
      </c>
      <c r="S271" s="3">
        <f ca="1">IFERROR(__xludf.DUMMYFUNCTION("""COMPUTED_VALUE"""),57.1)</f>
        <v>57.1</v>
      </c>
      <c r="T271" s="3">
        <f ca="1">IFERROR(__xludf.DUMMYFUNCTION("""COMPUTED_VALUE"""),24.77)</f>
        <v>24.77</v>
      </c>
      <c r="U271" s="3">
        <f ca="1">IFERROR(__xludf.DUMMYFUNCTION("""COMPUTED_VALUE"""),69.5)</f>
        <v>69.5</v>
      </c>
      <c r="V271" s="3">
        <f ca="1">IFERROR(__xludf.DUMMYFUNCTION("""COMPUTED_VALUE"""),80.15)</f>
        <v>80.150000000000006</v>
      </c>
      <c r="W271" s="3">
        <f ca="1">IFERROR(__xludf.DUMMYFUNCTION("""COMPUTED_VALUE"""),36.25)</f>
        <v>36.25</v>
      </c>
      <c r="X271" s="3">
        <f ca="1">IFERROR(__xludf.DUMMYFUNCTION("""COMPUTED_VALUE"""),88.32)</f>
        <v>88.32</v>
      </c>
      <c r="Y271" s="3">
        <f ca="1">IFERROR(__xludf.DUMMYFUNCTION("""COMPUTED_VALUE"""),47.99)</f>
        <v>47.99</v>
      </c>
      <c r="Z271" s="3">
        <f ca="1">IFERROR(__xludf.DUMMYFUNCTION("""COMPUTED_VALUE"""),80.27)</f>
        <v>80.27</v>
      </c>
      <c r="AA271" s="3">
        <f ca="1">IFERROR(__xludf.DUMMYFUNCTION("""COMPUTED_VALUE"""),40.35)</f>
        <v>40.35</v>
      </c>
      <c r="AB271" s="3">
        <f ca="1">IFERROR(__xludf.DUMMYFUNCTION("""COMPUTED_VALUE"""),60.94)</f>
        <v>60.94</v>
      </c>
      <c r="AC271" s="3">
        <f ca="1">IFERROR(__xludf.DUMMYFUNCTION("""COMPUTED_VALUE"""),56.94)</f>
        <v>56.94</v>
      </c>
      <c r="AD271" s="3">
        <f ca="1">IFERROR(__xludf.DUMMYFUNCTION("""COMPUTED_VALUE"""),9.21)</f>
        <v>9.2100000000000009</v>
      </c>
      <c r="AE271" s="3">
        <f ca="1">IFERROR(__xludf.DUMMYFUNCTION("""COMPUTED_VALUE"""),14.65)</f>
        <v>14.65</v>
      </c>
      <c r="AF271" s="3">
        <f ca="1">IFERROR(__xludf.DUMMYFUNCTION("""COMPUTED_VALUE"""),2.2)</f>
        <v>2.2000000000000002</v>
      </c>
      <c r="AG271" s="3">
        <f ca="1">IFERROR(__xludf.DUMMYFUNCTION("""COMPUTED_VALUE"""),21.95)</f>
        <v>21.95</v>
      </c>
    </row>
    <row r="272" spans="1:33" ht="12.75" x14ac:dyDescent="0.2">
      <c r="A272" s="4">
        <f ca="1">IFERROR(__xludf.DUMMYFUNCTION("""COMPUTED_VALUE"""),44956.6666666666)</f>
        <v>44956.666666666599</v>
      </c>
      <c r="B272" s="3">
        <f ca="1">IFERROR(__xludf.DUMMYFUNCTION("""COMPUTED_VALUE"""),134.09)</f>
        <v>134.09</v>
      </c>
      <c r="C272" s="3">
        <f ca="1">IFERROR(__xludf.DUMMYFUNCTION("""COMPUTED_VALUE"""),345.14)</f>
        <v>345.14</v>
      </c>
      <c r="D272" s="3">
        <f ca="1">IFERROR(__xludf.DUMMYFUNCTION("""COMPUTED_VALUE"""),82.69)</f>
        <v>82.69</v>
      </c>
      <c r="E272" s="3">
        <f ca="1">IFERROR(__xludf.DUMMYFUNCTION("""COMPUTED_VALUE"""),132.1)</f>
        <v>132.1</v>
      </c>
      <c r="F272" s="3">
        <f ca="1">IFERROR(__xludf.DUMMYFUNCTION("""COMPUTED_VALUE"""),45.07)</f>
        <v>45.07</v>
      </c>
      <c r="G272" s="3">
        <f ca="1">IFERROR(__xludf.DUMMYFUNCTION("""COMPUTED_VALUE"""),23.45)</f>
        <v>23.45</v>
      </c>
      <c r="H272" s="3">
        <f ca="1">IFERROR(__xludf.DUMMYFUNCTION("""COMPUTED_VALUE"""),25.79)</f>
        <v>25.79</v>
      </c>
      <c r="I272" s="3">
        <f ca="1">IFERROR(__xludf.DUMMYFUNCTION("""COMPUTED_VALUE"""),131.66)</f>
        <v>131.66</v>
      </c>
      <c r="J272" s="3">
        <f ca="1">IFERROR(__xludf.DUMMYFUNCTION("""COMPUTED_VALUE"""),242.74)</f>
        <v>242.74</v>
      </c>
      <c r="K272" s="3">
        <f ca="1">IFERROR(__xludf.DUMMYFUNCTION("""COMPUTED_VALUE"""),134.8)</f>
        <v>134.80000000000001</v>
      </c>
      <c r="L272" s="3">
        <f ca="1">IFERROR(__xludf.DUMMYFUNCTION("""COMPUTED_VALUE"""),87.1)</f>
        <v>87.1</v>
      </c>
      <c r="M272" s="3">
        <f ca="1">IFERROR(__xludf.DUMMYFUNCTION("""COMPUTED_VALUE"""),65.75)</f>
        <v>65.75</v>
      </c>
      <c r="N272" s="3">
        <f ca="1">IFERROR(__xludf.DUMMYFUNCTION("""COMPUTED_VALUE"""),62.68)</f>
        <v>62.68</v>
      </c>
      <c r="O272" s="3">
        <f ca="1">IFERROR(__xludf.DUMMYFUNCTION("""COMPUTED_VALUE"""),53.44)</f>
        <v>53.44</v>
      </c>
      <c r="P272" s="3">
        <f ca="1">IFERROR(__xludf.DUMMYFUNCTION("""COMPUTED_VALUE"""),89.14)</f>
        <v>89.14</v>
      </c>
      <c r="Q272" s="3">
        <f ca="1">IFERROR(__xludf.DUMMYFUNCTION("""COMPUTED_VALUE"""),123.53)</f>
        <v>123.53</v>
      </c>
      <c r="R272" s="3">
        <f ca="1">IFERROR(__xludf.DUMMYFUNCTION("""COMPUTED_VALUE"""),82.83)</f>
        <v>82.83</v>
      </c>
      <c r="S272" s="3">
        <f ca="1">IFERROR(__xludf.DUMMYFUNCTION("""COMPUTED_VALUE"""),56.47)</f>
        <v>56.47</v>
      </c>
      <c r="T272" s="3">
        <f ca="1">IFERROR(__xludf.DUMMYFUNCTION("""COMPUTED_VALUE"""),24.45)</f>
        <v>24.45</v>
      </c>
      <c r="U272" s="3">
        <f ca="1">IFERROR(__xludf.DUMMYFUNCTION("""COMPUTED_VALUE"""),68.1)</f>
        <v>68.099999999999994</v>
      </c>
      <c r="V272" s="3">
        <f ca="1">IFERROR(__xludf.DUMMYFUNCTION("""COMPUTED_VALUE"""),78.22)</f>
        <v>78.22</v>
      </c>
      <c r="W272" s="3">
        <f ca="1">IFERROR(__xludf.DUMMYFUNCTION("""COMPUTED_VALUE"""),36.07)</f>
        <v>36.07</v>
      </c>
      <c r="X272" s="3">
        <f ca="1">IFERROR(__xludf.DUMMYFUNCTION("""COMPUTED_VALUE"""),87.85)</f>
        <v>87.85</v>
      </c>
      <c r="Y272" s="3">
        <f ca="1">IFERROR(__xludf.DUMMYFUNCTION("""COMPUTED_VALUE"""),47.52)</f>
        <v>47.52</v>
      </c>
      <c r="Z272" s="3">
        <f ca="1">IFERROR(__xludf.DUMMYFUNCTION("""COMPUTED_VALUE"""),79.81)</f>
        <v>79.81</v>
      </c>
      <c r="AA272" s="3">
        <f ca="1">IFERROR(__xludf.DUMMYFUNCTION("""COMPUTED_VALUE"""),39.86)</f>
        <v>39.86</v>
      </c>
      <c r="AB272" s="3">
        <f ca="1">IFERROR(__xludf.DUMMYFUNCTION("""COMPUTED_VALUE"""),60.32)</f>
        <v>60.32</v>
      </c>
      <c r="AC272" s="3">
        <f ca="1">IFERROR(__xludf.DUMMYFUNCTION("""COMPUTED_VALUE"""),57.66)</f>
        <v>57.66</v>
      </c>
      <c r="AD272" s="3">
        <f ca="1">IFERROR(__xludf.DUMMYFUNCTION("""COMPUTED_VALUE"""),9.02)</f>
        <v>9.02</v>
      </c>
      <c r="AE272" s="3">
        <f ca="1">IFERROR(__xludf.DUMMYFUNCTION("""COMPUTED_VALUE"""),14.37)</f>
        <v>14.37</v>
      </c>
      <c r="AF272" s="3">
        <f ca="1">IFERROR(__xludf.DUMMYFUNCTION("""COMPUTED_VALUE"""),2.06)</f>
        <v>2.06</v>
      </c>
      <c r="AG272" s="3">
        <f ca="1">IFERROR(__xludf.DUMMYFUNCTION("""COMPUTED_VALUE"""),20.68)</f>
        <v>20.68</v>
      </c>
    </row>
    <row r="273" spans="1:33" ht="12.75" x14ac:dyDescent="0.2">
      <c r="A273" s="4">
        <f ca="1">IFERROR(__xludf.DUMMYFUNCTION("""COMPUTED_VALUE"""),44957.6666666666)</f>
        <v>44957.666666666599</v>
      </c>
      <c r="B273" s="3">
        <f ca="1">IFERROR(__xludf.DUMMYFUNCTION("""COMPUTED_VALUE"""),135.96)</f>
        <v>135.96</v>
      </c>
      <c r="C273" s="3">
        <f ca="1">IFERROR(__xludf.DUMMYFUNCTION("""COMPUTED_VALUE"""),350.38)</f>
        <v>350.38</v>
      </c>
      <c r="D273" s="3">
        <f ca="1">IFERROR(__xludf.DUMMYFUNCTION("""COMPUTED_VALUE"""),85.02)</f>
        <v>85.02</v>
      </c>
      <c r="E273" s="3">
        <f ca="1">IFERROR(__xludf.DUMMYFUNCTION("""COMPUTED_VALUE"""),134.56)</f>
        <v>134.56</v>
      </c>
      <c r="F273" s="3">
        <f ca="1">IFERROR(__xludf.DUMMYFUNCTION("""COMPUTED_VALUE"""),45.93)</f>
        <v>45.93</v>
      </c>
      <c r="G273" s="3">
        <f ca="1">IFERROR(__xludf.DUMMYFUNCTION("""COMPUTED_VALUE"""),23.8)</f>
        <v>23.8</v>
      </c>
      <c r="H273" s="3">
        <f ca="1">IFERROR(__xludf.DUMMYFUNCTION("""COMPUTED_VALUE"""),26.22)</f>
        <v>26.22</v>
      </c>
      <c r="I273" s="3">
        <f ca="1">IFERROR(__xludf.DUMMYFUNCTION("""COMPUTED_VALUE"""),133.36)</f>
        <v>133.36000000000001</v>
      </c>
      <c r="J273" s="3">
        <f ca="1">IFERROR(__xludf.DUMMYFUNCTION("""COMPUTED_VALUE"""),246.08)</f>
        <v>246.08</v>
      </c>
      <c r="K273" s="3">
        <f ca="1">IFERROR(__xludf.DUMMYFUNCTION("""COMPUTED_VALUE"""),136.55)</f>
        <v>136.55000000000001</v>
      </c>
      <c r="L273" s="3">
        <f ca="1">IFERROR(__xludf.DUMMYFUNCTION("""COMPUTED_VALUE"""),88.9)</f>
        <v>88.9</v>
      </c>
      <c r="M273" s="3">
        <f ca="1">IFERROR(__xludf.DUMMYFUNCTION("""COMPUTED_VALUE"""),66.78)</f>
        <v>66.78</v>
      </c>
      <c r="N273" s="3">
        <f ca="1">IFERROR(__xludf.DUMMYFUNCTION("""COMPUTED_VALUE"""),63.51)</f>
        <v>63.51</v>
      </c>
      <c r="O273" s="3">
        <f ca="1">IFERROR(__xludf.DUMMYFUNCTION("""COMPUTED_VALUE"""),54.32)</f>
        <v>54.32</v>
      </c>
      <c r="P273" s="3">
        <f ca="1">IFERROR(__xludf.DUMMYFUNCTION("""COMPUTED_VALUE"""),89.93)</f>
        <v>89.93</v>
      </c>
      <c r="Q273" s="3">
        <f ca="1">IFERROR(__xludf.DUMMYFUNCTION("""COMPUTED_VALUE"""),124.88)</f>
        <v>124.88</v>
      </c>
      <c r="R273" s="3">
        <f ca="1">IFERROR(__xludf.DUMMYFUNCTION("""COMPUTED_VALUE"""),84.65)</f>
        <v>84.65</v>
      </c>
      <c r="S273" s="3">
        <f ca="1">IFERROR(__xludf.DUMMYFUNCTION("""COMPUTED_VALUE"""),57.12)</f>
        <v>57.12</v>
      </c>
      <c r="T273" s="3">
        <f ca="1">IFERROR(__xludf.DUMMYFUNCTION("""COMPUTED_VALUE"""),24.87)</f>
        <v>24.87</v>
      </c>
      <c r="U273" s="3">
        <f ca="1">IFERROR(__xludf.DUMMYFUNCTION("""COMPUTED_VALUE"""),69.32)</f>
        <v>69.319999999999993</v>
      </c>
      <c r="V273" s="3">
        <f ca="1">IFERROR(__xludf.DUMMYFUNCTION("""COMPUTED_VALUE"""),80.8)</f>
        <v>80.8</v>
      </c>
      <c r="W273" s="3">
        <f ca="1">IFERROR(__xludf.DUMMYFUNCTION("""COMPUTED_VALUE"""),36.56)</f>
        <v>36.56</v>
      </c>
      <c r="X273" s="3">
        <f ca="1">IFERROR(__xludf.DUMMYFUNCTION("""COMPUTED_VALUE"""),89.21)</f>
        <v>89.21</v>
      </c>
      <c r="Y273" s="3">
        <f ca="1">IFERROR(__xludf.DUMMYFUNCTION("""COMPUTED_VALUE"""),48.77)</f>
        <v>48.77</v>
      </c>
      <c r="Z273" s="3">
        <f ca="1">IFERROR(__xludf.DUMMYFUNCTION("""COMPUTED_VALUE"""),80.98)</f>
        <v>80.98</v>
      </c>
      <c r="AA273" s="3">
        <f ca="1">IFERROR(__xludf.DUMMYFUNCTION("""COMPUTED_VALUE"""),40.59)</f>
        <v>40.590000000000003</v>
      </c>
      <c r="AB273" s="3">
        <f ca="1">IFERROR(__xludf.DUMMYFUNCTION("""COMPUTED_VALUE"""),62.12)</f>
        <v>62.12</v>
      </c>
      <c r="AC273" s="3">
        <f ca="1">IFERROR(__xludf.DUMMYFUNCTION("""COMPUTED_VALUE"""),58)</f>
        <v>58</v>
      </c>
      <c r="AD273" s="3">
        <f ca="1">IFERROR(__xludf.DUMMYFUNCTION("""COMPUTED_VALUE"""),9.19)</f>
        <v>9.19</v>
      </c>
      <c r="AE273" s="3">
        <f ca="1">IFERROR(__xludf.DUMMYFUNCTION("""COMPUTED_VALUE"""),14.63)</f>
        <v>14.63</v>
      </c>
      <c r="AF273" s="3">
        <f ca="1">IFERROR(__xludf.DUMMYFUNCTION("""COMPUTED_VALUE"""),2.1)</f>
        <v>2.1</v>
      </c>
      <c r="AG273" s="3">
        <f ca="1">IFERROR(__xludf.DUMMYFUNCTION("""COMPUTED_VALUE"""),21.13)</f>
        <v>21.13</v>
      </c>
    </row>
    <row r="274" spans="1:33" ht="12.75" x14ac:dyDescent="0.2">
      <c r="A274" s="4">
        <f ca="1">IFERROR(__xludf.DUMMYFUNCTION("""COMPUTED_VALUE"""),44958.6666666666)</f>
        <v>44958.666666666599</v>
      </c>
      <c r="B274" s="3">
        <f ca="1">IFERROR(__xludf.DUMMYFUNCTION("""COMPUTED_VALUE"""),139.16)</f>
        <v>139.16</v>
      </c>
      <c r="C274" s="3">
        <f ca="1">IFERROR(__xludf.DUMMYFUNCTION("""COMPUTED_VALUE"""),358.98)</f>
        <v>358.98</v>
      </c>
      <c r="D274" s="3">
        <f ca="1">IFERROR(__xludf.DUMMYFUNCTION("""COMPUTED_VALUE"""),88.8)</f>
        <v>88.8</v>
      </c>
      <c r="E274" s="3">
        <f ca="1">IFERROR(__xludf.DUMMYFUNCTION("""COMPUTED_VALUE"""),141.58)</f>
        <v>141.58000000000001</v>
      </c>
      <c r="F274" s="3">
        <f ca="1">IFERROR(__xludf.DUMMYFUNCTION("""COMPUTED_VALUE"""),46.84)</f>
        <v>46.84</v>
      </c>
      <c r="G274" s="3">
        <f ca="1">IFERROR(__xludf.DUMMYFUNCTION("""COMPUTED_VALUE"""),24.58)</f>
        <v>24.58</v>
      </c>
      <c r="H274" s="3">
        <f ca="1">IFERROR(__xludf.DUMMYFUNCTION("""COMPUTED_VALUE"""),26.75)</f>
        <v>26.75</v>
      </c>
      <c r="I274" s="3">
        <f ca="1">IFERROR(__xludf.DUMMYFUNCTION("""COMPUTED_VALUE"""),133.99)</f>
        <v>133.99</v>
      </c>
      <c r="J274" s="3">
        <f ca="1">IFERROR(__xludf.DUMMYFUNCTION("""COMPUTED_VALUE"""),247.53)</f>
        <v>247.53</v>
      </c>
      <c r="K274" s="3">
        <f ca="1">IFERROR(__xludf.DUMMYFUNCTION("""COMPUTED_VALUE"""),136.71)</f>
        <v>136.71</v>
      </c>
      <c r="L274" s="3">
        <f ca="1">IFERROR(__xludf.DUMMYFUNCTION("""COMPUTED_VALUE"""),89.74)</f>
        <v>89.74</v>
      </c>
      <c r="M274" s="3">
        <f ca="1">IFERROR(__xludf.DUMMYFUNCTION("""COMPUTED_VALUE"""),67.17)</f>
        <v>67.17</v>
      </c>
      <c r="N274" s="3">
        <f ca="1">IFERROR(__xludf.DUMMYFUNCTION("""COMPUTED_VALUE"""),63.88)</f>
        <v>63.88</v>
      </c>
      <c r="O274" s="3">
        <f ca="1">IFERROR(__xludf.DUMMYFUNCTION("""COMPUTED_VALUE"""),55.2)</f>
        <v>55.2</v>
      </c>
      <c r="P274" s="3">
        <f ca="1">IFERROR(__xludf.DUMMYFUNCTION("""COMPUTED_VALUE"""),88.16)</f>
        <v>88.16</v>
      </c>
      <c r="Q274" s="3">
        <f ca="1">IFERROR(__xludf.DUMMYFUNCTION("""COMPUTED_VALUE"""),122.59)</f>
        <v>122.59</v>
      </c>
      <c r="R274" s="3">
        <f ca="1">IFERROR(__xludf.DUMMYFUNCTION("""COMPUTED_VALUE"""),85.21)</f>
        <v>85.21</v>
      </c>
      <c r="S274" s="3">
        <f ca="1">IFERROR(__xludf.DUMMYFUNCTION("""COMPUTED_VALUE"""),58.17)</f>
        <v>58.17</v>
      </c>
      <c r="T274" s="3">
        <f ca="1">IFERROR(__xludf.DUMMYFUNCTION("""COMPUTED_VALUE"""),24.4)</f>
        <v>24.4</v>
      </c>
      <c r="U274" s="3">
        <f ca="1">IFERROR(__xludf.DUMMYFUNCTION("""COMPUTED_VALUE"""),67.36)</f>
        <v>67.36</v>
      </c>
      <c r="V274" s="3">
        <f ca="1">IFERROR(__xludf.DUMMYFUNCTION("""COMPUTED_VALUE"""),82.63)</f>
        <v>82.63</v>
      </c>
      <c r="W274" s="3">
        <f ca="1">IFERROR(__xludf.DUMMYFUNCTION("""COMPUTED_VALUE"""),36.56)</f>
        <v>36.56</v>
      </c>
      <c r="X274" s="3">
        <f ca="1">IFERROR(__xludf.DUMMYFUNCTION("""COMPUTED_VALUE"""),89.49)</f>
        <v>89.49</v>
      </c>
      <c r="Y274" s="3">
        <f ca="1">IFERROR(__xludf.DUMMYFUNCTION("""COMPUTED_VALUE"""),49.39)</f>
        <v>49.39</v>
      </c>
      <c r="Z274" s="3">
        <f ca="1">IFERROR(__xludf.DUMMYFUNCTION("""COMPUTED_VALUE"""),81.17)</f>
        <v>81.17</v>
      </c>
      <c r="AA274" s="3">
        <f ca="1">IFERROR(__xludf.DUMMYFUNCTION("""COMPUTED_VALUE"""),40.89)</f>
        <v>40.89</v>
      </c>
      <c r="AB274" s="3">
        <f ca="1">IFERROR(__xludf.DUMMYFUNCTION("""COMPUTED_VALUE"""),63)</f>
        <v>63</v>
      </c>
      <c r="AC274" s="3">
        <f ca="1">IFERROR(__xludf.DUMMYFUNCTION("""COMPUTED_VALUE"""),58.37)</f>
        <v>58.37</v>
      </c>
      <c r="AD274" s="3">
        <f ca="1">IFERROR(__xludf.DUMMYFUNCTION("""COMPUTED_VALUE"""),9.39)</f>
        <v>9.39</v>
      </c>
      <c r="AE274" s="3">
        <f ca="1">IFERROR(__xludf.DUMMYFUNCTION("""COMPUTED_VALUE"""),14.79)</f>
        <v>14.79</v>
      </c>
      <c r="AF274" s="3">
        <f ca="1">IFERROR(__xludf.DUMMYFUNCTION("""COMPUTED_VALUE"""),2.29)</f>
        <v>2.29</v>
      </c>
      <c r="AG274" s="3">
        <f ca="1">IFERROR(__xludf.DUMMYFUNCTION("""COMPUTED_VALUE"""),22.3)</f>
        <v>22.3</v>
      </c>
    </row>
    <row r="275" spans="1:33" ht="12.75" x14ac:dyDescent="0.2">
      <c r="A275" s="4">
        <f ca="1">IFERROR(__xludf.DUMMYFUNCTION("""COMPUTED_VALUE"""),44959.6666666666)</f>
        <v>44959.666666666599</v>
      </c>
      <c r="B275" s="3">
        <f ca="1">IFERROR(__xludf.DUMMYFUNCTION("""COMPUTED_VALUE"""),142.96)</f>
        <v>142.96</v>
      </c>
      <c r="C275" s="3">
        <f ca="1">IFERROR(__xludf.DUMMYFUNCTION("""COMPUTED_VALUE"""),369.68)</f>
        <v>369.68</v>
      </c>
      <c r="D275" s="3">
        <f ca="1">IFERROR(__xludf.DUMMYFUNCTION("""COMPUTED_VALUE"""),87.41)</f>
        <v>87.41</v>
      </c>
      <c r="E275" s="3">
        <f ca="1">IFERROR(__xludf.DUMMYFUNCTION("""COMPUTED_VALUE"""),144.86)</f>
        <v>144.86000000000001</v>
      </c>
      <c r="F275" s="3">
        <f ca="1">IFERROR(__xludf.DUMMYFUNCTION("""COMPUTED_VALUE"""),48.08)</f>
        <v>48.08</v>
      </c>
      <c r="G275" s="3">
        <f ca="1">IFERROR(__xludf.DUMMYFUNCTION("""COMPUTED_VALUE"""),24.95)</f>
        <v>24.95</v>
      </c>
      <c r="H275" s="3">
        <f ca="1">IFERROR(__xludf.DUMMYFUNCTION("""COMPUTED_VALUE"""),27.14)</f>
        <v>27.14</v>
      </c>
      <c r="I275" s="3">
        <f ca="1">IFERROR(__xludf.DUMMYFUNCTION("""COMPUTED_VALUE"""),133.08)</f>
        <v>133.08000000000001</v>
      </c>
      <c r="J275" s="3">
        <f ca="1">IFERROR(__xludf.DUMMYFUNCTION("""COMPUTED_VALUE"""),246.72)</f>
        <v>246.72</v>
      </c>
      <c r="K275" s="3">
        <f ca="1">IFERROR(__xludf.DUMMYFUNCTION("""COMPUTED_VALUE"""),137.17)</f>
        <v>137.16999999999999</v>
      </c>
      <c r="L275" s="3">
        <f ca="1">IFERROR(__xludf.DUMMYFUNCTION("""COMPUTED_VALUE"""),91.97)</f>
        <v>91.97</v>
      </c>
      <c r="M275" s="3">
        <f ca="1">IFERROR(__xludf.DUMMYFUNCTION("""COMPUTED_VALUE"""),67.92)</f>
        <v>67.92</v>
      </c>
      <c r="N275" s="3">
        <f ca="1">IFERROR(__xludf.DUMMYFUNCTION("""COMPUTED_VALUE"""),63.68)</f>
        <v>63.68</v>
      </c>
      <c r="O275" s="3">
        <f ca="1">IFERROR(__xludf.DUMMYFUNCTION("""COMPUTED_VALUE"""),56.72)</f>
        <v>56.72</v>
      </c>
      <c r="P275" s="3">
        <f ca="1">IFERROR(__xludf.DUMMYFUNCTION("""COMPUTED_VALUE"""),86.15)</f>
        <v>86.15</v>
      </c>
      <c r="Q275" s="3">
        <f ca="1">IFERROR(__xludf.DUMMYFUNCTION("""COMPUTED_VALUE"""),119.71)</f>
        <v>119.71</v>
      </c>
      <c r="R275" s="3">
        <f ca="1">IFERROR(__xludf.DUMMYFUNCTION("""COMPUTED_VALUE"""),84.94)</f>
        <v>84.94</v>
      </c>
      <c r="S275" s="3">
        <f ca="1">IFERROR(__xludf.DUMMYFUNCTION("""COMPUTED_VALUE"""),58.48)</f>
        <v>58.48</v>
      </c>
      <c r="T275" s="3">
        <f ca="1">IFERROR(__xludf.DUMMYFUNCTION("""COMPUTED_VALUE"""),24.22)</f>
        <v>24.22</v>
      </c>
      <c r="U275" s="3">
        <f ca="1">IFERROR(__xludf.DUMMYFUNCTION("""COMPUTED_VALUE"""),66.57)</f>
        <v>66.569999999999993</v>
      </c>
      <c r="V275" s="3">
        <f ca="1">IFERROR(__xludf.DUMMYFUNCTION("""COMPUTED_VALUE"""),81.7)</f>
        <v>81.7</v>
      </c>
      <c r="W275" s="3">
        <f ca="1">IFERROR(__xludf.DUMMYFUNCTION("""COMPUTED_VALUE"""),36.66)</f>
        <v>36.659999999999997</v>
      </c>
      <c r="X275" s="3">
        <f ca="1">IFERROR(__xludf.DUMMYFUNCTION("""COMPUTED_VALUE"""),89.81)</f>
        <v>89.81</v>
      </c>
      <c r="Y275" s="3">
        <f ca="1">IFERROR(__xludf.DUMMYFUNCTION("""COMPUTED_VALUE"""),50.42)</f>
        <v>50.42</v>
      </c>
      <c r="Z275" s="3">
        <f ca="1">IFERROR(__xludf.DUMMYFUNCTION("""COMPUTED_VALUE"""),81.34)</f>
        <v>81.34</v>
      </c>
      <c r="AA275" s="3">
        <f ca="1">IFERROR(__xludf.DUMMYFUNCTION("""COMPUTED_VALUE"""),41.83)</f>
        <v>41.83</v>
      </c>
      <c r="AB275" s="3">
        <f ca="1">IFERROR(__xludf.DUMMYFUNCTION("""COMPUTED_VALUE"""),64.68)</f>
        <v>64.680000000000007</v>
      </c>
      <c r="AC275" s="3">
        <f ca="1">IFERROR(__xludf.DUMMYFUNCTION("""COMPUTED_VALUE"""),58.4)</f>
        <v>58.4</v>
      </c>
      <c r="AD275" s="3">
        <f ca="1">IFERROR(__xludf.DUMMYFUNCTION("""COMPUTED_VALUE"""),9.5)</f>
        <v>9.5</v>
      </c>
      <c r="AE275" s="3">
        <f ca="1">IFERROR(__xludf.DUMMYFUNCTION("""COMPUTED_VALUE"""),14.97)</f>
        <v>14.97</v>
      </c>
      <c r="AF275" s="3">
        <f ca="1">IFERROR(__xludf.DUMMYFUNCTION("""COMPUTED_VALUE"""),2.37)</f>
        <v>2.37</v>
      </c>
      <c r="AG275" s="3">
        <f ca="1">IFERROR(__xludf.DUMMYFUNCTION("""COMPUTED_VALUE"""),24.4)</f>
        <v>24.4</v>
      </c>
    </row>
    <row r="276" spans="1:33" ht="12.75" x14ac:dyDescent="0.2">
      <c r="A276" s="4">
        <f ca="1">IFERROR(__xludf.DUMMYFUNCTION("""COMPUTED_VALUE"""),44960.6666666666)</f>
        <v>44960.666666666599</v>
      </c>
      <c r="B276" s="3">
        <f ca="1">IFERROR(__xludf.DUMMYFUNCTION("""COMPUTED_VALUE"""),141.77)</f>
        <v>141.77000000000001</v>
      </c>
      <c r="C276" s="3">
        <f ca="1">IFERROR(__xludf.DUMMYFUNCTION("""COMPUTED_VALUE"""),365.76)</f>
        <v>365.76</v>
      </c>
      <c r="D276" s="3">
        <f ca="1">IFERROR(__xludf.DUMMYFUNCTION("""COMPUTED_VALUE"""),86.28)</f>
        <v>86.28</v>
      </c>
      <c r="E276" s="3">
        <f ca="1">IFERROR(__xludf.DUMMYFUNCTION("""COMPUTED_VALUE"""),142.03)</f>
        <v>142.03</v>
      </c>
      <c r="F276" s="3">
        <f ca="1">IFERROR(__xludf.DUMMYFUNCTION("""COMPUTED_VALUE"""),47.03)</f>
        <v>47.03</v>
      </c>
      <c r="G276" s="3">
        <f ca="1">IFERROR(__xludf.DUMMYFUNCTION("""COMPUTED_VALUE"""),24.55)</f>
        <v>24.55</v>
      </c>
      <c r="H276" s="3">
        <f ca="1">IFERROR(__xludf.DUMMYFUNCTION("""COMPUTED_VALUE"""),26.68)</f>
        <v>26.68</v>
      </c>
      <c r="I276" s="3">
        <f ca="1">IFERROR(__xludf.DUMMYFUNCTION("""COMPUTED_VALUE"""),132.69)</f>
        <v>132.69</v>
      </c>
      <c r="J276" s="3">
        <f ca="1">IFERROR(__xludf.DUMMYFUNCTION("""COMPUTED_VALUE"""),245.65)</f>
        <v>245.65</v>
      </c>
      <c r="K276" s="3">
        <f ca="1">IFERROR(__xludf.DUMMYFUNCTION("""COMPUTED_VALUE"""),136.59)</f>
        <v>136.59</v>
      </c>
      <c r="L276" s="3">
        <f ca="1">IFERROR(__xludf.DUMMYFUNCTION("""COMPUTED_VALUE"""),90.39)</f>
        <v>90.39</v>
      </c>
      <c r="M276" s="3">
        <f ca="1">IFERROR(__xludf.DUMMYFUNCTION("""COMPUTED_VALUE"""),67.78)</f>
        <v>67.78</v>
      </c>
      <c r="N276" s="3">
        <f ca="1">IFERROR(__xludf.DUMMYFUNCTION("""COMPUTED_VALUE"""),63.4)</f>
        <v>63.4</v>
      </c>
      <c r="O276" s="3">
        <f ca="1">IFERROR(__xludf.DUMMYFUNCTION("""COMPUTED_VALUE"""),55.52)</f>
        <v>55.52</v>
      </c>
      <c r="P276" s="3">
        <f ca="1">IFERROR(__xludf.DUMMYFUNCTION("""COMPUTED_VALUE"""),85.96)</f>
        <v>85.96</v>
      </c>
      <c r="Q276" s="3">
        <f ca="1">IFERROR(__xludf.DUMMYFUNCTION("""COMPUTED_VALUE"""),119.44)</f>
        <v>119.44</v>
      </c>
      <c r="R276" s="3">
        <f ca="1">IFERROR(__xludf.DUMMYFUNCTION("""COMPUTED_VALUE"""),83.41)</f>
        <v>83.41</v>
      </c>
      <c r="S276" s="3">
        <f ca="1">IFERROR(__xludf.DUMMYFUNCTION("""COMPUTED_VALUE"""),57.93)</f>
        <v>57.93</v>
      </c>
      <c r="T276" s="3">
        <f ca="1">IFERROR(__xludf.DUMMYFUNCTION("""COMPUTED_VALUE"""),23.61)</f>
        <v>23.61</v>
      </c>
      <c r="U276" s="3">
        <f ca="1">IFERROR(__xludf.DUMMYFUNCTION("""COMPUTED_VALUE"""),64.4)</f>
        <v>64.400000000000006</v>
      </c>
      <c r="V276" s="3">
        <f ca="1">IFERROR(__xludf.DUMMYFUNCTION("""COMPUTED_VALUE"""),79.73)</f>
        <v>79.73</v>
      </c>
      <c r="W276" s="3">
        <f ca="1">IFERROR(__xludf.DUMMYFUNCTION("""COMPUTED_VALUE"""),36.59)</f>
        <v>36.590000000000003</v>
      </c>
      <c r="X276" s="3">
        <f ca="1">IFERROR(__xludf.DUMMYFUNCTION("""COMPUTED_VALUE"""),89.81)</f>
        <v>89.81</v>
      </c>
      <c r="Y276" s="3">
        <f ca="1">IFERROR(__xludf.DUMMYFUNCTION("""COMPUTED_VALUE"""),50.38)</f>
        <v>50.38</v>
      </c>
      <c r="Z276" s="3">
        <f ca="1">IFERROR(__xludf.DUMMYFUNCTION("""COMPUTED_VALUE"""),81.2)</f>
        <v>81.2</v>
      </c>
      <c r="AA276" s="3">
        <f ca="1">IFERROR(__xludf.DUMMYFUNCTION("""COMPUTED_VALUE"""),40.96)</f>
        <v>40.96</v>
      </c>
      <c r="AB276" s="3">
        <f ca="1">IFERROR(__xludf.DUMMYFUNCTION("""COMPUTED_VALUE"""),64.72)</f>
        <v>64.72</v>
      </c>
      <c r="AC276" s="3">
        <f ca="1">IFERROR(__xludf.DUMMYFUNCTION("""COMPUTED_VALUE"""),58.13)</f>
        <v>58.13</v>
      </c>
      <c r="AD276" s="3">
        <f ca="1">IFERROR(__xludf.DUMMYFUNCTION("""COMPUTED_VALUE"""),9.28)</f>
        <v>9.2799999999999994</v>
      </c>
      <c r="AE276" s="3">
        <f ca="1">IFERROR(__xludf.DUMMYFUNCTION("""COMPUTED_VALUE"""),14.63)</f>
        <v>14.63</v>
      </c>
      <c r="AF276" s="3">
        <f ca="1">IFERROR(__xludf.DUMMYFUNCTION("""COMPUTED_VALUE"""),2.3)</f>
        <v>2.2999999999999998</v>
      </c>
      <c r="AG276" s="3">
        <f ca="1">IFERROR(__xludf.DUMMYFUNCTION("""COMPUTED_VALUE"""),22.72)</f>
        <v>22.72</v>
      </c>
    </row>
    <row r="277" spans="1:33" ht="12.75" x14ac:dyDescent="0.2">
      <c r="A277" s="4">
        <f ca="1">IFERROR(__xludf.DUMMYFUNCTION("""COMPUTED_VALUE"""),44963.6666666666)</f>
        <v>44963.666666666599</v>
      </c>
      <c r="B277" s="3">
        <f ca="1">IFERROR(__xludf.DUMMYFUNCTION("""COMPUTED_VALUE"""),140.04)</f>
        <v>140.04</v>
      </c>
      <c r="C277" s="3">
        <f ca="1">IFERROR(__xludf.DUMMYFUNCTION("""COMPUTED_VALUE"""),360.96)</f>
        <v>360.96</v>
      </c>
      <c r="D277" s="3">
        <f ca="1">IFERROR(__xludf.DUMMYFUNCTION("""COMPUTED_VALUE"""),88.7)</f>
        <v>88.7</v>
      </c>
      <c r="E277" s="3">
        <f ca="1">IFERROR(__xludf.DUMMYFUNCTION("""COMPUTED_VALUE"""),139.72)</f>
        <v>139.72</v>
      </c>
      <c r="F277" s="3">
        <f ca="1">IFERROR(__xludf.DUMMYFUNCTION("""COMPUTED_VALUE"""),46.2)</f>
        <v>46.2</v>
      </c>
      <c r="G277" s="3">
        <f ca="1">IFERROR(__xludf.DUMMYFUNCTION("""COMPUTED_VALUE"""),24.18)</f>
        <v>24.18</v>
      </c>
      <c r="H277" s="3">
        <f ca="1">IFERROR(__xludf.DUMMYFUNCTION("""COMPUTED_VALUE"""),26.32)</f>
        <v>26.32</v>
      </c>
      <c r="I277" s="3">
        <f ca="1">IFERROR(__xludf.DUMMYFUNCTION("""COMPUTED_VALUE"""),131.95)</f>
        <v>131.94999999999999</v>
      </c>
      <c r="J277" s="3">
        <f ca="1">IFERROR(__xludf.DUMMYFUNCTION("""COMPUTED_VALUE"""),243.93)</f>
        <v>243.93</v>
      </c>
      <c r="K277" s="3">
        <f ca="1">IFERROR(__xludf.DUMMYFUNCTION("""COMPUTED_VALUE"""),135.61)</f>
        <v>135.61000000000001</v>
      </c>
      <c r="L277" s="3">
        <f ca="1">IFERROR(__xludf.DUMMYFUNCTION("""COMPUTED_VALUE"""),89.7)</f>
        <v>89.7</v>
      </c>
      <c r="M277" s="3">
        <f ca="1">IFERROR(__xludf.DUMMYFUNCTION("""COMPUTED_VALUE"""),67.25)</f>
        <v>67.25</v>
      </c>
      <c r="N277" s="3">
        <f ca="1">IFERROR(__xludf.DUMMYFUNCTION("""COMPUTED_VALUE"""),62.94)</f>
        <v>62.94</v>
      </c>
      <c r="O277" s="3">
        <f ca="1">IFERROR(__xludf.DUMMYFUNCTION("""COMPUTED_VALUE"""),54.44)</f>
        <v>54.44</v>
      </c>
      <c r="P277" s="3">
        <f ca="1">IFERROR(__xludf.DUMMYFUNCTION("""COMPUTED_VALUE"""),85.57)</f>
        <v>85.57</v>
      </c>
      <c r="Q277" s="3">
        <f ca="1">IFERROR(__xludf.DUMMYFUNCTION("""COMPUTED_VALUE"""),118.8)</f>
        <v>118.8</v>
      </c>
      <c r="R277" s="3">
        <f ca="1">IFERROR(__xludf.DUMMYFUNCTION("""COMPUTED_VALUE"""),82.49)</f>
        <v>82.49</v>
      </c>
      <c r="S277" s="3">
        <f ca="1">IFERROR(__xludf.DUMMYFUNCTION("""COMPUTED_VALUE"""),56.9)</f>
        <v>56.9</v>
      </c>
      <c r="T277" s="3">
        <f ca="1">IFERROR(__xludf.DUMMYFUNCTION("""COMPUTED_VALUE"""),23.68)</f>
        <v>23.68</v>
      </c>
      <c r="U277" s="3">
        <f ca="1">IFERROR(__xludf.DUMMYFUNCTION("""COMPUTED_VALUE"""),65.5)</f>
        <v>65.5</v>
      </c>
      <c r="V277" s="3">
        <f ca="1">IFERROR(__xludf.DUMMYFUNCTION("""COMPUTED_VALUE"""),79.16)</f>
        <v>79.16</v>
      </c>
      <c r="W277" s="3">
        <f ca="1">IFERROR(__xludf.DUMMYFUNCTION("""COMPUTED_VALUE"""),36.58)</f>
        <v>36.58</v>
      </c>
      <c r="X277" s="3">
        <f ca="1">IFERROR(__xludf.DUMMYFUNCTION("""COMPUTED_VALUE"""),89.52)</f>
        <v>89.52</v>
      </c>
      <c r="Y277" s="3">
        <f ca="1">IFERROR(__xludf.DUMMYFUNCTION("""COMPUTED_VALUE"""),49.83)</f>
        <v>49.83</v>
      </c>
      <c r="Z277" s="3">
        <f ca="1">IFERROR(__xludf.DUMMYFUNCTION("""COMPUTED_VALUE"""),81.05)</f>
        <v>81.05</v>
      </c>
      <c r="AA277" s="3">
        <f ca="1">IFERROR(__xludf.DUMMYFUNCTION("""COMPUTED_VALUE"""),40.7)</f>
        <v>40.700000000000003</v>
      </c>
      <c r="AB277" s="3">
        <f ca="1">IFERROR(__xludf.DUMMYFUNCTION("""COMPUTED_VALUE"""),64.1)</f>
        <v>64.099999999999994</v>
      </c>
      <c r="AC277" s="3">
        <f ca="1">IFERROR(__xludf.DUMMYFUNCTION("""COMPUTED_VALUE"""),58.75)</f>
        <v>58.75</v>
      </c>
      <c r="AD277" s="3">
        <f ca="1">IFERROR(__xludf.DUMMYFUNCTION("""COMPUTED_VALUE"""),9.14)</f>
        <v>9.14</v>
      </c>
      <c r="AE277" s="3">
        <f ca="1">IFERROR(__xludf.DUMMYFUNCTION("""COMPUTED_VALUE"""),14.4)</f>
        <v>14.4</v>
      </c>
      <c r="AF277" s="3">
        <f ca="1">IFERROR(__xludf.DUMMYFUNCTION("""COMPUTED_VALUE"""),2.34)</f>
        <v>2.34</v>
      </c>
      <c r="AG277" s="3">
        <f ca="1">IFERROR(__xludf.DUMMYFUNCTION("""COMPUTED_VALUE"""),22.59)</f>
        <v>22.59</v>
      </c>
    </row>
    <row r="278" spans="1:33" ht="12.75" x14ac:dyDescent="0.2">
      <c r="A278" s="4">
        <f ca="1">IFERROR(__xludf.DUMMYFUNCTION("""COMPUTED_VALUE"""),44964.6666666666)</f>
        <v>44964.666666666599</v>
      </c>
      <c r="B278" s="3">
        <f ca="1">IFERROR(__xludf.DUMMYFUNCTION("""COMPUTED_VALUE"""),143.54)</f>
        <v>143.54</v>
      </c>
      <c r="C278" s="3">
        <f ca="1">IFERROR(__xludf.DUMMYFUNCTION("""COMPUTED_VALUE"""),369.61)</f>
        <v>369.61</v>
      </c>
      <c r="D278" s="3">
        <f ca="1">IFERROR(__xludf.DUMMYFUNCTION("""COMPUTED_VALUE"""),86.95)</f>
        <v>86.95</v>
      </c>
      <c r="E278" s="3">
        <f ca="1">IFERROR(__xludf.DUMMYFUNCTION("""COMPUTED_VALUE"""),144.17)</f>
        <v>144.16999999999999</v>
      </c>
      <c r="F278" s="3">
        <f ca="1">IFERROR(__xludf.DUMMYFUNCTION("""COMPUTED_VALUE"""),47.02)</f>
        <v>47.02</v>
      </c>
      <c r="G278" s="3">
        <f ca="1">IFERROR(__xludf.DUMMYFUNCTION("""COMPUTED_VALUE"""),24.66)</f>
        <v>24.66</v>
      </c>
      <c r="H278" s="3">
        <f ca="1">IFERROR(__xludf.DUMMYFUNCTION("""COMPUTED_VALUE"""),26.76)</f>
        <v>26.76</v>
      </c>
      <c r="I278" s="3">
        <f ca="1">IFERROR(__xludf.DUMMYFUNCTION("""COMPUTED_VALUE"""),132.8)</f>
        <v>132.80000000000001</v>
      </c>
      <c r="J278" s="3">
        <f ca="1">IFERROR(__xludf.DUMMYFUNCTION("""COMPUTED_VALUE"""),245.48)</f>
        <v>245.48</v>
      </c>
      <c r="K278" s="3">
        <f ca="1">IFERROR(__xludf.DUMMYFUNCTION("""COMPUTED_VALUE"""),136.32)</f>
        <v>136.32</v>
      </c>
      <c r="L278" s="3">
        <f ca="1">IFERROR(__xludf.DUMMYFUNCTION("""COMPUTED_VALUE"""),90.32)</f>
        <v>90.32</v>
      </c>
      <c r="M278" s="3">
        <f ca="1">IFERROR(__xludf.DUMMYFUNCTION("""COMPUTED_VALUE"""),67.45)</f>
        <v>67.45</v>
      </c>
      <c r="N278" s="3">
        <f ca="1">IFERROR(__xludf.DUMMYFUNCTION("""COMPUTED_VALUE"""),63.34)</f>
        <v>63.34</v>
      </c>
      <c r="O278" s="3">
        <f ca="1">IFERROR(__xludf.DUMMYFUNCTION("""COMPUTED_VALUE"""),55.12)</f>
        <v>55.12</v>
      </c>
      <c r="P278" s="3">
        <f ca="1">IFERROR(__xludf.DUMMYFUNCTION("""COMPUTED_VALUE"""),88.35)</f>
        <v>88.35</v>
      </c>
      <c r="Q278" s="3">
        <f ca="1">IFERROR(__xludf.DUMMYFUNCTION("""COMPUTED_VALUE"""),122.48)</f>
        <v>122.48</v>
      </c>
      <c r="R278" s="3">
        <f ca="1">IFERROR(__xludf.DUMMYFUNCTION("""COMPUTED_VALUE"""),83.6)</f>
        <v>83.6</v>
      </c>
      <c r="S278" s="3">
        <f ca="1">IFERROR(__xludf.DUMMYFUNCTION("""COMPUTED_VALUE"""),57.25)</f>
        <v>57.25</v>
      </c>
      <c r="T278" s="3">
        <f ca="1">IFERROR(__xludf.DUMMYFUNCTION("""COMPUTED_VALUE"""),24.13)</f>
        <v>24.13</v>
      </c>
      <c r="U278" s="3">
        <f ca="1">IFERROR(__xludf.DUMMYFUNCTION("""COMPUTED_VALUE"""),67.76)</f>
        <v>67.760000000000005</v>
      </c>
      <c r="V278" s="3">
        <f ca="1">IFERROR(__xludf.DUMMYFUNCTION("""COMPUTED_VALUE"""),78.92)</f>
        <v>78.92</v>
      </c>
      <c r="W278" s="3">
        <f ca="1">IFERROR(__xludf.DUMMYFUNCTION("""COMPUTED_VALUE"""),37)</f>
        <v>37</v>
      </c>
      <c r="X278" s="3">
        <f ca="1">IFERROR(__xludf.DUMMYFUNCTION("""COMPUTED_VALUE"""),90.64)</f>
        <v>90.64</v>
      </c>
      <c r="Y278" s="3">
        <f ca="1">IFERROR(__xludf.DUMMYFUNCTION("""COMPUTED_VALUE"""),50.43)</f>
        <v>50.43</v>
      </c>
      <c r="Z278" s="3">
        <f ca="1">IFERROR(__xludf.DUMMYFUNCTION("""COMPUTED_VALUE"""),82.05)</f>
        <v>82.05</v>
      </c>
      <c r="AA278" s="3">
        <f ca="1">IFERROR(__xludf.DUMMYFUNCTION("""COMPUTED_VALUE"""),40.54)</f>
        <v>40.54</v>
      </c>
      <c r="AB278" s="3">
        <f ca="1">IFERROR(__xludf.DUMMYFUNCTION("""COMPUTED_VALUE"""),64.79)</f>
        <v>64.790000000000006</v>
      </c>
      <c r="AC278" s="3">
        <f ca="1">IFERROR(__xludf.DUMMYFUNCTION("""COMPUTED_VALUE"""),58.38)</f>
        <v>58.38</v>
      </c>
      <c r="AD278" s="3">
        <f ca="1">IFERROR(__xludf.DUMMYFUNCTION("""COMPUTED_VALUE"""),9.21)</f>
        <v>9.2100000000000009</v>
      </c>
      <c r="AE278" s="3">
        <f ca="1">IFERROR(__xludf.DUMMYFUNCTION("""COMPUTED_VALUE"""),14.51)</f>
        <v>14.51</v>
      </c>
      <c r="AF278" s="3">
        <f ca="1">IFERROR(__xludf.DUMMYFUNCTION("""COMPUTED_VALUE"""),2.34)</f>
        <v>2.34</v>
      </c>
      <c r="AG278" s="3">
        <f ca="1">IFERROR(__xludf.DUMMYFUNCTION("""COMPUTED_VALUE"""),22.67)</f>
        <v>22.67</v>
      </c>
    </row>
    <row r="279" spans="1:33" ht="12.75" x14ac:dyDescent="0.2">
      <c r="A279" s="4">
        <f ca="1">IFERROR(__xludf.DUMMYFUNCTION("""COMPUTED_VALUE"""),44965.6666666666)</f>
        <v>44965.666666666599</v>
      </c>
      <c r="B279" s="3">
        <f ca="1">IFERROR(__xludf.DUMMYFUNCTION("""COMPUTED_VALUE"""),141.81)</f>
        <v>141.81</v>
      </c>
      <c r="C279" s="3">
        <f ca="1">IFERROR(__xludf.DUMMYFUNCTION("""COMPUTED_VALUE"""),364.93)</f>
        <v>364.93</v>
      </c>
      <c r="D279" s="3">
        <f ca="1">IFERROR(__xludf.DUMMYFUNCTION("""COMPUTED_VALUE"""),86.16)</f>
        <v>86.16</v>
      </c>
      <c r="E279" s="3">
        <f ca="1">IFERROR(__xludf.DUMMYFUNCTION("""COMPUTED_VALUE"""),141.07)</f>
        <v>141.07</v>
      </c>
      <c r="F279" s="3">
        <f ca="1">IFERROR(__xludf.DUMMYFUNCTION("""COMPUTED_VALUE"""),47.03)</f>
        <v>47.03</v>
      </c>
      <c r="G279" s="3">
        <f ca="1">IFERROR(__xludf.DUMMYFUNCTION("""COMPUTED_VALUE"""),24.28)</f>
        <v>24.28</v>
      </c>
      <c r="H279" s="3">
        <f ca="1">IFERROR(__xludf.DUMMYFUNCTION("""COMPUTED_VALUE"""),26.45)</f>
        <v>26.45</v>
      </c>
      <c r="I279" s="3">
        <f ca="1">IFERROR(__xludf.DUMMYFUNCTION("""COMPUTED_VALUE"""),132.41)</f>
        <v>132.41</v>
      </c>
      <c r="J279" s="3">
        <f ca="1">IFERROR(__xludf.DUMMYFUNCTION("""COMPUTED_VALUE"""),244.3)</f>
        <v>244.3</v>
      </c>
      <c r="K279" s="3">
        <f ca="1">IFERROR(__xludf.DUMMYFUNCTION("""COMPUTED_VALUE"""),133.33)</f>
        <v>133.33000000000001</v>
      </c>
      <c r="L279" s="3">
        <f ca="1">IFERROR(__xludf.DUMMYFUNCTION("""COMPUTED_VALUE"""),87.19)</f>
        <v>87.19</v>
      </c>
      <c r="M279" s="3">
        <f ca="1">IFERROR(__xludf.DUMMYFUNCTION("""COMPUTED_VALUE"""),66.06)</f>
        <v>66.06</v>
      </c>
      <c r="N279" s="3">
        <f ca="1">IFERROR(__xludf.DUMMYFUNCTION("""COMPUTED_VALUE"""),63.02)</f>
        <v>63.02</v>
      </c>
      <c r="O279" s="3">
        <f ca="1">IFERROR(__xludf.DUMMYFUNCTION("""COMPUTED_VALUE"""),53.32)</f>
        <v>53.32</v>
      </c>
      <c r="P279" s="3">
        <f ca="1">IFERROR(__xludf.DUMMYFUNCTION("""COMPUTED_VALUE"""),87.56)</f>
        <v>87.56</v>
      </c>
      <c r="Q279" s="3">
        <f ca="1">IFERROR(__xludf.DUMMYFUNCTION("""COMPUTED_VALUE"""),121.52)</f>
        <v>121.52</v>
      </c>
      <c r="R279" s="3">
        <f ca="1">IFERROR(__xludf.DUMMYFUNCTION("""COMPUTED_VALUE"""),82.93)</f>
        <v>82.93</v>
      </c>
      <c r="S279" s="3">
        <f ca="1">IFERROR(__xludf.DUMMYFUNCTION("""COMPUTED_VALUE"""),55.73)</f>
        <v>55.73</v>
      </c>
      <c r="T279" s="3">
        <f ca="1">IFERROR(__xludf.DUMMYFUNCTION("""COMPUTED_VALUE"""),24.18)</f>
        <v>24.18</v>
      </c>
      <c r="U279" s="3">
        <f ca="1">IFERROR(__xludf.DUMMYFUNCTION("""COMPUTED_VALUE"""),68.68)</f>
        <v>68.680000000000007</v>
      </c>
      <c r="V279" s="3">
        <f ca="1">IFERROR(__xludf.DUMMYFUNCTION("""COMPUTED_VALUE"""),78.02)</f>
        <v>78.02</v>
      </c>
      <c r="W279" s="3">
        <f ca="1">IFERROR(__xludf.DUMMYFUNCTION("""COMPUTED_VALUE"""),36.78)</f>
        <v>36.78</v>
      </c>
      <c r="X279" s="3">
        <f ca="1">IFERROR(__xludf.DUMMYFUNCTION("""COMPUTED_VALUE"""),90.11)</f>
        <v>90.11</v>
      </c>
      <c r="Y279" s="3">
        <f ca="1">IFERROR(__xludf.DUMMYFUNCTION("""COMPUTED_VALUE"""),50.05)</f>
        <v>50.05</v>
      </c>
      <c r="Z279" s="3">
        <f ca="1">IFERROR(__xludf.DUMMYFUNCTION("""COMPUTED_VALUE"""),81.55)</f>
        <v>81.55</v>
      </c>
      <c r="AA279" s="3">
        <f ca="1">IFERROR(__xludf.DUMMYFUNCTION("""COMPUTED_VALUE"""),40.43)</f>
        <v>40.43</v>
      </c>
      <c r="AB279" s="3">
        <f ca="1">IFERROR(__xludf.DUMMYFUNCTION("""COMPUTED_VALUE"""),64.06)</f>
        <v>64.06</v>
      </c>
      <c r="AC279" s="3">
        <f ca="1">IFERROR(__xludf.DUMMYFUNCTION("""COMPUTED_VALUE"""),57.61)</f>
        <v>57.61</v>
      </c>
      <c r="AD279" s="3">
        <f ca="1">IFERROR(__xludf.DUMMYFUNCTION("""COMPUTED_VALUE"""),9.05)</f>
        <v>9.0500000000000007</v>
      </c>
      <c r="AE279" s="3">
        <f ca="1">IFERROR(__xludf.DUMMYFUNCTION("""COMPUTED_VALUE"""),14.26)</f>
        <v>14.26</v>
      </c>
      <c r="AF279" s="3">
        <f ca="1">IFERROR(__xludf.DUMMYFUNCTION("""COMPUTED_VALUE"""),2.29)</f>
        <v>2.29</v>
      </c>
      <c r="AG279" s="3">
        <f ca="1">IFERROR(__xludf.DUMMYFUNCTION("""COMPUTED_VALUE"""),22.17)</f>
        <v>22.17</v>
      </c>
    </row>
    <row r="280" spans="1:33" ht="12.75" x14ac:dyDescent="0.2">
      <c r="A280" s="4">
        <f ca="1">IFERROR(__xludf.DUMMYFUNCTION("""COMPUTED_VALUE"""),44966.6666666666)</f>
        <v>44966.666666666599</v>
      </c>
      <c r="B280" s="3">
        <f ca="1">IFERROR(__xludf.DUMMYFUNCTION("""COMPUTED_VALUE"""),141.03)</f>
        <v>141.03</v>
      </c>
      <c r="C280" s="3">
        <f ca="1">IFERROR(__xludf.DUMMYFUNCTION("""COMPUTED_VALUE"""),363.39)</f>
        <v>363.39</v>
      </c>
      <c r="D280" s="3">
        <f ca="1">IFERROR(__xludf.DUMMYFUNCTION("""COMPUTED_VALUE"""),85.33)</f>
        <v>85.33</v>
      </c>
      <c r="E280" s="3">
        <f ca="1">IFERROR(__xludf.DUMMYFUNCTION("""COMPUTED_VALUE"""),141.43)</f>
        <v>141.43</v>
      </c>
      <c r="F280" s="3">
        <f ca="1">IFERROR(__xludf.DUMMYFUNCTION("""COMPUTED_VALUE"""),46.83)</f>
        <v>46.83</v>
      </c>
      <c r="G280" s="3">
        <f ca="1">IFERROR(__xludf.DUMMYFUNCTION("""COMPUTED_VALUE"""),24.02)</f>
        <v>24.02</v>
      </c>
      <c r="H280" s="3">
        <f ca="1">IFERROR(__xludf.DUMMYFUNCTION("""COMPUTED_VALUE"""),26.26)</f>
        <v>26.26</v>
      </c>
      <c r="I280" s="3">
        <f ca="1">IFERROR(__xludf.DUMMYFUNCTION("""COMPUTED_VALUE"""),131.25)</f>
        <v>131.25</v>
      </c>
      <c r="J280" s="3">
        <f ca="1">IFERROR(__xludf.DUMMYFUNCTION("""COMPUTED_VALUE"""),242.14)</f>
        <v>242.14</v>
      </c>
      <c r="K280" s="3">
        <f ca="1">IFERROR(__xludf.DUMMYFUNCTION("""COMPUTED_VALUE"""),132.4)</f>
        <v>132.4</v>
      </c>
      <c r="L280" s="3">
        <f ca="1">IFERROR(__xludf.DUMMYFUNCTION("""COMPUTED_VALUE"""),86.09)</f>
        <v>86.09</v>
      </c>
      <c r="M280" s="3">
        <f ca="1">IFERROR(__xludf.DUMMYFUNCTION("""COMPUTED_VALUE"""),65.65)</f>
        <v>65.650000000000006</v>
      </c>
      <c r="N280" s="3">
        <f ca="1">IFERROR(__xludf.DUMMYFUNCTION("""COMPUTED_VALUE"""),62.44)</f>
        <v>62.44</v>
      </c>
      <c r="O280" s="3">
        <f ca="1">IFERROR(__xludf.DUMMYFUNCTION("""COMPUTED_VALUE"""),52.28)</f>
        <v>52.28</v>
      </c>
      <c r="P280" s="3">
        <f ca="1">IFERROR(__xludf.DUMMYFUNCTION("""COMPUTED_VALUE"""),86.81)</f>
        <v>86.81</v>
      </c>
      <c r="Q280" s="3">
        <f ca="1">IFERROR(__xludf.DUMMYFUNCTION("""COMPUTED_VALUE"""),120.37)</f>
        <v>120.37</v>
      </c>
      <c r="R280" s="3">
        <f ca="1">IFERROR(__xludf.DUMMYFUNCTION("""COMPUTED_VALUE"""),81.73)</f>
        <v>81.73</v>
      </c>
      <c r="S280" s="3">
        <f ca="1">IFERROR(__xludf.DUMMYFUNCTION("""COMPUTED_VALUE"""),55.18)</f>
        <v>55.18</v>
      </c>
      <c r="T280" s="3">
        <f ca="1">IFERROR(__xludf.DUMMYFUNCTION("""COMPUTED_VALUE"""),23.99)</f>
        <v>23.99</v>
      </c>
      <c r="U280" s="3">
        <f ca="1">IFERROR(__xludf.DUMMYFUNCTION("""COMPUTED_VALUE"""),67.92)</f>
        <v>67.92</v>
      </c>
      <c r="V280" s="3">
        <f ca="1">IFERROR(__xludf.DUMMYFUNCTION("""COMPUTED_VALUE"""),76.4)</f>
        <v>76.400000000000006</v>
      </c>
      <c r="W280" s="3">
        <f ca="1">IFERROR(__xludf.DUMMYFUNCTION("""COMPUTED_VALUE"""),36.37)</f>
        <v>36.369999999999997</v>
      </c>
      <c r="X280" s="3">
        <f ca="1">IFERROR(__xludf.DUMMYFUNCTION("""COMPUTED_VALUE"""),88.86)</f>
        <v>88.86</v>
      </c>
      <c r="Y280" s="3">
        <f ca="1">IFERROR(__xludf.DUMMYFUNCTION("""COMPUTED_VALUE"""),49.27)</f>
        <v>49.27</v>
      </c>
      <c r="Z280" s="3">
        <f ca="1">IFERROR(__xludf.DUMMYFUNCTION("""COMPUTED_VALUE"""),80.43)</f>
        <v>80.430000000000007</v>
      </c>
      <c r="AA280" s="3">
        <f ca="1">IFERROR(__xludf.DUMMYFUNCTION("""COMPUTED_VALUE"""),40.04)</f>
        <v>40.04</v>
      </c>
      <c r="AB280" s="3">
        <f ca="1">IFERROR(__xludf.DUMMYFUNCTION("""COMPUTED_VALUE"""),63.12)</f>
        <v>63.12</v>
      </c>
      <c r="AC280" s="3">
        <f ca="1">IFERROR(__xludf.DUMMYFUNCTION("""COMPUTED_VALUE"""),57.66)</f>
        <v>57.66</v>
      </c>
      <c r="AD280" s="3">
        <f ca="1">IFERROR(__xludf.DUMMYFUNCTION("""COMPUTED_VALUE"""),8.7)</f>
        <v>8.6999999999999993</v>
      </c>
      <c r="AE280" s="3">
        <f ca="1">IFERROR(__xludf.DUMMYFUNCTION("""COMPUTED_VALUE"""),13.71)</f>
        <v>13.71</v>
      </c>
      <c r="AF280" s="3">
        <f ca="1">IFERROR(__xludf.DUMMYFUNCTION("""COMPUTED_VALUE"""),2.07)</f>
        <v>2.0699999999999998</v>
      </c>
      <c r="AG280" s="3">
        <f ca="1">IFERROR(__xludf.DUMMYFUNCTION("""COMPUTED_VALUE"""),19.86)</f>
        <v>19.86</v>
      </c>
    </row>
    <row r="281" spans="1:33" ht="12.75" x14ac:dyDescent="0.2">
      <c r="A281" s="4">
        <f ca="1">IFERROR(__xludf.DUMMYFUNCTION("""COMPUTED_VALUE"""),44967.6666666666)</f>
        <v>44967.666666666599</v>
      </c>
      <c r="B281" s="3">
        <f ca="1">IFERROR(__xludf.DUMMYFUNCTION("""COMPUTED_VALUE"""),140.38)</f>
        <v>140.38</v>
      </c>
      <c r="C281" s="3">
        <f ca="1">IFERROR(__xludf.DUMMYFUNCTION("""COMPUTED_VALUE"""),361.08)</f>
        <v>361.08</v>
      </c>
      <c r="D281" s="3">
        <f ca="1">IFERROR(__xludf.DUMMYFUNCTION("""COMPUTED_VALUE"""),86.86)</f>
        <v>86.86</v>
      </c>
      <c r="E281" s="3">
        <f ca="1">IFERROR(__xludf.DUMMYFUNCTION("""COMPUTED_VALUE"""),139.18)</f>
        <v>139.18</v>
      </c>
      <c r="F281" s="3">
        <f ca="1">IFERROR(__xludf.DUMMYFUNCTION("""COMPUTED_VALUE"""),46.81)</f>
        <v>46.81</v>
      </c>
      <c r="G281" s="3">
        <f ca="1">IFERROR(__xludf.DUMMYFUNCTION("""COMPUTED_VALUE"""),23.87)</f>
        <v>23.87</v>
      </c>
      <c r="H281" s="3">
        <f ca="1">IFERROR(__xludf.DUMMYFUNCTION("""COMPUTED_VALUE"""),26.02)</f>
        <v>26.02</v>
      </c>
      <c r="I281" s="3">
        <f ca="1">IFERROR(__xludf.DUMMYFUNCTION("""COMPUTED_VALUE"""),132.49)</f>
        <v>132.49</v>
      </c>
      <c r="J281" s="3">
        <f ca="1">IFERROR(__xludf.DUMMYFUNCTION("""COMPUTED_VALUE"""),244)</f>
        <v>244</v>
      </c>
      <c r="K281" s="3">
        <f ca="1">IFERROR(__xludf.DUMMYFUNCTION("""COMPUTED_VALUE"""),132.36)</f>
        <v>132.36000000000001</v>
      </c>
      <c r="L281" s="3">
        <f ca="1">IFERROR(__xludf.DUMMYFUNCTION("""COMPUTED_VALUE"""),85.62)</f>
        <v>85.62</v>
      </c>
      <c r="M281" s="3">
        <f ca="1">IFERROR(__xludf.DUMMYFUNCTION("""COMPUTED_VALUE"""),65.53)</f>
        <v>65.53</v>
      </c>
      <c r="N281" s="3">
        <f ca="1">IFERROR(__xludf.DUMMYFUNCTION("""COMPUTED_VALUE"""),62.9)</f>
        <v>62.9</v>
      </c>
      <c r="O281" s="3">
        <f ca="1">IFERROR(__xludf.DUMMYFUNCTION("""COMPUTED_VALUE"""),51.96)</f>
        <v>51.96</v>
      </c>
      <c r="P281" s="3">
        <f ca="1">IFERROR(__xludf.DUMMYFUNCTION("""COMPUTED_VALUE"""),90.21)</f>
        <v>90.21</v>
      </c>
      <c r="Q281" s="3">
        <f ca="1">IFERROR(__xludf.DUMMYFUNCTION("""COMPUTED_VALUE"""),125.12)</f>
        <v>125.12</v>
      </c>
      <c r="R281" s="3">
        <f ca="1">IFERROR(__xludf.DUMMYFUNCTION("""COMPUTED_VALUE"""),82.03)</f>
        <v>82.03</v>
      </c>
      <c r="S281" s="3">
        <f ca="1">IFERROR(__xludf.DUMMYFUNCTION("""COMPUTED_VALUE"""),55.26)</f>
        <v>55.26</v>
      </c>
      <c r="T281" s="3">
        <f ca="1">IFERROR(__xludf.DUMMYFUNCTION("""COMPUTED_VALUE"""),24.33)</f>
        <v>24.33</v>
      </c>
      <c r="U281" s="3">
        <f ca="1">IFERROR(__xludf.DUMMYFUNCTION("""COMPUTED_VALUE"""),69.87)</f>
        <v>69.87</v>
      </c>
      <c r="V281" s="3">
        <f ca="1">IFERROR(__xludf.DUMMYFUNCTION("""COMPUTED_VALUE"""),75.88)</f>
        <v>75.88</v>
      </c>
      <c r="W281" s="3">
        <f ca="1">IFERROR(__xludf.DUMMYFUNCTION("""COMPUTED_VALUE"""),36.49)</f>
        <v>36.49</v>
      </c>
      <c r="X281" s="3">
        <f ca="1">IFERROR(__xludf.DUMMYFUNCTION("""COMPUTED_VALUE"""),89.12)</f>
        <v>89.12</v>
      </c>
      <c r="Y281" s="3">
        <f ca="1">IFERROR(__xludf.DUMMYFUNCTION("""COMPUTED_VALUE"""),49.27)</f>
        <v>49.27</v>
      </c>
      <c r="Z281" s="3">
        <f ca="1">IFERROR(__xludf.DUMMYFUNCTION("""COMPUTED_VALUE"""),80.77)</f>
        <v>80.77</v>
      </c>
      <c r="AA281" s="3">
        <f ca="1">IFERROR(__xludf.DUMMYFUNCTION("""COMPUTED_VALUE"""),40.12)</f>
        <v>40.119999999999997</v>
      </c>
      <c r="AB281" s="3">
        <f ca="1">IFERROR(__xludf.DUMMYFUNCTION("""COMPUTED_VALUE"""),62.99)</f>
        <v>62.99</v>
      </c>
      <c r="AC281" s="3">
        <f ca="1">IFERROR(__xludf.DUMMYFUNCTION("""COMPUTED_VALUE"""),58.25)</f>
        <v>58.25</v>
      </c>
      <c r="AD281" s="3">
        <f ca="1">IFERROR(__xludf.DUMMYFUNCTION("""COMPUTED_VALUE"""),8.61)</f>
        <v>8.61</v>
      </c>
      <c r="AE281" s="3">
        <f ca="1">IFERROR(__xludf.DUMMYFUNCTION("""COMPUTED_VALUE"""),13.55)</f>
        <v>13.55</v>
      </c>
      <c r="AF281" s="3">
        <f ca="1">IFERROR(__xludf.DUMMYFUNCTION("""COMPUTED_VALUE"""),2.01)</f>
        <v>2.0099999999999998</v>
      </c>
      <c r="AG281" s="3">
        <f ca="1">IFERROR(__xludf.DUMMYFUNCTION("""COMPUTED_VALUE"""),19.44)</f>
        <v>19.440000000000001</v>
      </c>
    </row>
    <row r="282" spans="1:33" ht="12.75" x14ac:dyDescent="0.2">
      <c r="A282" s="4">
        <f ca="1">IFERROR(__xludf.DUMMYFUNCTION("""COMPUTED_VALUE"""),44970.6666666666)</f>
        <v>44970.666666666599</v>
      </c>
      <c r="B282" s="3">
        <f ca="1">IFERROR(__xludf.DUMMYFUNCTION("""COMPUTED_VALUE"""),142.81)</f>
        <v>142.81</v>
      </c>
      <c r="C282" s="3">
        <f ca="1">IFERROR(__xludf.DUMMYFUNCTION("""COMPUTED_VALUE"""),367.22)</f>
        <v>367.22</v>
      </c>
      <c r="D282" s="3">
        <f ca="1">IFERROR(__xludf.DUMMYFUNCTION("""COMPUTED_VALUE"""),87.55)</f>
        <v>87.55</v>
      </c>
      <c r="E282" s="3">
        <f ca="1">IFERROR(__xludf.DUMMYFUNCTION("""COMPUTED_VALUE"""),141.22)</f>
        <v>141.22</v>
      </c>
      <c r="F282" s="3">
        <f ca="1">IFERROR(__xludf.DUMMYFUNCTION("""COMPUTED_VALUE"""),47.39)</f>
        <v>47.39</v>
      </c>
      <c r="G282" s="3">
        <f ca="1">IFERROR(__xludf.DUMMYFUNCTION("""COMPUTED_VALUE"""),24)</f>
        <v>24</v>
      </c>
      <c r="H282" s="3">
        <f ca="1">IFERROR(__xludf.DUMMYFUNCTION("""COMPUTED_VALUE"""),26.39)</f>
        <v>26.39</v>
      </c>
      <c r="I282" s="3">
        <f ca="1">IFERROR(__xludf.DUMMYFUNCTION("""COMPUTED_VALUE"""),133.59)</f>
        <v>133.59</v>
      </c>
      <c r="J282" s="3">
        <f ca="1">IFERROR(__xludf.DUMMYFUNCTION("""COMPUTED_VALUE"""),245.88)</f>
        <v>245.88</v>
      </c>
      <c r="K282" s="3">
        <f ca="1">IFERROR(__xludf.DUMMYFUNCTION("""COMPUTED_VALUE"""),134.18)</f>
        <v>134.18</v>
      </c>
      <c r="L282" s="3">
        <f ca="1">IFERROR(__xludf.DUMMYFUNCTION("""COMPUTED_VALUE"""),85.56)</f>
        <v>85.56</v>
      </c>
      <c r="M282" s="3">
        <f ca="1">IFERROR(__xludf.DUMMYFUNCTION("""COMPUTED_VALUE"""),65.83)</f>
        <v>65.83</v>
      </c>
      <c r="N282" s="3">
        <f ca="1">IFERROR(__xludf.DUMMYFUNCTION("""COMPUTED_VALUE"""),63.42)</f>
        <v>63.42</v>
      </c>
      <c r="O282" s="3">
        <f ca="1">IFERROR(__xludf.DUMMYFUNCTION("""COMPUTED_VALUE"""),52.88)</f>
        <v>52.88</v>
      </c>
      <c r="P282" s="3">
        <f ca="1">IFERROR(__xludf.DUMMYFUNCTION("""COMPUTED_VALUE"""),89.98)</f>
        <v>89.98</v>
      </c>
      <c r="Q282" s="3">
        <f ca="1">IFERROR(__xludf.DUMMYFUNCTION("""COMPUTED_VALUE"""),124.62)</f>
        <v>124.62</v>
      </c>
      <c r="R282" s="3">
        <f ca="1">IFERROR(__xludf.DUMMYFUNCTION("""COMPUTED_VALUE"""),82.46)</f>
        <v>82.46</v>
      </c>
      <c r="S282" s="3">
        <f ca="1">IFERROR(__xludf.DUMMYFUNCTION("""COMPUTED_VALUE"""),55.4)</f>
        <v>55.4</v>
      </c>
      <c r="T282" s="3">
        <f ca="1">IFERROR(__xludf.DUMMYFUNCTION("""COMPUTED_VALUE"""),24.28)</f>
        <v>24.28</v>
      </c>
      <c r="U282" s="3">
        <f ca="1">IFERROR(__xludf.DUMMYFUNCTION("""COMPUTED_VALUE"""),69.5)</f>
        <v>69.5</v>
      </c>
      <c r="V282" s="3">
        <f ca="1">IFERROR(__xludf.DUMMYFUNCTION("""COMPUTED_VALUE"""),77.08)</f>
        <v>77.08</v>
      </c>
      <c r="W282" s="3">
        <f ca="1">IFERROR(__xludf.DUMMYFUNCTION("""COMPUTED_VALUE"""),36.91)</f>
        <v>36.909999999999997</v>
      </c>
      <c r="X282" s="3">
        <f ca="1">IFERROR(__xludf.DUMMYFUNCTION("""COMPUTED_VALUE"""),90.19)</f>
        <v>90.19</v>
      </c>
      <c r="Y282" s="3">
        <f ca="1">IFERROR(__xludf.DUMMYFUNCTION("""COMPUTED_VALUE"""),49.77)</f>
        <v>49.77</v>
      </c>
      <c r="Z282" s="3">
        <f ca="1">IFERROR(__xludf.DUMMYFUNCTION("""COMPUTED_VALUE"""),81.72)</f>
        <v>81.72</v>
      </c>
      <c r="AA282" s="3">
        <f ca="1">IFERROR(__xludf.DUMMYFUNCTION("""COMPUTED_VALUE"""),40.49)</f>
        <v>40.49</v>
      </c>
      <c r="AB282" s="3">
        <f ca="1">IFERROR(__xludf.DUMMYFUNCTION("""COMPUTED_VALUE"""),63.5)</f>
        <v>63.5</v>
      </c>
      <c r="AC282" s="3">
        <f ca="1">IFERROR(__xludf.DUMMYFUNCTION("""COMPUTED_VALUE"""),58.21)</f>
        <v>58.21</v>
      </c>
      <c r="AD282" s="3">
        <f ca="1">IFERROR(__xludf.DUMMYFUNCTION("""COMPUTED_VALUE"""),8.59)</f>
        <v>8.59</v>
      </c>
      <c r="AE282" s="3">
        <f ca="1">IFERROR(__xludf.DUMMYFUNCTION("""COMPUTED_VALUE"""),13.53)</f>
        <v>13.53</v>
      </c>
      <c r="AF282" s="3">
        <f ca="1">IFERROR(__xludf.DUMMYFUNCTION("""COMPUTED_VALUE"""),1.99)</f>
        <v>1.99</v>
      </c>
      <c r="AG282" s="3">
        <f ca="1">IFERROR(__xludf.DUMMYFUNCTION("""COMPUTED_VALUE"""),19.4)</f>
        <v>19.399999999999999</v>
      </c>
    </row>
    <row r="283" spans="1:33" ht="12.75" x14ac:dyDescent="0.2">
      <c r="A283" s="4">
        <f ca="1">IFERROR(__xludf.DUMMYFUNCTION("""COMPUTED_VALUE"""),44971.6666666666)</f>
        <v>44971.666666666599</v>
      </c>
      <c r="B283" s="3">
        <f ca="1">IFERROR(__xludf.DUMMYFUNCTION("""COMPUTED_VALUE"""),143.42)</f>
        <v>143.41999999999999</v>
      </c>
      <c r="C283" s="3">
        <f ca="1">IFERROR(__xludf.DUMMYFUNCTION("""COMPUTED_VALUE"""),369.17)</f>
        <v>369.17</v>
      </c>
      <c r="D283" s="3">
        <f ca="1">IFERROR(__xludf.DUMMYFUNCTION("""COMPUTED_VALUE"""),88.17)</f>
        <v>88.17</v>
      </c>
      <c r="E283" s="3">
        <f ca="1">IFERROR(__xludf.DUMMYFUNCTION("""COMPUTED_VALUE"""),143.79)</f>
        <v>143.79</v>
      </c>
      <c r="F283" s="3">
        <f ca="1">IFERROR(__xludf.DUMMYFUNCTION("""COMPUTED_VALUE"""),47.66)</f>
        <v>47.66</v>
      </c>
      <c r="G283" s="3">
        <f ca="1">IFERROR(__xludf.DUMMYFUNCTION("""COMPUTED_VALUE"""),24.25)</f>
        <v>24.25</v>
      </c>
      <c r="H283" s="3">
        <f ca="1">IFERROR(__xludf.DUMMYFUNCTION("""COMPUTED_VALUE"""),26.53)</f>
        <v>26.53</v>
      </c>
      <c r="I283" s="3">
        <f ca="1">IFERROR(__xludf.DUMMYFUNCTION("""COMPUTED_VALUE"""),132.8)</f>
        <v>132.80000000000001</v>
      </c>
      <c r="J283" s="3">
        <f ca="1">IFERROR(__xludf.DUMMYFUNCTION("""COMPUTED_VALUE"""),244.68)</f>
        <v>244.68</v>
      </c>
      <c r="K283" s="3">
        <f ca="1">IFERROR(__xludf.DUMMYFUNCTION("""COMPUTED_VALUE"""),133.77)</f>
        <v>133.77000000000001</v>
      </c>
      <c r="L283" s="3">
        <f ca="1">IFERROR(__xludf.DUMMYFUNCTION("""COMPUTED_VALUE"""),85.88)</f>
        <v>85.88</v>
      </c>
      <c r="M283" s="3">
        <f ca="1">IFERROR(__xludf.DUMMYFUNCTION("""COMPUTED_VALUE"""),65.71)</f>
        <v>65.709999999999994</v>
      </c>
      <c r="N283" s="3">
        <f ca="1">IFERROR(__xludf.DUMMYFUNCTION("""COMPUTED_VALUE"""),63.17)</f>
        <v>63.17</v>
      </c>
      <c r="O283" s="3">
        <f ca="1">IFERROR(__xludf.DUMMYFUNCTION("""COMPUTED_VALUE"""),52.56)</f>
        <v>52.56</v>
      </c>
      <c r="P283" s="3">
        <f ca="1">IFERROR(__xludf.DUMMYFUNCTION("""COMPUTED_VALUE"""),90.01)</f>
        <v>90.01</v>
      </c>
      <c r="Q283" s="3">
        <f ca="1">IFERROR(__xludf.DUMMYFUNCTION("""COMPUTED_VALUE"""),124.83)</f>
        <v>124.83</v>
      </c>
      <c r="R283" s="3">
        <f ca="1">IFERROR(__xludf.DUMMYFUNCTION("""COMPUTED_VALUE"""),82.65)</f>
        <v>82.65</v>
      </c>
      <c r="S283" s="3">
        <f ca="1">IFERROR(__xludf.DUMMYFUNCTION("""COMPUTED_VALUE"""),56.74)</f>
        <v>56.74</v>
      </c>
      <c r="T283" s="3">
        <f ca="1">IFERROR(__xludf.DUMMYFUNCTION("""COMPUTED_VALUE"""),24.36)</f>
        <v>24.36</v>
      </c>
      <c r="U283" s="3">
        <f ca="1">IFERROR(__xludf.DUMMYFUNCTION("""COMPUTED_VALUE"""),69.4)</f>
        <v>69.400000000000006</v>
      </c>
      <c r="V283" s="3">
        <f ca="1">IFERROR(__xludf.DUMMYFUNCTION("""COMPUTED_VALUE"""),76.53)</f>
        <v>76.53</v>
      </c>
      <c r="W283" s="3">
        <f ca="1">IFERROR(__xludf.DUMMYFUNCTION("""COMPUTED_VALUE"""),36.71)</f>
        <v>36.71</v>
      </c>
      <c r="X283" s="3">
        <f ca="1">IFERROR(__xludf.DUMMYFUNCTION("""COMPUTED_VALUE"""),89.68)</f>
        <v>89.68</v>
      </c>
      <c r="Y283" s="3">
        <f ca="1">IFERROR(__xludf.DUMMYFUNCTION("""COMPUTED_VALUE"""),49.63)</f>
        <v>49.63</v>
      </c>
      <c r="Z283" s="3">
        <f ca="1">IFERROR(__xludf.DUMMYFUNCTION("""COMPUTED_VALUE"""),81.25)</f>
        <v>81.25</v>
      </c>
      <c r="AA283" s="3">
        <f ca="1">IFERROR(__xludf.DUMMYFUNCTION("""COMPUTED_VALUE"""),40.07)</f>
        <v>40.07</v>
      </c>
      <c r="AB283" s="3">
        <f ca="1">IFERROR(__xludf.DUMMYFUNCTION("""COMPUTED_VALUE"""),63.26)</f>
        <v>63.26</v>
      </c>
      <c r="AC283" s="3">
        <f ca="1">IFERROR(__xludf.DUMMYFUNCTION("""COMPUTED_VALUE"""),58.28)</f>
        <v>58.28</v>
      </c>
      <c r="AD283" s="3">
        <f ca="1">IFERROR(__xludf.DUMMYFUNCTION("""COMPUTED_VALUE"""),8.83)</f>
        <v>8.83</v>
      </c>
      <c r="AE283" s="3">
        <f ca="1">IFERROR(__xludf.DUMMYFUNCTION("""COMPUTED_VALUE"""),13.9)</f>
        <v>13.9</v>
      </c>
      <c r="AF283" s="3">
        <f ca="1">IFERROR(__xludf.DUMMYFUNCTION("""COMPUTED_VALUE"""),2.11)</f>
        <v>2.11</v>
      </c>
      <c r="AG283" s="3">
        <f ca="1">IFERROR(__xludf.DUMMYFUNCTION("""COMPUTED_VALUE"""),20.22)</f>
        <v>20.22</v>
      </c>
    </row>
    <row r="284" spans="1:33" ht="12.75" x14ac:dyDescent="0.2">
      <c r="A284" s="4">
        <f ca="1">IFERROR(__xludf.DUMMYFUNCTION("""COMPUTED_VALUE"""),44972.6666666666)</f>
        <v>44972.666666666599</v>
      </c>
      <c r="B284" s="3">
        <f ca="1">IFERROR(__xludf.DUMMYFUNCTION("""COMPUTED_VALUE"""),144.09)</f>
        <v>144.09</v>
      </c>
      <c r="C284" s="3">
        <f ca="1">IFERROR(__xludf.DUMMYFUNCTION("""COMPUTED_VALUE"""),371.77)</f>
        <v>371.77</v>
      </c>
      <c r="D284" s="3">
        <f ca="1">IFERROR(__xludf.DUMMYFUNCTION("""COMPUTED_VALUE"""),86.34)</f>
        <v>86.34</v>
      </c>
      <c r="E284" s="3">
        <f ca="1">IFERROR(__xludf.DUMMYFUNCTION("""COMPUTED_VALUE"""),144.37)</f>
        <v>144.37</v>
      </c>
      <c r="F284" s="3">
        <f ca="1">IFERROR(__xludf.DUMMYFUNCTION("""COMPUTED_VALUE"""),48.34)</f>
        <v>48.34</v>
      </c>
      <c r="G284" s="3">
        <f ca="1">IFERROR(__xludf.DUMMYFUNCTION("""COMPUTED_VALUE"""),24.28)</f>
        <v>24.28</v>
      </c>
      <c r="H284" s="3">
        <f ca="1">IFERROR(__xludf.DUMMYFUNCTION("""COMPUTED_VALUE"""),26.91)</f>
        <v>26.91</v>
      </c>
      <c r="I284" s="3">
        <f ca="1">IFERROR(__xludf.DUMMYFUNCTION("""COMPUTED_VALUE"""),132.14)</f>
        <v>132.13999999999999</v>
      </c>
      <c r="J284" s="3">
        <f ca="1">IFERROR(__xludf.DUMMYFUNCTION("""COMPUTED_VALUE"""),243.98)</f>
        <v>243.98</v>
      </c>
      <c r="K284" s="3">
        <f ca="1">IFERROR(__xludf.DUMMYFUNCTION("""COMPUTED_VALUE"""),133.77)</f>
        <v>133.77000000000001</v>
      </c>
      <c r="L284" s="3">
        <f ca="1">IFERROR(__xludf.DUMMYFUNCTION("""COMPUTED_VALUE"""),86.06)</f>
        <v>86.06</v>
      </c>
      <c r="M284" s="3">
        <f ca="1">IFERROR(__xludf.DUMMYFUNCTION("""COMPUTED_VALUE"""),66.08)</f>
        <v>66.08</v>
      </c>
      <c r="N284" s="3">
        <f ca="1">IFERROR(__xludf.DUMMYFUNCTION("""COMPUTED_VALUE"""),62.94)</f>
        <v>62.94</v>
      </c>
      <c r="O284" s="3">
        <f ca="1">IFERROR(__xludf.DUMMYFUNCTION("""COMPUTED_VALUE"""),53.16)</f>
        <v>53.16</v>
      </c>
      <c r="P284" s="3">
        <f ca="1">IFERROR(__xludf.DUMMYFUNCTION("""COMPUTED_VALUE"""),88.48)</f>
        <v>88.48</v>
      </c>
      <c r="Q284" s="3">
        <f ca="1">IFERROR(__xludf.DUMMYFUNCTION("""COMPUTED_VALUE"""),122.98)</f>
        <v>122.98</v>
      </c>
      <c r="R284" s="3">
        <f ca="1">IFERROR(__xludf.DUMMYFUNCTION("""COMPUTED_VALUE"""),83.01)</f>
        <v>83.01</v>
      </c>
      <c r="S284" s="3">
        <f ca="1">IFERROR(__xludf.DUMMYFUNCTION("""COMPUTED_VALUE"""),56.66)</f>
        <v>56.66</v>
      </c>
      <c r="T284" s="3">
        <f ca="1">IFERROR(__xludf.DUMMYFUNCTION("""COMPUTED_VALUE"""),24.1)</f>
        <v>24.1</v>
      </c>
      <c r="U284" s="3">
        <f ca="1">IFERROR(__xludf.DUMMYFUNCTION("""COMPUTED_VALUE"""),69.02)</f>
        <v>69.02</v>
      </c>
      <c r="V284" s="3">
        <f ca="1">IFERROR(__xludf.DUMMYFUNCTION("""COMPUTED_VALUE"""),79.04)</f>
        <v>79.040000000000006</v>
      </c>
      <c r="W284" s="3">
        <f ca="1">IFERROR(__xludf.DUMMYFUNCTION("""COMPUTED_VALUE"""),36.75)</f>
        <v>36.75</v>
      </c>
      <c r="X284" s="3">
        <f ca="1">IFERROR(__xludf.DUMMYFUNCTION("""COMPUTED_VALUE"""),89.96)</f>
        <v>89.96</v>
      </c>
      <c r="Y284" s="3">
        <f ca="1">IFERROR(__xludf.DUMMYFUNCTION("""COMPUTED_VALUE"""),49.94)</f>
        <v>49.94</v>
      </c>
      <c r="Z284" s="3">
        <f ca="1">IFERROR(__xludf.DUMMYFUNCTION("""COMPUTED_VALUE"""),81.47)</f>
        <v>81.47</v>
      </c>
      <c r="AA284" s="3">
        <f ca="1">IFERROR(__xludf.DUMMYFUNCTION("""COMPUTED_VALUE"""),40.18)</f>
        <v>40.18</v>
      </c>
      <c r="AB284" s="3">
        <f ca="1">IFERROR(__xludf.DUMMYFUNCTION("""COMPUTED_VALUE"""),64.01)</f>
        <v>64.010000000000005</v>
      </c>
      <c r="AC284" s="3">
        <f ca="1">IFERROR(__xludf.DUMMYFUNCTION("""COMPUTED_VALUE"""),57.54)</f>
        <v>57.54</v>
      </c>
      <c r="AD284" s="3">
        <f ca="1">IFERROR(__xludf.DUMMYFUNCTION("""COMPUTED_VALUE"""),9.59)</f>
        <v>9.59</v>
      </c>
      <c r="AE284" s="3">
        <f ca="1">IFERROR(__xludf.DUMMYFUNCTION("""COMPUTED_VALUE"""),15.09)</f>
        <v>15.09</v>
      </c>
      <c r="AF284" s="3">
        <f ca="1">IFERROR(__xludf.DUMMYFUNCTION("""COMPUTED_VALUE"""),2.4)</f>
        <v>2.4</v>
      </c>
      <c r="AG284" s="3">
        <f ca="1">IFERROR(__xludf.DUMMYFUNCTION("""COMPUTED_VALUE"""),22.4)</f>
        <v>22.4</v>
      </c>
    </row>
    <row r="285" spans="1:33" ht="12.75" x14ac:dyDescent="0.2">
      <c r="A285" s="4">
        <f ca="1">IFERROR(__xludf.DUMMYFUNCTION("""COMPUTED_VALUE"""),44973.6666666666)</f>
        <v>44973.666666666599</v>
      </c>
      <c r="B285" s="3">
        <f ca="1">IFERROR(__xludf.DUMMYFUNCTION("""COMPUTED_VALUE"""),141.59)</f>
        <v>141.59</v>
      </c>
      <c r="C285" s="3">
        <f ca="1">IFERROR(__xludf.DUMMYFUNCTION("""COMPUTED_VALUE"""),364.99)</f>
        <v>364.99</v>
      </c>
      <c r="D285" s="3">
        <f ca="1">IFERROR(__xludf.DUMMYFUNCTION("""COMPUTED_VALUE"""),85.22)</f>
        <v>85.22</v>
      </c>
      <c r="E285" s="3">
        <f ca="1">IFERROR(__xludf.DUMMYFUNCTION("""COMPUTED_VALUE"""),140.83)</f>
        <v>140.83000000000001</v>
      </c>
      <c r="F285" s="3">
        <f ca="1">IFERROR(__xludf.DUMMYFUNCTION("""COMPUTED_VALUE"""),47.49)</f>
        <v>47.49</v>
      </c>
      <c r="G285" s="3">
        <f ca="1">IFERROR(__xludf.DUMMYFUNCTION("""COMPUTED_VALUE"""),23.95)</f>
        <v>23.95</v>
      </c>
      <c r="H285" s="3">
        <f ca="1">IFERROR(__xludf.DUMMYFUNCTION("""COMPUTED_VALUE"""),26.47)</f>
        <v>26.47</v>
      </c>
      <c r="I285" s="3">
        <f ca="1">IFERROR(__xludf.DUMMYFUNCTION("""COMPUTED_VALUE"""),130.82)</f>
        <v>130.82</v>
      </c>
      <c r="J285" s="3">
        <f ca="1">IFERROR(__xludf.DUMMYFUNCTION("""COMPUTED_VALUE"""),241.66)</f>
        <v>241.66</v>
      </c>
      <c r="K285" s="3">
        <f ca="1">IFERROR(__xludf.DUMMYFUNCTION("""COMPUTED_VALUE"""),132.09)</f>
        <v>132.09</v>
      </c>
      <c r="L285" s="3">
        <f ca="1">IFERROR(__xludf.DUMMYFUNCTION("""COMPUTED_VALUE"""),84.77)</f>
        <v>84.77</v>
      </c>
      <c r="M285" s="3">
        <f ca="1">IFERROR(__xludf.DUMMYFUNCTION("""COMPUTED_VALUE"""),65.05)</f>
        <v>65.05</v>
      </c>
      <c r="N285" s="3">
        <f ca="1">IFERROR(__xludf.DUMMYFUNCTION("""COMPUTED_VALUE"""),62.39)</f>
        <v>62.39</v>
      </c>
      <c r="O285" s="3">
        <f ca="1">IFERROR(__xludf.DUMMYFUNCTION("""COMPUTED_VALUE"""),52.68)</f>
        <v>52.68</v>
      </c>
      <c r="P285" s="3">
        <f ca="1">IFERROR(__xludf.DUMMYFUNCTION("""COMPUTED_VALUE"""),87.61)</f>
        <v>87.61</v>
      </c>
      <c r="Q285" s="3">
        <f ca="1">IFERROR(__xludf.DUMMYFUNCTION("""COMPUTED_VALUE"""),121.76)</f>
        <v>121.76</v>
      </c>
      <c r="R285" s="3">
        <f ca="1">IFERROR(__xludf.DUMMYFUNCTION("""COMPUTED_VALUE"""),82.07)</f>
        <v>82.07</v>
      </c>
      <c r="S285" s="3">
        <f ca="1">IFERROR(__xludf.DUMMYFUNCTION("""COMPUTED_VALUE"""),57.21)</f>
        <v>57.21</v>
      </c>
      <c r="T285" s="3">
        <f ca="1">IFERROR(__xludf.DUMMYFUNCTION("""COMPUTED_VALUE"""),24.03)</f>
        <v>24.03</v>
      </c>
      <c r="U285" s="3">
        <f ca="1">IFERROR(__xludf.DUMMYFUNCTION("""COMPUTED_VALUE"""),68.45)</f>
        <v>68.45</v>
      </c>
      <c r="V285" s="3">
        <f ca="1">IFERROR(__xludf.DUMMYFUNCTION("""COMPUTED_VALUE"""),76.23)</f>
        <v>76.23</v>
      </c>
      <c r="W285" s="3">
        <f ca="1">IFERROR(__xludf.DUMMYFUNCTION("""COMPUTED_VALUE"""),36.38)</f>
        <v>36.380000000000003</v>
      </c>
      <c r="X285" s="3">
        <f ca="1">IFERROR(__xludf.DUMMYFUNCTION("""COMPUTED_VALUE"""),89.05)</f>
        <v>89.05</v>
      </c>
      <c r="Y285" s="3">
        <f ca="1">IFERROR(__xludf.DUMMYFUNCTION("""COMPUTED_VALUE"""),49.29)</f>
        <v>49.29</v>
      </c>
      <c r="Z285" s="3">
        <f ca="1">IFERROR(__xludf.DUMMYFUNCTION("""COMPUTED_VALUE"""),80.62)</f>
        <v>80.62</v>
      </c>
      <c r="AA285" s="3">
        <f ca="1">IFERROR(__xludf.DUMMYFUNCTION("""COMPUTED_VALUE"""),39.81)</f>
        <v>39.81</v>
      </c>
      <c r="AB285" s="3">
        <f ca="1">IFERROR(__xludf.DUMMYFUNCTION("""COMPUTED_VALUE"""),62.88)</f>
        <v>62.88</v>
      </c>
      <c r="AC285" s="3">
        <f ca="1">IFERROR(__xludf.DUMMYFUNCTION("""COMPUTED_VALUE"""),57.44)</f>
        <v>57.44</v>
      </c>
      <c r="AD285" s="3">
        <f ca="1">IFERROR(__xludf.DUMMYFUNCTION("""COMPUTED_VALUE"""),9.75)</f>
        <v>9.75</v>
      </c>
      <c r="AE285" s="3">
        <f ca="1">IFERROR(__xludf.DUMMYFUNCTION("""COMPUTED_VALUE"""),15.36)</f>
        <v>15.36</v>
      </c>
      <c r="AF285" s="3">
        <f ca="1">IFERROR(__xludf.DUMMYFUNCTION("""COMPUTED_VALUE"""),2.23)</f>
        <v>2.23</v>
      </c>
      <c r="AG285" s="3">
        <f ca="1">IFERROR(__xludf.DUMMYFUNCTION("""COMPUTED_VALUE"""),21.41)</f>
        <v>21.41</v>
      </c>
    </row>
    <row r="286" spans="1:33" ht="12.75" x14ac:dyDescent="0.2">
      <c r="A286" s="4">
        <f ca="1">IFERROR(__xludf.DUMMYFUNCTION("""COMPUTED_VALUE"""),44974.6666666666)</f>
        <v>44974.666666666599</v>
      </c>
      <c r="B286" s="3">
        <f ca="1">IFERROR(__xludf.DUMMYFUNCTION("""COMPUTED_VALUE"""),139.82)</f>
        <v>139.82</v>
      </c>
      <c r="C286" s="3">
        <f ca="1">IFERROR(__xludf.DUMMYFUNCTION("""COMPUTED_VALUE"""),360.52)</f>
        <v>360.52</v>
      </c>
      <c r="D286" s="3">
        <f ca="1">IFERROR(__xludf.DUMMYFUNCTION("""COMPUTED_VALUE"""),83.16)</f>
        <v>83.16</v>
      </c>
      <c r="E286" s="3">
        <f ca="1">IFERROR(__xludf.DUMMYFUNCTION("""COMPUTED_VALUE"""),138.64)</f>
        <v>138.63999999999999</v>
      </c>
      <c r="F286" s="3">
        <f ca="1">IFERROR(__xludf.DUMMYFUNCTION("""COMPUTED_VALUE"""),47.14)</f>
        <v>47.14</v>
      </c>
      <c r="G286" s="3">
        <f ca="1">IFERROR(__xludf.DUMMYFUNCTION("""COMPUTED_VALUE"""),23.58)</f>
        <v>23.58</v>
      </c>
      <c r="H286" s="3">
        <f ca="1">IFERROR(__xludf.DUMMYFUNCTION("""COMPUTED_VALUE"""),26.23)</f>
        <v>26.23</v>
      </c>
      <c r="I286" s="3">
        <f ca="1">IFERROR(__xludf.DUMMYFUNCTION("""COMPUTED_VALUE"""),131.99)</f>
        <v>131.99</v>
      </c>
      <c r="J286" s="3">
        <f ca="1">IFERROR(__xludf.DUMMYFUNCTION("""COMPUTED_VALUE"""),244.1)</f>
        <v>244.1</v>
      </c>
      <c r="K286" s="3">
        <f ca="1">IFERROR(__xludf.DUMMYFUNCTION("""COMPUTED_VALUE"""),133.36)</f>
        <v>133.36000000000001</v>
      </c>
      <c r="L286" s="3">
        <f ca="1">IFERROR(__xludf.DUMMYFUNCTION("""COMPUTED_VALUE"""),86.8)</f>
        <v>86.8</v>
      </c>
      <c r="M286" s="3">
        <f ca="1">IFERROR(__xludf.DUMMYFUNCTION("""COMPUTED_VALUE"""),66.18)</f>
        <v>66.180000000000007</v>
      </c>
      <c r="N286" s="3">
        <f ca="1">IFERROR(__xludf.DUMMYFUNCTION("""COMPUTED_VALUE"""),62.95)</f>
        <v>62.95</v>
      </c>
      <c r="O286" s="3">
        <f ca="1">IFERROR(__xludf.DUMMYFUNCTION("""COMPUTED_VALUE"""),53.28)</f>
        <v>53.28</v>
      </c>
      <c r="P286" s="3">
        <f ca="1">IFERROR(__xludf.DUMMYFUNCTION("""COMPUTED_VALUE"""),84.49)</f>
        <v>84.49</v>
      </c>
      <c r="Q286" s="3">
        <f ca="1">IFERROR(__xludf.DUMMYFUNCTION("""COMPUTED_VALUE"""),117.29)</f>
        <v>117.29</v>
      </c>
      <c r="R286" s="3">
        <f ca="1">IFERROR(__xludf.DUMMYFUNCTION("""COMPUTED_VALUE"""),81.3)</f>
        <v>81.3</v>
      </c>
      <c r="S286" s="3">
        <f ca="1">IFERROR(__xludf.DUMMYFUNCTION("""COMPUTED_VALUE"""),56.18)</f>
        <v>56.18</v>
      </c>
      <c r="T286" s="3">
        <f ca="1">IFERROR(__xludf.DUMMYFUNCTION("""COMPUTED_VALUE"""),23.85)</f>
        <v>23.85</v>
      </c>
      <c r="U286" s="3">
        <f ca="1">IFERROR(__xludf.DUMMYFUNCTION("""COMPUTED_VALUE"""),67.02)</f>
        <v>67.02</v>
      </c>
      <c r="V286" s="3">
        <f ca="1">IFERROR(__xludf.DUMMYFUNCTION("""COMPUTED_VALUE"""),75.7)</f>
        <v>75.7</v>
      </c>
      <c r="W286" s="3">
        <f ca="1">IFERROR(__xludf.DUMMYFUNCTION("""COMPUTED_VALUE"""),36.39)</f>
        <v>36.39</v>
      </c>
      <c r="X286" s="3">
        <f ca="1">IFERROR(__xludf.DUMMYFUNCTION("""COMPUTED_VALUE"""),89.12)</f>
        <v>89.12</v>
      </c>
      <c r="Y286" s="3">
        <f ca="1">IFERROR(__xludf.DUMMYFUNCTION("""COMPUTED_VALUE"""),49.48)</f>
        <v>49.48</v>
      </c>
      <c r="Z286" s="3">
        <f ca="1">IFERROR(__xludf.DUMMYFUNCTION("""COMPUTED_VALUE"""),80.65)</f>
        <v>80.650000000000006</v>
      </c>
      <c r="AA286" s="3">
        <f ca="1">IFERROR(__xludf.DUMMYFUNCTION("""COMPUTED_VALUE"""),39.61)</f>
        <v>39.61</v>
      </c>
      <c r="AB286" s="3">
        <f ca="1">IFERROR(__xludf.DUMMYFUNCTION("""COMPUTED_VALUE"""),63.2)</f>
        <v>63.2</v>
      </c>
      <c r="AC286" s="3">
        <f ca="1">IFERROR(__xludf.DUMMYFUNCTION("""COMPUTED_VALUE"""),56.03)</f>
        <v>56.03</v>
      </c>
      <c r="AD286" s="3">
        <f ca="1">IFERROR(__xludf.DUMMYFUNCTION("""COMPUTED_VALUE"""),9.84)</f>
        <v>9.84</v>
      </c>
      <c r="AE286" s="3">
        <f ca="1">IFERROR(__xludf.DUMMYFUNCTION("""COMPUTED_VALUE"""),15.53)</f>
        <v>15.53</v>
      </c>
      <c r="AF286" s="3">
        <f ca="1">IFERROR(__xludf.DUMMYFUNCTION("""COMPUTED_VALUE"""),2.32)</f>
        <v>2.3199999999999998</v>
      </c>
      <c r="AG286" s="3">
        <f ca="1">IFERROR(__xludf.DUMMYFUNCTION("""COMPUTED_VALUE"""),21.59)</f>
        <v>21.59</v>
      </c>
    </row>
    <row r="287" spans="1:33" ht="12.75" x14ac:dyDescent="0.2">
      <c r="A287" s="4">
        <f ca="1">IFERROR(__xludf.DUMMYFUNCTION("""COMPUTED_VALUE"""),44978.6666666666)</f>
        <v>44978.666666666599</v>
      </c>
      <c r="B287" s="3">
        <f ca="1">IFERROR(__xludf.DUMMYFUNCTION("""COMPUTED_VALUE"""),136.5)</f>
        <v>136.5</v>
      </c>
      <c r="C287" s="3">
        <f ca="1">IFERROR(__xludf.DUMMYFUNCTION("""COMPUTED_VALUE"""),351.8)</f>
        <v>351.8</v>
      </c>
      <c r="D287" s="3">
        <f ca="1">IFERROR(__xludf.DUMMYFUNCTION("""COMPUTED_VALUE"""),84.39)</f>
        <v>84.39</v>
      </c>
      <c r="E287" s="3">
        <f ca="1">IFERROR(__xludf.DUMMYFUNCTION("""COMPUTED_VALUE"""),134.15)</f>
        <v>134.15</v>
      </c>
      <c r="F287" s="3">
        <f ca="1">IFERROR(__xludf.DUMMYFUNCTION("""COMPUTED_VALUE"""),46.5)</f>
        <v>46.5</v>
      </c>
      <c r="G287" s="3">
        <f ca="1">IFERROR(__xludf.DUMMYFUNCTION("""COMPUTED_VALUE"""),22.93)</f>
        <v>22.93</v>
      </c>
      <c r="H287" s="3">
        <f ca="1">IFERROR(__xludf.DUMMYFUNCTION("""COMPUTED_VALUE"""),25.5)</f>
        <v>25.5</v>
      </c>
      <c r="I287" s="3">
        <f ca="1">IFERROR(__xludf.DUMMYFUNCTION("""COMPUTED_VALUE"""),130.28)</f>
        <v>130.28</v>
      </c>
      <c r="J287" s="3">
        <f ca="1">IFERROR(__xludf.DUMMYFUNCTION("""COMPUTED_VALUE"""),239.97)</f>
        <v>239.97</v>
      </c>
      <c r="K287" s="3">
        <f ca="1">IFERROR(__xludf.DUMMYFUNCTION("""COMPUTED_VALUE"""),129.64)</f>
        <v>129.63999999999999</v>
      </c>
      <c r="L287" s="3">
        <f ca="1">IFERROR(__xludf.DUMMYFUNCTION("""COMPUTED_VALUE"""),82.77)</f>
        <v>82.77</v>
      </c>
      <c r="M287" s="3">
        <f ca="1">IFERROR(__xludf.DUMMYFUNCTION("""COMPUTED_VALUE"""),64.24)</f>
        <v>64.239999999999995</v>
      </c>
      <c r="N287" s="3">
        <f ca="1">IFERROR(__xludf.DUMMYFUNCTION("""COMPUTED_VALUE"""),61.9)</f>
        <v>61.9</v>
      </c>
      <c r="O287" s="3">
        <f ca="1">IFERROR(__xludf.DUMMYFUNCTION("""COMPUTED_VALUE"""),50.44)</f>
        <v>50.44</v>
      </c>
      <c r="P287" s="3">
        <f ca="1">IFERROR(__xludf.DUMMYFUNCTION("""COMPUTED_VALUE"""),84.07)</f>
        <v>84.07</v>
      </c>
      <c r="Q287" s="3">
        <f ca="1">IFERROR(__xludf.DUMMYFUNCTION("""COMPUTED_VALUE"""),116.53)</f>
        <v>116.53</v>
      </c>
      <c r="R287" s="3">
        <f ca="1">IFERROR(__xludf.DUMMYFUNCTION("""COMPUTED_VALUE"""),79.96)</f>
        <v>79.959999999999994</v>
      </c>
      <c r="S287" s="3">
        <f ca="1">IFERROR(__xludf.DUMMYFUNCTION("""COMPUTED_VALUE"""),54.71)</f>
        <v>54.71</v>
      </c>
      <c r="T287" s="3">
        <f ca="1">IFERROR(__xludf.DUMMYFUNCTION("""COMPUTED_VALUE"""),23.88)</f>
        <v>23.88</v>
      </c>
      <c r="U287" s="3">
        <f ca="1">IFERROR(__xludf.DUMMYFUNCTION("""COMPUTED_VALUE"""),66.69)</f>
        <v>66.69</v>
      </c>
      <c r="V287" s="3">
        <f ca="1">IFERROR(__xludf.DUMMYFUNCTION("""COMPUTED_VALUE"""),74.09)</f>
        <v>74.09</v>
      </c>
      <c r="W287" s="3">
        <f ca="1">IFERROR(__xludf.DUMMYFUNCTION("""COMPUTED_VALUE"""),35.64)</f>
        <v>35.64</v>
      </c>
      <c r="X287" s="3">
        <f ca="1">IFERROR(__xludf.DUMMYFUNCTION("""COMPUTED_VALUE"""),87.23)</f>
        <v>87.23</v>
      </c>
      <c r="Y287" s="3">
        <f ca="1">IFERROR(__xludf.DUMMYFUNCTION("""COMPUTED_VALUE"""),48.21)</f>
        <v>48.21</v>
      </c>
      <c r="Z287" s="3">
        <f ca="1">IFERROR(__xludf.DUMMYFUNCTION("""COMPUTED_VALUE"""),78.99)</f>
        <v>78.989999999999995</v>
      </c>
      <c r="AA287" s="3">
        <f ca="1">IFERROR(__xludf.DUMMYFUNCTION("""COMPUTED_VALUE"""),38.83)</f>
        <v>38.83</v>
      </c>
      <c r="AB287" s="3">
        <f ca="1">IFERROR(__xludf.DUMMYFUNCTION("""COMPUTED_VALUE"""),61.73)</f>
        <v>61.73</v>
      </c>
      <c r="AC287" s="3">
        <f ca="1">IFERROR(__xludf.DUMMYFUNCTION("""COMPUTED_VALUE"""),56.2)</f>
        <v>56.2</v>
      </c>
      <c r="AD287" s="3">
        <f ca="1">IFERROR(__xludf.DUMMYFUNCTION("""COMPUTED_VALUE"""),9.69)</f>
        <v>9.69</v>
      </c>
      <c r="AE287" s="3">
        <f ca="1">IFERROR(__xludf.DUMMYFUNCTION("""COMPUTED_VALUE"""),15.27)</f>
        <v>15.27</v>
      </c>
      <c r="AF287" s="3">
        <f ca="1">IFERROR(__xludf.DUMMYFUNCTION("""COMPUTED_VALUE"""),2.35)</f>
        <v>2.35</v>
      </c>
      <c r="AG287" s="3">
        <f ca="1">IFERROR(__xludf.DUMMYFUNCTION("""COMPUTED_VALUE"""),20.53)</f>
        <v>20.53</v>
      </c>
    </row>
    <row r="288" spans="1:33" ht="12.75" x14ac:dyDescent="0.2">
      <c r="A288" s="4">
        <f ca="1">IFERROR(__xludf.DUMMYFUNCTION("""COMPUTED_VALUE"""),44979.6666666666)</f>
        <v>44979.666666666599</v>
      </c>
      <c r="B288" s="3">
        <f ca="1">IFERROR(__xludf.DUMMYFUNCTION("""COMPUTED_VALUE"""),136.3)</f>
        <v>136.30000000000001</v>
      </c>
      <c r="C288" s="3">
        <f ca="1">IFERROR(__xludf.DUMMYFUNCTION("""COMPUTED_VALUE"""),351.72)</f>
        <v>351.72</v>
      </c>
      <c r="D288" s="3">
        <f ca="1">IFERROR(__xludf.DUMMYFUNCTION("""COMPUTED_VALUE"""),82.85)</f>
        <v>82.85</v>
      </c>
      <c r="E288" s="3">
        <f ca="1">IFERROR(__xludf.DUMMYFUNCTION("""COMPUTED_VALUE"""),133.51)</f>
        <v>133.51</v>
      </c>
      <c r="F288" s="3">
        <f ca="1">IFERROR(__xludf.DUMMYFUNCTION("""COMPUTED_VALUE"""),46.92)</f>
        <v>46.92</v>
      </c>
      <c r="G288" s="3">
        <f ca="1">IFERROR(__xludf.DUMMYFUNCTION("""COMPUTED_VALUE"""),22.91)</f>
        <v>22.91</v>
      </c>
      <c r="H288" s="3">
        <f ca="1">IFERROR(__xludf.DUMMYFUNCTION("""COMPUTED_VALUE"""),25.55)</f>
        <v>25.55</v>
      </c>
      <c r="I288" s="3">
        <f ca="1">IFERROR(__xludf.DUMMYFUNCTION("""COMPUTED_VALUE"""),129.84)</f>
        <v>129.84</v>
      </c>
      <c r="J288" s="3">
        <f ca="1">IFERROR(__xludf.DUMMYFUNCTION("""COMPUTED_VALUE"""),239.47)</f>
        <v>239.47</v>
      </c>
      <c r="K288" s="3">
        <f ca="1">IFERROR(__xludf.DUMMYFUNCTION("""COMPUTED_VALUE"""),129.4)</f>
        <v>129.4</v>
      </c>
      <c r="L288" s="3">
        <f ca="1">IFERROR(__xludf.DUMMYFUNCTION("""COMPUTED_VALUE"""),83.63)</f>
        <v>83.63</v>
      </c>
      <c r="M288" s="3">
        <f ca="1">IFERROR(__xludf.DUMMYFUNCTION("""COMPUTED_VALUE"""),64.01)</f>
        <v>64.010000000000005</v>
      </c>
      <c r="N288" s="3">
        <f ca="1">IFERROR(__xludf.DUMMYFUNCTION("""COMPUTED_VALUE"""),61.77)</f>
        <v>61.77</v>
      </c>
      <c r="O288" s="3">
        <f ca="1">IFERROR(__xludf.DUMMYFUNCTION("""COMPUTED_VALUE"""),51.08)</f>
        <v>51.08</v>
      </c>
      <c r="P288" s="3">
        <f ca="1">IFERROR(__xludf.DUMMYFUNCTION("""COMPUTED_VALUE"""),83.51)</f>
        <v>83.51</v>
      </c>
      <c r="Q288" s="3">
        <f ca="1">IFERROR(__xludf.DUMMYFUNCTION("""COMPUTED_VALUE"""),115.71)</f>
        <v>115.71</v>
      </c>
      <c r="R288" s="3">
        <f ca="1">IFERROR(__xludf.DUMMYFUNCTION("""COMPUTED_VALUE"""),80.56)</f>
        <v>80.56</v>
      </c>
      <c r="S288" s="3">
        <f ca="1">IFERROR(__xludf.DUMMYFUNCTION("""COMPUTED_VALUE"""),54.82)</f>
        <v>54.82</v>
      </c>
      <c r="T288" s="3">
        <f ca="1">IFERROR(__xludf.DUMMYFUNCTION("""COMPUTED_VALUE"""),23.57)</f>
        <v>23.57</v>
      </c>
      <c r="U288" s="3">
        <f ca="1">IFERROR(__xludf.DUMMYFUNCTION("""COMPUTED_VALUE"""),64.92)</f>
        <v>64.92</v>
      </c>
      <c r="V288" s="3">
        <f ca="1">IFERROR(__xludf.DUMMYFUNCTION("""COMPUTED_VALUE"""),74.09)</f>
        <v>74.09</v>
      </c>
      <c r="W288" s="3">
        <f ca="1">IFERROR(__xludf.DUMMYFUNCTION("""COMPUTED_VALUE"""),35.6)</f>
        <v>35.6</v>
      </c>
      <c r="X288" s="3">
        <f ca="1">IFERROR(__xludf.DUMMYFUNCTION("""COMPUTED_VALUE"""),87.09)</f>
        <v>87.09</v>
      </c>
      <c r="Y288" s="3">
        <f ca="1">IFERROR(__xludf.DUMMYFUNCTION("""COMPUTED_VALUE"""),48.06)</f>
        <v>48.06</v>
      </c>
      <c r="Z288" s="3">
        <f ca="1">IFERROR(__xludf.DUMMYFUNCTION("""COMPUTED_VALUE"""),78.86)</f>
        <v>78.86</v>
      </c>
      <c r="AA288" s="3">
        <f ca="1">IFERROR(__xludf.DUMMYFUNCTION("""COMPUTED_VALUE"""),38.48)</f>
        <v>38.479999999999997</v>
      </c>
      <c r="AB288" s="3">
        <f ca="1">IFERROR(__xludf.DUMMYFUNCTION("""COMPUTED_VALUE"""),61.43)</f>
        <v>61.43</v>
      </c>
      <c r="AC288" s="3">
        <f ca="1">IFERROR(__xludf.DUMMYFUNCTION("""COMPUTED_VALUE"""),56.11)</f>
        <v>56.11</v>
      </c>
      <c r="AD288" s="3">
        <f ca="1">IFERROR(__xludf.DUMMYFUNCTION("""COMPUTED_VALUE"""),9.42)</f>
        <v>9.42</v>
      </c>
      <c r="AE288" s="3">
        <f ca="1">IFERROR(__xludf.DUMMYFUNCTION("""COMPUTED_VALUE"""),14.84)</f>
        <v>14.84</v>
      </c>
      <c r="AF288" s="3">
        <f ca="1">IFERROR(__xludf.DUMMYFUNCTION("""COMPUTED_VALUE"""),2.2)</f>
        <v>2.2000000000000002</v>
      </c>
      <c r="AG288" s="3">
        <f ca="1">IFERROR(__xludf.DUMMYFUNCTION("""COMPUTED_VALUE"""),20.29)</f>
        <v>20.29</v>
      </c>
    </row>
    <row r="289" spans="1:33" ht="12.75" x14ac:dyDescent="0.2">
      <c r="A289" s="4">
        <f ca="1">IFERROR(__xludf.DUMMYFUNCTION("""COMPUTED_VALUE"""),44980.6666666666)</f>
        <v>44980.666666666599</v>
      </c>
      <c r="B289" s="3">
        <f ca="1">IFERROR(__xludf.DUMMYFUNCTION("""COMPUTED_VALUE"""),138.56)</f>
        <v>138.56</v>
      </c>
      <c r="C289" s="3">
        <f ca="1">IFERROR(__xludf.DUMMYFUNCTION("""COMPUTED_VALUE"""),357.13)</f>
        <v>357.13</v>
      </c>
      <c r="D289" s="3">
        <f ca="1">IFERROR(__xludf.DUMMYFUNCTION("""COMPUTED_VALUE"""),83.21)</f>
        <v>83.21</v>
      </c>
      <c r="E289" s="3">
        <f ca="1">IFERROR(__xludf.DUMMYFUNCTION("""COMPUTED_VALUE"""),137.9)</f>
        <v>137.9</v>
      </c>
      <c r="F289" s="3">
        <f ca="1">IFERROR(__xludf.DUMMYFUNCTION("""COMPUTED_VALUE"""),46.98)</f>
        <v>46.98</v>
      </c>
      <c r="G289" s="3">
        <f ca="1">IFERROR(__xludf.DUMMYFUNCTION("""COMPUTED_VALUE"""),23.46)</f>
        <v>23.46</v>
      </c>
      <c r="H289" s="3">
        <f ca="1">IFERROR(__xludf.DUMMYFUNCTION("""COMPUTED_VALUE"""),25.64)</f>
        <v>25.64</v>
      </c>
      <c r="I289" s="3">
        <f ca="1">IFERROR(__xludf.DUMMYFUNCTION("""COMPUTED_VALUE"""),130.19)</f>
        <v>130.19</v>
      </c>
      <c r="J289" s="3">
        <f ca="1">IFERROR(__xludf.DUMMYFUNCTION("""COMPUTED_VALUE"""),240.12)</f>
        <v>240.12</v>
      </c>
      <c r="K289" s="3">
        <f ca="1">IFERROR(__xludf.DUMMYFUNCTION("""COMPUTED_VALUE"""),129)</f>
        <v>129</v>
      </c>
      <c r="L289" s="3">
        <f ca="1">IFERROR(__xludf.DUMMYFUNCTION("""COMPUTED_VALUE"""),83.47)</f>
        <v>83.47</v>
      </c>
      <c r="M289" s="3">
        <f ca="1">IFERROR(__xludf.DUMMYFUNCTION("""COMPUTED_VALUE"""),64.39)</f>
        <v>64.39</v>
      </c>
      <c r="N289" s="3">
        <f ca="1">IFERROR(__xludf.DUMMYFUNCTION("""COMPUTED_VALUE"""),61.97)</f>
        <v>61.97</v>
      </c>
      <c r="O289" s="3">
        <f ca="1">IFERROR(__xludf.DUMMYFUNCTION("""COMPUTED_VALUE"""),50.56)</f>
        <v>50.56</v>
      </c>
      <c r="P289" s="3">
        <f ca="1">IFERROR(__xludf.DUMMYFUNCTION("""COMPUTED_VALUE"""),84.77)</f>
        <v>84.77</v>
      </c>
      <c r="Q289" s="3">
        <f ca="1">IFERROR(__xludf.DUMMYFUNCTION("""COMPUTED_VALUE"""),117.57)</f>
        <v>117.57</v>
      </c>
      <c r="R289" s="3">
        <f ca="1">IFERROR(__xludf.DUMMYFUNCTION("""COMPUTED_VALUE"""),80.65)</f>
        <v>80.650000000000006</v>
      </c>
      <c r="S289" s="3">
        <f ca="1">IFERROR(__xludf.DUMMYFUNCTION("""COMPUTED_VALUE"""),54.3)</f>
        <v>54.3</v>
      </c>
      <c r="T289" s="3">
        <f ca="1">IFERROR(__xludf.DUMMYFUNCTION("""COMPUTED_VALUE"""),23.75)</f>
        <v>23.75</v>
      </c>
      <c r="U289" s="3">
        <f ca="1">IFERROR(__xludf.DUMMYFUNCTION("""COMPUTED_VALUE"""),66.38)</f>
        <v>66.38</v>
      </c>
      <c r="V289" s="3">
        <f ca="1">IFERROR(__xludf.DUMMYFUNCTION("""COMPUTED_VALUE"""),74.65)</f>
        <v>74.650000000000006</v>
      </c>
      <c r="W289" s="3">
        <f ca="1">IFERROR(__xludf.DUMMYFUNCTION("""COMPUTED_VALUE"""),35.63)</f>
        <v>35.630000000000003</v>
      </c>
      <c r="X289" s="3">
        <f ca="1">IFERROR(__xludf.DUMMYFUNCTION("""COMPUTED_VALUE"""),87.28)</f>
        <v>87.28</v>
      </c>
      <c r="Y289" s="3">
        <f ca="1">IFERROR(__xludf.DUMMYFUNCTION("""COMPUTED_VALUE"""),48.32)</f>
        <v>48.32</v>
      </c>
      <c r="Z289" s="3">
        <f ca="1">IFERROR(__xludf.DUMMYFUNCTION("""COMPUTED_VALUE"""),78.97)</f>
        <v>78.97</v>
      </c>
      <c r="AA289" s="3">
        <f ca="1">IFERROR(__xludf.DUMMYFUNCTION("""COMPUTED_VALUE"""),38.85)</f>
        <v>38.85</v>
      </c>
      <c r="AB289" s="3">
        <f ca="1">IFERROR(__xludf.DUMMYFUNCTION("""COMPUTED_VALUE"""),61.67)</f>
        <v>61.67</v>
      </c>
      <c r="AC289" s="3">
        <f ca="1">IFERROR(__xludf.DUMMYFUNCTION("""COMPUTED_VALUE"""),56.14)</f>
        <v>56.14</v>
      </c>
      <c r="AD289" s="3">
        <f ca="1">IFERROR(__xludf.DUMMYFUNCTION("""COMPUTED_VALUE"""),9.47)</f>
        <v>9.4700000000000006</v>
      </c>
      <c r="AE289" s="3">
        <f ca="1">IFERROR(__xludf.DUMMYFUNCTION("""COMPUTED_VALUE"""),14.95)</f>
        <v>14.95</v>
      </c>
      <c r="AF289" s="3">
        <f ca="1">IFERROR(__xludf.DUMMYFUNCTION("""COMPUTED_VALUE"""),2.24)</f>
        <v>2.2400000000000002</v>
      </c>
      <c r="AG289" s="3">
        <f ca="1">IFERROR(__xludf.DUMMYFUNCTION("""COMPUTED_VALUE"""),20.4)</f>
        <v>20.399999999999999</v>
      </c>
    </row>
    <row r="290" spans="1:33" ht="12.75" x14ac:dyDescent="0.2">
      <c r="A290" s="4">
        <f ca="1">IFERROR(__xludf.DUMMYFUNCTION("""COMPUTED_VALUE"""),44981.6666666666)</f>
        <v>44981.666666666599</v>
      </c>
      <c r="B290" s="3">
        <f ca="1">IFERROR(__xludf.DUMMYFUNCTION("""COMPUTED_VALUE"""),136.09)</f>
        <v>136.09</v>
      </c>
      <c r="C290" s="3">
        <f ca="1">IFERROR(__xludf.DUMMYFUNCTION("""COMPUTED_VALUE"""),350.92)</f>
        <v>350.92</v>
      </c>
      <c r="D290" s="3">
        <f ca="1">IFERROR(__xludf.DUMMYFUNCTION("""COMPUTED_VALUE"""),83.3)</f>
        <v>83.3</v>
      </c>
      <c r="E290" s="3">
        <f ca="1">IFERROR(__xludf.DUMMYFUNCTION("""COMPUTED_VALUE"""),135.43)</f>
        <v>135.43</v>
      </c>
      <c r="F290" s="3">
        <f ca="1">IFERROR(__xludf.DUMMYFUNCTION("""COMPUTED_VALUE"""),46.26)</f>
        <v>46.26</v>
      </c>
      <c r="G290" s="3">
        <f ca="1">IFERROR(__xludf.DUMMYFUNCTION("""COMPUTED_VALUE"""),23.24)</f>
        <v>23.24</v>
      </c>
      <c r="H290" s="3">
        <f ca="1">IFERROR(__xludf.DUMMYFUNCTION("""COMPUTED_VALUE"""),25.21)</f>
        <v>25.21</v>
      </c>
      <c r="I290" s="3">
        <f ca="1">IFERROR(__xludf.DUMMYFUNCTION("""COMPUTED_VALUE"""),128.51)</f>
        <v>128.51</v>
      </c>
      <c r="J290" s="3">
        <f ca="1">IFERROR(__xludf.DUMMYFUNCTION("""COMPUTED_VALUE"""),236.94)</f>
        <v>236.94</v>
      </c>
      <c r="K290" s="3">
        <f ca="1">IFERROR(__xludf.DUMMYFUNCTION("""COMPUTED_VALUE"""),126.41)</f>
        <v>126.41</v>
      </c>
      <c r="L290" s="3">
        <f ca="1">IFERROR(__xludf.DUMMYFUNCTION("""COMPUTED_VALUE"""),81.47)</f>
        <v>81.47</v>
      </c>
      <c r="M290" s="3">
        <f ca="1">IFERROR(__xludf.DUMMYFUNCTION("""COMPUTED_VALUE"""),63.62)</f>
        <v>63.62</v>
      </c>
      <c r="N290" s="3">
        <f ca="1">IFERROR(__xludf.DUMMYFUNCTION("""COMPUTED_VALUE"""),61.11)</f>
        <v>61.11</v>
      </c>
      <c r="O290" s="3">
        <f ca="1">IFERROR(__xludf.DUMMYFUNCTION("""COMPUTED_VALUE"""),49.52)</f>
        <v>49.52</v>
      </c>
      <c r="P290" s="3">
        <f ca="1">IFERROR(__xludf.DUMMYFUNCTION("""COMPUTED_VALUE"""),84.66)</f>
        <v>84.66</v>
      </c>
      <c r="Q290" s="3">
        <f ca="1">IFERROR(__xludf.DUMMYFUNCTION("""COMPUTED_VALUE"""),117.87)</f>
        <v>117.87</v>
      </c>
      <c r="R290" s="3">
        <f ca="1">IFERROR(__xludf.DUMMYFUNCTION("""COMPUTED_VALUE"""),81.19)</f>
        <v>81.19</v>
      </c>
      <c r="S290" s="3">
        <f ca="1">IFERROR(__xludf.DUMMYFUNCTION("""COMPUTED_VALUE"""),53.79)</f>
        <v>53.79</v>
      </c>
      <c r="T290" s="3">
        <f ca="1">IFERROR(__xludf.DUMMYFUNCTION("""COMPUTED_VALUE"""),23.67)</f>
        <v>23.67</v>
      </c>
      <c r="U290" s="3">
        <f ca="1">IFERROR(__xludf.DUMMYFUNCTION("""COMPUTED_VALUE"""),67.1)</f>
        <v>67.099999999999994</v>
      </c>
      <c r="V290" s="3">
        <f ca="1">IFERROR(__xludf.DUMMYFUNCTION("""COMPUTED_VALUE"""),72.59)</f>
        <v>72.59</v>
      </c>
      <c r="W290" s="3">
        <f ca="1">IFERROR(__xludf.DUMMYFUNCTION("""COMPUTED_VALUE"""),35.66)</f>
        <v>35.659999999999997</v>
      </c>
      <c r="X290" s="3">
        <f ca="1">IFERROR(__xludf.DUMMYFUNCTION("""COMPUTED_VALUE"""),87.26)</f>
        <v>87.26</v>
      </c>
      <c r="Y290" s="3">
        <f ca="1">IFERROR(__xludf.DUMMYFUNCTION("""COMPUTED_VALUE"""),48.3)</f>
        <v>48.3</v>
      </c>
      <c r="Z290" s="3">
        <f ca="1">IFERROR(__xludf.DUMMYFUNCTION("""COMPUTED_VALUE"""),78.97)</f>
        <v>78.97</v>
      </c>
      <c r="AA290" s="3">
        <f ca="1">IFERROR(__xludf.DUMMYFUNCTION("""COMPUTED_VALUE"""),38.13)</f>
        <v>38.130000000000003</v>
      </c>
      <c r="AB290" s="3">
        <f ca="1">IFERROR(__xludf.DUMMYFUNCTION("""COMPUTED_VALUE"""),61.68)</f>
        <v>61.68</v>
      </c>
      <c r="AC290" s="3">
        <f ca="1">IFERROR(__xludf.DUMMYFUNCTION("""COMPUTED_VALUE"""),56.22)</f>
        <v>56.22</v>
      </c>
      <c r="AD290" s="3">
        <f ca="1">IFERROR(__xludf.DUMMYFUNCTION("""COMPUTED_VALUE"""),9.16)</f>
        <v>9.16</v>
      </c>
      <c r="AE290" s="3">
        <f ca="1">IFERROR(__xludf.DUMMYFUNCTION("""COMPUTED_VALUE"""),14.42)</f>
        <v>14.42</v>
      </c>
      <c r="AF290" s="3">
        <f ca="1">IFERROR(__xludf.DUMMYFUNCTION("""COMPUTED_VALUE"""),2.2)</f>
        <v>2.2000000000000002</v>
      </c>
      <c r="AG290" s="3">
        <f ca="1">IFERROR(__xludf.DUMMYFUNCTION("""COMPUTED_VALUE"""),19.59)</f>
        <v>19.59</v>
      </c>
    </row>
    <row r="291" spans="1:33" ht="12.75" x14ac:dyDescent="0.2">
      <c r="A291" s="4">
        <f ca="1">IFERROR(__xludf.DUMMYFUNCTION("""COMPUTED_VALUE"""),44984.6666666666)</f>
        <v>44984.666666666599</v>
      </c>
      <c r="B291" s="3">
        <f ca="1">IFERROR(__xludf.DUMMYFUNCTION("""COMPUTED_VALUE"""),136.82)</f>
        <v>136.82</v>
      </c>
      <c r="C291" s="3">
        <f ca="1">IFERROR(__xludf.DUMMYFUNCTION("""COMPUTED_VALUE"""),352.49)</f>
        <v>352.49</v>
      </c>
      <c r="D291" s="3">
        <f ca="1">IFERROR(__xludf.DUMMYFUNCTION("""COMPUTED_VALUE"""),82.71)</f>
        <v>82.71</v>
      </c>
      <c r="E291" s="3">
        <f ca="1">IFERROR(__xludf.DUMMYFUNCTION("""COMPUTED_VALUE"""),136.14)</f>
        <v>136.13999999999999</v>
      </c>
      <c r="F291" s="3">
        <f ca="1">IFERROR(__xludf.DUMMYFUNCTION("""COMPUTED_VALUE"""),46.35)</f>
        <v>46.35</v>
      </c>
      <c r="G291" s="3">
        <f ca="1">IFERROR(__xludf.DUMMYFUNCTION("""COMPUTED_VALUE"""),23.55)</f>
        <v>23.55</v>
      </c>
      <c r="H291" s="3">
        <f ca="1">IFERROR(__xludf.DUMMYFUNCTION("""COMPUTED_VALUE"""),25.25)</f>
        <v>25.25</v>
      </c>
      <c r="I291" s="3">
        <f ca="1">IFERROR(__xludf.DUMMYFUNCTION("""COMPUTED_VALUE"""),128.12)</f>
        <v>128.12</v>
      </c>
      <c r="J291" s="3">
        <f ca="1">IFERROR(__xludf.DUMMYFUNCTION("""COMPUTED_VALUE"""),236.39)</f>
        <v>236.39</v>
      </c>
      <c r="K291" s="3">
        <f ca="1">IFERROR(__xludf.DUMMYFUNCTION("""COMPUTED_VALUE"""),126.87)</f>
        <v>126.87</v>
      </c>
      <c r="L291" s="3">
        <f ca="1">IFERROR(__xludf.DUMMYFUNCTION("""COMPUTED_VALUE"""),82.13)</f>
        <v>82.13</v>
      </c>
      <c r="M291" s="3">
        <f ca="1">IFERROR(__xludf.DUMMYFUNCTION("""COMPUTED_VALUE"""),63.86)</f>
        <v>63.86</v>
      </c>
      <c r="N291" s="3">
        <f ca="1">IFERROR(__xludf.DUMMYFUNCTION("""COMPUTED_VALUE"""),61.04)</f>
        <v>61.04</v>
      </c>
      <c r="O291" s="3">
        <f ca="1">IFERROR(__xludf.DUMMYFUNCTION("""COMPUTED_VALUE"""),49.96)</f>
        <v>49.96</v>
      </c>
      <c r="P291" s="3">
        <f ca="1">IFERROR(__xludf.DUMMYFUNCTION("""COMPUTED_VALUE"""),84.91)</f>
        <v>84.91</v>
      </c>
      <c r="Q291" s="3">
        <f ca="1">IFERROR(__xludf.DUMMYFUNCTION("""COMPUTED_VALUE"""),118.32)</f>
        <v>118.32</v>
      </c>
      <c r="R291" s="3">
        <f ca="1">IFERROR(__xludf.DUMMYFUNCTION("""COMPUTED_VALUE"""),81.46)</f>
        <v>81.459999999999994</v>
      </c>
      <c r="S291" s="3">
        <f ca="1">IFERROR(__xludf.DUMMYFUNCTION("""COMPUTED_VALUE"""),55.14)</f>
        <v>55.14</v>
      </c>
      <c r="T291" s="3">
        <f ca="1">IFERROR(__xludf.DUMMYFUNCTION("""COMPUTED_VALUE"""),23.69)</f>
        <v>23.69</v>
      </c>
      <c r="U291" s="3">
        <f ca="1">IFERROR(__xludf.DUMMYFUNCTION("""COMPUTED_VALUE"""),66.25)</f>
        <v>66.25</v>
      </c>
      <c r="V291" s="3">
        <f ca="1">IFERROR(__xludf.DUMMYFUNCTION("""COMPUTED_VALUE"""),74.22)</f>
        <v>74.22</v>
      </c>
      <c r="W291" s="3">
        <f ca="1">IFERROR(__xludf.DUMMYFUNCTION("""COMPUTED_VALUE"""),35.65)</f>
        <v>35.65</v>
      </c>
      <c r="X291" s="3">
        <f ca="1">IFERROR(__xludf.DUMMYFUNCTION("""COMPUTED_VALUE"""),87.18)</f>
        <v>87.18</v>
      </c>
      <c r="Y291" s="3">
        <f ca="1">IFERROR(__xludf.DUMMYFUNCTION("""COMPUTED_VALUE"""),48.34)</f>
        <v>48.34</v>
      </c>
      <c r="Z291" s="3">
        <f ca="1">IFERROR(__xludf.DUMMYFUNCTION("""COMPUTED_VALUE"""),78.99)</f>
        <v>78.989999999999995</v>
      </c>
      <c r="AA291" s="3">
        <f ca="1">IFERROR(__xludf.DUMMYFUNCTION("""COMPUTED_VALUE"""),38.19)</f>
        <v>38.19</v>
      </c>
      <c r="AB291" s="3">
        <f ca="1">IFERROR(__xludf.DUMMYFUNCTION("""COMPUTED_VALUE"""),61.66)</f>
        <v>61.66</v>
      </c>
      <c r="AC291" s="3">
        <f ca="1">IFERROR(__xludf.DUMMYFUNCTION("""COMPUTED_VALUE"""),55.95)</f>
        <v>55.95</v>
      </c>
      <c r="AD291" s="3">
        <f ca="1">IFERROR(__xludf.DUMMYFUNCTION("""COMPUTED_VALUE"""),9.18)</f>
        <v>9.18</v>
      </c>
      <c r="AE291" s="3">
        <f ca="1">IFERROR(__xludf.DUMMYFUNCTION("""COMPUTED_VALUE"""),14.48)</f>
        <v>14.48</v>
      </c>
      <c r="AF291" s="3">
        <f ca="1">IFERROR(__xludf.DUMMYFUNCTION("""COMPUTED_VALUE"""),2.12)</f>
        <v>2.12</v>
      </c>
      <c r="AG291" s="3">
        <f ca="1">IFERROR(__xludf.DUMMYFUNCTION("""COMPUTED_VALUE"""),19.66)</f>
        <v>19.66</v>
      </c>
    </row>
    <row r="292" spans="1:33" ht="12.75" x14ac:dyDescent="0.2">
      <c r="A292" s="4">
        <f ca="1">IFERROR(__xludf.DUMMYFUNCTION("""COMPUTED_VALUE"""),44985.6666666666)</f>
        <v>44985.666666666599</v>
      </c>
      <c r="B292" s="3">
        <f ca="1">IFERROR(__xludf.DUMMYFUNCTION("""COMPUTED_VALUE"""),136.52)</f>
        <v>136.52000000000001</v>
      </c>
      <c r="C292" s="3">
        <f ca="1">IFERROR(__xludf.DUMMYFUNCTION("""COMPUTED_VALUE"""),352.12)</f>
        <v>352.12</v>
      </c>
      <c r="D292" s="3">
        <f ca="1">IFERROR(__xludf.DUMMYFUNCTION("""COMPUTED_VALUE"""),83.85)</f>
        <v>83.85</v>
      </c>
      <c r="E292" s="3">
        <f ca="1">IFERROR(__xludf.DUMMYFUNCTION("""COMPUTED_VALUE"""),136.61)</f>
        <v>136.61000000000001</v>
      </c>
      <c r="F292" s="3">
        <f ca="1">IFERROR(__xludf.DUMMYFUNCTION("""COMPUTED_VALUE"""),46.26)</f>
        <v>46.26</v>
      </c>
      <c r="G292" s="3">
        <f ca="1">IFERROR(__xludf.DUMMYFUNCTION("""COMPUTED_VALUE"""),23.54)</f>
        <v>23.54</v>
      </c>
      <c r="H292" s="3">
        <f ca="1">IFERROR(__xludf.DUMMYFUNCTION("""COMPUTED_VALUE"""),25.17)</f>
        <v>25.17</v>
      </c>
      <c r="I292" s="3">
        <f ca="1">IFERROR(__xludf.DUMMYFUNCTION("""COMPUTED_VALUE"""),127.17)</f>
        <v>127.17</v>
      </c>
      <c r="J292" s="3">
        <f ca="1">IFERROR(__xludf.DUMMYFUNCTION("""COMPUTED_VALUE"""),234.76)</f>
        <v>234.76</v>
      </c>
      <c r="K292" s="3">
        <f ca="1">IFERROR(__xludf.DUMMYFUNCTION("""COMPUTED_VALUE"""),127.18)</f>
        <v>127.18</v>
      </c>
      <c r="L292" s="3">
        <f ca="1">IFERROR(__xludf.DUMMYFUNCTION("""COMPUTED_VALUE"""),82.85)</f>
        <v>82.85</v>
      </c>
      <c r="M292" s="3">
        <f ca="1">IFERROR(__xludf.DUMMYFUNCTION("""COMPUTED_VALUE"""),63.62)</f>
        <v>63.62</v>
      </c>
      <c r="N292" s="3">
        <f ca="1">IFERROR(__xludf.DUMMYFUNCTION("""COMPUTED_VALUE"""),60.63)</f>
        <v>60.63</v>
      </c>
      <c r="O292" s="3">
        <f ca="1">IFERROR(__xludf.DUMMYFUNCTION("""COMPUTED_VALUE"""),50.52)</f>
        <v>50.52</v>
      </c>
      <c r="P292" s="3">
        <f ca="1">IFERROR(__xludf.DUMMYFUNCTION("""COMPUTED_VALUE"""),83.69)</f>
        <v>83.69</v>
      </c>
      <c r="Q292" s="3">
        <f ca="1">IFERROR(__xludf.DUMMYFUNCTION("""COMPUTED_VALUE"""),116.6)</f>
        <v>116.6</v>
      </c>
      <c r="R292" s="3">
        <f ca="1">IFERROR(__xludf.DUMMYFUNCTION("""COMPUTED_VALUE"""),81.83)</f>
        <v>81.83</v>
      </c>
      <c r="S292" s="3">
        <f ca="1">IFERROR(__xludf.DUMMYFUNCTION("""COMPUTED_VALUE"""),56.21)</f>
        <v>56.21</v>
      </c>
      <c r="T292" s="3">
        <f ca="1">IFERROR(__xludf.DUMMYFUNCTION("""COMPUTED_VALUE"""),23.76)</f>
        <v>23.76</v>
      </c>
      <c r="U292" s="3">
        <f ca="1">IFERROR(__xludf.DUMMYFUNCTION("""COMPUTED_VALUE"""),67.21)</f>
        <v>67.209999999999994</v>
      </c>
      <c r="V292" s="3">
        <f ca="1">IFERROR(__xludf.DUMMYFUNCTION("""COMPUTED_VALUE"""),74.29)</f>
        <v>74.290000000000006</v>
      </c>
      <c r="W292" s="3">
        <f ca="1">IFERROR(__xludf.DUMMYFUNCTION("""COMPUTED_VALUE"""),35.72)</f>
        <v>35.72</v>
      </c>
      <c r="X292" s="3">
        <f ca="1">IFERROR(__xludf.DUMMYFUNCTION("""COMPUTED_VALUE"""),87.36)</f>
        <v>87.36</v>
      </c>
      <c r="Y292" s="3">
        <f ca="1">IFERROR(__xludf.DUMMYFUNCTION("""COMPUTED_VALUE"""),48.26)</f>
        <v>48.26</v>
      </c>
      <c r="Z292" s="3">
        <f ca="1">IFERROR(__xludf.DUMMYFUNCTION("""COMPUTED_VALUE"""),79.11)</f>
        <v>79.11</v>
      </c>
      <c r="AA292" s="3">
        <f ca="1">IFERROR(__xludf.DUMMYFUNCTION("""COMPUTED_VALUE"""),38.21)</f>
        <v>38.21</v>
      </c>
      <c r="AB292" s="3">
        <f ca="1">IFERROR(__xludf.DUMMYFUNCTION("""COMPUTED_VALUE"""),61.56)</f>
        <v>61.56</v>
      </c>
      <c r="AC292" s="3">
        <f ca="1">IFERROR(__xludf.DUMMYFUNCTION("""COMPUTED_VALUE"""),55.66)</f>
        <v>55.66</v>
      </c>
      <c r="AD292" s="3">
        <f ca="1">IFERROR(__xludf.DUMMYFUNCTION("""COMPUTED_VALUE"""),9.18)</f>
        <v>9.18</v>
      </c>
      <c r="AE292" s="3">
        <f ca="1">IFERROR(__xludf.DUMMYFUNCTION("""COMPUTED_VALUE"""),14.45)</f>
        <v>14.45</v>
      </c>
      <c r="AF292" s="3">
        <f ca="1">IFERROR(__xludf.DUMMYFUNCTION("""COMPUTED_VALUE"""),2.12)</f>
        <v>2.12</v>
      </c>
      <c r="AG292" s="3">
        <f ca="1">IFERROR(__xludf.DUMMYFUNCTION("""COMPUTED_VALUE"""),19.91)</f>
        <v>19.91</v>
      </c>
    </row>
    <row r="293" spans="1:33" ht="12.75" x14ac:dyDescent="0.2">
      <c r="A293" s="4">
        <f ca="1">IFERROR(__xludf.DUMMYFUNCTION("""COMPUTED_VALUE"""),44986.6666666666)</f>
        <v>44986.666666666599</v>
      </c>
      <c r="B293" s="3">
        <f ca="1">IFERROR(__xludf.DUMMYFUNCTION("""COMPUTED_VALUE"""),135.52)</f>
        <v>135.52000000000001</v>
      </c>
      <c r="C293" s="3">
        <f ca="1">IFERROR(__xludf.DUMMYFUNCTION("""COMPUTED_VALUE"""),349.4)</f>
        <v>349.4</v>
      </c>
      <c r="D293" s="3">
        <f ca="1">IFERROR(__xludf.DUMMYFUNCTION("""COMPUTED_VALUE"""),85.77)</f>
        <v>85.77</v>
      </c>
      <c r="E293" s="3">
        <f ca="1">IFERROR(__xludf.DUMMYFUNCTION("""COMPUTED_VALUE"""),136.65)</f>
        <v>136.65</v>
      </c>
      <c r="F293" s="3">
        <f ca="1">IFERROR(__xludf.DUMMYFUNCTION("""COMPUTED_VALUE"""),46.08)</f>
        <v>46.08</v>
      </c>
      <c r="G293" s="3">
        <f ca="1">IFERROR(__xludf.DUMMYFUNCTION("""COMPUTED_VALUE"""),23.6)</f>
        <v>23.6</v>
      </c>
      <c r="H293" s="3">
        <f ca="1">IFERROR(__xludf.DUMMYFUNCTION("""COMPUTED_VALUE"""),25.34)</f>
        <v>25.34</v>
      </c>
      <c r="I293" s="3">
        <f ca="1">IFERROR(__xludf.DUMMYFUNCTION("""COMPUTED_VALUE"""),126.96)</f>
        <v>126.96</v>
      </c>
      <c r="J293" s="3">
        <f ca="1">IFERROR(__xludf.DUMMYFUNCTION("""COMPUTED_VALUE"""),234.8)</f>
        <v>234.8</v>
      </c>
      <c r="K293" s="3">
        <f ca="1">IFERROR(__xludf.DUMMYFUNCTION("""COMPUTED_VALUE"""),128.06)</f>
        <v>128.06</v>
      </c>
      <c r="L293" s="3">
        <f ca="1">IFERROR(__xludf.DUMMYFUNCTION("""COMPUTED_VALUE"""),83.1)</f>
        <v>83.1</v>
      </c>
      <c r="M293" s="3">
        <f ca="1">IFERROR(__xludf.DUMMYFUNCTION("""COMPUTED_VALUE"""),64.43)</f>
        <v>64.430000000000007</v>
      </c>
      <c r="N293" s="3">
        <f ca="1">IFERROR(__xludf.DUMMYFUNCTION("""COMPUTED_VALUE"""),60.61)</f>
        <v>60.61</v>
      </c>
      <c r="O293" s="3">
        <f ca="1">IFERROR(__xludf.DUMMYFUNCTION("""COMPUTED_VALUE"""),50.96)</f>
        <v>50.96</v>
      </c>
      <c r="P293" s="3">
        <f ca="1">IFERROR(__xludf.DUMMYFUNCTION("""COMPUTED_VALUE"""),85.34)</f>
        <v>85.34</v>
      </c>
      <c r="Q293" s="3">
        <f ca="1">IFERROR(__xludf.DUMMYFUNCTION("""COMPUTED_VALUE"""),118.93)</f>
        <v>118.93</v>
      </c>
      <c r="R293" s="3">
        <f ca="1">IFERROR(__xludf.DUMMYFUNCTION("""COMPUTED_VALUE"""),82.47)</f>
        <v>82.47</v>
      </c>
      <c r="S293" s="3">
        <f ca="1">IFERROR(__xludf.DUMMYFUNCTION("""COMPUTED_VALUE"""),57.36)</f>
        <v>57.36</v>
      </c>
      <c r="T293" s="3">
        <f ca="1">IFERROR(__xludf.DUMMYFUNCTION("""COMPUTED_VALUE"""),24.17)</f>
        <v>24.17</v>
      </c>
      <c r="U293" s="3">
        <f ca="1">IFERROR(__xludf.DUMMYFUNCTION("""COMPUTED_VALUE"""),68.07)</f>
        <v>68.069999999999993</v>
      </c>
      <c r="V293" s="3">
        <f ca="1">IFERROR(__xludf.DUMMYFUNCTION("""COMPUTED_VALUE"""),76.55)</f>
        <v>76.55</v>
      </c>
      <c r="W293" s="3">
        <f ca="1">IFERROR(__xludf.DUMMYFUNCTION("""COMPUTED_VALUE"""),35.6)</f>
        <v>35.6</v>
      </c>
      <c r="X293" s="3">
        <f ca="1">IFERROR(__xludf.DUMMYFUNCTION("""COMPUTED_VALUE"""),87.02)</f>
        <v>87.02</v>
      </c>
      <c r="Y293" s="3">
        <f ca="1">IFERROR(__xludf.DUMMYFUNCTION("""COMPUTED_VALUE"""),48.02)</f>
        <v>48.02</v>
      </c>
      <c r="Z293" s="3">
        <f ca="1">IFERROR(__xludf.DUMMYFUNCTION("""COMPUTED_VALUE"""),78.88)</f>
        <v>78.88</v>
      </c>
      <c r="AA293" s="3">
        <f ca="1">IFERROR(__xludf.DUMMYFUNCTION("""COMPUTED_VALUE"""),37.62)</f>
        <v>37.619999999999997</v>
      </c>
      <c r="AB293" s="3">
        <f ca="1">IFERROR(__xludf.DUMMYFUNCTION("""COMPUTED_VALUE"""),61.19)</f>
        <v>61.19</v>
      </c>
      <c r="AC293" s="3">
        <f ca="1">IFERROR(__xludf.DUMMYFUNCTION("""COMPUTED_VALUE"""),56.65)</f>
        <v>56.65</v>
      </c>
      <c r="AD293" s="3">
        <f ca="1">IFERROR(__xludf.DUMMYFUNCTION("""COMPUTED_VALUE"""),9.22)</f>
        <v>9.2200000000000006</v>
      </c>
      <c r="AE293" s="3">
        <f ca="1">IFERROR(__xludf.DUMMYFUNCTION("""COMPUTED_VALUE"""),14.43)</f>
        <v>14.43</v>
      </c>
      <c r="AF293" s="3">
        <f ca="1">IFERROR(__xludf.DUMMYFUNCTION("""COMPUTED_VALUE"""),2.19)</f>
        <v>2.19</v>
      </c>
      <c r="AG293" s="3">
        <f ca="1">IFERROR(__xludf.DUMMYFUNCTION("""COMPUTED_VALUE"""),19.96)</f>
        <v>19.96</v>
      </c>
    </row>
    <row r="294" spans="1:33" ht="12.75" x14ac:dyDescent="0.2">
      <c r="A294" s="4">
        <f ca="1">IFERROR(__xludf.DUMMYFUNCTION("""COMPUTED_VALUE"""),44987.6666666666)</f>
        <v>44987.666666666599</v>
      </c>
      <c r="B294" s="3">
        <f ca="1">IFERROR(__xludf.DUMMYFUNCTION("""COMPUTED_VALUE"""),137.19)</f>
        <v>137.19</v>
      </c>
      <c r="C294" s="3">
        <f ca="1">IFERROR(__xludf.DUMMYFUNCTION("""COMPUTED_VALUE"""),353.55)</f>
        <v>353.55</v>
      </c>
      <c r="D294" s="3">
        <f ca="1">IFERROR(__xludf.DUMMYFUNCTION("""COMPUTED_VALUE"""),86.01)</f>
        <v>86.01</v>
      </c>
      <c r="E294" s="3">
        <f ca="1">IFERROR(__xludf.DUMMYFUNCTION("""COMPUTED_VALUE"""),137.74)</f>
        <v>137.74</v>
      </c>
      <c r="F294" s="3">
        <f ca="1">IFERROR(__xludf.DUMMYFUNCTION("""COMPUTED_VALUE"""),46.79)</f>
        <v>46.79</v>
      </c>
      <c r="G294" s="3">
        <f ca="1">IFERROR(__xludf.DUMMYFUNCTION("""COMPUTED_VALUE"""),23.67)</f>
        <v>23.67</v>
      </c>
      <c r="H294" s="3">
        <f ca="1">IFERROR(__xludf.DUMMYFUNCTION("""COMPUTED_VALUE"""),25.6)</f>
        <v>25.6</v>
      </c>
      <c r="I294" s="3">
        <f ca="1">IFERROR(__xludf.DUMMYFUNCTION("""COMPUTED_VALUE"""),127.74)</f>
        <v>127.74</v>
      </c>
      <c r="J294" s="3">
        <f ca="1">IFERROR(__xludf.DUMMYFUNCTION("""COMPUTED_VALUE"""),236.1)</f>
        <v>236.1</v>
      </c>
      <c r="K294" s="3">
        <f ca="1">IFERROR(__xludf.DUMMYFUNCTION("""COMPUTED_VALUE"""),128.36)</f>
        <v>128.36000000000001</v>
      </c>
      <c r="L294" s="3">
        <f ca="1">IFERROR(__xludf.DUMMYFUNCTION("""COMPUTED_VALUE"""),82.42)</f>
        <v>82.42</v>
      </c>
      <c r="M294" s="3">
        <f ca="1">IFERROR(__xludf.DUMMYFUNCTION("""COMPUTED_VALUE"""),64.24)</f>
        <v>64.239999999999995</v>
      </c>
      <c r="N294" s="3">
        <f ca="1">IFERROR(__xludf.DUMMYFUNCTION("""COMPUTED_VALUE"""),60.89)</f>
        <v>60.89</v>
      </c>
      <c r="O294" s="3">
        <f ca="1">IFERROR(__xludf.DUMMYFUNCTION("""COMPUTED_VALUE"""),51.8)</f>
        <v>51.8</v>
      </c>
      <c r="P294" s="3">
        <f ca="1">IFERROR(__xludf.DUMMYFUNCTION("""COMPUTED_VALUE"""),86.09)</f>
        <v>86.09</v>
      </c>
      <c r="Q294" s="3">
        <f ca="1">IFERROR(__xludf.DUMMYFUNCTION("""COMPUTED_VALUE"""),120.13)</f>
        <v>120.13</v>
      </c>
      <c r="R294" s="3">
        <f ca="1">IFERROR(__xludf.DUMMYFUNCTION("""COMPUTED_VALUE"""),83.41)</f>
        <v>83.41</v>
      </c>
      <c r="S294" s="3">
        <f ca="1">IFERROR(__xludf.DUMMYFUNCTION("""COMPUTED_VALUE"""),57.61)</f>
        <v>57.61</v>
      </c>
      <c r="T294" s="3">
        <f ca="1">IFERROR(__xludf.DUMMYFUNCTION("""COMPUTED_VALUE"""),24.08)</f>
        <v>24.08</v>
      </c>
      <c r="U294" s="3">
        <f ca="1">IFERROR(__xludf.DUMMYFUNCTION("""COMPUTED_VALUE"""),68.3)</f>
        <v>68.3</v>
      </c>
      <c r="V294" s="3">
        <f ca="1">IFERROR(__xludf.DUMMYFUNCTION("""COMPUTED_VALUE"""),76.25)</f>
        <v>76.25</v>
      </c>
      <c r="W294" s="3">
        <f ca="1">IFERROR(__xludf.DUMMYFUNCTION("""COMPUTED_VALUE"""),35.43)</f>
        <v>35.43</v>
      </c>
      <c r="X294" s="3">
        <f ca="1">IFERROR(__xludf.DUMMYFUNCTION("""COMPUTED_VALUE"""),86.51)</f>
        <v>86.51</v>
      </c>
      <c r="Y294" s="3">
        <f ca="1">IFERROR(__xludf.DUMMYFUNCTION("""COMPUTED_VALUE"""),47.21)</f>
        <v>47.21</v>
      </c>
      <c r="Z294" s="3">
        <f ca="1">IFERROR(__xludf.DUMMYFUNCTION("""COMPUTED_VALUE"""),78.44)</f>
        <v>78.44</v>
      </c>
      <c r="AA294" s="3">
        <f ca="1">IFERROR(__xludf.DUMMYFUNCTION("""COMPUTED_VALUE"""),38.11)</f>
        <v>38.11</v>
      </c>
      <c r="AB294" s="3">
        <f ca="1">IFERROR(__xludf.DUMMYFUNCTION("""COMPUTED_VALUE"""),59.64)</f>
        <v>59.64</v>
      </c>
      <c r="AC294" s="3">
        <f ca="1">IFERROR(__xludf.DUMMYFUNCTION("""COMPUTED_VALUE"""),56.69)</f>
        <v>56.69</v>
      </c>
      <c r="AD294" s="3">
        <f ca="1">IFERROR(__xludf.DUMMYFUNCTION("""COMPUTED_VALUE"""),9.24)</f>
        <v>9.24</v>
      </c>
      <c r="AE294" s="3">
        <f ca="1">IFERROR(__xludf.DUMMYFUNCTION("""COMPUTED_VALUE"""),14.48)</f>
        <v>14.48</v>
      </c>
      <c r="AF294" s="3">
        <f ca="1">IFERROR(__xludf.DUMMYFUNCTION("""COMPUTED_VALUE"""),2.09)</f>
        <v>2.09</v>
      </c>
      <c r="AG294" s="3">
        <f ca="1">IFERROR(__xludf.DUMMYFUNCTION("""COMPUTED_VALUE"""),19.64)</f>
        <v>19.64</v>
      </c>
    </row>
    <row r="295" spans="1:33" ht="12.75" x14ac:dyDescent="0.2">
      <c r="A295" s="4">
        <f ca="1">IFERROR(__xludf.DUMMYFUNCTION("""COMPUTED_VALUE"""),44988.6666666666)</f>
        <v>44988.666666666599</v>
      </c>
      <c r="B295" s="3">
        <f ca="1">IFERROR(__xludf.DUMMYFUNCTION("""COMPUTED_VALUE"""),140.14)</f>
        <v>140.13999999999999</v>
      </c>
      <c r="C295" s="3">
        <f ca="1">IFERROR(__xludf.DUMMYFUNCTION("""COMPUTED_VALUE"""),360.97)</f>
        <v>360.97</v>
      </c>
      <c r="D295" s="3">
        <f ca="1">IFERROR(__xludf.DUMMYFUNCTION("""COMPUTED_VALUE"""),85.01)</f>
        <v>85.01</v>
      </c>
      <c r="E295" s="3">
        <f ca="1">IFERROR(__xludf.DUMMYFUNCTION("""COMPUTED_VALUE"""),139.86)</f>
        <v>139.86000000000001</v>
      </c>
      <c r="F295" s="3">
        <f ca="1">IFERROR(__xludf.DUMMYFUNCTION("""COMPUTED_VALUE"""),47.23)</f>
        <v>47.23</v>
      </c>
      <c r="G295" s="3">
        <f ca="1">IFERROR(__xludf.DUMMYFUNCTION("""COMPUTED_VALUE"""),24.41)</f>
        <v>24.41</v>
      </c>
      <c r="H295" s="3">
        <f ca="1">IFERROR(__xludf.DUMMYFUNCTION("""COMPUTED_VALUE"""),25.97)</f>
        <v>25.97</v>
      </c>
      <c r="I295" s="3">
        <f ca="1">IFERROR(__xludf.DUMMYFUNCTION("""COMPUTED_VALUE"""),129.17)</f>
        <v>129.16999999999999</v>
      </c>
      <c r="J295" s="3">
        <f ca="1">IFERROR(__xludf.DUMMYFUNCTION("""COMPUTED_VALUE"""),239.12)</f>
        <v>239.12</v>
      </c>
      <c r="K295" s="3">
        <f ca="1">IFERROR(__xludf.DUMMYFUNCTION("""COMPUTED_VALUE"""),130.52)</f>
        <v>130.52000000000001</v>
      </c>
      <c r="L295" s="3">
        <f ca="1">IFERROR(__xludf.DUMMYFUNCTION("""COMPUTED_VALUE"""),83.59)</f>
        <v>83.59</v>
      </c>
      <c r="M295" s="3">
        <f ca="1">IFERROR(__xludf.DUMMYFUNCTION("""COMPUTED_VALUE"""),65.2)</f>
        <v>65.2</v>
      </c>
      <c r="N295" s="3">
        <f ca="1">IFERROR(__xludf.DUMMYFUNCTION("""COMPUTED_VALUE"""),61.66)</f>
        <v>61.66</v>
      </c>
      <c r="O295" s="3">
        <f ca="1">IFERROR(__xludf.DUMMYFUNCTION("""COMPUTED_VALUE"""),52.84)</f>
        <v>52.84</v>
      </c>
      <c r="P295" s="3">
        <f ca="1">IFERROR(__xludf.DUMMYFUNCTION("""COMPUTED_VALUE"""),87.26)</f>
        <v>87.26</v>
      </c>
      <c r="Q295" s="3">
        <f ca="1">IFERROR(__xludf.DUMMYFUNCTION("""COMPUTED_VALUE"""),121.86)</f>
        <v>121.86</v>
      </c>
      <c r="R295" s="3">
        <f ca="1">IFERROR(__xludf.DUMMYFUNCTION("""COMPUTED_VALUE"""),84.6)</f>
        <v>84.6</v>
      </c>
      <c r="S295" s="3">
        <f ca="1">IFERROR(__xludf.DUMMYFUNCTION("""COMPUTED_VALUE"""),59.08)</f>
        <v>59.08</v>
      </c>
      <c r="T295" s="3">
        <f ca="1">IFERROR(__xludf.DUMMYFUNCTION("""COMPUTED_VALUE"""),24.46)</f>
        <v>24.46</v>
      </c>
      <c r="U295" s="3">
        <f ca="1">IFERROR(__xludf.DUMMYFUNCTION("""COMPUTED_VALUE"""),69.86)</f>
        <v>69.86</v>
      </c>
      <c r="V295" s="3">
        <f ca="1">IFERROR(__xludf.DUMMYFUNCTION("""COMPUTED_VALUE"""),78.2)</f>
        <v>78.2</v>
      </c>
      <c r="W295" s="3">
        <f ca="1">IFERROR(__xludf.DUMMYFUNCTION("""COMPUTED_VALUE"""),35.99)</f>
        <v>35.99</v>
      </c>
      <c r="X295" s="3">
        <f ca="1">IFERROR(__xludf.DUMMYFUNCTION("""COMPUTED_VALUE"""),87.85)</f>
        <v>87.85</v>
      </c>
      <c r="Y295" s="3">
        <f ca="1">IFERROR(__xludf.DUMMYFUNCTION("""COMPUTED_VALUE"""),47.91)</f>
        <v>47.91</v>
      </c>
      <c r="Z295" s="3">
        <f ca="1">IFERROR(__xludf.DUMMYFUNCTION("""COMPUTED_VALUE"""),79.66)</f>
        <v>79.66</v>
      </c>
      <c r="AA295" s="3">
        <f ca="1">IFERROR(__xludf.DUMMYFUNCTION("""COMPUTED_VALUE"""),38.75)</f>
        <v>38.75</v>
      </c>
      <c r="AB295" s="3">
        <f ca="1">IFERROR(__xludf.DUMMYFUNCTION("""COMPUTED_VALUE"""),60.38)</f>
        <v>60.38</v>
      </c>
      <c r="AC295" s="3">
        <f ca="1">IFERROR(__xludf.DUMMYFUNCTION("""COMPUTED_VALUE"""),55.16)</f>
        <v>55.16</v>
      </c>
      <c r="AD295" s="3">
        <f ca="1">IFERROR(__xludf.DUMMYFUNCTION("""COMPUTED_VALUE"""),8.74)</f>
        <v>8.74</v>
      </c>
      <c r="AE295" s="3">
        <f ca="1">IFERROR(__xludf.DUMMYFUNCTION("""COMPUTED_VALUE"""),13.69)</f>
        <v>13.69</v>
      </c>
      <c r="AF295" s="3">
        <f ca="1">IFERROR(__xludf.DUMMYFUNCTION("""COMPUTED_VALUE"""),1.98)</f>
        <v>1.98</v>
      </c>
      <c r="AG295" s="3">
        <f ca="1">IFERROR(__xludf.DUMMYFUNCTION("""COMPUTED_VALUE"""),19.91)</f>
        <v>19.91</v>
      </c>
    </row>
    <row r="296" spans="1:33" ht="12.75" x14ac:dyDescent="0.2">
      <c r="A296" s="4">
        <f ca="1">IFERROR(__xludf.DUMMYFUNCTION("""COMPUTED_VALUE"""),44991.6666666666)</f>
        <v>44991.666666666599</v>
      </c>
      <c r="B296" s="3">
        <f ca="1">IFERROR(__xludf.DUMMYFUNCTION("""COMPUTED_VALUE"""),140.81)</f>
        <v>140.81</v>
      </c>
      <c r="C296" s="3">
        <f ca="1">IFERROR(__xludf.DUMMYFUNCTION("""COMPUTED_VALUE"""),362.28)</f>
        <v>362.28</v>
      </c>
      <c r="D296" s="3">
        <f ca="1">IFERROR(__xludf.DUMMYFUNCTION("""COMPUTED_VALUE"""),85.82)</f>
        <v>85.82</v>
      </c>
      <c r="E296" s="3">
        <f ca="1">IFERROR(__xludf.DUMMYFUNCTION("""COMPUTED_VALUE"""),138.24)</f>
        <v>138.24</v>
      </c>
      <c r="F296" s="3">
        <f ca="1">IFERROR(__xludf.DUMMYFUNCTION("""COMPUTED_VALUE"""),47.1)</f>
        <v>47.1</v>
      </c>
      <c r="G296" s="3">
        <f ca="1">IFERROR(__xludf.DUMMYFUNCTION("""COMPUTED_VALUE"""),24.3)</f>
        <v>24.3</v>
      </c>
      <c r="H296" s="3">
        <f ca="1">IFERROR(__xludf.DUMMYFUNCTION("""COMPUTED_VALUE"""),25.74)</f>
        <v>25.74</v>
      </c>
      <c r="I296" s="3">
        <f ca="1">IFERROR(__xludf.DUMMYFUNCTION("""COMPUTED_VALUE"""),129.11)</f>
        <v>129.11000000000001</v>
      </c>
      <c r="J296" s="3">
        <f ca="1">IFERROR(__xludf.DUMMYFUNCTION("""COMPUTED_VALUE"""),238.26)</f>
        <v>238.26</v>
      </c>
      <c r="K296" s="3">
        <f ca="1">IFERROR(__xludf.DUMMYFUNCTION("""COMPUTED_VALUE"""),129.3)</f>
        <v>129.30000000000001</v>
      </c>
      <c r="L296" s="3">
        <f ca="1">IFERROR(__xludf.DUMMYFUNCTION("""COMPUTED_VALUE"""),82.17)</f>
        <v>82.17</v>
      </c>
      <c r="M296" s="3">
        <f ca="1">IFERROR(__xludf.DUMMYFUNCTION("""COMPUTED_VALUE"""),63.98)</f>
        <v>63.98</v>
      </c>
      <c r="N296" s="3">
        <f ca="1">IFERROR(__xludf.DUMMYFUNCTION("""COMPUTED_VALUE"""),61.49)</f>
        <v>61.49</v>
      </c>
      <c r="O296" s="3">
        <f ca="1">IFERROR(__xludf.DUMMYFUNCTION("""COMPUTED_VALUE"""),51.32)</f>
        <v>51.32</v>
      </c>
      <c r="P296" s="3">
        <f ca="1">IFERROR(__xludf.DUMMYFUNCTION("""COMPUTED_VALUE"""),87.3)</f>
        <v>87.3</v>
      </c>
      <c r="Q296" s="3">
        <f ca="1">IFERROR(__xludf.DUMMYFUNCTION("""COMPUTED_VALUE"""),121.54)</f>
        <v>121.54</v>
      </c>
      <c r="R296" s="3">
        <f ca="1">IFERROR(__xludf.DUMMYFUNCTION("""COMPUTED_VALUE"""),83.23)</f>
        <v>83.23</v>
      </c>
      <c r="S296" s="3">
        <f ca="1">IFERROR(__xludf.DUMMYFUNCTION("""COMPUTED_VALUE"""),57.25)</f>
        <v>57.25</v>
      </c>
      <c r="T296" s="3">
        <f ca="1">IFERROR(__xludf.DUMMYFUNCTION("""COMPUTED_VALUE"""),24.34)</f>
        <v>24.34</v>
      </c>
      <c r="U296" s="3">
        <f ca="1">IFERROR(__xludf.DUMMYFUNCTION("""COMPUTED_VALUE"""),70.49)</f>
        <v>70.489999999999995</v>
      </c>
      <c r="V296" s="3">
        <f ca="1">IFERROR(__xludf.DUMMYFUNCTION("""COMPUTED_VALUE"""),79.72)</f>
        <v>79.72</v>
      </c>
      <c r="W296" s="3">
        <f ca="1">IFERROR(__xludf.DUMMYFUNCTION("""COMPUTED_VALUE"""),36.02)</f>
        <v>36.020000000000003</v>
      </c>
      <c r="X296" s="3">
        <f ca="1">IFERROR(__xludf.DUMMYFUNCTION("""COMPUTED_VALUE"""),87.68)</f>
        <v>87.68</v>
      </c>
      <c r="Y296" s="3">
        <f ca="1">IFERROR(__xludf.DUMMYFUNCTION("""COMPUTED_VALUE"""),47.6)</f>
        <v>47.6</v>
      </c>
      <c r="Z296" s="3">
        <f ca="1">IFERROR(__xludf.DUMMYFUNCTION("""COMPUTED_VALUE"""),79.63)</f>
        <v>79.63</v>
      </c>
      <c r="AA296" s="3">
        <f ca="1">IFERROR(__xludf.DUMMYFUNCTION("""COMPUTED_VALUE"""),38.6)</f>
        <v>38.6</v>
      </c>
      <c r="AB296" s="3">
        <f ca="1">IFERROR(__xludf.DUMMYFUNCTION("""COMPUTED_VALUE"""),59.93)</f>
        <v>59.93</v>
      </c>
      <c r="AC296" s="3">
        <f ca="1">IFERROR(__xludf.DUMMYFUNCTION("""COMPUTED_VALUE"""),55.01)</f>
        <v>55.01</v>
      </c>
      <c r="AD296" s="3">
        <f ca="1">IFERROR(__xludf.DUMMYFUNCTION("""COMPUTED_VALUE"""),8.77)</f>
        <v>8.77</v>
      </c>
      <c r="AE296" s="3">
        <f ca="1">IFERROR(__xludf.DUMMYFUNCTION("""COMPUTED_VALUE"""),13.74)</f>
        <v>13.74</v>
      </c>
      <c r="AF296" s="3">
        <f ca="1">IFERROR(__xludf.DUMMYFUNCTION("""COMPUTED_VALUE"""),2.04)</f>
        <v>2.04</v>
      </c>
      <c r="AG296" s="3">
        <f ca="1">IFERROR(__xludf.DUMMYFUNCTION("""COMPUTED_VALUE"""),19.7)</f>
        <v>19.7</v>
      </c>
    </row>
    <row r="297" spans="1:33" ht="12.75" x14ac:dyDescent="0.2">
      <c r="A297" s="4">
        <f ca="1">IFERROR(__xludf.DUMMYFUNCTION("""COMPUTED_VALUE"""),44992.6666666666)</f>
        <v>44992.666666666599</v>
      </c>
      <c r="B297" s="3">
        <f ca="1">IFERROR(__xludf.DUMMYFUNCTION("""COMPUTED_VALUE"""),139.06)</f>
        <v>139.06</v>
      </c>
      <c r="C297" s="3">
        <f ca="1">IFERROR(__xludf.DUMMYFUNCTION("""COMPUTED_VALUE"""),357.82)</f>
        <v>357.82</v>
      </c>
      <c r="D297" s="3">
        <f ca="1">IFERROR(__xludf.DUMMYFUNCTION("""COMPUTED_VALUE"""),84.24)</f>
        <v>84.24</v>
      </c>
      <c r="E297" s="3">
        <f ca="1">IFERROR(__xludf.DUMMYFUNCTION("""COMPUTED_VALUE"""),136.78)</f>
        <v>136.78</v>
      </c>
      <c r="F297" s="3">
        <f ca="1">IFERROR(__xludf.DUMMYFUNCTION("""COMPUTED_VALUE"""),46.67)</f>
        <v>46.67</v>
      </c>
      <c r="G297" s="3">
        <f ca="1">IFERROR(__xludf.DUMMYFUNCTION("""COMPUTED_VALUE"""),23.91)</f>
        <v>23.91</v>
      </c>
      <c r="H297" s="3">
        <f ca="1">IFERROR(__xludf.DUMMYFUNCTION("""COMPUTED_VALUE"""),25.43)</f>
        <v>25.43</v>
      </c>
      <c r="I297" s="3">
        <f ca="1">IFERROR(__xludf.DUMMYFUNCTION("""COMPUTED_VALUE"""),127.03)</f>
        <v>127.03</v>
      </c>
      <c r="J297" s="3">
        <f ca="1">IFERROR(__xludf.DUMMYFUNCTION("""COMPUTED_VALUE"""),234.63)</f>
        <v>234.63</v>
      </c>
      <c r="K297" s="3">
        <f ca="1">IFERROR(__xludf.DUMMYFUNCTION("""COMPUTED_VALUE"""),127.25)</f>
        <v>127.25</v>
      </c>
      <c r="L297" s="3">
        <f ca="1">IFERROR(__xludf.DUMMYFUNCTION("""COMPUTED_VALUE"""),82.07)</f>
        <v>82.07</v>
      </c>
      <c r="M297" s="3">
        <f ca="1">IFERROR(__xludf.DUMMYFUNCTION("""COMPUTED_VALUE"""),63.09)</f>
        <v>63.09</v>
      </c>
      <c r="N297" s="3">
        <f ca="1">IFERROR(__xludf.DUMMYFUNCTION("""COMPUTED_VALUE"""),60.51)</f>
        <v>60.51</v>
      </c>
      <c r="O297" s="3">
        <f ca="1">IFERROR(__xludf.DUMMYFUNCTION("""COMPUTED_VALUE"""),50.44)</f>
        <v>50.44</v>
      </c>
      <c r="P297" s="3">
        <f ca="1">IFERROR(__xludf.DUMMYFUNCTION("""COMPUTED_VALUE"""),85.78)</f>
        <v>85.78</v>
      </c>
      <c r="Q297" s="3">
        <f ca="1">IFERROR(__xludf.DUMMYFUNCTION("""COMPUTED_VALUE"""),119.48)</f>
        <v>119.48</v>
      </c>
      <c r="R297" s="3">
        <f ca="1">IFERROR(__xludf.DUMMYFUNCTION("""COMPUTED_VALUE"""),81.59)</f>
        <v>81.59</v>
      </c>
      <c r="S297" s="3">
        <f ca="1">IFERROR(__xludf.DUMMYFUNCTION("""COMPUTED_VALUE"""),55.62)</f>
        <v>55.62</v>
      </c>
      <c r="T297" s="3">
        <f ca="1">IFERROR(__xludf.DUMMYFUNCTION("""COMPUTED_VALUE"""),23.84)</f>
        <v>23.84</v>
      </c>
      <c r="U297" s="3">
        <f ca="1">IFERROR(__xludf.DUMMYFUNCTION("""COMPUTED_VALUE"""),67.85)</f>
        <v>67.849999999999994</v>
      </c>
      <c r="V297" s="3">
        <f ca="1">IFERROR(__xludf.DUMMYFUNCTION("""COMPUTED_VALUE"""),78.78)</f>
        <v>78.78</v>
      </c>
      <c r="W297" s="3">
        <f ca="1">IFERROR(__xludf.DUMMYFUNCTION("""COMPUTED_VALUE"""),35.09)</f>
        <v>35.090000000000003</v>
      </c>
      <c r="X297" s="3">
        <f ca="1">IFERROR(__xludf.DUMMYFUNCTION("""COMPUTED_VALUE"""),85.6)</f>
        <v>85.6</v>
      </c>
      <c r="Y297" s="3">
        <f ca="1">IFERROR(__xludf.DUMMYFUNCTION("""COMPUTED_VALUE"""),46.19)</f>
        <v>46.19</v>
      </c>
      <c r="Z297" s="3">
        <f ca="1">IFERROR(__xludf.DUMMYFUNCTION("""COMPUTED_VALUE"""),77.68)</f>
        <v>77.680000000000007</v>
      </c>
      <c r="AA297" s="3">
        <f ca="1">IFERROR(__xludf.DUMMYFUNCTION("""COMPUTED_VALUE"""),37.63)</f>
        <v>37.630000000000003</v>
      </c>
      <c r="AB297" s="3">
        <f ca="1">IFERROR(__xludf.DUMMYFUNCTION("""COMPUTED_VALUE"""),58)</f>
        <v>58</v>
      </c>
      <c r="AC297" s="3">
        <f ca="1">IFERROR(__xludf.DUMMYFUNCTION("""COMPUTED_VALUE"""),52.64)</f>
        <v>52.64</v>
      </c>
      <c r="AD297" s="3">
        <f ca="1">IFERROR(__xludf.DUMMYFUNCTION("""COMPUTED_VALUE"""),8.65)</f>
        <v>8.65</v>
      </c>
      <c r="AE297" s="3">
        <f ca="1">IFERROR(__xludf.DUMMYFUNCTION("""COMPUTED_VALUE"""),13.55)</f>
        <v>13.55</v>
      </c>
      <c r="AF297" s="3">
        <f ca="1">IFERROR(__xludf.DUMMYFUNCTION("""COMPUTED_VALUE"""),2.04)</f>
        <v>2.04</v>
      </c>
      <c r="AG297" s="3">
        <f ca="1">IFERROR(__xludf.DUMMYFUNCTION("""COMPUTED_VALUE"""),19.07)</f>
        <v>19.07</v>
      </c>
    </row>
    <row r="298" spans="1:33" ht="12.75" x14ac:dyDescent="0.2">
      <c r="A298" s="4">
        <f ca="1">IFERROR(__xludf.DUMMYFUNCTION("""COMPUTED_VALUE"""),44993.6666666666)</f>
        <v>44993.666666666599</v>
      </c>
      <c r="B298" s="3">
        <f ca="1">IFERROR(__xludf.DUMMYFUNCTION("""COMPUTED_VALUE"""),140.21)</f>
        <v>140.21</v>
      </c>
      <c r="C298" s="3">
        <f ca="1">IFERROR(__xludf.DUMMYFUNCTION("""COMPUTED_VALUE"""),360.65)</f>
        <v>360.65</v>
      </c>
      <c r="D298" s="3">
        <f ca="1">IFERROR(__xludf.DUMMYFUNCTION("""COMPUTED_VALUE"""),82.67)</f>
        <v>82.67</v>
      </c>
      <c r="E298" s="3">
        <f ca="1">IFERROR(__xludf.DUMMYFUNCTION("""COMPUTED_VALUE"""),140.42)</f>
        <v>140.41999999999999</v>
      </c>
      <c r="F298" s="3">
        <f ca="1">IFERROR(__xludf.DUMMYFUNCTION("""COMPUTED_VALUE"""),46.49)</f>
        <v>46.49</v>
      </c>
      <c r="G298" s="3">
        <f ca="1">IFERROR(__xludf.DUMMYFUNCTION("""COMPUTED_VALUE"""),24.2)</f>
        <v>24.2</v>
      </c>
      <c r="H298" s="3">
        <f ca="1">IFERROR(__xludf.DUMMYFUNCTION("""COMPUTED_VALUE"""),25.47)</f>
        <v>25.47</v>
      </c>
      <c r="I298" s="3">
        <f ca="1">IFERROR(__xludf.DUMMYFUNCTION("""COMPUTED_VALUE"""),126.35)</f>
        <v>126.35</v>
      </c>
      <c r="J298" s="3">
        <f ca="1">IFERROR(__xludf.DUMMYFUNCTION("""COMPUTED_VALUE"""),233.26)</f>
        <v>233.26</v>
      </c>
      <c r="K298" s="3">
        <f ca="1">IFERROR(__xludf.DUMMYFUNCTION("""COMPUTED_VALUE"""),126.38)</f>
        <v>126.38</v>
      </c>
      <c r="L298" s="3">
        <f ca="1">IFERROR(__xludf.DUMMYFUNCTION("""COMPUTED_VALUE"""),81.23)</f>
        <v>81.23</v>
      </c>
      <c r="M298" s="3">
        <f ca="1">IFERROR(__xludf.DUMMYFUNCTION("""COMPUTED_VALUE"""),62.51)</f>
        <v>62.51</v>
      </c>
      <c r="N298" s="3">
        <f ca="1">IFERROR(__xludf.DUMMYFUNCTION("""COMPUTED_VALUE"""),60.17)</f>
        <v>60.17</v>
      </c>
      <c r="O298" s="3">
        <f ca="1">IFERROR(__xludf.DUMMYFUNCTION("""COMPUTED_VALUE"""),50.32)</f>
        <v>50.32</v>
      </c>
      <c r="P298" s="3">
        <f ca="1">IFERROR(__xludf.DUMMYFUNCTION("""COMPUTED_VALUE"""),84.9)</f>
        <v>84.9</v>
      </c>
      <c r="Q298" s="3">
        <f ca="1">IFERROR(__xludf.DUMMYFUNCTION("""COMPUTED_VALUE"""),118.2)</f>
        <v>118.2</v>
      </c>
      <c r="R298" s="3">
        <f ca="1">IFERROR(__xludf.DUMMYFUNCTION("""COMPUTED_VALUE"""),81.99)</f>
        <v>81.99</v>
      </c>
      <c r="S298" s="3">
        <f ca="1">IFERROR(__xludf.DUMMYFUNCTION("""COMPUTED_VALUE"""),55.76)</f>
        <v>55.76</v>
      </c>
      <c r="T298" s="3">
        <f ca="1">IFERROR(__xludf.DUMMYFUNCTION("""COMPUTED_VALUE"""),23.71)</f>
        <v>23.71</v>
      </c>
      <c r="U298" s="3">
        <f ca="1">IFERROR(__xludf.DUMMYFUNCTION("""COMPUTED_VALUE"""),67.1)</f>
        <v>67.099999999999994</v>
      </c>
      <c r="V298" s="3">
        <f ca="1">IFERROR(__xludf.DUMMYFUNCTION("""COMPUTED_VALUE"""),78.35)</f>
        <v>78.349999999999994</v>
      </c>
      <c r="W298" s="3">
        <f ca="1">IFERROR(__xludf.DUMMYFUNCTION("""COMPUTED_VALUE"""),34.96)</f>
        <v>34.96</v>
      </c>
      <c r="X298" s="3">
        <f ca="1">IFERROR(__xludf.DUMMYFUNCTION("""COMPUTED_VALUE"""),85.25)</f>
        <v>85.25</v>
      </c>
      <c r="Y298" s="3">
        <f ca="1">IFERROR(__xludf.DUMMYFUNCTION("""COMPUTED_VALUE"""),46.01)</f>
        <v>46.01</v>
      </c>
      <c r="Z298" s="3">
        <f ca="1">IFERROR(__xludf.DUMMYFUNCTION("""COMPUTED_VALUE"""),77.43)</f>
        <v>77.430000000000007</v>
      </c>
      <c r="AA298" s="3">
        <f ca="1">IFERROR(__xludf.DUMMYFUNCTION("""COMPUTED_VALUE"""),38.16)</f>
        <v>38.159999999999997</v>
      </c>
      <c r="AB298" s="3">
        <f ca="1">IFERROR(__xludf.DUMMYFUNCTION("""COMPUTED_VALUE"""),57.7)</f>
        <v>57.7</v>
      </c>
      <c r="AC298" s="3">
        <f ca="1">IFERROR(__xludf.DUMMYFUNCTION("""COMPUTED_VALUE"""),51.18)</f>
        <v>51.18</v>
      </c>
      <c r="AD298" s="3">
        <f ca="1">IFERROR(__xludf.DUMMYFUNCTION("""COMPUTED_VALUE"""),8.67)</f>
        <v>8.67</v>
      </c>
      <c r="AE298" s="3">
        <f ca="1">IFERROR(__xludf.DUMMYFUNCTION("""COMPUTED_VALUE"""),13.57)</f>
        <v>13.57</v>
      </c>
      <c r="AF298" s="3">
        <f ca="1">IFERROR(__xludf.DUMMYFUNCTION("""COMPUTED_VALUE"""),2)</f>
        <v>2</v>
      </c>
      <c r="AG298" s="3">
        <f ca="1">IFERROR(__xludf.DUMMYFUNCTION("""COMPUTED_VALUE"""),19.09)</f>
        <v>19.09</v>
      </c>
    </row>
    <row r="299" spans="1:33" ht="12.75" x14ac:dyDescent="0.2">
      <c r="A299" s="4">
        <f ca="1">IFERROR(__xludf.DUMMYFUNCTION("""COMPUTED_VALUE"""),44994.6666666666)</f>
        <v>44994.666666666599</v>
      </c>
      <c r="B299" s="3">
        <f ca="1">IFERROR(__xludf.DUMMYFUNCTION("""COMPUTED_VALUE"""),138.2)</f>
        <v>138.19999999999999</v>
      </c>
      <c r="C299" s="3">
        <f ca="1">IFERROR(__xludf.DUMMYFUNCTION("""COMPUTED_VALUE"""),354.97)</f>
        <v>354.97</v>
      </c>
      <c r="D299" s="3">
        <f ca="1">IFERROR(__xludf.DUMMYFUNCTION("""COMPUTED_VALUE"""),83.25)</f>
        <v>83.25</v>
      </c>
      <c r="E299" s="3">
        <f ca="1">IFERROR(__xludf.DUMMYFUNCTION("""COMPUTED_VALUE"""),137.63)</f>
        <v>137.63</v>
      </c>
      <c r="F299" s="3">
        <f ca="1">IFERROR(__xludf.DUMMYFUNCTION("""COMPUTED_VALUE"""),45.47)</f>
        <v>45.47</v>
      </c>
      <c r="G299" s="3">
        <f ca="1">IFERROR(__xludf.DUMMYFUNCTION("""COMPUTED_VALUE"""),23.8)</f>
        <v>23.8</v>
      </c>
      <c r="H299" s="3">
        <f ca="1">IFERROR(__xludf.DUMMYFUNCTION("""COMPUTED_VALUE"""),24.93)</f>
        <v>24.93</v>
      </c>
      <c r="I299" s="3">
        <f ca="1">IFERROR(__xludf.DUMMYFUNCTION("""COMPUTED_VALUE"""),125.07)</f>
        <v>125.07</v>
      </c>
      <c r="J299" s="3">
        <f ca="1">IFERROR(__xludf.DUMMYFUNCTION("""COMPUTED_VALUE"""),230.54)</f>
        <v>230.54</v>
      </c>
      <c r="K299" s="3">
        <f ca="1">IFERROR(__xludf.DUMMYFUNCTION("""COMPUTED_VALUE"""),123.95)</f>
        <v>123.95</v>
      </c>
      <c r="L299" s="3">
        <f ca="1">IFERROR(__xludf.DUMMYFUNCTION("""COMPUTED_VALUE"""),78.73)</f>
        <v>78.73</v>
      </c>
      <c r="M299" s="3">
        <f ca="1">IFERROR(__xludf.DUMMYFUNCTION("""COMPUTED_VALUE"""),61.66)</f>
        <v>61.66</v>
      </c>
      <c r="N299" s="3">
        <f ca="1">IFERROR(__xludf.DUMMYFUNCTION("""COMPUTED_VALUE"""),59.51)</f>
        <v>59.51</v>
      </c>
      <c r="O299" s="3">
        <f ca="1">IFERROR(__xludf.DUMMYFUNCTION("""COMPUTED_VALUE"""),48.92)</f>
        <v>48.92</v>
      </c>
      <c r="P299" s="3">
        <f ca="1">IFERROR(__xludf.DUMMYFUNCTION("""COMPUTED_VALUE"""),83.7)</f>
        <v>83.7</v>
      </c>
      <c r="Q299" s="3">
        <f ca="1">IFERROR(__xludf.DUMMYFUNCTION("""COMPUTED_VALUE"""),116.3)</f>
        <v>116.3</v>
      </c>
      <c r="R299" s="3">
        <f ca="1">IFERROR(__xludf.DUMMYFUNCTION("""COMPUTED_VALUE"""),79.88)</f>
        <v>79.88</v>
      </c>
      <c r="S299" s="3">
        <f ca="1">IFERROR(__xludf.DUMMYFUNCTION("""COMPUTED_VALUE"""),54.32)</f>
        <v>54.32</v>
      </c>
      <c r="T299" s="3">
        <f ca="1">IFERROR(__xludf.DUMMYFUNCTION("""COMPUTED_VALUE"""),23.42)</f>
        <v>23.42</v>
      </c>
      <c r="U299" s="3">
        <f ca="1">IFERROR(__xludf.DUMMYFUNCTION("""COMPUTED_VALUE"""),66.24)</f>
        <v>66.239999999999995</v>
      </c>
      <c r="V299" s="3">
        <f ca="1">IFERROR(__xludf.DUMMYFUNCTION("""COMPUTED_VALUE"""),77.02)</f>
        <v>77.02</v>
      </c>
      <c r="W299" s="3">
        <f ca="1">IFERROR(__xludf.DUMMYFUNCTION("""COMPUTED_VALUE"""),33.54)</f>
        <v>33.54</v>
      </c>
      <c r="X299" s="3">
        <f ca="1">IFERROR(__xludf.DUMMYFUNCTION("""COMPUTED_VALUE"""),81.68)</f>
        <v>81.680000000000007</v>
      </c>
      <c r="Y299" s="3">
        <f ca="1">IFERROR(__xludf.DUMMYFUNCTION("""COMPUTED_VALUE"""),42.66)</f>
        <v>42.66</v>
      </c>
      <c r="Z299" s="3">
        <f ca="1">IFERROR(__xludf.DUMMYFUNCTION("""COMPUTED_VALUE"""),74.17)</f>
        <v>74.17</v>
      </c>
      <c r="AA299" s="3">
        <f ca="1">IFERROR(__xludf.DUMMYFUNCTION("""COMPUTED_VALUE"""),37.29)</f>
        <v>37.29</v>
      </c>
      <c r="AB299" s="3">
        <f ca="1">IFERROR(__xludf.DUMMYFUNCTION("""COMPUTED_VALUE"""),53.02)</f>
        <v>53.02</v>
      </c>
      <c r="AC299" s="3">
        <f ca="1">IFERROR(__xludf.DUMMYFUNCTION("""COMPUTED_VALUE"""),49.03)</f>
        <v>49.03</v>
      </c>
      <c r="AD299" s="3">
        <f ca="1">IFERROR(__xludf.DUMMYFUNCTION("""COMPUTED_VALUE"""),7.87)</f>
        <v>7.87</v>
      </c>
      <c r="AE299" s="3">
        <f ca="1">IFERROR(__xludf.DUMMYFUNCTION("""COMPUTED_VALUE"""),12.35)</f>
        <v>12.35</v>
      </c>
      <c r="AF299" s="3">
        <f ca="1">IFERROR(__xludf.DUMMYFUNCTION("""COMPUTED_VALUE"""),1.96)</f>
        <v>1.96</v>
      </c>
      <c r="AG299" s="3">
        <f ca="1">IFERROR(__xludf.DUMMYFUNCTION("""COMPUTED_VALUE"""),17.49)</f>
        <v>17.489999999999998</v>
      </c>
    </row>
    <row r="300" spans="1:33" ht="12.75" x14ac:dyDescent="0.2">
      <c r="A300" s="4">
        <f ca="1">IFERROR(__xludf.DUMMYFUNCTION("""COMPUTED_VALUE"""),44995.6666666666)</f>
        <v>44995.666666666599</v>
      </c>
      <c r="B300" s="3">
        <f ca="1">IFERROR(__xludf.DUMMYFUNCTION("""COMPUTED_VALUE"""),135.77)</f>
        <v>135.77000000000001</v>
      </c>
      <c r="C300" s="3">
        <f ca="1">IFERROR(__xludf.DUMMYFUNCTION("""COMPUTED_VALUE"""),347.95)</f>
        <v>347.95</v>
      </c>
      <c r="D300" s="3">
        <f ca="1">IFERROR(__xludf.DUMMYFUNCTION("""COMPUTED_VALUE"""),85.39)</f>
        <v>85.39</v>
      </c>
      <c r="E300" s="3">
        <f ca="1">IFERROR(__xludf.DUMMYFUNCTION("""COMPUTED_VALUE"""),134.97)</f>
        <v>134.97</v>
      </c>
      <c r="F300" s="3">
        <f ca="1">IFERROR(__xludf.DUMMYFUNCTION("""COMPUTED_VALUE"""),44.44)</f>
        <v>44.44</v>
      </c>
      <c r="G300" s="3">
        <f ca="1">IFERROR(__xludf.DUMMYFUNCTION("""COMPUTED_VALUE"""),23.29)</f>
        <v>23.29</v>
      </c>
      <c r="H300" s="3">
        <f ca="1">IFERROR(__xludf.DUMMYFUNCTION("""COMPUTED_VALUE"""),24.28)</f>
        <v>24.28</v>
      </c>
      <c r="I300" s="3">
        <f ca="1">IFERROR(__xludf.DUMMYFUNCTION("""COMPUTED_VALUE"""),124.15)</f>
        <v>124.15</v>
      </c>
      <c r="J300" s="3">
        <f ca="1">IFERROR(__xludf.DUMMYFUNCTION("""COMPUTED_VALUE"""),228.23)</f>
        <v>228.23</v>
      </c>
      <c r="K300" s="3">
        <f ca="1">IFERROR(__xludf.DUMMYFUNCTION("""COMPUTED_VALUE"""),121.97)</f>
        <v>121.97</v>
      </c>
      <c r="L300" s="3">
        <f ca="1">IFERROR(__xludf.DUMMYFUNCTION("""COMPUTED_VALUE"""),75.66)</f>
        <v>75.66</v>
      </c>
      <c r="M300" s="3">
        <f ca="1">IFERROR(__xludf.DUMMYFUNCTION("""COMPUTED_VALUE"""),60.43)</f>
        <v>60.43</v>
      </c>
      <c r="N300" s="3">
        <f ca="1">IFERROR(__xludf.DUMMYFUNCTION("""COMPUTED_VALUE"""),58.86)</f>
        <v>58.86</v>
      </c>
      <c r="O300" s="3">
        <f ca="1">IFERROR(__xludf.DUMMYFUNCTION("""COMPUTED_VALUE"""),47.16)</f>
        <v>47.16</v>
      </c>
      <c r="P300" s="3">
        <f ca="1">IFERROR(__xludf.DUMMYFUNCTION("""COMPUTED_VALUE"""),82.63)</f>
        <v>82.63</v>
      </c>
      <c r="Q300" s="3">
        <f ca="1">IFERROR(__xludf.DUMMYFUNCTION("""COMPUTED_VALUE"""),114.6)</f>
        <v>114.6</v>
      </c>
      <c r="R300" s="3">
        <f ca="1">IFERROR(__xludf.DUMMYFUNCTION("""COMPUTED_VALUE"""),78.18)</f>
        <v>78.180000000000007</v>
      </c>
      <c r="S300" s="3">
        <f ca="1">IFERROR(__xludf.DUMMYFUNCTION("""COMPUTED_VALUE"""),52.5)</f>
        <v>52.5</v>
      </c>
      <c r="T300" s="3">
        <f ca="1">IFERROR(__xludf.DUMMYFUNCTION("""COMPUTED_VALUE"""),23.67)</f>
        <v>23.67</v>
      </c>
      <c r="U300" s="3">
        <f ca="1">IFERROR(__xludf.DUMMYFUNCTION("""COMPUTED_VALUE"""),67.14)</f>
        <v>67.14</v>
      </c>
      <c r="V300" s="3">
        <f ca="1">IFERROR(__xludf.DUMMYFUNCTION("""COMPUTED_VALUE"""),75.06)</f>
        <v>75.06</v>
      </c>
      <c r="W300" s="3">
        <f ca="1">IFERROR(__xludf.DUMMYFUNCTION("""COMPUTED_VALUE"""),32.93)</f>
        <v>32.93</v>
      </c>
      <c r="X300" s="3">
        <f ca="1">IFERROR(__xludf.DUMMYFUNCTION("""COMPUTED_VALUE"""),79.66)</f>
        <v>79.66</v>
      </c>
      <c r="Y300" s="3">
        <f ca="1">IFERROR(__xludf.DUMMYFUNCTION("""COMPUTED_VALUE"""),40.88)</f>
        <v>40.880000000000003</v>
      </c>
      <c r="Z300" s="3">
        <f ca="1">IFERROR(__xludf.DUMMYFUNCTION("""COMPUTED_VALUE"""),72.43)</f>
        <v>72.430000000000007</v>
      </c>
      <c r="AA300" s="3">
        <f ca="1">IFERROR(__xludf.DUMMYFUNCTION("""COMPUTED_VALUE"""),36.1)</f>
        <v>36.1</v>
      </c>
      <c r="AB300" s="3">
        <f ca="1">IFERROR(__xludf.DUMMYFUNCTION("""COMPUTED_VALUE"""),50.69)</f>
        <v>50.69</v>
      </c>
      <c r="AC300" s="3">
        <f ca="1">IFERROR(__xludf.DUMMYFUNCTION("""COMPUTED_VALUE"""),50.36)</f>
        <v>50.36</v>
      </c>
      <c r="AD300" s="3">
        <f ca="1">IFERROR(__xludf.DUMMYFUNCTION("""COMPUTED_VALUE"""),7.84)</f>
        <v>7.84</v>
      </c>
      <c r="AE300" s="3">
        <f ca="1">IFERROR(__xludf.DUMMYFUNCTION("""COMPUTED_VALUE"""),12.25)</f>
        <v>12.25</v>
      </c>
      <c r="AF300" s="3">
        <f ca="1">IFERROR(__xludf.DUMMYFUNCTION("""COMPUTED_VALUE"""),1.82)</f>
        <v>1.82</v>
      </c>
      <c r="AG300" s="3">
        <f ca="1">IFERROR(__xludf.DUMMYFUNCTION("""COMPUTED_VALUE"""),16.72)</f>
        <v>16.72</v>
      </c>
    </row>
    <row r="301" spans="1:33" ht="12.75" x14ac:dyDescent="0.2">
      <c r="A301" s="4">
        <f ca="1">IFERROR(__xludf.DUMMYFUNCTION("""COMPUTED_VALUE"""),44998.6666666666)</f>
        <v>44998.666666666599</v>
      </c>
      <c r="B301" s="3">
        <f ca="1">IFERROR(__xludf.DUMMYFUNCTION("""COMPUTED_VALUE"""),136.51)</f>
        <v>136.51</v>
      </c>
      <c r="C301" s="3">
        <f ca="1">IFERROR(__xludf.DUMMYFUNCTION("""COMPUTED_VALUE"""),349.57)</f>
        <v>349.57</v>
      </c>
      <c r="D301" s="3">
        <f ca="1">IFERROR(__xludf.DUMMYFUNCTION("""COMPUTED_VALUE"""),85.77)</f>
        <v>85.77</v>
      </c>
      <c r="E301" s="3">
        <f ca="1">IFERROR(__xludf.DUMMYFUNCTION("""COMPUTED_VALUE"""),135.01)</f>
        <v>135.01</v>
      </c>
      <c r="F301" s="3">
        <f ca="1">IFERROR(__xludf.DUMMYFUNCTION("""COMPUTED_VALUE"""),44.42)</f>
        <v>44.42</v>
      </c>
      <c r="G301" s="3">
        <f ca="1">IFERROR(__xludf.DUMMYFUNCTION("""COMPUTED_VALUE"""),23.31)</f>
        <v>23.31</v>
      </c>
      <c r="H301" s="3">
        <f ca="1">IFERROR(__xludf.DUMMYFUNCTION("""COMPUTED_VALUE"""),24.25)</f>
        <v>24.25</v>
      </c>
      <c r="I301" s="3">
        <f ca="1">IFERROR(__xludf.DUMMYFUNCTION("""COMPUTED_VALUE"""),125.31)</f>
        <v>125.31</v>
      </c>
      <c r="J301" s="3">
        <f ca="1">IFERROR(__xludf.DUMMYFUNCTION("""COMPUTED_VALUE"""),230.45)</f>
        <v>230.45</v>
      </c>
      <c r="K301" s="3">
        <f ca="1">IFERROR(__xludf.DUMMYFUNCTION("""COMPUTED_VALUE"""),125.37)</f>
        <v>125.37</v>
      </c>
      <c r="L301" s="3">
        <f ca="1">IFERROR(__xludf.DUMMYFUNCTION("""COMPUTED_VALUE"""),77.86)</f>
        <v>77.86</v>
      </c>
      <c r="M301" s="3">
        <f ca="1">IFERROR(__xludf.DUMMYFUNCTION("""COMPUTED_VALUE"""),61.02)</f>
        <v>61.02</v>
      </c>
      <c r="N301" s="3">
        <f ca="1">IFERROR(__xludf.DUMMYFUNCTION("""COMPUTED_VALUE"""),59.5)</f>
        <v>59.5</v>
      </c>
      <c r="O301" s="3">
        <f ca="1">IFERROR(__xludf.DUMMYFUNCTION("""COMPUTED_VALUE"""),48.56)</f>
        <v>48.56</v>
      </c>
      <c r="P301" s="3">
        <f ca="1">IFERROR(__xludf.DUMMYFUNCTION("""COMPUTED_VALUE"""),80.95)</f>
        <v>80.95</v>
      </c>
      <c r="Q301" s="3">
        <f ca="1">IFERROR(__xludf.DUMMYFUNCTION("""COMPUTED_VALUE"""),112.1)</f>
        <v>112.1</v>
      </c>
      <c r="R301" s="3">
        <f ca="1">IFERROR(__xludf.DUMMYFUNCTION("""COMPUTED_VALUE"""),77.38)</f>
        <v>77.38</v>
      </c>
      <c r="S301" s="3">
        <f ca="1">IFERROR(__xludf.DUMMYFUNCTION("""COMPUTED_VALUE"""),52.08)</f>
        <v>52.08</v>
      </c>
      <c r="T301" s="3">
        <f ca="1">IFERROR(__xludf.DUMMYFUNCTION("""COMPUTED_VALUE"""),23.52)</f>
        <v>23.52</v>
      </c>
      <c r="U301" s="3">
        <f ca="1">IFERROR(__xludf.DUMMYFUNCTION("""COMPUTED_VALUE"""),65.25)</f>
        <v>65.25</v>
      </c>
      <c r="V301" s="3">
        <f ca="1">IFERROR(__xludf.DUMMYFUNCTION("""COMPUTED_VALUE"""),75.13)</f>
        <v>75.13</v>
      </c>
      <c r="W301" s="3">
        <f ca="1">IFERROR(__xludf.DUMMYFUNCTION("""COMPUTED_VALUE"""),31.63)</f>
        <v>31.63</v>
      </c>
      <c r="X301" s="3">
        <f ca="1">IFERROR(__xludf.DUMMYFUNCTION("""COMPUTED_VALUE"""),76.29)</f>
        <v>76.290000000000006</v>
      </c>
      <c r="Y301" s="3">
        <f ca="1">IFERROR(__xludf.DUMMYFUNCTION("""COMPUTED_VALUE"""),36.81)</f>
        <v>36.81</v>
      </c>
      <c r="Z301" s="3">
        <f ca="1">IFERROR(__xludf.DUMMYFUNCTION("""COMPUTED_VALUE"""),69.69)</f>
        <v>69.69</v>
      </c>
      <c r="AA301" s="3">
        <f ca="1">IFERROR(__xludf.DUMMYFUNCTION("""COMPUTED_VALUE"""),36.68)</f>
        <v>36.68</v>
      </c>
      <c r="AB301" s="3">
        <f ca="1">IFERROR(__xludf.DUMMYFUNCTION("""COMPUTED_VALUE"""),44.45)</f>
        <v>44.45</v>
      </c>
      <c r="AC301" s="3">
        <f ca="1">IFERROR(__xludf.DUMMYFUNCTION("""COMPUTED_VALUE"""),49.27)</f>
        <v>49.27</v>
      </c>
      <c r="AD301" s="3">
        <f ca="1">IFERROR(__xludf.DUMMYFUNCTION("""COMPUTED_VALUE"""),9.59)</f>
        <v>9.59</v>
      </c>
      <c r="AE301" s="3">
        <f ca="1">IFERROR(__xludf.DUMMYFUNCTION("""COMPUTED_VALUE"""),14.98)</f>
        <v>14.98</v>
      </c>
      <c r="AF301" s="3">
        <f ca="1">IFERROR(__xludf.DUMMYFUNCTION("""COMPUTED_VALUE"""),1.93)</f>
        <v>1.93</v>
      </c>
      <c r="AG301" s="3">
        <f ca="1">IFERROR(__xludf.DUMMYFUNCTION("""COMPUTED_VALUE"""),18.46)</f>
        <v>18.46</v>
      </c>
    </row>
    <row r="302" spans="1:33" ht="12.75" x14ac:dyDescent="0.2">
      <c r="A302" s="4">
        <f ca="1">IFERROR(__xludf.DUMMYFUNCTION("""COMPUTED_VALUE"""),44999.6666666666)</f>
        <v>44999.666666666599</v>
      </c>
      <c r="B302" s="3">
        <f ca="1">IFERROR(__xludf.DUMMYFUNCTION("""COMPUTED_VALUE"""),139.66)</f>
        <v>139.66</v>
      </c>
      <c r="C302" s="3">
        <f ca="1">IFERROR(__xludf.DUMMYFUNCTION("""COMPUTED_VALUE"""),357.46)</f>
        <v>357.46</v>
      </c>
      <c r="D302" s="3">
        <f ca="1">IFERROR(__xludf.DUMMYFUNCTION("""COMPUTED_VALUE"""),88.54)</f>
        <v>88.54</v>
      </c>
      <c r="E302" s="3">
        <f ca="1">IFERROR(__xludf.DUMMYFUNCTION("""COMPUTED_VALUE"""),138.95)</f>
        <v>138.94999999999999</v>
      </c>
      <c r="F302" s="3">
        <f ca="1">IFERROR(__xludf.DUMMYFUNCTION("""COMPUTED_VALUE"""),45.12)</f>
        <v>45.12</v>
      </c>
      <c r="G302" s="3">
        <f ca="1">IFERROR(__xludf.DUMMYFUNCTION("""COMPUTED_VALUE"""),23.71)</f>
        <v>23.71</v>
      </c>
      <c r="H302" s="3">
        <f ca="1">IFERROR(__xludf.DUMMYFUNCTION("""COMPUTED_VALUE"""),24.54)</f>
        <v>24.54</v>
      </c>
      <c r="I302" s="3">
        <f ca="1">IFERROR(__xludf.DUMMYFUNCTION("""COMPUTED_VALUE"""),126.43)</f>
        <v>126.43</v>
      </c>
      <c r="J302" s="3">
        <f ca="1">IFERROR(__xludf.DUMMYFUNCTION("""COMPUTED_VALUE"""),233.05)</f>
        <v>233.05</v>
      </c>
      <c r="K302" s="3">
        <f ca="1">IFERROR(__xludf.DUMMYFUNCTION("""COMPUTED_VALUE"""),126.95)</f>
        <v>126.95</v>
      </c>
      <c r="L302" s="3">
        <f ca="1">IFERROR(__xludf.DUMMYFUNCTION("""COMPUTED_VALUE"""),79.03)</f>
        <v>79.03</v>
      </c>
      <c r="M302" s="3">
        <f ca="1">IFERROR(__xludf.DUMMYFUNCTION("""COMPUTED_VALUE"""),62.21)</f>
        <v>62.21</v>
      </c>
      <c r="N302" s="3">
        <f ca="1">IFERROR(__xludf.DUMMYFUNCTION("""COMPUTED_VALUE"""),60.12)</f>
        <v>60.12</v>
      </c>
      <c r="O302" s="3">
        <f ca="1">IFERROR(__xludf.DUMMYFUNCTION("""COMPUTED_VALUE"""),49.12)</f>
        <v>49.12</v>
      </c>
      <c r="P302" s="3">
        <f ca="1">IFERROR(__xludf.DUMMYFUNCTION("""COMPUTED_VALUE"""),81.75)</f>
        <v>81.75</v>
      </c>
      <c r="Q302" s="3">
        <f ca="1">IFERROR(__xludf.DUMMYFUNCTION("""COMPUTED_VALUE"""),113.02)</f>
        <v>113.02</v>
      </c>
      <c r="R302" s="3">
        <f ca="1">IFERROR(__xludf.DUMMYFUNCTION("""COMPUTED_VALUE"""),78.37)</f>
        <v>78.37</v>
      </c>
      <c r="S302" s="3">
        <f ca="1">IFERROR(__xludf.DUMMYFUNCTION("""COMPUTED_VALUE"""),52.49)</f>
        <v>52.49</v>
      </c>
      <c r="T302" s="3">
        <f ca="1">IFERROR(__xludf.DUMMYFUNCTION("""COMPUTED_VALUE"""),23.22)</f>
        <v>23.22</v>
      </c>
      <c r="U302" s="3">
        <f ca="1">IFERROR(__xludf.DUMMYFUNCTION("""COMPUTED_VALUE"""),62.93)</f>
        <v>62.93</v>
      </c>
      <c r="V302" s="3">
        <f ca="1">IFERROR(__xludf.DUMMYFUNCTION("""COMPUTED_VALUE"""),75.62)</f>
        <v>75.62</v>
      </c>
      <c r="W302" s="3">
        <f ca="1">IFERROR(__xludf.DUMMYFUNCTION("""COMPUTED_VALUE"""),32.27)</f>
        <v>32.270000000000003</v>
      </c>
      <c r="X302" s="3">
        <f ca="1">IFERROR(__xludf.DUMMYFUNCTION("""COMPUTED_VALUE"""),78.09)</f>
        <v>78.09</v>
      </c>
      <c r="Y302" s="3">
        <f ca="1">IFERROR(__xludf.DUMMYFUNCTION("""COMPUTED_VALUE"""),37.52)</f>
        <v>37.520000000000003</v>
      </c>
      <c r="Z302" s="3">
        <f ca="1">IFERROR(__xludf.DUMMYFUNCTION("""COMPUTED_VALUE"""),71.16)</f>
        <v>71.16</v>
      </c>
      <c r="AA302" s="3">
        <f ca="1">IFERROR(__xludf.DUMMYFUNCTION("""COMPUTED_VALUE"""),37.06)</f>
        <v>37.06</v>
      </c>
      <c r="AB302" s="3">
        <f ca="1">IFERROR(__xludf.DUMMYFUNCTION("""COMPUTED_VALUE"""),45.38)</f>
        <v>45.38</v>
      </c>
      <c r="AC302" s="3">
        <f ca="1">IFERROR(__xludf.DUMMYFUNCTION("""COMPUTED_VALUE"""),49.91)</f>
        <v>49.91</v>
      </c>
      <c r="AD302" s="3">
        <f ca="1">IFERROR(__xludf.DUMMYFUNCTION("""COMPUTED_VALUE"""),9.9)</f>
        <v>9.9</v>
      </c>
      <c r="AE302" s="3">
        <f ca="1">IFERROR(__xludf.DUMMYFUNCTION("""COMPUTED_VALUE"""),15.47)</f>
        <v>15.47</v>
      </c>
      <c r="AF302" s="3">
        <f ca="1">IFERROR(__xludf.DUMMYFUNCTION("""COMPUTED_VALUE"""),1.96)</f>
        <v>1.96</v>
      </c>
      <c r="AG302" s="3">
        <f ca="1">IFERROR(__xludf.DUMMYFUNCTION("""COMPUTED_VALUE"""),19.56)</f>
        <v>19.559999999999999</v>
      </c>
    </row>
    <row r="303" spans="1:33" ht="12.75" x14ac:dyDescent="0.2">
      <c r="A303" s="4">
        <f ca="1">IFERROR(__xludf.DUMMYFUNCTION("""COMPUTED_VALUE"""),45000.6666666666)</f>
        <v>45000.666666666599</v>
      </c>
      <c r="B303" s="3">
        <f ca="1">IFERROR(__xludf.DUMMYFUNCTION("""COMPUTED_VALUE"""),139.74)</f>
        <v>139.74</v>
      </c>
      <c r="C303" s="3">
        <f ca="1">IFERROR(__xludf.DUMMYFUNCTION("""COMPUTED_VALUE"""),357.33)</f>
        <v>357.33</v>
      </c>
      <c r="D303" s="3">
        <f ca="1">IFERROR(__xludf.DUMMYFUNCTION("""COMPUTED_VALUE"""),88.36)</f>
        <v>88.36</v>
      </c>
      <c r="E303" s="3">
        <f ca="1">IFERROR(__xludf.DUMMYFUNCTION("""COMPUTED_VALUE"""),137.33)</f>
        <v>137.33000000000001</v>
      </c>
      <c r="F303" s="3">
        <f ca="1">IFERROR(__xludf.DUMMYFUNCTION("""COMPUTED_VALUE"""),44.86)</f>
        <v>44.86</v>
      </c>
      <c r="G303" s="3">
        <f ca="1">IFERROR(__xludf.DUMMYFUNCTION("""COMPUTED_VALUE"""),23.16)</f>
        <v>23.16</v>
      </c>
      <c r="H303" s="3">
        <f ca="1">IFERROR(__xludf.DUMMYFUNCTION("""COMPUTED_VALUE"""),24.23)</f>
        <v>24.23</v>
      </c>
      <c r="I303" s="3">
        <f ca="1">IFERROR(__xludf.DUMMYFUNCTION("""COMPUTED_VALUE"""),126.32)</f>
        <v>126.32</v>
      </c>
      <c r="J303" s="3">
        <f ca="1">IFERROR(__xludf.DUMMYFUNCTION("""COMPUTED_VALUE"""),232.46)</f>
        <v>232.46</v>
      </c>
      <c r="K303" s="3">
        <f ca="1">IFERROR(__xludf.DUMMYFUNCTION("""COMPUTED_VALUE"""),126.06)</f>
        <v>126.06</v>
      </c>
      <c r="L303" s="3">
        <f ca="1">IFERROR(__xludf.DUMMYFUNCTION("""COMPUTED_VALUE"""),78.05)</f>
        <v>78.05</v>
      </c>
      <c r="M303" s="3">
        <f ca="1">IFERROR(__xludf.DUMMYFUNCTION("""COMPUTED_VALUE"""),61.54)</f>
        <v>61.54</v>
      </c>
      <c r="N303" s="3">
        <f ca="1">IFERROR(__xludf.DUMMYFUNCTION("""COMPUTED_VALUE"""),60.01)</f>
        <v>60.01</v>
      </c>
      <c r="O303" s="3">
        <f ca="1">IFERROR(__xludf.DUMMYFUNCTION("""COMPUTED_VALUE"""),49.08)</f>
        <v>49.08</v>
      </c>
      <c r="P303" s="3">
        <f ca="1">IFERROR(__xludf.DUMMYFUNCTION("""COMPUTED_VALUE"""),77.36)</f>
        <v>77.36</v>
      </c>
      <c r="Q303" s="3">
        <f ca="1">IFERROR(__xludf.DUMMYFUNCTION("""COMPUTED_VALUE"""),106.98)</f>
        <v>106.98</v>
      </c>
      <c r="R303" s="3">
        <f ca="1">IFERROR(__xludf.DUMMYFUNCTION("""COMPUTED_VALUE"""),75.83)</f>
        <v>75.83</v>
      </c>
      <c r="S303" s="3">
        <f ca="1">IFERROR(__xludf.DUMMYFUNCTION("""COMPUTED_VALUE"""),49.37)</f>
        <v>49.37</v>
      </c>
      <c r="T303" s="3">
        <f ca="1">IFERROR(__xludf.DUMMYFUNCTION("""COMPUTED_VALUE"""),22.68)</f>
        <v>22.68</v>
      </c>
      <c r="U303" s="3">
        <f ca="1">IFERROR(__xludf.DUMMYFUNCTION("""COMPUTED_VALUE"""),60.02)</f>
        <v>60.02</v>
      </c>
      <c r="V303" s="3">
        <f ca="1">IFERROR(__xludf.DUMMYFUNCTION("""COMPUTED_VALUE"""),73.23)</f>
        <v>73.23</v>
      </c>
      <c r="W303" s="3">
        <f ca="1">IFERROR(__xludf.DUMMYFUNCTION("""COMPUTED_VALUE"""),31.41)</f>
        <v>31.41</v>
      </c>
      <c r="X303" s="3">
        <f ca="1">IFERROR(__xludf.DUMMYFUNCTION("""COMPUTED_VALUE"""),76.07)</f>
        <v>76.069999999999993</v>
      </c>
      <c r="Y303" s="3">
        <f ca="1">IFERROR(__xludf.DUMMYFUNCTION("""COMPUTED_VALUE"""),36.76)</f>
        <v>36.76</v>
      </c>
      <c r="Z303" s="3">
        <f ca="1">IFERROR(__xludf.DUMMYFUNCTION("""COMPUTED_VALUE"""),69.27)</f>
        <v>69.27</v>
      </c>
      <c r="AA303" s="3">
        <f ca="1">IFERROR(__xludf.DUMMYFUNCTION("""COMPUTED_VALUE"""),37.08)</f>
        <v>37.08</v>
      </c>
      <c r="AB303" s="3">
        <f ca="1">IFERROR(__xludf.DUMMYFUNCTION("""COMPUTED_VALUE"""),44.64)</f>
        <v>44.64</v>
      </c>
      <c r="AC303" s="3">
        <f ca="1">IFERROR(__xludf.DUMMYFUNCTION("""COMPUTED_VALUE"""),48.64)</f>
        <v>48.64</v>
      </c>
      <c r="AD303" s="3">
        <f ca="1">IFERROR(__xludf.DUMMYFUNCTION("""COMPUTED_VALUE"""),9.59)</f>
        <v>9.59</v>
      </c>
      <c r="AE303" s="3">
        <f ca="1">IFERROR(__xludf.DUMMYFUNCTION("""COMPUTED_VALUE"""),15.05)</f>
        <v>15.05</v>
      </c>
      <c r="AF303" s="3">
        <f ca="1">IFERROR(__xludf.DUMMYFUNCTION("""COMPUTED_VALUE"""),2.02)</f>
        <v>2.02</v>
      </c>
      <c r="AG303" s="3">
        <f ca="1">IFERROR(__xludf.DUMMYFUNCTION("""COMPUTED_VALUE"""),19.09)</f>
        <v>19.09</v>
      </c>
    </row>
    <row r="304" spans="1:33" ht="12.75" x14ac:dyDescent="0.2">
      <c r="A304" s="4">
        <f ca="1">IFERROR(__xludf.DUMMYFUNCTION("""COMPUTED_VALUE"""),45001.6666666666)</f>
        <v>45001.666666666599</v>
      </c>
      <c r="B304" s="3">
        <f ca="1">IFERROR(__xludf.DUMMYFUNCTION("""COMPUTED_VALUE"""),143.66)</f>
        <v>143.66</v>
      </c>
      <c r="C304" s="3">
        <f ca="1">IFERROR(__xludf.DUMMYFUNCTION("""COMPUTED_VALUE"""),367.09)</f>
        <v>367.09</v>
      </c>
      <c r="D304" s="3">
        <f ca="1">IFERROR(__xludf.DUMMYFUNCTION("""COMPUTED_VALUE"""),88.49)</f>
        <v>88.49</v>
      </c>
      <c r="E304" s="3">
        <f ca="1">IFERROR(__xludf.DUMMYFUNCTION("""COMPUTED_VALUE"""),142.7)</f>
        <v>142.69999999999999</v>
      </c>
      <c r="F304" s="3">
        <f ca="1">IFERROR(__xludf.DUMMYFUNCTION("""COMPUTED_VALUE"""),45.48)</f>
        <v>45.48</v>
      </c>
      <c r="G304" s="3">
        <f ca="1">IFERROR(__xludf.DUMMYFUNCTION("""COMPUTED_VALUE"""),23.99)</f>
        <v>23.99</v>
      </c>
      <c r="H304" s="3">
        <f ca="1">IFERROR(__xludf.DUMMYFUNCTION("""COMPUTED_VALUE"""),24.62)</f>
        <v>24.62</v>
      </c>
      <c r="I304" s="3">
        <f ca="1">IFERROR(__xludf.DUMMYFUNCTION("""COMPUTED_VALUE"""),127.5)</f>
        <v>127.5</v>
      </c>
      <c r="J304" s="3">
        <f ca="1">IFERROR(__xludf.DUMMYFUNCTION("""COMPUTED_VALUE"""),234.96)</f>
        <v>234.96</v>
      </c>
      <c r="K304" s="3">
        <f ca="1">IFERROR(__xludf.DUMMYFUNCTION("""COMPUTED_VALUE"""),126.74)</f>
        <v>126.74</v>
      </c>
      <c r="L304" s="3">
        <f ca="1">IFERROR(__xludf.DUMMYFUNCTION("""COMPUTED_VALUE"""),78.23)</f>
        <v>78.23</v>
      </c>
      <c r="M304" s="3">
        <f ca="1">IFERROR(__xludf.DUMMYFUNCTION("""COMPUTED_VALUE"""),62.48)</f>
        <v>62.48</v>
      </c>
      <c r="N304" s="3">
        <f ca="1">IFERROR(__xludf.DUMMYFUNCTION("""COMPUTED_VALUE"""),60.56)</f>
        <v>60.56</v>
      </c>
      <c r="O304" s="3">
        <f ca="1">IFERROR(__xludf.DUMMYFUNCTION("""COMPUTED_VALUE"""),49.58)</f>
        <v>49.58</v>
      </c>
      <c r="P304" s="3">
        <f ca="1">IFERROR(__xludf.DUMMYFUNCTION("""COMPUTED_VALUE"""),78.2)</f>
        <v>78.2</v>
      </c>
      <c r="Q304" s="3">
        <f ca="1">IFERROR(__xludf.DUMMYFUNCTION("""COMPUTED_VALUE"""),108.1)</f>
        <v>108.1</v>
      </c>
      <c r="R304" s="3">
        <f ca="1">IFERROR(__xludf.DUMMYFUNCTION("""COMPUTED_VALUE"""),76.7)</f>
        <v>76.7</v>
      </c>
      <c r="S304" s="3">
        <f ca="1">IFERROR(__xludf.DUMMYFUNCTION("""COMPUTED_VALUE"""),49.88)</f>
        <v>49.88</v>
      </c>
      <c r="T304" s="3">
        <f ca="1">IFERROR(__xludf.DUMMYFUNCTION("""COMPUTED_VALUE"""),22.75)</f>
        <v>22.75</v>
      </c>
      <c r="U304" s="3">
        <f ca="1">IFERROR(__xludf.DUMMYFUNCTION("""COMPUTED_VALUE"""),60.05)</f>
        <v>60.05</v>
      </c>
      <c r="V304" s="3">
        <f ca="1">IFERROR(__xludf.DUMMYFUNCTION("""COMPUTED_VALUE"""),72.25)</f>
        <v>72.25</v>
      </c>
      <c r="W304" s="3">
        <f ca="1">IFERROR(__xludf.DUMMYFUNCTION("""COMPUTED_VALUE"""),32.01)</f>
        <v>32.01</v>
      </c>
      <c r="X304" s="3">
        <f ca="1">IFERROR(__xludf.DUMMYFUNCTION("""COMPUTED_VALUE"""),77.59)</f>
        <v>77.59</v>
      </c>
      <c r="Y304" s="3">
        <f ca="1">IFERROR(__xludf.DUMMYFUNCTION("""COMPUTED_VALUE"""),37.89)</f>
        <v>37.89</v>
      </c>
      <c r="Z304" s="3">
        <f ca="1">IFERROR(__xludf.DUMMYFUNCTION("""COMPUTED_VALUE"""),70.65)</f>
        <v>70.650000000000006</v>
      </c>
      <c r="AA304" s="3">
        <f ca="1">IFERROR(__xludf.DUMMYFUNCTION("""COMPUTED_VALUE"""),37.08)</f>
        <v>37.08</v>
      </c>
      <c r="AB304" s="3">
        <f ca="1">IFERROR(__xludf.DUMMYFUNCTION("""COMPUTED_VALUE"""),46.21)</f>
        <v>46.21</v>
      </c>
      <c r="AC304" s="3">
        <f ca="1">IFERROR(__xludf.DUMMYFUNCTION("""COMPUTED_VALUE"""),48.93)</f>
        <v>48.93</v>
      </c>
      <c r="AD304" s="3">
        <f ca="1">IFERROR(__xludf.DUMMYFUNCTION("""COMPUTED_VALUE"""),9.85)</f>
        <v>9.85</v>
      </c>
      <c r="AE304" s="3">
        <f ca="1">IFERROR(__xludf.DUMMYFUNCTION("""COMPUTED_VALUE"""),15.41)</f>
        <v>15.41</v>
      </c>
      <c r="AF304" s="3">
        <f ca="1">IFERROR(__xludf.DUMMYFUNCTION("""COMPUTED_VALUE"""),2.03)</f>
        <v>2.0299999999999998</v>
      </c>
      <c r="AG304" s="3">
        <f ca="1">IFERROR(__xludf.DUMMYFUNCTION("""COMPUTED_VALUE"""),20)</f>
        <v>20</v>
      </c>
    </row>
    <row r="305" spans="1:33" ht="12.75" x14ac:dyDescent="0.2">
      <c r="A305" s="4">
        <f ca="1">IFERROR(__xludf.DUMMYFUNCTION("""COMPUTED_VALUE"""),45002.6666666666)</f>
        <v>45002.666666666599</v>
      </c>
      <c r="B305" s="3">
        <f ca="1">IFERROR(__xludf.DUMMYFUNCTION("""COMPUTED_VALUE"""),143.46)</f>
        <v>143.46</v>
      </c>
      <c r="C305" s="3">
        <f ca="1">IFERROR(__xludf.DUMMYFUNCTION("""COMPUTED_VALUE"""),366.09)</f>
        <v>366.09</v>
      </c>
      <c r="D305" s="3">
        <f ca="1">IFERROR(__xludf.DUMMYFUNCTION("""COMPUTED_VALUE"""),89.62)</f>
        <v>89.62</v>
      </c>
      <c r="E305" s="3">
        <f ca="1">IFERROR(__xludf.DUMMYFUNCTION("""COMPUTED_VALUE"""),141.81)</f>
        <v>141.81</v>
      </c>
      <c r="F305" s="3">
        <f ca="1">IFERROR(__xludf.DUMMYFUNCTION("""COMPUTED_VALUE"""),45.12)</f>
        <v>45.12</v>
      </c>
      <c r="G305" s="3">
        <f ca="1">IFERROR(__xludf.DUMMYFUNCTION("""COMPUTED_VALUE"""),23.76)</f>
        <v>23.76</v>
      </c>
      <c r="H305" s="3">
        <f ca="1">IFERROR(__xludf.DUMMYFUNCTION("""COMPUTED_VALUE"""),24.25)</f>
        <v>24.25</v>
      </c>
      <c r="I305" s="3">
        <f ca="1">IFERROR(__xludf.DUMMYFUNCTION("""COMPUTED_VALUE"""),125.86)</f>
        <v>125.86</v>
      </c>
      <c r="J305" s="3">
        <f ca="1">IFERROR(__xludf.DUMMYFUNCTION("""COMPUTED_VALUE"""),231.53)</f>
        <v>231.53</v>
      </c>
      <c r="K305" s="3">
        <f ca="1">IFERROR(__xludf.DUMMYFUNCTION("""COMPUTED_VALUE"""),124.5)</f>
        <v>124.5</v>
      </c>
      <c r="L305" s="3">
        <f ca="1">IFERROR(__xludf.DUMMYFUNCTION("""COMPUTED_VALUE"""),76.5)</f>
        <v>76.5</v>
      </c>
      <c r="M305" s="3">
        <f ca="1">IFERROR(__xludf.DUMMYFUNCTION("""COMPUTED_VALUE"""),60.89)</f>
        <v>60.89</v>
      </c>
      <c r="N305" s="3">
        <f ca="1">IFERROR(__xludf.DUMMYFUNCTION("""COMPUTED_VALUE"""),59.54)</f>
        <v>59.54</v>
      </c>
      <c r="O305" s="3">
        <f ca="1">IFERROR(__xludf.DUMMYFUNCTION("""COMPUTED_VALUE"""),47.8)</f>
        <v>47.8</v>
      </c>
      <c r="P305" s="3">
        <f ca="1">IFERROR(__xludf.DUMMYFUNCTION("""COMPUTED_VALUE"""),76.97)</f>
        <v>76.97</v>
      </c>
      <c r="Q305" s="3">
        <f ca="1">IFERROR(__xludf.DUMMYFUNCTION("""COMPUTED_VALUE"""),106.22)</f>
        <v>106.22</v>
      </c>
      <c r="R305" s="3">
        <f ca="1">IFERROR(__xludf.DUMMYFUNCTION("""COMPUTED_VALUE"""),75.51)</f>
        <v>75.510000000000005</v>
      </c>
      <c r="S305" s="3">
        <f ca="1">IFERROR(__xludf.DUMMYFUNCTION("""COMPUTED_VALUE"""),49.49)</f>
        <v>49.49</v>
      </c>
      <c r="T305" s="3">
        <f ca="1">IFERROR(__xludf.DUMMYFUNCTION("""COMPUTED_VALUE"""),22.68)</f>
        <v>22.68</v>
      </c>
      <c r="U305" s="3">
        <f ca="1">IFERROR(__xludf.DUMMYFUNCTION("""COMPUTED_VALUE"""),58.66)</f>
        <v>58.66</v>
      </c>
      <c r="V305" s="3">
        <f ca="1">IFERROR(__xludf.DUMMYFUNCTION("""COMPUTED_VALUE"""),69.41)</f>
        <v>69.41</v>
      </c>
      <c r="W305" s="3">
        <f ca="1">IFERROR(__xludf.DUMMYFUNCTION("""COMPUTED_VALUE"""),30.98)</f>
        <v>30.98</v>
      </c>
      <c r="X305" s="3">
        <f ca="1">IFERROR(__xludf.DUMMYFUNCTION("""COMPUTED_VALUE"""),74.99)</f>
        <v>74.989999999999995</v>
      </c>
      <c r="Y305" s="3">
        <f ca="1">IFERROR(__xludf.DUMMYFUNCTION("""COMPUTED_VALUE"""),35.78)</f>
        <v>35.78</v>
      </c>
      <c r="Z305" s="3">
        <f ca="1">IFERROR(__xludf.DUMMYFUNCTION("""COMPUTED_VALUE"""),68.3)</f>
        <v>68.3</v>
      </c>
      <c r="AA305" s="3">
        <f ca="1">IFERROR(__xludf.DUMMYFUNCTION("""COMPUTED_VALUE"""),36.23)</f>
        <v>36.229999999999997</v>
      </c>
      <c r="AB305" s="3">
        <f ca="1">IFERROR(__xludf.DUMMYFUNCTION("""COMPUTED_VALUE"""),43.44)</f>
        <v>43.44</v>
      </c>
      <c r="AC305" s="3">
        <f ca="1">IFERROR(__xludf.DUMMYFUNCTION("""COMPUTED_VALUE"""),50.52)</f>
        <v>50.52</v>
      </c>
      <c r="AD305" s="3">
        <f ca="1">IFERROR(__xludf.DUMMYFUNCTION("""COMPUTED_VALUE"""),10.57)</f>
        <v>10.57</v>
      </c>
      <c r="AE305" s="3">
        <f ca="1">IFERROR(__xludf.DUMMYFUNCTION("""COMPUTED_VALUE"""),16.65)</f>
        <v>16.649999999999999</v>
      </c>
      <c r="AF305" s="3">
        <f ca="1">IFERROR(__xludf.DUMMYFUNCTION("""COMPUTED_VALUE"""),2.13)</f>
        <v>2.13</v>
      </c>
      <c r="AG305" s="3">
        <f ca="1">IFERROR(__xludf.DUMMYFUNCTION("""COMPUTED_VALUE"""),21.41)</f>
        <v>21.41</v>
      </c>
    </row>
    <row r="306" spans="1:33" ht="12.75" x14ac:dyDescent="0.2">
      <c r="A306" s="4">
        <f ca="1">IFERROR(__xludf.DUMMYFUNCTION("""COMPUTED_VALUE"""),45005.6666666666)</f>
        <v>45005.666666666599</v>
      </c>
      <c r="B306" s="3">
        <f ca="1">IFERROR(__xludf.DUMMYFUNCTION("""COMPUTED_VALUE"""),143.53)</f>
        <v>143.53</v>
      </c>
      <c r="C306" s="3">
        <f ca="1">IFERROR(__xludf.DUMMYFUNCTION("""COMPUTED_VALUE"""),367.21)</f>
        <v>367.21</v>
      </c>
      <c r="D306" s="3">
        <f ca="1">IFERROR(__xludf.DUMMYFUNCTION("""COMPUTED_VALUE"""),88.59)</f>
        <v>88.59</v>
      </c>
      <c r="E306" s="3">
        <f ca="1">IFERROR(__xludf.DUMMYFUNCTION("""COMPUTED_VALUE"""),143.31)</f>
        <v>143.31</v>
      </c>
      <c r="F306" s="3">
        <f ca="1">IFERROR(__xludf.DUMMYFUNCTION("""COMPUTED_VALUE"""),45.59)</f>
        <v>45.59</v>
      </c>
      <c r="G306" s="3">
        <f ca="1">IFERROR(__xludf.DUMMYFUNCTION("""COMPUTED_VALUE"""),24.05)</f>
        <v>24.05</v>
      </c>
      <c r="H306" s="3">
        <f ca="1">IFERROR(__xludf.DUMMYFUNCTION("""COMPUTED_VALUE"""),24.48)</f>
        <v>24.48</v>
      </c>
      <c r="I306" s="3">
        <f ca="1">IFERROR(__xludf.DUMMYFUNCTION("""COMPUTED_VALUE"""),126.96)</f>
        <v>126.96</v>
      </c>
      <c r="J306" s="3">
        <f ca="1">IFERROR(__xludf.DUMMYFUNCTION("""COMPUTED_VALUE"""),234.36)</f>
        <v>234.36</v>
      </c>
      <c r="K306" s="3">
        <f ca="1">IFERROR(__xludf.DUMMYFUNCTION("""COMPUTED_VALUE"""),125.85)</f>
        <v>125.85</v>
      </c>
      <c r="L306" s="3">
        <f ca="1">IFERROR(__xludf.DUMMYFUNCTION("""COMPUTED_VALUE"""),76.78)</f>
        <v>76.78</v>
      </c>
      <c r="M306" s="3">
        <f ca="1">IFERROR(__xludf.DUMMYFUNCTION("""COMPUTED_VALUE"""),62.12)</f>
        <v>62.12</v>
      </c>
      <c r="N306" s="3">
        <f ca="1">IFERROR(__xludf.DUMMYFUNCTION("""COMPUTED_VALUE"""),60.21)</f>
        <v>60.21</v>
      </c>
      <c r="O306" s="3">
        <f ca="1">IFERROR(__xludf.DUMMYFUNCTION("""COMPUTED_VALUE"""),47.94)</f>
        <v>47.94</v>
      </c>
      <c r="P306" s="3">
        <f ca="1">IFERROR(__xludf.DUMMYFUNCTION("""COMPUTED_VALUE"""),77.7)</f>
        <v>77.7</v>
      </c>
      <c r="Q306" s="3">
        <f ca="1">IFERROR(__xludf.DUMMYFUNCTION("""COMPUTED_VALUE"""),108.52)</f>
        <v>108.52</v>
      </c>
      <c r="R306" s="3">
        <f ca="1">IFERROR(__xludf.DUMMYFUNCTION("""COMPUTED_VALUE"""),76.73)</f>
        <v>76.73</v>
      </c>
      <c r="S306" s="3">
        <f ca="1">IFERROR(__xludf.DUMMYFUNCTION("""COMPUTED_VALUE"""),50.08)</f>
        <v>50.08</v>
      </c>
      <c r="T306" s="3">
        <f ca="1">IFERROR(__xludf.DUMMYFUNCTION("""COMPUTED_VALUE"""),22.77)</f>
        <v>22.77</v>
      </c>
      <c r="U306" s="3">
        <f ca="1">IFERROR(__xludf.DUMMYFUNCTION("""COMPUTED_VALUE"""),59.79)</f>
        <v>59.79</v>
      </c>
      <c r="V306" s="3">
        <f ca="1">IFERROR(__xludf.DUMMYFUNCTION("""COMPUTED_VALUE"""),70.51)</f>
        <v>70.510000000000005</v>
      </c>
      <c r="W306" s="3">
        <f ca="1">IFERROR(__xludf.DUMMYFUNCTION("""COMPUTED_VALUE"""),31.17)</f>
        <v>31.17</v>
      </c>
      <c r="X306" s="3">
        <f ca="1">IFERROR(__xludf.DUMMYFUNCTION("""COMPUTED_VALUE"""),75.95)</f>
        <v>75.95</v>
      </c>
      <c r="Y306" s="3">
        <f ca="1">IFERROR(__xludf.DUMMYFUNCTION("""COMPUTED_VALUE"""),36.08)</f>
        <v>36.08</v>
      </c>
      <c r="Z306" s="3">
        <f ca="1">IFERROR(__xludf.DUMMYFUNCTION("""COMPUTED_VALUE"""),69.24)</f>
        <v>69.239999999999995</v>
      </c>
      <c r="AA306" s="3">
        <f ca="1">IFERROR(__xludf.DUMMYFUNCTION("""COMPUTED_VALUE"""),36.36)</f>
        <v>36.36</v>
      </c>
      <c r="AB306" s="3">
        <f ca="1">IFERROR(__xludf.DUMMYFUNCTION("""COMPUTED_VALUE"""),43.56)</f>
        <v>43.56</v>
      </c>
      <c r="AC306" s="3">
        <f ca="1">IFERROR(__xludf.DUMMYFUNCTION("""COMPUTED_VALUE"""),49.19)</f>
        <v>49.19</v>
      </c>
      <c r="AD306" s="3">
        <f ca="1">IFERROR(__xludf.DUMMYFUNCTION("""COMPUTED_VALUE"""),10.96)</f>
        <v>10.96</v>
      </c>
      <c r="AE306" s="3">
        <f ca="1">IFERROR(__xludf.DUMMYFUNCTION("""COMPUTED_VALUE"""),17.17)</f>
        <v>17.170000000000002</v>
      </c>
      <c r="AF306" s="3">
        <f ca="1">IFERROR(__xludf.DUMMYFUNCTION("""COMPUTED_VALUE"""),2.32)</f>
        <v>2.3199999999999998</v>
      </c>
      <c r="AG306" s="3">
        <f ca="1">IFERROR(__xludf.DUMMYFUNCTION("""COMPUTED_VALUE"""),21.31)</f>
        <v>21.31</v>
      </c>
    </row>
    <row r="307" spans="1:33" ht="12.75" x14ac:dyDescent="0.2">
      <c r="A307" s="4">
        <f ca="1">IFERROR(__xludf.DUMMYFUNCTION("""COMPUTED_VALUE"""),45006.6666666666)</f>
        <v>45006.666666666599</v>
      </c>
      <c r="B307" s="3">
        <f ca="1">IFERROR(__xludf.DUMMYFUNCTION("""COMPUTED_VALUE"""),144.69)</f>
        <v>144.69</v>
      </c>
      <c r="C307" s="3">
        <f ca="1">IFERROR(__xludf.DUMMYFUNCTION("""COMPUTED_VALUE"""),371.35)</f>
        <v>371.35</v>
      </c>
      <c r="D307" s="3">
        <f ca="1">IFERROR(__xludf.DUMMYFUNCTION("""COMPUTED_VALUE"""),89.93)</f>
        <v>89.93</v>
      </c>
      <c r="E307" s="3">
        <f ca="1">IFERROR(__xludf.DUMMYFUNCTION("""COMPUTED_VALUE"""),143.6)</f>
        <v>143.6</v>
      </c>
      <c r="F307" s="3">
        <f ca="1">IFERROR(__xludf.DUMMYFUNCTION("""COMPUTED_VALUE"""),46.43)</f>
        <v>46.43</v>
      </c>
      <c r="G307" s="3">
        <f ca="1">IFERROR(__xludf.DUMMYFUNCTION("""COMPUTED_VALUE"""),24.51)</f>
        <v>24.51</v>
      </c>
      <c r="H307" s="3">
        <f ca="1">IFERROR(__xludf.DUMMYFUNCTION("""COMPUTED_VALUE"""),24.87)</f>
        <v>24.87</v>
      </c>
      <c r="I307" s="3">
        <f ca="1">IFERROR(__xludf.DUMMYFUNCTION("""COMPUTED_VALUE"""),127.73)</f>
        <v>127.73</v>
      </c>
      <c r="J307" s="3">
        <f ca="1">IFERROR(__xludf.DUMMYFUNCTION("""COMPUTED_VALUE"""),236.01)</f>
        <v>236.01</v>
      </c>
      <c r="K307" s="3">
        <f ca="1">IFERROR(__xludf.DUMMYFUNCTION("""COMPUTED_VALUE"""),126)</f>
        <v>126</v>
      </c>
      <c r="L307" s="3">
        <f ca="1">IFERROR(__xludf.DUMMYFUNCTION("""COMPUTED_VALUE"""),76.02)</f>
        <v>76.02</v>
      </c>
      <c r="M307" s="3">
        <f ca="1">IFERROR(__xludf.DUMMYFUNCTION("""COMPUTED_VALUE"""),62.06)</f>
        <v>62.06</v>
      </c>
      <c r="N307" s="3">
        <f ca="1">IFERROR(__xludf.DUMMYFUNCTION("""COMPUTED_VALUE"""),60.67)</f>
        <v>60.67</v>
      </c>
      <c r="O307" s="3">
        <f ca="1">IFERROR(__xludf.DUMMYFUNCTION("""COMPUTED_VALUE"""),48.76)</f>
        <v>48.76</v>
      </c>
      <c r="P307" s="3">
        <f ca="1">IFERROR(__xludf.DUMMYFUNCTION("""COMPUTED_VALUE"""),80.39)</f>
        <v>80.39</v>
      </c>
      <c r="Q307" s="3">
        <f ca="1">IFERROR(__xludf.DUMMYFUNCTION("""COMPUTED_VALUE"""),112.23)</f>
        <v>112.23</v>
      </c>
      <c r="R307" s="3">
        <f ca="1">IFERROR(__xludf.DUMMYFUNCTION("""COMPUTED_VALUE"""),77.66)</f>
        <v>77.66</v>
      </c>
      <c r="S307" s="3">
        <f ca="1">IFERROR(__xludf.DUMMYFUNCTION("""COMPUTED_VALUE"""),50.82)</f>
        <v>50.82</v>
      </c>
      <c r="T307" s="3">
        <f ca="1">IFERROR(__xludf.DUMMYFUNCTION("""COMPUTED_VALUE"""),22.85)</f>
        <v>22.85</v>
      </c>
      <c r="U307" s="3">
        <f ca="1">IFERROR(__xludf.DUMMYFUNCTION("""COMPUTED_VALUE"""),61.23)</f>
        <v>61.23</v>
      </c>
      <c r="V307" s="3">
        <f ca="1">IFERROR(__xludf.DUMMYFUNCTION("""COMPUTED_VALUE"""),74.08)</f>
        <v>74.08</v>
      </c>
      <c r="W307" s="3">
        <f ca="1">IFERROR(__xludf.DUMMYFUNCTION("""COMPUTED_VALUE"""),31.96)</f>
        <v>31.96</v>
      </c>
      <c r="X307" s="3">
        <f ca="1">IFERROR(__xludf.DUMMYFUNCTION("""COMPUTED_VALUE"""),78.26)</f>
        <v>78.260000000000005</v>
      </c>
      <c r="Y307" s="3">
        <f ca="1">IFERROR(__xludf.DUMMYFUNCTION("""COMPUTED_VALUE"""),37.98)</f>
        <v>37.979999999999997</v>
      </c>
      <c r="Z307" s="3">
        <f ca="1">IFERROR(__xludf.DUMMYFUNCTION("""COMPUTED_VALUE"""),71.22)</f>
        <v>71.22</v>
      </c>
      <c r="AA307" s="3">
        <f ca="1">IFERROR(__xludf.DUMMYFUNCTION("""COMPUTED_VALUE"""),36.15)</f>
        <v>36.15</v>
      </c>
      <c r="AB307" s="3">
        <f ca="1">IFERROR(__xludf.DUMMYFUNCTION("""COMPUTED_VALUE"""),46.07)</f>
        <v>46.07</v>
      </c>
      <c r="AC307" s="3">
        <f ca="1">IFERROR(__xludf.DUMMYFUNCTION("""COMPUTED_VALUE"""),48.57)</f>
        <v>48.57</v>
      </c>
      <c r="AD307" s="3">
        <f ca="1">IFERROR(__xludf.DUMMYFUNCTION("""COMPUTED_VALUE"""),11.11)</f>
        <v>11.11</v>
      </c>
      <c r="AE307" s="3">
        <f ca="1">IFERROR(__xludf.DUMMYFUNCTION("""COMPUTED_VALUE"""),17.41)</f>
        <v>17.41</v>
      </c>
      <c r="AF307" s="3">
        <f ca="1">IFERROR(__xludf.DUMMYFUNCTION("""COMPUTED_VALUE"""),2.23)</f>
        <v>2.23</v>
      </c>
      <c r="AG307" s="3">
        <f ca="1">IFERROR(__xludf.DUMMYFUNCTION("""COMPUTED_VALUE"""),22.69)</f>
        <v>22.69</v>
      </c>
    </row>
    <row r="308" spans="1:33" ht="12.75" x14ac:dyDescent="0.2">
      <c r="A308" s="4">
        <f ca="1">IFERROR(__xludf.DUMMYFUNCTION("""COMPUTED_VALUE"""),45007.6666666666)</f>
        <v>45007.666666666599</v>
      </c>
      <c r="B308" s="3">
        <f ca="1">IFERROR(__xludf.DUMMYFUNCTION("""COMPUTED_VALUE"""),143.25)</f>
        <v>143.25</v>
      </c>
      <c r="C308" s="3">
        <f ca="1">IFERROR(__xludf.DUMMYFUNCTION("""COMPUTED_VALUE"""),366.84)</f>
        <v>366.84</v>
      </c>
      <c r="D308" s="3">
        <f ca="1">IFERROR(__xludf.DUMMYFUNCTION("""COMPUTED_VALUE"""),90.05)</f>
        <v>90.05</v>
      </c>
      <c r="E308" s="3">
        <f ca="1">IFERROR(__xludf.DUMMYFUNCTION("""COMPUTED_VALUE"""),142.17)</f>
        <v>142.16999999999999</v>
      </c>
      <c r="F308" s="3">
        <f ca="1">IFERROR(__xludf.DUMMYFUNCTION("""COMPUTED_VALUE"""),45.44)</f>
        <v>45.44</v>
      </c>
      <c r="G308" s="3">
        <f ca="1">IFERROR(__xludf.DUMMYFUNCTION("""COMPUTED_VALUE"""),24.23)</f>
        <v>24.23</v>
      </c>
      <c r="H308" s="3">
        <f ca="1">IFERROR(__xludf.DUMMYFUNCTION("""COMPUTED_VALUE"""),24.33)</f>
        <v>24.33</v>
      </c>
      <c r="I308" s="3">
        <f ca="1">IFERROR(__xludf.DUMMYFUNCTION("""COMPUTED_VALUE"""),125.8)</f>
        <v>125.8</v>
      </c>
      <c r="J308" s="3">
        <f ca="1">IFERROR(__xludf.DUMMYFUNCTION("""COMPUTED_VALUE"""),232.2)</f>
        <v>232.2</v>
      </c>
      <c r="K308" s="3">
        <f ca="1">IFERROR(__xludf.DUMMYFUNCTION("""COMPUTED_VALUE"""),123.3)</f>
        <v>123.3</v>
      </c>
      <c r="L308" s="3">
        <f ca="1">IFERROR(__xludf.DUMMYFUNCTION("""COMPUTED_VALUE"""),73.13)</f>
        <v>73.13</v>
      </c>
      <c r="M308" s="3">
        <f ca="1">IFERROR(__xludf.DUMMYFUNCTION("""COMPUTED_VALUE"""),60.12)</f>
        <v>60.12</v>
      </c>
      <c r="N308" s="3">
        <f ca="1">IFERROR(__xludf.DUMMYFUNCTION("""COMPUTED_VALUE"""),59.67)</f>
        <v>59.67</v>
      </c>
      <c r="O308" s="3">
        <f ca="1">IFERROR(__xludf.DUMMYFUNCTION("""COMPUTED_VALUE"""),47.32)</f>
        <v>47.32</v>
      </c>
      <c r="P308" s="3">
        <f ca="1">IFERROR(__xludf.DUMMYFUNCTION("""COMPUTED_VALUE"""),78.68)</f>
        <v>78.680000000000007</v>
      </c>
      <c r="Q308" s="3">
        <f ca="1">IFERROR(__xludf.DUMMYFUNCTION("""COMPUTED_VALUE"""),109.79)</f>
        <v>109.79</v>
      </c>
      <c r="R308" s="3">
        <f ca="1">IFERROR(__xludf.DUMMYFUNCTION("""COMPUTED_VALUE"""),76.28)</f>
        <v>76.28</v>
      </c>
      <c r="S308" s="3">
        <f ca="1">IFERROR(__xludf.DUMMYFUNCTION("""COMPUTED_VALUE"""),49.72)</f>
        <v>49.72</v>
      </c>
      <c r="T308" s="3">
        <f ca="1">IFERROR(__xludf.DUMMYFUNCTION("""COMPUTED_VALUE"""),22.91)</f>
        <v>22.91</v>
      </c>
      <c r="U308" s="3">
        <f ca="1">IFERROR(__xludf.DUMMYFUNCTION("""COMPUTED_VALUE"""),61.61)</f>
        <v>61.61</v>
      </c>
      <c r="V308" s="3">
        <f ca="1">IFERROR(__xludf.DUMMYFUNCTION("""COMPUTED_VALUE"""),72.49)</f>
        <v>72.489999999999995</v>
      </c>
      <c r="W308" s="3">
        <f ca="1">IFERROR(__xludf.DUMMYFUNCTION("""COMPUTED_VALUE"""),31.22)</f>
        <v>31.22</v>
      </c>
      <c r="X308" s="3">
        <f ca="1">IFERROR(__xludf.DUMMYFUNCTION("""COMPUTED_VALUE"""),76)</f>
        <v>76</v>
      </c>
      <c r="Y308" s="3">
        <f ca="1">IFERROR(__xludf.DUMMYFUNCTION("""COMPUTED_VALUE"""),36.02)</f>
        <v>36.020000000000003</v>
      </c>
      <c r="Z308" s="3">
        <f ca="1">IFERROR(__xludf.DUMMYFUNCTION("""COMPUTED_VALUE"""),69.32)</f>
        <v>69.319999999999993</v>
      </c>
      <c r="AA308" s="3">
        <f ca="1">IFERROR(__xludf.DUMMYFUNCTION("""COMPUTED_VALUE"""),34.83)</f>
        <v>34.83</v>
      </c>
      <c r="AB308" s="3">
        <f ca="1">IFERROR(__xludf.DUMMYFUNCTION("""COMPUTED_VALUE"""),43.45)</f>
        <v>43.45</v>
      </c>
      <c r="AC308" s="3">
        <f ca="1">IFERROR(__xludf.DUMMYFUNCTION("""COMPUTED_VALUE"""),48.41)</f>
        <v>48.41</v>
      </c>
      <c r="AD308" s="3">
        <f ca="1">IFERROR(__xludf.DUMMYFUNCTION("""COMPUTED_VALUE"""),10.5)</f>
        <v>10.5</v>
      </c>
      <c r="AE308" s="3">
        <f ca="1">IFERROR(__xludf.DUMMYFUNCTION("""COMPUTED_VALUE"""),16.42)</f>
        <v>16.420000000000002</v>
      </c>
      <c r="AF308" s="3">
        <f ca="1">IFERROR(__xludf.DUMMYFUNCTION("""COMPUTED_VALUE"""),2.39)</f>
        <v>2.39</v>
      </c>
      <c r="AG308" s="3">
        <f ca="1">IFERROR(__xludf.DUMMYFUNCTION("""COMPUTED_VALUE"""),21.19)</f>
        <v>21.19</v>
      </c>
    </row>
    <row r="309" spans="1:33" ht="12.75" x14ac:dyDescent="0.2">
      <c r="A309" s="4">
        <f ca="1">IFERROR(__xludf.DUMMYFUNCTION("""COMPUTED_VALUE"""),45008.6666666666)</f>
        <v>45008.666666666599</v>
      </c>
      <c r="B309" s="3">
        <f ca="1">IFERROR(__xludf.DUMMYFUNCTION("""COMPUTED_VALUE"""),145.58)</f>
        <v>145.58000000000001</v>
      </c>
      <c r="C309" s="3">
        <f ca="1">IFERROR(__xludf.DUMMYFUNCTION("""COMPUTED_VALUE"""),372.02)</f>
        <v>372.02</v>
      </c>
      <c r="D309" s="3">
        <f ca="1">IFERROR(__xludf.DUMMYFUNCTION("""COMPUTED_VALUE"""),88.64)</f>
        <v>88.64</v>
      </c>
      <c r="E309" s="3">
        <f ca="1">IFERROR(__xludf.DUMMYFUNCTION("""COMPUTED_VALUE"""),145.68)</f>
        <v>145.68</v>
      </c>
      <c r="F309" s="3">
        <f ca="1">IFERROR(__xludf.DUMMYFUNCTION("""COMPUTED_VALUE"""),46.06)</f>
        <v>46.06</v>
      </c>
      <c r="G309" s="3">
        <f ca="1">IFERROR(__xludf.DUMMYFUNCTION("""COMPUTED_VALUE"""),24.45)</f>
        <v>24.45</v>
      </c>
      <c r="H309" s="3">
        <f ca="1">IFERROR(__xludf.DUMMYFUNCTION("""COMPUTED_VALUE"""),24.5)</f>
        <v>24.5</v>
      </c>
      <c r="I309" s="3">
        <f ca="1">IFERROR(__xludf.DUMMYFUNCTION("""COMPUTED_VALUE"""),125.56)</f>
        <v>125.56</v>
      </c>
      <c r="J309" s="3">
        <f ca="1">IFERROR(__xludf.DUMMYFUNCTION("""COMPUTED_VALUE"""),231.81)</f>
        <v>231.81</v>
      </c>
      <c r="K309" s="3">
        <f ca="1">IFERROR(__xludf.DUMMYFUNCTION("""COMPUTED_VALUE"""),124.35)</f>
        <v>124.35</v>
      </c>
      <c r="L309" s="3">
        <f ca="1">IFERROR(__xludf.DUMMYFUNCTION("""COMPUTED_VALUE"""),73.72)</f>
        <v>73.72</v>
      </c>
      <c r="M309" s="3">
        <f ca="1">IFERROR(__xludf.DUMMYFUNCTION("""COMPUTED_VALUE"""),60.62)</f>
        <v>60.62</v>
      </c>
      <c r="N309" s="3">
        <f ca="1">IFERROR(__xludf.DUMMYFUNCTION("""COMPUTED_VALUE"""),59.57)</f>
        <v>59.57</v>
      </c>
      <c r="O309" s="3">
        <f ca="1">IFERROR(__xludf.DUMMYFUNCTION("""COMPUTED_VALUE"""),47.32)</f>
        <v>47.32</v>
      </c>
      <c r="P309" s="3">
        <f ca="1">IFERROR(__xludf.DUMMYFUNCTION("""COMPUTED_VALUE"""),77.59)</f>
        <v>77.59</v>
      </c>
      <c r="Q309" s="3">
        <f ca="1">IFERROR(__xludf.DUMMYFUNCTION("""COMPUTED_VALUE"""),108.24)</f>
        <v>108.24</v>
      </c>
      <c r="R309" s="3">
        <f ca="1">IFERROR(__xludf.DUMMYFUNCTION("""COMPUTED_VALUE"""),76.19)</f>
        <v>76.19</v>
      </c>
      <c r="S309" s="3">
        <f ca="1">IFERROR(__xludf.DUMMYFUNCTION("""COMPUTED_VALUE"""),49.89)</f>
        <v>49.89</v>
      </c>
      <c r="T309" s="3">
        <f ca="1">IFERROR(__xludf.DUMMYFUNCTION("""COMPUTED_VALUE"""),22.85)</f>
        <v>22.85</v>
      </c>
      <c r="U309" s="3">
        <f ca="1">IFERROR(__xludf.DUMMYFUNCTION("""COMPUTED_VALUE"""),60.99)</f>
        <v>60.99</v>
      </c>
      <c r="V309" s="3">
        <f ca="1">IFERROR(__xludf.DUMMYFUNCTION("""COMPUTED_VALUE"""),73.58)</f>
        <v>73.58</v>
      </c>
      <c r="W309" s="3">
        <f ca="1">IFERROR(__xludf.DUMMYFUNCTION("""COMPUTED_VALUE"""),31.01)</f>
        <v>31.01</v>
      </c>
      <c r="X309" s="3">
        <f ca="1">IFERROR(__xludf.DUMMYFUNCTION("""COMPUTED_VALUE"""),75.21)</f>
        <v>75.209999999999994</v>
      </c>
      <c r="Y309" s="3">
        <f ca="1">IFERROR(__xludf.DUMMYFUNCTION("""COMPUTED_VALUE"""),35.12)</f>
        <v>35.119999999999997</v>
      </c>
      <c r="Z309" s="3">
        <f ca="1">IFERROR(__xludf.DUMMYFUNCTION("""COMPUTED_VALUE"""),68.23)</f>
        <v>68.23</v>
      </c>
      <c r="AA309" s="3">
        <f ca="1">IFERROR(__xludf.DUMMYFUNCTION("""COMPUTED_VALUE"""),34.62)</f>
        <v>34.619999999999997</v>
      </c>
      <c r="AB309" s="3">
        <f ca="1">IFERROR(__xludf.DUMMYFUNCTION("""COMPUTED_VALUE"""),42.24)</f>
        <v>42.24</v>
      </c>
      <c r="AC309" s="3">
        <f ca="1">IFERROR(__xludf.DUMMYFUNCTION("""COMPUTED_VALUE"""),49.18)</f>
        <v>49.18</v>
      </c>
      <c r="AD309" s="3">
        <f ca="1">IFERROR(__xludf.DUMMYFUNCTION("""COMPUTED_VALUE"""),11.22)</f>
        <v>11.22</v>
      </c>
      <c r="AE309" s="3">
        <f ca="1">IFERROR(__xludf.DUMMYFUNCTION("""COMPUTED_VALUE"""),17.58)</f>
        <v>17.579999999999998</v>
      </c>
      <c r="AF309" s="3">
        <f ca="1">IFERROR(__xludf.DUMMYFUNCTION("""COMPUTED_VALUE"""),2.21)</f>
        <v>2.21</v>
      </c>
      <c r="AG309" s="3">
        <f ca="1">IFERROR(__xludf.DUMMYFUNCTION("""COMPUTED_VALUE"""),21.22)</f>
        <v>21.22</v>
      </c>
    </row>
    <row r="310" spans="1:33" ht="12.75" x14ac:dyDescent="0.2">
      <c r="A310" s="4">
        <f ca="1">IFERROR(__xludf.DUMMYFUNCTION("""COMPUTED_VALUE"""),45009.6666666666)</f>
        <v>45009.666666666599</v>
      </c>
      <c r="B310" s="3">
        <f ca="1">IFERROR(__xludf.DUMMYFUNCTION("""COMPUTED_VALUE"""),145.96)</f>
        <v>145.96</v>
      </c>
      <c r="C310" s="3">
        <f ca="1">IFERROR(__xludf.DUMMYFUNCTION("""COMPUTED_VALUE"""),371.92)</f>
        <v>371.92</v>
      </c>
      <c r="D310" s="3">
        <f ca="1">IFERROR(__xludf.DUMMYFUNCTION("""COMPUTED_VALUE"""),90.35)</f>
        <v>90.35</v>
      </c>
      <c r="E310" s="3">
        <f ca="1">IFERROR(__xludf.DUMMYFUNCTION("""COMPUTED_VALUE"""),143.15)</f>
        <v>143.15</v>
      </c>
      <c r="F310" s="3">
        <f ca="1">IFERROR(__xludf.DUMMYFUNCTION("""COMPUTED_VALUE"""),45.97)</f>
        <v>45.97</v>
      </c>
      <c r="G310" s="3">
        <f ca="1">IFERROR(__xludf.DUMMYFUNCTION("""COMPUTED_VALUE"""),24.36)</f>
        <v>24.36</v>
      </c>
      <c r="H310" s="3">
        <f ca="1">IFERROR(__xludf.DUMMYFUNCTION("""COMPUTED_VALUE"""),24.47)</f>
        <v>24.47</v>
      </c>
      <c r="I310" s="3">
        <f ca="1">IFERROR(__xludf.DUMMYFUNCTION("""COMPUTED_VALUE"""),127.3)</f>
        <v>127.3</v>
      </c>
      <c r="J310" s="3">
        <f ca="1">IFERROR(__xludf.DUMMYFUNCTION("""COMPUTED_VALUE"""),233.88)</f>
        <v>233.88</v>
      </c>
      <c r="K310" s="3">
        <f ca="1">IFERROR(__xludf.DUMMYFUNCTION("""COMPUTED_VALUE"""),125.87)</f>
        <v>125.87</v>
      </c>
      <c r="L310" s="3">
        <f ca="1">IFERROR(__xludf.DUMMYFUNCTION("""COMPUTED_VALUE"""),74.19)</f>
        <v>74.19</v>
      </c>
      <c r="M310" s="3">
        <f ca="1">IFERROR(__xludf.DUMMYFUNCTION("""COMPUTED_VALUE"""),61)</f>
        <v>61</v>
      </c>
      <c r="N310" s="3">
        <f ca="1">IFERROR(__xludf.DUMMYFUNCTION("""COMPUTED_VALUE"""),60.34)</f>
        <v>60.34</v>
      </c>
      <c r="O310" s="3">
        <f ca="1">IFERROR(__xludf.DUMMYFUNCTION("""COMPUTED_VALUE"""),47.72)</f>
        <v>47.72</v>
      </c>
      <c r="P310" s="3">
        <f ca="1">IFERROR(__xludf.DUMMYFUNCTION("""COMPUTED_VALUE"""),77.89)</f>
        <v>77.89</v>
      </c>
      <c r="Q310" s="3">
        <f ca="1">IFERROR(__xludf.DUMMYFUNCTION("""COMPUTED_VALUE"""),107.55)</f>
        <v>107.55</v>
      </c>
      <c r="R310" s="3">
        <f ca="1">IFERROR(__xludf.DUMMYFUNCTION("""COMPUTED_VALUE"""),76.81)</f>
        <v>76.81</v>
      </c>
      <c r="S310" s="3">
        <f ca="1">IFERROR(__xludf.DUMMYFUNCTION("""COMPUTED_VALUE"""),50.27)</f>
        <v>50.27</v>
      </c>
      <c r="T310" s="3">
        <f ca="1">IFERROR(__xludf.DUMMYFUNCTION("""COMPUTED_VALUE"""),22.96)</f>
        <v>22.96</v>
      </c>
      <c r="U310" s="3">
        <f ca="1">IFERROR(__xludf.DUMMYFUNCTION("""COMPUTED_VALUE"""),60.96)</f>
        <v>60.96</v>
      </c>
      <c r="V310" s="3">
        <f ca="1">IFERROR(__xludf.DUMMYFUNCTION("""COMPUTED_VALUE"""),72.98)</f>
        <v>72.98</v>
      </c>
      <c r="W310" s="3">
        <f ca="1">IFERROR(__xludf.DUMMYFUNCTION("""COMPUTED_VALUE"""),30.99)</f>
        <v>30.99</v>
      </c>
      <c r="X310" s="3">
        <f ca="1">IFERROR(__xludf.DUMMYFUNCTION("""COMPUTED_VALUE"""),74.95)</f>
        <v>74.95</v>
      </c>
      <c r="Y310" s="3">
        <f ca="1">IFERROR(__xludf.DUMMYFUNCTION("""COMPUTED_VALUE"""),35.91)</f>
        <v>35.909999999999997</v>
      </c>
      <c r="Z310" s="3">
        <f ca="1">IFERROR(__xludf.DUMMYFUNCTION("""COMPUTED_VALUE"""),68.38)</f>
        <v>68.38</v>
      </c>
      <c r="AA310" s="3">
        <f ca="1">IFERROR(__xludf.DUMMYFUNCTION("""COMPUTED_VALUE"""),35.51)</f>
        <v>35.51</v>
      </c>
      <c r="AB310" s="3">
        <f ca="1">IFERROR(__xludf.DUMMYFUNCTION("""COMPUTED_VALUE"""),43.52)</f>
        <v>43.52</v>
      </c>
      <c r="AC310" s="3">
        <f ca="1">IFERROR(__xludf.DUMMYFUNCTION("""COMPUTED_VALUE"""),49.97)</f>
        <v>49.97</v>
      </c>
      <c r="AD310" s="3">
        <f ca="1">IFERROR(__xludf.DUMMYFUNCTION("""COMPUTED_VALUE"""),10.95)</f>
        <v>10.95</v>
      </c>
      <c r="AE310" s="3">
        <f ca="1">IFERROR(__xludf.DUMMYFUNCTION("""COMPUTED_VALUE"""),17.16)</f>
        <v>17.16</v>
      </c>
      <c r="AF310" s="3">
        <f ca="1">IFERROR(__xludf.DUMMYFUNCTION("""COMPUTED_VALUE"""),2.29)</f>
        <v>2.29</v>
      </c>
      <c r="AG310" s="3">
        <f ca="1">IFERROR(__xludf.DUMMYFUNCTION("""COMPUTED_VALUE"""),20.38)</f>
        <v>20.38</v>
      </c>
    </row>
    <row r="311" spans="1:33" ht="12.75" x14ac:dyDescent="0.2">
      <c r="A311" s="4">
        <f ca="1">IFERROR(__xludf.DUMMYFUNCTION("""COMPUTED_VALUE"""),45012.6666666666)</f>
        <v>45012.666666666599</v>
      </c>
      <c r="B311" s="3">
        <f ca="1">IFERROR(__xludf.DUMMYFUNCTION("""COMPUTED_VALUE"""),144.83)</f>
        <v>144.83000000000001</v>
      </c>
      <c r="C311" s="3">
        <f ca="1">IFERROR(__xludf.DUMMYFUNCTION("""COMPUTED_VALUE"""),369.59)</f>
        <v>369.59</v>
      </c>
      <c r="D311" s="3">
        <f ca="1">IFERROR(__xludf.DUMMYFUNCTION("""COMPUTED_VALUE"""),91.25)</f>
        <v>91.25</v>
      </c>
      <c r="E311" s="3">
        <f ca="1">IFERROR(__xludf.DUMMYFUNCTION("""COMPUTED_VALUE"""),141.47)</f>
        <v>141.47</v>
      </c>
      <c r="F311" s="3">
        <f ca="1">IFERROR(__xludf.DUMMYFUNCTION("""COMPUTED_VALUE"""),46.26)</f>
        <v>46.26</v>
      </c>
      <c r="G311" s="3">
        <f ca="1">IFERROR(__xludf.DUMMYFUNCTION("""COMPUTED_VALUE"""),24.48)</f>
        <v>24.48</v>
      </c>
      <c r="H311" s="3">
        <f ca="1">IFERROR(__xludf.DUMMYFUNCTION("""COMPUTED_VALUE"""),24.6)</f>
        <v>24.6</v>
      </c>
      <c r="I311" s="3">
        <f ca="1">IFERROR(__xludf.DUMMYFUNCTION("""COMPUTED_VALUE"""),127.82)</f>
        <v>127.82</v>
      </c>
      <c r="J311" s="3">
        <f ca="1">IFERROR(__xludf.DUMMYFUNCTION("""COMPUTED_VALUE"""),235.09)</f>
        <v>235.09</v>
      </c>
      <c r="K311" s="3">
        <f ca="1">IFERROR(__xludf.DUMMYFUNCTION("""COMPUTED_VALUE"""),126.03)</f>
        <v>126.03</v>
      </c>
      <c r="L311" s="3">
        <f ca="1">IFERROR(__xludf.DUMMYFUNCTION("""COMPUTED_VALUE"""),74.95)</f>
        <v>74.95</v>
      </c>
      <c r="M311" s="3">
        <f ca="1">IFERROR(__xludf.DUMMYFUNCTION("""COMPUTED_VALUE"""),61.59)</f>
        <v>61.59</v>
      </c>
      <c r="N311" s="3">
        <f ca="1">IFERROR(__xludf.DUMMYFUNCTION("""COMPUTED_VALUE"""),60.6)</f>
        <v>60.6</v>
      </c>
      <c r="O311" s="3">
        <f ca="1">IFERROR(__xludf.DUMMYFUNCTION("""COMPUTED_VALUE"""),47.8)</f>
        <v>47.8</v>
      </c>
      <c r="P311" s="3">
        <f ca="1">IFERROR(__xludf.DUMMYFUNCTION("""COMPUTED_VALUE"""),79.55)</f>
        <v>79.55</v>
      </c>
      <c r="Q311" s="3">
        <f ca="1">IFERROR(__xludf.DUMMYFUNCTION("""COMPUTED_VALUE"""),109.97)</f>
        <v>109.97</v>
      </c>
      <c r="R311" s="3">
        <f ca="1">IFERROR(__xludf.DUMMYFUNCTION("""COMPUTED_VALUE"""),77.38)</f>
        <v>77.38</v>
      </c>
      <c r="S311" s="3">
        <f ca="1">IFERROR(__xludf.DUMMYFUNCTION("""COMPUTED_VALUE"""),50.98)</f>
        <v>50.98</v>
      </c>
      <c r="T311" s="3">
        <f ca="1">IFERROR(__xludf.DUMMYFUNCTION("""COMPUTED_VALUE"""),23.39)</f>
        <v>23.39</v>
      </c>
      <c r="U311" s="3">
        <f ca="1">IFERROR(__xludf.DUMMYFUNCTION("""COMPUTED_VALUE"""),64.15)</f>
        <v>64.150000000000006</v>
      </c>
      <c r="V311" s="3">
        <f ca="1">IFERROR(__xludf.DUMMYFUNCTION("""COMPUTED_VALUE"""),72.92)</f>
        <v>72.92</v>
      </c>
      <c r="W311" s="3">
        <f ca="1">IFERROR(__xludf.DUMMYFUNCTION("""COMPUTED_VALUE"""),31.42)</f>
        <v>31.42</v>
      </c>
      <c r="X311" s="3">
        <f ca="1">IFERROR(__xludf.DUMMYFUNCTION("""COMPUTED_VALUE"""),76.13)</f>
        <v>76.13</v>
      </c>
      <c r="Y311" s="3">
        <f ca="1">IFERROR(__xludf.DUMMYFUNCTION("""COMPUTED_VALUE"""),36.7)</f>
        <v>36.700000000000003</v>
      </c>
      <c r="Z311" s="3">
        <f ca="1">IFERROR(__xludf.DUMMYFUNCTION("""COMPUTED_VALUE"""),69.51)</f>
        <v>69.510000000000005</v>
      </c>
      <c r="AA311" s="3">
        <f ca="1">IFERROR(__xludf.DUMMYFUNCTION("""COMPUTED_VALUE"""),35.39)</f>
        <v>35.39</v>
      </c>
      <c r="AB311" s="3">
        <f ca="1">IFERROR(__xludf.DUMMYFUNCTION("""COMPUTED_VALUE"""),43.9)</f>
        <v>43.9</v>
      </c>
      <c r="AC311" s="3">
        <f ca="1">IFERROR(__xludf.DUMMYFUNCTION("""COMPUTED_VALUE"""),49.73)</f>
        <v>49.73</v>
      </c>
      <c r="AD311" s="3">
        <f ca="1">IFERROR(__xludf.DUMMYFUNCTION("""COMPUTED_VALUE"""),10.6)</f>
        <v>10.6</v>
      </c>
      <c r="AE311" s="3">
        <f ca="1">IFERROR(__xludf.DUMMYFUNCTION("""COMPUTED_VALUE"""),16.6)</f>
        <v>16.600000000000001</v>
      </c>
      <c r="AF311" s="3">
        <f ca="1">IFERROR(__xludf.DUMMYFUNCTION("""COMPUTED_VALUE"""),2.23)</f>
        <v>2.23</v>
      </c>
      <c r="AG311" s="3">
        <f ca="1">IFERROR(__xludf.DUMMYFUNCTION("""COMPUTED_VALUE"""),19.69)</f>
        <v>19.690000000000001</v>
      </c>
    </row>
    <row r="312" spans="1:33" ht="12.75" x14ac:dyDescent="0.2">
      <c r="A312" s="4">
        <f ca="1">IFERROR(__xludf.DUMMYFUNCTION("""COMPUTED_VALUE"""),45013.6666666666)</f>
        <v>45013.666666666599</v>
      </c>
      <c r="B312" s="3">
        <f ca="1">IFERROR(__xludf.DUMMYFUNCTION("""COMPUTED_VALUE"""),144.15)</f>
        <v>144.15</v>
      </c>
      <c r="C312" s="3">
        <f ca="1">IFERROR(__xludf.DUMMYFUNCTION("""COMPUTED_VALUE"""),368)</f>
        <v>368</v>
      </c>
      <c r="D312" s="3">
        <f ca="1">IFERROR(__xludf.DUMMYFUNCTION("""COMPUTED_VALUE"""),92.81)</f>
        <v>92.81</v>
      </c>
      <c r="E312" s="3">
        <f ca="1">IFERROR(__xludf.DUMMYFUNCTION("""COMPUTED_VALUE"""),140.41)</f>
        <v>140.41</v>
      </c>
      <c r="F312" s="3">
        <f ca="1">IFERROR(__xludf.DUMMYFUNCTION("""COMPUTED_VALUE"""),46.13)</f>
        <v>46.13</v>
      </c>
      <c r="G312" s="3">
        <f ca="1">IFERROR(__xludf.DUMMYFUNCTION("""COMPUTED_VALUE"""),24.36)</f>
        <v>24.36</v>
      </c>
      <c r="H312" s="3">
        <f ca="1">IFERROR(__xludf.DUMMYFUNCTION("""COMPUTED_VALUE"""),24.58)</f>
        <v>24.58</v>
      </c>
      <c r="I312" s="3">
        <f ca="1">IFERROR(__xludf.DUMMYFUNCTION("""COMPUTED_VALUE"""),127.05)</f>
        <v>127.05</v>
      </c>
      <c r="J312" s="3">
        <f ca="1">IFERROR(__xludf.DUMMYFUNCTION("""COMPUTED_VALUE"""),233.72)</f>
        <v>233.72</v>
      </c>
      <c r="K312" s="3">
        <f ca="1">IFERROR(__xludf.DUMMYFUNCTION("""COMPUTED_VALUE"""),126.06)</f>
        <v>126.06</v>
      </c>
      <c r="L312" s="3">
        <f ca="1">IFERROR(__xludf.DUMMYFUNCTION("""COMPUTED_VALUE"""),74.45)</f>
        <v>74.45</v>
      </c>
      <c r="M312" s="3">
        <f ca="1">IFERROR(__xludf.DUMMYFUNCTION("""COMPUTED_VALUE"""),61.39)</f>
        <v>61.39</v>
      </c>
      <c r="N312" s="3">
        <f ca="1">IFERROR(__xludf.DUMMYFUNCTION("""COMPUTED_VALUE"""),60.27)</f>
        <v>60.27</v>
      </c>
      <c r="O312" s="3">
        <f ca="1">IFERROR(__xludf.DUMMYFUNCTION("""COMPUTED_VALUE"""),46.92)</f>
        <v>46.92</v>
      </c>
      <c r="P312" s="3">
        <f ca="1">IFERROR(__xludf.DUMMYFUNCTION("""COMPUTED_VALUE"""),80.78)</f>
        <v>80.78</v>
      </c>
      <c r="Q312" s="3">
        <f ca="1">IFERROR(__xludf.DUMMYFUNCTION("""COMPUTED_VALUE"""),111.65)</f>
        <v>111.65</v>
      </c>
      <c r="R312" s="3">
        <f ca="1">IFERROR(__xludf.DUMMYFUNCTION("""COMPUTED_VALUE"""),77.75)</f>
        <v>77.75</v>
      </c>
      <c r="S312" s="3">
        <f ca="1">IFERROR(__xludf.DUMMYFUNCTION("""COMPUTED_VALUE"""),51.55)</f>
        <v>51.55</v>
      </c>
      <c r="T312" s="3">
        <f ca="1">IFERROR(__xludf.DUMMYFUNCTION("""COMPUTED_VALUE"""),23.5)</f>
        <v>23.5</v>
      </c>
      <c r="U312" s="3">
        <f ca="1">IFERROR(__xludf.DUMMYFUNCTION("""COMPUTED_VALUE"""),64.55)</f>
        <v>64.55</v>
      </c>
      <c r="V312" s="3">
        <f ca="1">IFERROR(__xludf.DUMMYFUNCTION("""COMPUTED_VALUE"""),72.56)</f>
        <v>72.56</v>
      </c>
      <c r="W312" s="3">
        <f ca="1">IFERROR(__xludf.DUMMYFUNCTION("""COMPUTED_VALUE"""),31.41)</f>
        <v>31.41</v>
      </c>
      <c r="X312" s="3">
        <f ca="1">IFERROR(__xludf.DUMMYFUNCTION("""COMPUTED_VALUE"""),76.17)</f>
        <v>76.17</v>
      </c>
      <c r="Y312" s="3">
        <f ca="1">IFERROR(__xludf.DUMMYFUNCTION("""COMPUTED_VALUE"""),36.68)</f>
        <v>36.68</v>
      </c>
      <c r="Z312" s="3">
        <f ca="1">IFERROR(__xludf.DUMMYFUNCTION("""COMPUTED_VALUE"""),69.57)</f>
        <v>69.569999999999993</v>
      </c>
      <c r="AA312" s="3">
        <f ca="1">IFERROR(__xludf.DUMMYFUNCTION("""COMPUTED_VALUE"""),35.27)</f>
        <v>35.270000000000003</v>
      </c>
      <c r="AB312" s="3">
        <f ca="1">IFERROR(__xludf.DUMMYFUNCTION("""COMPUTED_VALUE"""),43.86)</f>
        <v>43.86</v>
      </c>
      <c r="AC312" s="3">
        <f ca="1">IFERROR(__xludf.DUMMYFUNCTION("""COMPUTED_VALUE"""),50.32)</f>
        <v>50.32</v>
      </c>
      <c r="AD312" s="3">
        <f ca="1">IFERROR(__xludf.DUMMYFUNCTION("""COMPUTED_VALUE"""),10.79)</f>
        <v>10.79</v>
      </c>
      <c r="AE312" s="3">
        <f ca="1">IFERROR(__xludf.DUMMYFUNCTION("""COMPUTED_VALUE"""),16.88)</f>
        <v>16.88</v>
      </c>
      <c r="AF312" s="3">
        <f ca="1">IFERROR(__xludf.DUMMYFUNCTION("""COMPUTED_VALUE"""),2.13)</f>
        <v>2.13</v>
      </c>
      <c r="AG312" s="3">
        <f ca="1">IFERROR(__xludf.DUMMYFUNCTION("""COMPUTED_VALUE"""),19.63)</f>
        <v>19.63</v>
      </c>
    </row>
    <row r="313" spans="1:33" ht="12.75" x14ac:dyDescent="0.2">
      <c r="A313" s="4">
        <f ca="1">IFERROR(__xludf.DUMMYFUNCTION("""COMPUTED_VALUE"""),45014.6666666666)</f>
        <v>45014.666666666599</v>
      </c>
      <c r="B313" s="3">
        <f ca="1">IFERROR(__xludf.DUMMYFUNCTION("""COMPUTED_VALUE"""),147.17)</f>
        <v>147.16999999999999</v>
      </c>
      <c r="C313" s="3">
        <f ca="1">IFERROR(__xludf.DUMMYFUNCTION("""COMPUTED_VALUE"""),375.52)</f>
        <v>375.52</v>
      </c>
      <c r="D313" s="3">
        <f ca="1">IFERROR(__xludf.DUMMYFUNCTION("""COMPUTED_VALUE"""),92.77)</f>
        <v>92.77</v>
      </c>
      <c r="E313" s="3">
        <f ca="1">IFERROR(__xludf.DUMMYFUNCTION("""COMPUTED_VALUE"""),144.92)</f>
        <v>144.91999999999999</v>
      </c>
      <c r="F313" s="3">
        <f ca="1">IFERROR(__xludf.DUMMYFUNCTION("""COMPUTED_VALUE"""),46.5)</f>
        <v>46.5</v>
      </c>
      <c r="G313" s="3">
        <f ca="1">IFERROR(__xludf.DUMMYFUNCTION("""COMPUTED_VALUE"""),24.83)</f>
        <v>24.83</v>
      </c>
      <c r="H313" s="3">
        <f ca="1">IFERROR(__xludf.DUMMYFUNCTION("""COMPUTED_VALUE"""),24.95)</f>
        <v>24.95</v>
      </c>
      <c r="I313" s="3">
        <f ca="1">IFERROR(__xludf.DUMMYFUNCTION("""COMPUTED_VALUE"""),127.4)</f>
        <v>127.4</v>
      </c>
      <c r="J313" s="3">
        <f ca="1">IFERROR(__xludf.DUMMYFUNCTION("""COMPUTED_VALUE"""),234.68)</f>
        <v>234.68</v>
      </c>
      <c r="K313" s="3">
        <f ca="1">IFERROR(__xludf.DUMMYFUNCTION("""COMPUTED_VALUE"""),127.83)</f>
        <v>127.83</v>
      </c>
      <c r="L313" s="3">
        <f ca="1">IFERROR(__xludf.DUMMYFUNCTION("""COMPUTED_VALUE"""),76.32)</f>
        <v>76.319999999999993</v>
      </c>
      <c r="M313" s="3">
        <f ca="1">IFERROR(__xludf.DUMMYFUNCTION("""COMPUTED_VALUE"""),62.21)</f>
        <v>62.21</v>
      </c>
      <c r="N313" s="3">
        <f ca="1">IFERROR(__xludf.DUMMYFUNCTION("""COMPUTED_VALUE"""),60.51)</f>
        <v>60.51</v>
      </c>
      <c r="O313" s="3">
        <f ca="1">IFERROR(__xludf.DUMMYFUNCTION("""COMPUTED_VALUE"""),48.01)</f>
        <v>48.01</v>
      </c>
      <c r="P313" s="3">
        <f ca="1">IFERROR(__xludf.DUMMYFUNCTION("""COMPUTED_VALUE"""),81.9)</f>
        <v>81.900000000000006</v>
      </c>
      <c r="Q313" s="3">
        <f ca="1">IFERROR(__xludf.DUMMYFUNCTION("""COMPUTED_VALUE"""),113.26)</f>
        <v>113.26</v>
      </c>
      <c r="R313" s="3">
        <f ca="1">IFERROR(__xludf.DUMMYFUNCTION("""COMPUTED_VALUE"""),78.83)</f>
        <v>78.83</v>
      </c>
      <c r="S313" s="3">
        <f ca="1">IFERROR(__xludf.DUMMYFUNCTION("""COMPUTED_VALUE"""),52.05)</f>
        <v>52.05</v>
      </c>
      <c r="T313" s="3">
        <f ca="1">IFERROR(__xludf.DUMMYFUNCTION("""COMPUTED_VALUE"""),23.35)</f>
        <v>23.35</v>
      </c>
      <c r="U313" s="3">
        <f ca="1">IFERROR(__xludf.DUMMYFUNCTION("""COMPUTED_VALUE"""),64.15)</f>
        <v>64.150000000000006</v>
      </c>
      <c r="V313" s="3">
        <f ca="1">IFERROR(__xludf.DUMMYFUNCTION("""COMPUTED_VALUE"""),74.2)</f>
        <v>74.2</v>
      </c>
      <c r="W313" s="3">
        <f ca="1">IFERROR(__xludf.DUMMYFUNCTION("""COMPUTED_VALUE"""),31.87)</f>
        <v>31.87</v>
      </c>
      <c r="X313" s="3">
        <f ca="1">IFERROR(__xludf.DUMMYFUNCTION("""COMPUTED_VALUE"""),77.29)</f>
        <v>77.290000000000006</v>
      </c>
      <c r="Y313" s="3">
        <f ca="1">IFERROR(__xludf.DUMMYFUNCTION("""COMPUTED_VALUE"""),37.22)</f>
        <v>37.22</v>
      </c>
      <c r="Z313" s="3">
        <f ca="1">IFERROR(__xludf.DUMMYFUNCTION("""COMPUTED_VALUE"""),70.6)</f>
        <v>70.599999999999994</v>
      </c>
      <c r="AA313" s="3">
        <f ca="1">IFERROR(__xludf.DUMMYFUNCTION("""COMPUTED_VALUE"""),36.11)</f>
        <v>36.11</v>
      </c>
      <c r="AB313" s="3">
        <f ca="1">IFERROR(__xludf.DUMMYFUNCTION("""COMPUTED_VALUE"""),44.33)</f>
        <v>44.33</v>
      </c>
      <c r="AC313" s="3">
        <f ca="1">IFERROR(__xludf.DUMMYFUNCTION("""COMPUTED_VALUE"""),50.29)</f>
        <v>50.29</v>
      </c>
      <c r="AD313" s="3">
        <f ca="1">IFERROR(__xludf.DUMMYFUNCTION("""COMPUTED_VALUE"""),11.18)</f>
        <v>11.18</v>
      </c>
      <c r="AE313" s="3">
        <f ca="1">IFERROR(__xludf.DUMMYFUNCTION("""COMPUTED_VALUE"""),17.49)</f>
        <v>17.489999999999998</v>
      </c>
      <c r="AF313" s="3">
        <f ca="1">IFERROR(__xludf.DUMMYFUNCTION("""COMPUTED_VALUE"""),2.15)</f>
        <v>2.15</v>
      </c>
      <c r="AG313" s="3">
        <f ca="1">IFERROR(__xludf.DUMMYFUNCTION("""COMPUTED_VALUE"""),21.13)</f>
        <v>21.13</v>
      </c>
    </row>
    <row r="314" spans="1:33" ht="12.75" x14ac:dyDescent="0.2">
      <c r="A314" s="4">
        <f ca="1">IFERROR(__xludf.DUMMYFUNCTION("""COMPUTED_VALUE"""),45015.6666666666)</f>
        <v>45015.666666666599</v>
      </c>
      <c r="B314" s="3">
        <f ca="1">IFERROR(__xludf.DUMMYFUNCTION("""COMPUTED_VALUE"""),148.88)</f>
        <v>148.88</v>
      </c>
      <c r="C314" s="3">
        <f ca="1">IFERROR(__xludf.DUMMYFUNCTION("""COMPUTED_VALUE"""),379.31)</f>
        <v>379.31</v>
      </c>
      <c r="D314" s="3">
        <f ca="1">IFERROR(__xludf.DUMMYFUNCTION("""COMPUTED_VALUE"""),92.34)</f>
        <v>92.34</v>
      </c>
      <c r="E314" s="3">
        <f ca="1">IFERROR(__xludf.DUMMYFUNCTION("""COMPUTED_VALUE"""),147.31)</f>
        <v>147.31</v>
      </c>
      <c r="F314" s="3">
        <f ca="1">IFERROR(__xludf.DUMMYFUNCTION("""COMPUTED_VALUE"""),46.74)</f>
        <v>46.74</v>
      </c>
      <c r="G314" s="3">
        <f ca="1">IFERROR(__xludf.DUMMYFUNCTION("""COMPUTED_VALUE"""),25.03)</f>
        <v>25.03</v>
      </c>
      <c r="H314" s="3">
        <f ca="1">IFERROR(__xludf.DUMMYFUNCTION("""COMPUTED_VALUE"""),25.06)</f>
        <v>25.06</v>
      </c>
      <c r="I314" s="3">
        <f ca="1">IFERROR(__xludf.DUMMYFUNCTION("""COMPUTED_VALUE"""),128.09)</f>
        <v>128.09</v>
      </c>
      <c r="J314" s="3">
        <f ca="1">IFERROR(__xludf.DUMMYFUNCTION("""COMPUTED_VALUE"""),235.7)</f>
        <v>235.7</v>
      </c>
      <c r="K314" s="3">
        <f ca="1">IFERROR(__xludf.DUMMYFUNCTION("""COMPUTED_VALUE"""),127.23)</f>
        <v>127.23</v>
      </c>
      <c r="L314" s="3">
        <f ca="1">IFERROR(__xludf.DUMMYFUNCTION("""COMPUTED_VALUE"""),74.67)</f>
        <v>74.67</v>
      </c>
      <c r="M314" s="3">
        <f ca="1">IFERROR(__xludf.DUMMYFUNCTION("""COMPUTED_VALUE"""),61.82)</f>
        <v>61.82</v>
      </c>
      <c r="N314" s="3">
        <f ca="1">IFERROR(__xludf.DUMMYFUNCTION("""COMPUTED_VALUE"""),60.77)</f>
        <v>60.77</v>
      </c>
      <c r="O314" s="3">
        <f ca="1">IFERROR(__xludf.DUMMYFUNCTION("""COMPUTED_VALUE"""),47.68)</f>
        <v>47.68</v>
      </c>
      <c r="P314" s="3">
        <f ca="1">IFERROR(__xludf.DUMMYFUNCTION("""COMPUTED_VALUE"""),82.26)</f>
        <v>82.26</v>
      </c>
      <c r="Q314" s="3">
        <f ca="1">IFERROR(__xludf.DUMMYFUNCTION("""COMPUTED_VALUE"""),113.56)</f>
        <v>113.56</v>
      </c>
      <c r="R314" s="3">
        <f ca="1">IFERROR(__xludf.DUMMYFUNCTION("""COMPUTED_VALUE"""),79.37)</f>
        <v>79.37</v>
      </c>
      <c r="S314" s="3">
        <f ca="1">IFERROR(__xludf.DUMMYFUNCTION("""COMPUTED_VALUE"""),52.42)</f>
        <v>52.42</v>
      </c>
      <c r="T314" s="3">
        <f ca="1">IFERROR(__xludf.DUMMYFUNCTION("""COMPUTED_VALUE"""),23.52)</f>
        <v>23.52</v>
      </c>
      <c r="U314" s="3">
        <f ca="1">IFERROR(__xludf.DUMMYFUNCTION("""COMPUTED_VALUE"""),65.32)</f>
        <v>65.319999999999993</v>
      </c>
      <c r="V314" s="3">
        <f ca="1">IFERROR(__xludf.DUMMYFUNCTION("""COMPUTED_VALUE"""),75.75)</f>
        <v>75.75</v>
      </c>
      <c r="W314" s="3">
        <f ca="1">IFERROR(__xludf.DUMMYFUNCTION("""COMPUTED_VALUE"""),31.8)</f>
        <v>31.8</v>
      </c>
      <c r="X314" s="3">
        <f ca="1">IFERROR(__xludf.DUMMYFUNCTION("""COMPUTED_VALUE"""),77.01)</f>
        <v>77.010000000000005</v>
      </c>
      <c r="Y314" s="3">
        <f ca="1">IFERROR(__xludf.DUMMYFUNCTION("""COMPUTED_VALUE"""),36.66)</f>
        <v>36.659999999999997</v>
      </c>
      <c r="Z314" s="3">
        <f ca="1">IFERROR(__xludf.DUMMYFUNCTION("""COMPUTED_VALUE"""),70.4)</f>
        <v>70.400000000000006</v>
      </c>
      <c r="AA314" s="3">
        <f ca="1">IFERROR(__xludf.DUMMYFUNCTION("""COMPUTED_VALUE"""),36.58)</f>
        <v>36.58</v>
      </c>
      <c r="AB314" s="3">
        <f ca="1">IFERROR(__xludf.DUMMYFUNCTION("""COMPUTED_VALUE"""),43.43)</f>
        <v>43.43</v>
      </c>
      <c r="AC314" s="3">
        <f ca="1">IFERROR(__xludf.DUMMYFUNCTION("""COMPUTED_VALUE"""),49.64)</f>
        <v>49.64</v>
      </c>
      <c r="AD314" s="3">
        <f ca="1">IFERROR(__xludf.DUMMYFUNCTION("""COMPUTED_VALUE"""),11.01)</f>
        <v>11.01</v>
      </c>
      <c r="AE314" s="3">
        <f ca="1">IFERROR(__xludf.DUMMYFUNCTION("""COMPUTED_VALUE"""),17.23)</f>
        <v>17.23</v>
      </c>
      <c r="AF314" s="3">
        <f ca="1">IFERROR(__xludf.DUMMYFUNCTION("""COMPUTED_VALUE"""),2.29)</f>
        <v>2.29</v>
      </c>
      <c r="AG314" s="3">
        <f ca="1">IFERROR(__xludf.DUMMYFUNCTION("""COMPUTED_VALUE"""),21.26)</f>
        <v>21.26</v>
      </c>
    </row>
    <row r="315" spans="1:33" ht="12.75" x14ac:dyDescent="0.2">
      <c r="A315" s="4">
        <f ca="1">IFERROR(__xludf.DUMMYFUNCTION("""COMPUTED_VALUE"""),45016.6666666666)</f>
        <v>45016.666666666599</v>
      </c>
      <c r="B315" s="3">
        <f ca="1">IFERROR(__xludf.DUMMYFUNCTION("""COMPUTED_VALUE"""),151.01)</f>
        <v>151.01</v>
      </c>
      <c r="C315" s="3">
        <f ca="1">IFERROR(__xludf.DUMMYFUNCTION("""COMPUTED_VALUE"""),385.47)</f>
        <v>385.47</v>
      </c>
      <c r="D315" s="3">
        <f ca="1">IFERROR(__xludf.DUMMYFUNCTION("""COMPUTED_VALUE"""),91.19)</f>
        <v>91.19</v>
      </c>
      <c r="E315" s="3">
        <f ca="1">IFERROR(__xludf.DUMMYFUNCTION("""COMPUTED_VALUE"""),148.22)</f>
        <v>148.22</v>
      </c>
      <c r="F315" s="3">
        <f ca="1">IFERROR(__xludf.DUMMYFUNCTION("""COMPUTED_VALUE"""),47.82)</f>
        <v>47.82</v>
      </c>
      <c r="G315" s="3">
        <f ca="1">IFERROR(__xludf.DUMMYFUNCTION("""COMPUTED_VALUE"""),25.5)</f>
        <v>25.5</v>
      </c>
      <c r="H315" s="3">
        <f ca="1">IFERROR(__xludf.DUMMYFUNCTION("""COMPUTED_VALUE"""),25.5)</f>
        <v>25.5</v>
      </c>
      <c r="I315" s="3">
        <f ca="1">IFERROR(__xludf.DUMMYFUNCTION("""COMPUTED_VALUE"""),129.46)</f>
        <v>129.46</v>
      </c>
      <c r="J315" s="3">
        <f ca="1">IFERROR(__xludf.DUMMYFUNCTION("""COMPUTED_VALUE"""),238.46)</f>
        <v>238.46</v>
      </c>
      <c r="K315" s="3">
        <f ca="1">IFERROR(__xludf.DUMMYFUNCTION("""COMPUTED_VALUE"""),129.16)</f>
        <v>129.16</v>
      </c>
      <c r="L315" s="3">
        <f ca="1">IFERROR(__xludf.DUMMYFUNCTION("""COMPUTED_VALUE"""),76.21)</f>
        <v>76.209999999999994</v>
      </c>
      <c r="M315" s="3">
        <f ca="1">IFERROR(__xludf.DUMMYFUNCTION("""COMPUTED_VALUE"""),62.77)</f>
        <v>62.77</v>
      </c>
      <c r="N315" s="3">
        <f ca="1">IFERROR(__xludf.DUMMYFUNCTION("""COMPUTED_VALUE"""),61.47)</f>
        <v>61.47</v>
      </c>
      <c r="O315" s="3">
        <f ca="1">IFERROR(__xludf.DUMMYFUNCTION("""COMPUTED_VALUE"""),49.28)</f>
        <v>49.28</v>
      </c>
      <c r="P315" s="3">
        <f ca="1">IFERROR(__xludf.DUMMYFUNCTION("""COMPUTED_VALUE"""),82.83)</f>
        <v>82.83</v>
      </c>
      <c r="Q315" s="3">
        <f ca="1">IFERROR(__xludf.DUMMYFUNCTION("""COMPUTED_VALUE"""),114.23)</f>
        <v>114.23</v>
      </c>
      <c r="R315" s="3">
        <f ca="1">IFERROR(__xludf.DUMMYFUNCTION("""COMPUTED_VALUE"""),80.66)</f>
        <v>80.66</v>
      </c>
      <c r="S315" s="3">
        <f ca="1">IFERROR(__xludf.DUMMYFUNCTION("""COMPUTED_VALUE"""),53.16)</f>
        <v>53.16</v>
      </c>
      <c r="T315" s="3">
        <f ca="1">IFERROR(__xludf.DUMMYFUNCTION("""COMPUTED_VALUE"""),23.74)</f>
        <v>23.74</v>
      </c>
      <c r="U315" s="3">
        <f ca="1">IFERROR(__xludf.DUMMYFUNCTION("""COMPUTED_VALUE"""),66.44)</f>
        <v>66.44</v>
      </c>
      <c r="V315" s="3">
        <f ca="1">IFERROR(__xludf.DUMMYFUNCTION("""COMPUTED_VALUE"""),77.63)</f>
        <v>77.63</v>
      </c>
      <c r="W315" s="3">
        <f ca="1">IFERROR(__xludf.DUMMYFUNCTION("""COMPUTED_VALUE"""),32.15)</f>
        <v>32.15</v>
      </c>
      <c r="X315" s="3">
        <f ca="1">IFERROR(__xludf.DUMMYFUNCTION("""COMPUTED_VALUE"""),77.89)</f>
        <v>77.89</v>
      </c>
      <c r="Y315" s="3">
        <f ca="1">IFERROR(__xludf.DUMMYFUNCTION("""COMPUTED_VALUE"""),37.07)</f>
        <v>37.07</v>
      </c>
      <c r="Z315" s="3">
        <f ca="1">IFERROR(__xludf.DUMMYFUNCTION("""COMPUTED_VALUE"""),71.14)</f>
        <v>71.14</v>
      </c>
      <c r="AA315" s="3">
        <f ca="1">IFERROR(__xludf.DUMMYFUNCTION("""COMPUTED_VALUE"""),37.38)</f>
        <v>37.380000000000003</v>
      </c>
      <c r="AB315" s="3">
        <f ca="1">IFERROR(__xludf.DUMMYFUNCTION("""COMPUTED_VALUE"""),43.86)</f>
        <v>43.86</v>
      </c>
      <c r="AC315" s="3">
        <f ca="1">IFERROR(__xludf.DUMMYFUNCTION("""COMPUTED_VALUE"""),49.42)</f>
        <v>49.42</v>
      </c>
      <c r="AD315" s="3">
        <f ca="1">IFERROR(__xludf.DUMMYFUNCTION("""COMPUTED_VALUE"""),11.19)</f>
        <v>11.19</v>
      </c>
      <c r="AE315" s="3">
        <f ca="1">IFERROR(__xludf.DUMMYFUNCTION("""COMPUTED_VALUE"""),17.52)</f>
        <v>17.52</v>
      </c>
      <c r="AF315" s="3">
        <f ca="1">IFERROR(__xludf.DUMMYFUNCTION("""COMPUTED_VALUE"""),2.33)</f>
        <v>2.33</v>
      </c>
      <c r="AG315" s="3">
        <f ca="1">IFERROR(__xludf.DUMMYFUNCTION("""COMPUTED_VALUE"""),22.25)</f>
        <v>22.25</v>
      </c>
    </row>
    <row r="316" spans="1:33" ht="12.75" x14ac:dyDescent="0.2">
      <c r="A316" s="4">
        <f ca="1">IFERROR(__xludf.DUMMYFUNCTION("""COMPUTED_VALUE"""),45019.6666666666)</f>
        <v>45019.666666666599</v>
      </c>
      <c r="B316" s="3">
        <f ca="1">IFERROR(__xludf.DUMMYFUNCTION("""COMPUTED_VALUE"""),150.77)</f>
        <v>150.77000000000001</v>
      </c>
      <c r="C316" s="3">
        <f ca="1">IFERROR(__xludf.DUMMYFUNCTION("""COMPUTED_VALUE"""),384.96)</f>
        <v>384.96</v>
      </c>
      <c r="D316" s="3">
        <f ca="1">IFERROR(__xludf.DUMMYFUNCTION("""COMPUTED_VALUE"""),92.01)</f>
        <v>92.01</v>
      </c>
      <c r="E316" s="3">
        <f ca="1">IFERROR(__xludf.DUMMYFUNCTION("""COMPUTED_VALUE"""),146.94)</f>
        <v>146.94</v>
      </c>
      <c r="F316" s="3">
        <f ca="1">IFERROR(__xludf.DUMMYFUNCTION("""COMPUTED_VALUE"""),47.69)</f>
        <v>47.69</v>
      </c>
      <c r="G316" s="3">
        <f ca="1">IFERROR(__xludf.DUMMYFUNCTION("""COMPUTED_VALUE"""),25.46)</f>
        <v>25.46</v>
      </c>
      <c r="H316" s="3">
        <f ca="1">IFERROR(__xludf.DUMMYFUNCTION("""COMPUTED_VALUE"""),25.35)</f>
        <v>25.35</v>
      </c>
      <c r="I316" s="3">
        <f ca="1">IFERROR(__xludf.DUMMYFUNCTION("""COMPUTED_VALUE"""),130.91)</f>
        <v>130.91</v>
      </c>
      <c r="J316" s="3">
        <f ca="1">IFERROR(__xludf.DUMMYFUNCTION("""COMPUTED_VALUE"""),240.78)</f>
        <v>240.78</v>
      </c>
      <c r="K316" s="3">
        <f ca="1">IFERROR(__xludf.DUMMYFUNCTION("""COMPUTED_VALUE"""),129.77)</f>
        <v>129.77000000000001</v>
      </c>
      <c r="L316" s="3">
        <f ca="1">IFERROR(__xludf.DUMMYFUNCTION("""COMPUTED_VALUE"""),77.06)</f>
        <v>77.06</v>
      </c>
      <c r="M316" s="3">
        <f ca="1">IFERROR(__xludf.DUMMYFUNCTION("""COMPUTED_VALUE"""),62.9)</f>
        <v>62.9</v>
      </c>
      <c r="N316" s="3">
        <f ca="1">IFERROR(__xludf.DUMMYFUNCTION("""COMPUTED_VALUE"""),62.03)</f>
        <v>62.03</v>
      </c>
      <c r="O316" s="3">
        <f ca="1">IFERROR(__xludf.DUMMYFUNCTION("""COMPUTED_VALUE"""),49.14)</f>
        <v>49.14</v>
      </c>
      <c r="P316" s="3">
        <f ca="1">IFERROR(__xludf.DUMMYFUNCTION("""COMPUTED_VALUE"""),86.58)</f>
        <v>86.58</v>
      </c>
      <c r="Q316" s="3">
        <f ca="1">IFERROR(__xludf.DUMMYFUNCTION("""COMPUTED_VALUE"""),119.68)</f>
        <v>119.68</v>
      </c>
      <c r="R316" s="3">
        <f ca="1">IFERROR(__xludf.DUMMYFUNCTION("""COMPUTED_VALUE"""),81.17)</f>
        <v>81.17</v>
      </c>
      <c r="S316" s="3">
        <f ca="1">IFERROR(__xludf.DUMMYFUNCTION("""COMPUTED_VALUE"""),53.48)</f>
        <v>53.48</v>
      </c>
      <c r="T316" s="3">
        <f ca="1">IFERROR(__xludf.DUMMYFUNCTION("""COMPUTED_VALUE"""),24.13)</f>
        <v>24.13</v>
      </c>
      <c r="U316" s="3">
        <f ca="1">IFERROR(__xludf.DUMMYFUNCTION("""COMPUTED_VALUE"""),70.27)</f>
        <v>70.27</v>
      </c>
      <c r="V316" s="3">
        <f ca="1">IFERROR(__xludf.DUMMYFUNCTION("""COMPUTED_VALUE"""),76.36)</f>
        <v>76.36</v>
      </c>
      <c r="W316" s="3">
        <f ca="1">IFERROR(__xludf.DUMMYFUNCTION("""COMPUTED_VALUE"""),32.21)</f>
        <v>32.21</v>
      </c>
      <c r="X316" s="3">
        <f ca="1">IFERROR(__xludf.DUMMYFUNCTION("""COMPUTED_VALUE"""),77.75)</f>
        <v>77.75</v>
      </c>
      <c r="Y316" s="3">
        <f ca="1">IFERROR(__xludf.DUMMYFUNCTION("""COMPUTED_VALUE"""),36.76)</f>
        <v>36.76</v>
      </c>
      <c r="Z316" s="3">
        <f ca="1">IFERROR(__xludf.DUMMYFUNCTION("""COMPUTED_VALUE"""),71.19)</f>
        <v>71.19</v>
      </c>
      <c r="AA316" s="3">
        <f ca="1">IFERROR(__xludf.DUMMYFUNCTION("""COMPUTED_VALUE"""),37.03)</f>
        <v>37.03</v>
      </c>
      <c r="AB316" s="3">
        <f ca="1">IFERROR(__xludf.DUMMYFUNCTION("""COMPUTED_VALUE"""),43.4)</f>
        <v>43.4</v>
      </c>
      <c r="AC316" s="3">
        <f ca="1">IFERROR(__xludf.DUMMYFUNCTION("""COMPUTED_VALUE"""),49.45)</f>
        <v>49.45</v>
      </c>
      <c r="AD316" s="3">
        <f ca="1">IFERROR(__xludf.DUMMYFUNCTION("""COMPUTED_VALUE"""),11.01)</f>
        <v>11.01</v>
      </c>
      <c r="AE316" s="3">
        <f ca="1">IFERROR(__xludf.DUMMYFUNCTION("""COMPUTED_VALUE"""),16.76)</f>
        <v>16.760000000000002</v>
      </c>
      <c r="AF316" s="3">
        <f ca="1">IFERROR(__xludf.DUMMYFUNCTION("""COMPUTED_VALUE"""),2.37)</f>
        <v>2.37</v>
      </c>
      <c r="AG316" s="3">
        <f ca="1">IFERROR(__xludf.DUMMYFUNCTION("""COMPUTED_VALUE"""),21.82)</f>
        <v>21.82</v>
      </c>
    </row>
    <row r="317" spans="1:33" ht="12.75" x14ac:dyDescent="0.2">
      <c r="A317" s="4">
        <f ca="1">IFERROR(__xludf.DUMMYFUNCTION("""COMPUTED_VALUE"""),45020.6666666666)</f>
        <v>45020.666666666599</v>
      </c>
      <c r="B317" s="3">
        <f ca="1">IFERROR(__xludf.DUMMYFUNCTION("""COMPUTED_VALUE"""),149.94)</f>
        <v>149.94</v>
      </c>
      <c r="C317" s="3">
        <f ca="1">IFERROR(__xludf.DUMMYFUNCTION("""COMPUTED_VALUE"""),382.52)</f>
        <v>382.52</v>
      </c>
      <c r="D317" s="3">
        <f ca="1">IFERROR(__xludf.DUMMYFUNCTION("""COMPUTED_VALUE"""),91.87)</f>
        <v>91.87</v>
      </c>
      <c r="E317" s="3">
        <f ca="1">IFERROR(__xludf.DUMMYFUNCTION("""COMPUTED_VALUE"""),144.2)</f>
        <v>144.19999999999999</v>
      </c>
      <c r="F317" s="3">
        <f ca="1">IFERROR(__xludf.DUMMYFUNCTION("""COMPUTED_VALUE"""),47.62)</f>
        <v>47.62</v>
      </c>
      <c r="G317" s="3">
        <f ca="1">IFERROR(__xludf.DUMMYFUNCTION("""COMPUTED_VALUE"""),25.07)</f>
        <v>25.07</v>
      </c>
      <c r="H317" s="3">
        <f ca="1">IFERROR(__xludf.DUMMYFUNCTION("""COMPUTED_VALUE"""),25.11)</f>
        <v>25.11</v>
      </c>
      <c r="I317" s="3">
        <f ca="1">IFERROR(__xludf.DUMMYFUNCTION("""COMPUTED_VALUE"""),130.93)</f>
        <v>130.93</v>
      </c>
      <c r="J317" s="3">
        <f ca="1">IFERROR(__xludf.DUMMYFUNCTION("""COMPUTED_VALUE"""),240.64)</f>
        <v>240.64</v>
      </c>
      <c r="K317" s="3">
        <f ca="1">IFERROR(__xludf.DUMMYFUNCTION("""COMPUTED_VALUE"""),128.86)</f>
        <v>128.86000000000001</v>
      </c>
      <c r="L317" s="3">
        <f ca="1">IFERROR(__xludf.DUMMYFUNCTION("""COMPUTED_VALUE"""),75.57)</f>
        <v>75.569999999999993</v>
      </c>
      <c r="M317" s="3">
        <f ca="1">IFERROR(__xludf.DUMMYFUNCTION("""COMPUTED_VALUE"""),62.59)</f>
        <v>62.59</v>
      </c>
      <c r="N317" s="3">
        <f ca="1">IFERROR(__xludf.DUMMYFUNCTION("""COMPUTED_VALUE"""),62.05)</f>
        <v>62.05</v>
      </c>
      <c r="O317" s="3">
        <f ca="1">IFERROR(__xludf.DUMMYFUNCTION("""COMPUTED_VALUE"""),48.62)</f>
        <v>48.62</v>
      </c>
      <c r="P317" s="3">
        <f ca="1">IFERROR(__xludf.DUMMYFUNCTION("""COMPUTED_VALUE"""),85.01)</f>
        <v>85.01</v>
      </c>
      <c r="Q317" s="3">
        <f ca="1">IFERROR(__xludf.DUMMYFUNCTION("""COMPUTED_VALUE"""),117.34)</f>
        <v>117.34</v>
      </c>
      <c r="R317" s="3">
        <f ca="1">IFERROR(__xludf.DUMMYFUNCTION("""COMPUTED_VALUE"""),80)</f>
        <v>80</v>
      </c>
      <c r="S317" s="3">
        <f ca="1">IFERROR(__xludf.DUMMYFUNCTION("""COMPUTED_VALUE"""),52.13)</f>
        <v>52.13</v>
      </c>
      <c r="T317" s="3">
        <f ca="1">IFERROR(__xludf.DUMMYFUNCTION("""COMPUTED_VALUE"""),24.1)</f>
        <v>24.1</v>
      </c>
      <c r="U317" s="3">
        <f ca="1">IFERROR(__xludf.DUMMYFUNCTION("""COMPUTED_VALUE"""),70.27)</f>
        <v>70.27</v>
      </c>
      <c r="V317" s="3">
        <f ca="1">IFERROR(__xludf.DUMMYFUNCTION("""COMPUTED_VALUE"""),75.83)</f>
        <v>75.83</v>
      </c>
      <c r="W317" s="3">
        <f ca="1">IFERROR(__xludf.DUMMYFUNCTION("""COMPUTED_VALUE"""),31.91)</f>
        <v>31.91</v>
      </c>
      <c r="X317" s="3">
        <f ca="1">IFERROR(__xludf.DUMMYFUNCTION("""COMPUTED_VALUE"""),76.8)</f>
        <v>76.8</v>
      </c>
      <c r="Y317" s="3">
        <f ca="1">IFERROR(__xludf.DUMMYFUNCTION("""COMPUTED_VALUE"""),36.03)</f>
        <v>36.03</v>
      </c>
      <c r="Z317" s="3">
        <f ca="1">IFERROR(__xludf.DUMMYFUNCTION("""COMPUTED_VALUE"""),70.31)</f>
        <v>70.31</v>
      </c>
      <c r="AA317" s="3">
        <f ca="1">IFERROR(__xludf.DUMMYFUNCTION("""COMPUTED_VALUE"""),37.04)</f>
        <v>37.04</v>
      </c>
      <c r="AB317" s="3">
        <f ca="1">IFERROR(__xludf.DUMMYFUNCTION("""COMPUTED_VALUE"""),42.44)</f>
        <v>42.44</v>
      </c>
      <c r="AC317" s="3">
        <f ca="1">IFERROR(__xludf.DUMMYFUNCTION("""COMPUTED_VALUE"""),49.7)</f>
        <v>49.7</v>
      </c>
      <c r="AD317" s="3">
        <f ca="1">IFERROR(__xludf.DUMMYFUNCTION("""COMPUTED_VALUE"""),11.05)</f>
        <v>11.05</v>
      </c>
      <c r="AE317" s="3">
        <f ca="1">IFERROR(__xludf.DUMMYFUNCTION("""COMPUTED_VALUE"""),16.83)</f>
        <v>16.829999999999998</v>
      </c>
      <c r="AF317" s="3">
        <f ca="1">IFERROR(__xludf.DUMMYFUNCTION("""COMPUTED_VALUE"""),2.35)</f>
        <v>2.35</v>
      </c>
      <c r="AG317" s="3">
        <f ca="1">IFERROR(__xludf.DUMMYFUNCTION("""COMPUTED_VALUE"""),21.63)</f>
        <v>21.63</v>
      </c>
    </row>
    <row r="318" spans="1:33" ht="12.75" x14ac:dyDescent="0.2">
      <c r="A318" s="4">
        <f ca="1">IFERROR(__xludf.DUMMYFUNCTION("""COMPUTED_VALUE"""),45021.6666666666)</f>
        <v>45021.666666666599</v>
      </c>
      <c r="B318" s="3">
        <f ca="1">IFERROR(__xludf.DUMMYFUNCTION("""COMPUTED_VALUE"""),148.23)</f>
        <v>148.22999999999999</v>
      </c>
      <c r="C318" s="3">
        <f ca="1">IFERROR(__xludf.DUMMYFUNCTION("""COMPUTED_VALUE"""),377.92)</f>
        <v>377.92</v>
      </c>
      <c r="D318" s="3">
        <f ca="1">IFERROR(__xludf.DUMMYFUNCTION("""COMPUTED_VALUE"""),91.05)</f>
        <v>91.05</v>
      </c>
      <c r="E318" s="3">
        <f ca="1">IFERROR(__xludf.DUMMYFUNCTION("""COMPUTED_VALUE"""),141.7)</f>
        <v>141.69999999999999</v>
      </c>
      <c r="F318" s="3">
        <f ca="1">IFERROR(__xludf.DUMMYFUNCTION("""COMPUTED_VALUE"""),46.9)</f>
        <v>46.9</v>
      </c>
      <c r="G318" s="3">
        <f ca="1">IFERROR(__xludf.DUMMYFUNCTION("""COMPUTED_VALUE"""),24.59)</f>
        <v>24.59</v>
      </c>
      <c r="H318" s="3">
        <f ca="1">IFERROR(__xludf.DUMMYFUNCTION("""COMPUTED_VALUE"""),24.82)</f>
        <v>24.82</v>
      </c>
      <c r="I318" s="3">
        <f ca="1">IFERROR(__xludf.DUMMYFUNCTION("""COMPUTED_VALUE"""),133.19)</f>
        <v>133.19</v>
      </c>
      <c r="J318" s="3">
        <f ca="1">IFERROR(__xludf.DUMMYFUNCTION("""COMPUTED_VALUE"""),244.36)</f>
        <v>244.36</v>
      </c>
      <c r="K318" s="3">
        <f ca="1">IFERROR(__xludf.DUMMYFUNCTION("""COMPUTED_VALUE"""),129.51)</f>
        <v>129.51</v>
      </c>
      <c r="L318" s="3">
        <f ca="1">IFERROR(__xludf.DUMMYFUNCTION("""COMPUTED_VALUE"""),75.38)</f>
        <v>75.38</v>
      </c>
      <c r="M318" s="3">
        <f ca="1">IFERROR(__xludf.DUMMYFUNCTION("""COMPUTED_VALUE"""),63.19)</f>
        <v>63.19</v>
      </c>
      <c r="N318" s="3">
        <f ca="1">IFERROR(__xludf.DUMMYFUNCTION("""COMPUTED_VALUE"""),62.98)</f>
        <v>62.98</v>
      </c>
      <c r="O318" s="3">
        <f ca="1">IFERROR(__xludf.DUMMYFUNCTION("""COMPUTED_VALUE"""),48.24)</f>
        <v>48.24</v>
      </c>
      <c r="P318" s="3">
        <f ca="1">IFERROR(__xludf.DUMMYFUNCTION("""COMPUTED_VALUE"""),86.29)</f>
        <v>86.29</v>
      </c>
      <c r="Q318" s="3">
        <f ca="1">IFERROR(__xludf.DUMMYFUNCTION("""COMPUTED_VALUE"""),118.94)</f>
        <v>118.94</v>
      </c>
      <c r="R318" s="3">
        <f ca="1">IFERROR(__xludf.DUMMYFUNCTION("""COMPUTED_VALUE"""),79.82)</f>
        <v>79.819999999999993</v>
      </c>
      <c r="S318" s="3">
        <f ca="1">IFERROR(__xludf.DUMMYFUNCTION("""COMPUTED_VALUE"""),51.53)</f>
        <v>51.53</v>
      </c>
      <c r="T318" s="3">
        <f ca="1">IFERROR(__xludf.DUMMYFUNCTION("""COMPUTED_VALUE"""),24.19)</f>
        <v>24.19</v>
      </c>
      <c r="U318" s="3">
        <f ca="1">IFERROR(__xludf.DUMMYFUNCTION("""COMPUTED_VALUE"""),70.24)</f>
        <v>70.239999999999995</v>
      </c>
      <c r="V318" s="3">
        <f ca="1">IFERROR(__xludf.DUMMYFUNCTION("""COMPUTED_VALUE"""),73.69)</f>
        <v>73.69</v>
      </c>
      <c r="W318" s="3">
        <f ca="1">IFERROR(__xludf.DUMMYFUNCTION("""COMPUTED_VALUE"""),31.87)</f>
        <v>31.87</v>
      </c>
      <c r="X318" s="3">
        <f ca="1">IFERROR(__xludf.DUMMYFUNCTION("""COMPUTED_VALUE"""),76.71)</f>
        <v>76.709999999999994</v>
      </c>
      <c r="Y318" s="3">
        <f ca="1">IFERROR(__xludf.DUMMYFUNCTION("""COMPUTED_VALUE"""),35.8)</f>
        <v>35.799999999999997</v>
      </c>
      <c r="Z318" s="3">
        <f ca="1">IFERROR(__xludf.DUMMYFUNCTION("""COMPUTED_VALUE"""),70.27)</f>
        <v>70.27</v>
      </c>
      <c r="AA318" s="3">
        <f ca="1">IFERROR(__xludf.DUMMYFUNCTION("""COMPUTED_VALUE"""),36.85)</f>
        <v>36.85</v>
      </c>
      <c r="AB318" s="3">
        <f ca="1">IFERROR(__xludf.DUMMYFUNCTION("""COMPUTED_VALUE"""),42.01)</f>
        <v>42.01</v>
      </c>
      <c r="AC318" s="3">
        <f ca="1">IFERROR(__xludf.DUMMYFUNCTION("""COMPUTED_VALUE"""),50.25)</f>
        <v>50.25</v>
      </c>
      <c r="AD318" s="3">
        <f ca="1">IFERROR(__xludf.DUMMYFUNCTION("""COMPUTED_VALUE"""),11.05)</f>
        <v>11.05</v>
      </c>
      <c r="AE318" s="3">
        <f ca="1">IFERROR(__xludf.DUMMYFUNCTION("""COMPUTED_VALUE"""),16.84)</f>
        <v>16.84</v>
      </c>
      <c r="AF318" s="3">
        <f ca="1">IFERROR(__xludf.DUMMYFUNCTION("""COMPUTED_VALUE"""),2.39)</f>
        <v>2.39</v>
      </c>
      <c r="AG318" s="3">
        <f ca="1">IFERROR(__xludf.DUMMYFUNCTION("""COMPUTED_VALUE"""),20.86)</f>
        <v>20.86</v>
      </c>
    </row>
    <row r="319" spans="1:33" ht="12.75" x14ac:dyDescent="0.2">
      <c r="A319" s="4">
        <f ca="1">IFERROR(__xludf.DUMMYFUNCTION("""COMPUTED_VALUE"""),45022.6666666666)</f>
        <v>45022.666666666599</v>
      </c>
      <c r="B319" s="3">
        <f ca="1">IFERROR(__xludf.DUMMYFUNCTION("""COMPUTED_VALUE"""),149.07)</f>
        <v>149.07</v>
      </c>
      <c r="C319" s="3">
        <f ca="1">IFERROR(__xludf.DUMMYFUNCTION("""COMPUTED_VALUE"""),379.88)</f>
        <v>379.88</v>
      </c>
      <c r="D319" s="3">
        <f ca="1">IFERROR(__xludf.DUMMYFUNCTION("""COMPUTED_VALUE"""),90.5)</f>
        <v>90.5</v>
      </c>
      <c r="E319" s="3">
        <f ca="1">IFERROR(__xludf.DUMMYFUNCTION("""COMPUTED_VALUE"""),140.97)</f>
        <v>140.97</v>
      </c>
      <c r="F319" s="3">
        <f ca="1">IFERROR(__xludf.DUMMYFUNCTION("""COMPUTED_VALUE"""),47.17)</f>
        <v>47.17</v>
      </c>
      <c r="G319" s="3">
        <f ca="1">IFERROR(__xludf.DUMMYFUNCTION("""COMPUTED_VALUE"""),24.5)</f>
        <v>24.5</v>
      </c>
      <c r="H319" s="3">
        <f ca="1">IFERROR(__xludf.DUMMYFUNCTION("""COMPUTED_VALUE"""),24.95)</f>
        <v>24.95</v>
      </c>
      <c r="I319" s="3">
        <f ca="1">IFERROR(__xludf.DUMMYFUNCTION("""COMPUTED_VALUE"""),133.52)</f>
        <v>133.52000000000001</v>
      </c>
      <c r="J319" s="3">
        <f ca="1">IFERROR(__xludf.DUMMYFUNCTION("""COMPUTED_VALUE"""),245.09)</f>
        <v>245.09</v>
      </c>
      <c r="K319" s="3">
        <f ca="1">IFERROR(__xludf.DUMMYFUNCTION("""COMPUTED_VALUE"""),131.05)</f>
        <v>131.05000000000001</v>
      </c>
      <c r="L319" s="3">
        <f ca="1">IFERROR(__xludf.DUMMYFUNCTION("""COMPUTED_VALUE"""),76.87)</f>
        <v>76.87</v>
      </c>
      <c r="M319" s="3">
        <f ca="1">IFERROR(__xludf.DUMMYFUNCTION("""COMPUTED_VALUE"""),64.1)</f>
        <v>64.099999999999994</v>
      </c>
      <c r="N319" s="3">
        <f ca="1">IFERROR(__xludf.DUMMYFUNCTION("""COMPUTED_VALUE"""),63.21)</f>
        <v>63.21</v>
      </c>
      <c r="O319" s="3">
        <f ca="1">IFERROR(__xludf.DUMMYFUNCTION("""COMPUTED_VALUE"""),48.93)</f>
        <v>48.93</v>
      </c>
      <c r="P319" s="3">
        <f ca="1">IFERROR(__xludf.DUMMYFUNCTION("""COMPUTED_VALUE"""),84.98)</f>
        <v>84.98</v>
      </c>
      <c r="Q319" s="3">
        <f ca="1">IFERROR(__xludf.DUMMYFUNCTION("""COMPUTED_VALUE"""),117.18)</f>
        <v>117.18</v>
      </c>
      <c r="R319" s="3">
        <f ca="1">IFERROR(__xludf.DUMMYFUNCTION("""COMPUTED_VALUE"""),79.63)</f>
        <v>79.63</v>
      </c>
      <c r="S319" s="3">
        <f ca="1">IFERROR(__xludf.DUMMYFUNCTION("""COMPUTED_VALUE"""),51.36)</f>
        <v>51.36</v>
      </c>
      <c r="T319" s="3">
        <f ca="1">IFERROR(__xludf.DUMMYFUNCTION("""COMPUTED_VALUE"""),24.12)</f>
        <v>24.12</v>
      </c>
      <c r="U319" s="3">
        <f ca="1">IFERROR(__xludf.DUMMYFUNCTION("""COMPUTED_VALUE"""),70.26)</f>
        <v>70.260000000000005</v>
      </c>
      <c r="V319" s="3">
        <f ca="1">IFERROR(__xludf.DUMMYFUNCTION("""COMPUTED_VALUE"""),73.68)</f>
        <v>73.680000000000007</v>
      </c>
      <c r="W319" s="3">
        <f ca="1">IFERROR(__xludf.DUMMYFUNCTION("""COMPUTED_VALUE"""),31.99)</f>
        <v>31.99</v>
      </c>
      <c r="X319" s="3">
        <f ca="1">IFERROR(__xludf.DUMMYFUNCTION("""COMPUTED_VALUE"""),77.05)</f>
        <v>77.05</v>
      </c>
      <c r="Y319" s="3">
        <f ca="1">IFERROR(__xludf.DUMMYFUNCTION("""COMPUTED_VALUE"""),36.21)</f>
        <v>36.21</v>
      </c>
      <c r="Z319" s="3">
        <f ca="1">IFERROR(__xludf.DUMMYFUNCTION("""COMPUTED_VALUE"""),70.64)</f>
        <v>70.64</v>
      </c>
      <c r="AA319" s="3">
        <f ca="1">IFERROR(__xludf.DUMMYFUNCTION("""COMPUTED_VALUE"""),37.1)</f>
        <v>37.1</v>
      </c>
      <c r="AB319" s="3">
        <f ca="1">IFERROR(__xludf.DUMMYFUNCTION("""COMPUTED_VALUE"""),42.63)</f>
        <v>42.63</v>
      </c>
      <c r="AC319" s="3">
        <f ca="1">IFERROR(__xludf.DUMMYFUNCTION("""COMPUTED_VALUE"""),50.07)</f>
        <v>50.07</v>
      </c>
      <c r="AD319" s="3">
        <f ca="1">IFERROR(__xludf.DUMMYFUNCTION("""COMPUTED_VALUE"""),10.96)</f>
        <v>10.96</v>
      </c>
      <c r="AE319" s="3">
        <f ca="1">IFERROR(__xludf.DUMMYFUNCTION("""COMPUTED_VALUE"""),16.69)</f>
        <v>16.690000000000001</v>
      </c>
      <c r="AF319" s="3">
        <f ca="1">IFERROR(__xludf.DUMMYFUNCTION("""COMPUTED_VALUE"""),2.29)</f>
        <v>2.29</v>
      </c>
      <c r="AG319" s="3">
        <f ca="1">IFERROR(__xludf.DUMMYFUNCTION("""COMPUTED_VALUE"""),21.14)</f>
        <v>21.14</v>
      </c>
    </row>
    <row r="320" spans="1:33" ht="12.75" x14ac:dyDescent="0.2">
      <c r="A320" s="4">
        <f ca="1">IFERROR(__xludf.DUMMYFUNCTION("""COMPUTED_VALUE"""),45026.6666666666)</f>
        <v>45026.666666666599</v>
      </c>
      <c r="B320" s="3">
        <f ca="1">IFERROR(__xludf.DUMMYFUNCTION("""COMPUTED_VALUE"""),148.99)</f>
        <v>148.99</v>
      </c>
      <c r="C320" s="3">
        <f ca="1">IFERROR(__xludf.DUMMYFUNCTION("""COMPUTED_VALUE"""),379.66)</f>
        <v>379.66</v>
      </c>
      <c r="D320" s="3">
        <f ca="1">IFERROR(__xludf.DUMMYFUNCTION("""COMPUTED_VALUE"""),92.3)</f>
        <v>92.3</v>
      </c>
      <c r="E320" s="3">
        <f ca="1">IFERROR(__xludf.DUMMYFUNCTION("""COMPUTED_VALUE"""),143.46)</f>
        <v>143.46</v>
      </c>
      <c r="F320" s="3">
        <f ca="1">IFERROR(__xludf.DUMMYFUNCTION("""COMPUTED_VALUE"""),47.18)</f>
        <v>47.18</v>
      </c>
      <c r="G320" s="3">
        <f ca="1">IFERROR(__xludf.DUMMYFUNCTION("""COMPUTED_VALUE"""),24.69)</f>
        <v>24.69</v>
      </c>
      <c r="H320" s="3">
        <f ca="1">IFERROR(__xludf.DUMMYFUNCTION("""COMPUTED_VALUE"""),25.15)</f>
        <v>25.15</v>
      </c>
      <c r="I320" s="3">
        <f ca="1">IFERROR(__xludf.DUMMYFUNCTION("""COMPUTED_VALUE"""),133.43)</f>
        <v>133.43</v>
      </c>
      <c r="J320" s="3">
        <f ca="1">IFERROR(__xludf.DUMMYFUNCTION("""COMPUTED_VALUE"""),245.02)</f>
        <v>245.02</v>
      </c>
      <c r="K320" s="3">
        <f ca="1">IFERROR(__xludf.DUMMYFUNCTION("""COMPUTED_VALUE"""),130.36)</f>
        <v>130.36000000000001</v>
      </c>
      <c r="L320" s="3">
        <f ca="1">IFERROR(__xludf.DUMMYFUNCTION("""COMPUTED_VALUE"""),76.15)</f>
        <v>76.150000000000006</v>
      </c>
      <c r="M320" s="3">
        <f ca="1">IFERROR(__xludf.DUMMYFUNCTION("""COMPUTED_VALUE"""),63.47)</f>
        <v>63.47</v>
      </c>
      <c r="N320" s="3">
        <f ca="1">IFERROR(__xludf.DUMMYFUNCTION("""COMPUTED_VALUE"""),63.2)</f>
        <v>63.2</v>
      </c>
      <c r="O320" s="3">
        <f ca="1">IFERROR(__xludf.DUMMYFUNCTION("""COMPUTED_VALUE"""),48.54)</f>
        <v>48.54</v>
      </c>
      <c r="P320" s="3">
        <f ca="1">IFERROR(__xludf.DUMMYFUNCTION("""COMPUTED_VALUE"""),85.66)</f>
        <v>85.66</v>
      </c>
      <c r="Q320" s="3">
        <f ca="1">IFERROR(__xludf.DUMMYFUNCTION("""COMPUTED_VALUE"""),118.07)</f>
        <v>118.07</v>
      </c>
      <c r="R320" s="3">
        <f ca="1">IFERROR(__xludf.DUMMYFUNCTION("""COMPUTED_VALUE"""),80.01)</f>
        <v>80.010000000000005</v>
      </c>
      <c r="S320" s="3">
        <f ca="1">IFERROR(__xludf.DUMMYFUNCTION("""COMPUTED_VALUE"""),51.77)</f>
        <v>51.77</v>
      </c>
      <c r="T320" s="3">
        <f ca="1">IFERROR(__xludf.DUMMYFUNCTION("""COMPUTED_VALUE"""),24.12)</f>
        <v>24.12</v>
      </c>
      <c r="U320" s="3">
        <f ca="1">IFERROR(__xludf.DUMMYFUNCTION("""COMPUTED_VALUE"""),69.76)</f>
        <v>69.760000000000005</v>
      </c>
      <c r="V320" s="3">
        <f ca="1">IFERROR(__xludf.DUMMYFUNCTION("""COMPUTED_VALUE"""),75.19)</f>
        <v>75.19</v>
      </c>
      <c r="W320" s="3">
        <f ca="1">IFERROR(__xludf.DUMMYFUNCTION("""COMPUTED_VALUE"""),32.06)</f>
        <v>32.06</v>
      </c>
      <c r="X320" s="3">
        <f ca="1">IFERROR(__xludf.DUMMYFUNCTION("""COMPUTED_VALUE"""),77.36)</f>
        <v>77.36</v>
      </c>
      <c r="Y320" s="3">
        <f ca="1">IFERROR(__xludf.DUMMYFUNCTION("""COMPUTED_VALUE"""),36.46)</f>
        <v>36.46</v>
      </c>
      <c r="Z320" s="3">
        <f ca="1">IFERROR(__xludf.DUMMYFUNCTION("""COMPUTED_VALUE"""),70.9)</f>
        <v>70.900000000000006</v>
      </c>
      <c r="AA320" s="3">
        <f ca="1">IFERROR(__xludf.DUMMYFUNCTION("""COMPUTED_VALUE"""),37.29)</f>
        <v>37.29</v>
      </c>
      <c r="AB320" s="3">
        <f ca="1">IFERROR(__xludf.DUMMYFUNCTION("""COMPUTED_VALUE"""),42.85)</f>
        <v>42.85</v>
      </c>
      <c r="AC320" s="3">
        <f ca="1">IFERROR(__xludf.DUMMYFUNCTION("""COMPUTED_VALUE"""),50.61)</f>
        <v>50.61</v>
      </c>
      <c r="AD320" s="3">
        <f ca="1">IFERROR(__xludf.DUMMYFUNCTION("""COMPUTED_VALUE"""),11.45)</f>
        <v>11.45</v>
      </c>
      <c r="AE320" s="3">
        <f ca="1">IFERROR(__xludf.DUMMYFUNCTION("""COMPUTED_VALUE"""),17.47)</f>
        <v>17.47</v>
      </c>
      <c r="AF320" s="3">
        <f ca="1">IFERROR(__xludf.DUMMYFUNCTION("""COMPUTED_VALUE"""),2.59)</f>
        <v>2.59</v>
      </c>
      <c r="AG320" s="3">
        <f ca="1">IFERROR(__xludf.DUMMYFUNCTION("""COMPUTED_VALUE"""),22.7)</f>
        <v>22.7</v>
      </c>
    </row>
    <row r="321" spans="1:33" ht="12.75" x14ac:dyDescent="0.2">
      <c r="A321" s="4">
        <f ca="1">IFERROR(__xludf.DUMMYFUNCTION("""COMPUTED_VALUE"""),45027.6666666666)</f>
        <v>45027.666666666599</v>
      </c>
      <c r="B321" s="3">
        <f ca="1">IFERROR(__xludf.DUMMYFUNCTION("""COMPUTED_VALUE"""),147.59)</f>
        <v>147.59</v>
      </c>
      <c r="C321" s="3">
        <f ca="1">IFERROR(__xludf.DUMMYFUNCTION("""COMPUTED_VALUE"""),376.84)</f>
        <v>376.84</v>
      </c>
      <c r="D321" s="3">
        <f ca="1">IFERROR(__xludf.DUMMYFUNCTION("""COMPUTED_VALUE"""),92.03)</f>
        <v>92.03</v>
      </c>
      <c r="E321" s="3">
        <f ca="1">IFERROR(__xludf.DUMMYFUNCTION("""COMPUTED_VALUE"""),142.71)</f>
        <v>142.71</v>
      </c>
      <c r="F321" s="3">
        <f ca="1">IFERROR(__xludf.DUMMYFUNCTION("""COMPUTED_VALUE"""),47.3)</f>
        <v>47.3</v>
      </c>
      <c r="G321" s="3">
        <f ca="1">IFERROR(__xludf.DUMMYFUNCTION("""COMPUTED_VALUE"""),24.73)</f>
        <v>24.73</v>
      </c>
      <c r="H321" s="3">
        <f ca="1">IFERROR(__xludf.DUMMYFUNCTION("""COMPUTED_VALUE"""),25.27)</f>
        <v>25.27</v>
      </c>
      <c r="I321" s="3">
        <f ca="1">IFERROR(__xludf.DUMMYFUNCTION("""COMPUTED_VALUE"""),133.88)</f>
        <v>133.88</v>
      </c>
      <c r="J321" s="3">
        <f ca="1">IFERROR(__xludf.DUMMYFUNCTION("""COMPUTED_VALUE"""),245.96)</f>
        <v>245.96</v>
      </c>
      <c r="K321" s="3">
        <f ca="1">IFERROR(__xludf.DUMMYFUNCTION("""COMPUTED_VALUE"""),130.71)</f>
        <v>130.71</v>
      </c>
      <c r="L321" s="3">
        <f ca="1">IFERROR(__xludf.DUMMYFUNCTION("""COMPUTED_VALUE"""),76.88)</f>
        <v>76.88</v>
      </c>
      <c r="M321" s="3">
        <f ca="1">IFERROR(__xludf.DUMMYFUNCTION("""COMPUTED_VALUE"""),63.71)</f>
        <v>63.71</v>
      </c>
      <c r="N321" s="3">
        <f ca="1">IFERROR(__xludf.DUMMYFUNCTION("""COMPUTED_VALUE"""),63.44)</f>
        <v>63.44</v>
      </c>
      <c r="O321" s="3">
        <f ca="1">IFERROR(__xludf.DUMMYFUNCTION("""COMPUTED_VALUE"""),48.73)</f>
        <v>48.73</v>
      </c>
      <c r="P321" s="3">
        <f ca="1">IFERROR(__xludf.DUMMYFUNCTION("""COMPUTED_VALUE"""),86.47)</f>
        <v>86.47</v>
      </c>
      <c r="Q321" s="3">
        <f ca="1">IFERROR(__xludf.DUMMYFUNCTION("""COMPUTED_VALUE"""),119.14)</f>
        <v>119.14</v>
      </c>
      <c r="R321" s="3">
        <f ca="1">IFERROR(__xludf.DUMMYFUNCTION("""COMPUTED_VALUE"""),80.63)</f>
        <v>80.63</v>
      </c>
      <c r="S321" s="3">
        <f ca="1">IFERROR(__xludf.DUMMYFUNCTION("""COMPUTED_VALUE"""),52.53)</f>
        <v>52.53</v>
      </c>
      <c r="T321" s="3">
        <f ca="1">IFERROR(__xludf.DUMMYFUNCTION("""COMPUTED_VALUE"""),24.25)</f>
        <v>24.25</v>
      </c>
      <c r="U321" s="3">
        <f ca="1">IFERROR(__xludf.DUMMYFUNCTION("""COMPUTED_VALUE"""),71.07)</f>
        <v>71.069999999999993</v>
      </c>
      <c r="V321" s="3">
        <f ca="1">IFERROR(__xludf.DUMMYFUNCTION("""COMPUTED_VALUE"""),75.72)</f>
        <v>75.72</v>
      </c>
      <c r="W321" s="3">
        <f ca="1">IFERROR(__xludf.DUMMYFUNCTION("""COMPUTED_VALUE"""),32.34)</f>
        <v>32.340000000000003</v>
      </c>
      <c r="X321" s="3">
        <f ca="1">IFERROR(__xludf.DUMMYFUNCTION("""COMPUTED_VALUE"""),78.04)</f>
        <v>78.040000000000006</v>
      </c>
      <c r="Y321" s="3">
        <f ca="1">IFERROR(__xludf.DUMMYFUNCTION("""COMPUTED_VALUE"""),36.72)</f>
        <v>36.72</v>
      </c>
      <c r="Z321" s="3">
        <f ca="1">IFERROR(__xludf.DUMMYFUNCTION("""COMPUTED_VALUE"""),71.47)</f>
        <v>71.47</v>
      </c>
      <c r="AA321" s="3">
        <f ca="1">IFERROR(__xludf.DUMMYFUNCTION("""COMPUTED_VALUE"""),37.47)</f>
        <v>37.47</v>
      </c>
      <c r="AB321" s="3">
        <f ca="1">IFERROR(__xludf.DUMMYFUNCTION("""COMPUTED_VALUE"""),42.97)</f>
        <v>42.97</v>
      </c>
      <c r="AC321" s="3">
        <f ca="1">IFERROR(__xludf.DUMMYFUNCTION("""COMPUTED_VALUE"""),51.32)</f>
        <v>51.32</v>
      </c>
      <c r="AD321" s="3">
        <f ca="1">IFERROR(__xludf.DUMMYFUNCTION("""COMPUTED_VALUE"""),11.81)</f>
        <v>11.81</v>
      </c>
      <c r="AE321" s="3">
        <f ca="1">IFERROR(__xludf.DUMMYFUNCTION("""COMPUTED_VALUE"""),18.01)</f>
        <v>18.010000000000002</v>
      </c>
      <c r="AF321" s="3">
        <f ca="1">IFERROR(__xludf.DUMMYFUNCTION("""COMPUTED_VALUE"""),2.71)</f>
        <v>2.71</v>
      </c>
      <c r="AG321" s="3">
        <f ca="1">IFERROR(__xludf.DUMMYFUNCTION("""COMPUTED_VALUE"""),24.45)</f>
        <v>24.45</v>
      </c>
    </row>
    <row r="322" spans="1:33" ht="12.75" x14ac:dyDescent="0.2">
      <c r="A322" s="4">
        <f ca="1">IFERROR(__xludf.DUMMYFUNCTION("""COMPUTED_VALUE"""),45028.6666666666)</f>
        <v>45028.666666666599</v>
      </c>
      <c r="B322" s="3">
        <f ca="1">IFERROR(__xludf.DUMMYFUNCTION("""COMPUTED_VALUE"""),146.75)</f>
        <v>146.75</v>
      </c>
      <c r="C322" s="3">
        <f ca="1">IFERROR(__xludf.DUMMYFUNCTION("""COMPUTED_VALUE"""),374.58)</f>
        <v>374.58</v>
      </c>
      <c r="D322" s="3">
        <f ca="1">IFERROR(__xludf.DUMMYFUNCTION("""COMPUTED_VALUE"""),92.06)</f>
        <v>92.06</v>
      </c>
      <c r="E322" s="3">
        <f ca="1">IFERROR(__xludf.DUMMYFUNCTION("""COMPUTED_VALUE"""),140.1)</f>
        <v>140.1</v>
      </c>
      <c r="F322" s="3">
        <f ca="1">IFERROR(__xludf.DUMMYFUNCTION("""COMPUTED_VALUE"""),47.48)</f>
        <v>47.48</v>
      </c>
      <c r="G322" s="3">
        <f ca="1">IFERROR(__xludf.DUMMYFUNCTION("""COMPUTED_VALUE"""),24.64)</f>
        <v>24.64</v>
      </c>
      <c r="H322" s="3">
        <f ca="1">IFERROR(__xludf.DUMMYFUNCTION("""COMPUTED_VALUE"""),25.03)</f>
        <v>25.03</v>
      </c>
      <c r="I322" s="3">
        <f ca="1">IFERROR(__xludf.DUMMYFUNCTION("""COMPUTED_VALUE"""),133.92)</f>
        <v>133.91999999999999</v>
      </c>
      <c r="J322" s="3">
        <f ca="1">IFERROR(__xludf.DUMMYFUNCTION("""COMPUTED_VALUE"""),245.8)</f>
        <v>245.8</v>
      </c>
      <c r="K322" s="3">
        <f ca="1">IFERROR(__xludf.DUMMYFUNCTION("""COMPUTED_VALUE"""),130.56)</f>
        <v>130.56</v>
      </c>
      <c r="L322" s="3">
        <f ca="1">IFERROR(__xludf.DUMMYFUNCTION("""COMPUTED_VALUE"""),76.05)</f>
        <v>76.05</v>
      </c>
      <c r="M322" s="3">
        <f ca="1">IFERROR(__xludf.DUMMYFUNCTION("""COMPUTED_VALUE"""),63.47)</f>
        <v>63.47</v>
      </c>
      <c r="N322" s="3">
        <f ca="1">IFERROR(__xludf.DUMMYFUNCTION("""COMPUTED_VALUE"""),63.34)</f>
        <v>63.34</v>
      </c>
      <c r="O322" s="3">
        <f ca="1">IFERROR(__xludf.DUMMYFUNCTION("""COMPUTED_VALUE"""),48.68)</f>
        <v>48.68</v>
      </c>
      <c r="P322" s="3">
        <f ca="1">IFERROR(__xludf.DUMMYFUNCTION("""COMPUTED_VALUE"""),86.53)</f>
        <v>86.53</v>
      </c>
      <c r="Q322" s="3">
        <f ca="1">IFERROR(__xludf.DUMMYFUNCTION("""COMPUTED_VALUE"""),119.15)</f>
        <v>119.15</v>
      </c>
      <c r="R322" s="3">
        <f ca="1">IFERROR(__xludf.DUMMYFUNCTION("""COMPUTED_VALUE"""),80.69)</f>
        <v>80.69</v>
      </c>
      <c r="S322" s="3">
        <f ca="1">IFERROR(__xludf.DUMMYFUNCTION("""COMPUTED_VALUE"""),52.13)</f>
        <v>52.13</v>
      </c>
      <c r="T322" s="3">
        <f ca="1">IFERROR(__xludf.DUMMYFUNCTION("""COMPUTED_VALUE"""),24.44)</f>
        <v>24.44</v>
      </c>
      <c r="U322" s="3">
        <f ca="1">IFERROR(__xludf.DUMMYFUNCTION("""COMPUTED_VALUE"""),72.43)</f>
        <v>72.430000000000007</v>
      </c>
      <c r="V322" s="3">
        <f ca="1">IFERROR(__xludf.DUMMYFUNCTION("""COMPUTED_VALUE"""),74.64)</f>
        <v>74.64</v>
      </c>
      <c r="W322" s="3">
        <f ca="1">IFERROR(__xludf.DUMMYFUNCTION("""COMPUTED_VALUE"""),32.27)</f>
        <v>32.270000000000003</v>
      </c>
      <c r="X322" s="3">
        <f ca="1">IFERROR(__xludf.DUMMYFUNCTION("""COMPUTED_VALUE"""),77.86)</f>
        <v>77.86</v>
      </c>
      <c r="Y322" s="3">
        <f ca="1">IFERROR(__xludf.DUMMYFUNCTION("""COMPUTED_VALUE"""),36.39)</f>
        <v>36.39</v>
      </c>
      <c r="Z322" s="3">
        <f ca="1">IFERROR(__xludf.DUMMYFUNCTION("""COMPUTED_VALUE"""),71.45)</f>
        <v>71.45</v>
      </c>
      <c r="AA322" s="3">
        <f ca="1">IFERROR(__xludf.DUMMYFUNCTION("""COMPUTED_VALUE"""),37.36)</f>
        <v>37.36</v>
      </c>
      <c r="AB322" s="3">
        <f ca="1">IFERROR(__xludf.DUMMYFUNCTION("""COMPUTED_VALUE"""),42.5)</f>
        <v>42.5</v>
      </c>
      <c r="AC322" s="3">
        <f ca="1">IFERROR(__xludf.DUMMYFUNCTION("""COMPUTED_VALUE"""),51.92)</f>
        <v>51.92</v>
      </c>
      <c r="AD322" s="3">
        <f ca="1">IFERROR(__xludf.DUMMYFUNCTION("""COMPUTED_VALUE"""),11.67)</f>
        <v>11.67</v>
      </c>
      <c r="AE322" s="3">
        <f ca="1">IFERROR(__xludf.DUMMYFUNCTION("""COMPUTED_VALUE"""),17.79)</f>
        <v>17.79</v>
      </c>
      <c r="AF322" s="3">
        <f ca="1">IFERROR(__xludf.DUMMYFUNCTION("""COMPUTED_VALUE"""),2.68)</f>
        <v>2.68</v>
      </c>
      <c r="AG322" s="3">
        <f ca="1">IFERROR(__xludf.DUMMYFUNCTION("""COMPUTED_VALUE"""),23.91)</f>
        <v>23.91</v>
      </c>
    </row>
    <row r="323" spans="1:33" ht="12.75" x14ac:dyDescent="0.2">
      <c r="A323" s="4">
        <f ca="1">IFERROR(__xludf.DUMMYFUNCTION("""COMPUTED_VALUE"""),45029.6666666666)</f>
        <v>45029.666666666599</v>
      </c>
      <c r="B323" s="3">
        <f ca="1">IFERROR(__xludf.DUMMYFUNCTION("""COMPUTED_VALUE"""),149.48)</f>
        <v>149.47999999999999</v>
      </c>
      <c r="C323" s="3">
        <f ca="1">IFERROR(__xludf.DUMMYFUNCTION("""COMPUTED_VALUE"""),381.83)</f>
        <v>381.83</v>
      </c>
      <c r="D323" s="3">
        <f ca="1">IFERROR(__xludf.DUMMYFUNCTION("""COMPUTED_VALUE"""),92.15)</f>
        <v>92.15</v>
      </c>
      <c r="E323" s="3">
        <f ca="1">IFERROR(__xludf.DUMMYFUNCTION("""COMPUTED_VALUE"""),141.25)</f>
        <v>141.25</v>
      </c>
      <c r="F323" s="3">
        <f ca="1">IFERROR(__xludf.DUMMYFUNCTION("""COMPUTED_VALUE"""),48.12)</f>
        <v>48.12</v>
      </c>
      <c r="G323" s="3">
        <f ca="1">IFERROR(__xludf.DUMMYFUNCTION("""COMPUTED_VALUE"""),25.05)</f>
        <v>25.05</v>
      </c>
      <c r="H323" s="3">
        <f ca="1">IFERROR(__xludf.DUMMYFUNCTION("""COMPUTED_VALUE"""),25.3)</f>
        <v>25.3</v>
      </c>
      <c r="I323" s="3">
        <f ca="1">IFERROR(__xludf.DUMMYFUNCTION("""COMPUTED_VALUE"""),135.66)</f>
        <v>135.66</v>
      </c>
      <c r="J323" s="3">
        <f ca="1">IFERROR(__xludf.DUMMYFUNCTION("""COMPUTED_VALUE"""),249.3)</f>
        <v>249.3</v>
      </c>
      <c r="K323" s="3">
        <f ca="1">IFERROR(__xludf.DUMMYFUNCTION("""COMPUTED_VALUE"""),133.58)</f>
        <v>133.58000000000001</v>
      </c>
      <c r="L323" s="3">
        <f ca="1">IFERROR(__xludf.DUMMYFUNCTION("""COMPUTED_VALUE"""),79.43)</f>
        <v>79.430000000000007</v>
      </c>
      <c r="M323" s="3">
        <f ca="1">IFERROR(__xludf.DUMMYFUNCTION("""COMPUTED_VALUE"""),64.74)</f>
        <v>64.739999999999995</v>
      </c>
      <c r="N323" s="3">
        <f ca="1">IFERROR(__xludf.DUMMYFUNCTION("""COMPUTED_VALUE"""),64.26)</f>
        <v>64.260000000000005</v>
      </c>
      <c r="O323" s="3">
        <f ca="1">IFERROR(__xludf.DUMMYFUNCTION("""COMPUTED_VALUE"""),50.72)</f>
        <v>50.72</v>
      </c>
      <c r="P323" s="3">
        <f ca="1">IFERROR(__xludf.DUMMYFUNCTION("""COMPUTED_VALUE"""),87.07)</f>
        <v>87.07</v>
      </c>
      <c r="Q323" s="3">
        <f ca="1">IFERROR(__xludf.DUMMYFUNCTION("""COMPUTED_VALUE"""),119.89)</f>
        <v>119.89</v>
      </c>
      <c r="R323" s="3">
        <f ca="1">IFERROR(__xludf.DUMMYFUNCTION("""COMPUTED_VALUE"""),81.52)</f>
        <v>81.52</v>
      </c>
      <c r="S323" s="3">
        <f ca="1">IFERROR(__xludf.DUMMYFUNCTION("""COMPUTED_VALUE"""),53.26)</f>
        <v>53.26</v>
      </c>
      <c r="T323" s="3">
        <f ca="1">IFERROR(__xludf.DUMMYFUNCTION("""COMPUTED_VALUE"""),24.44)</f>
        <v>24.44</v>
      </c>
      <c r="U323" s="3">
        <f ca="1">IFERROR(__xludf.DUMMYFUNCTION("""COMPUTED_VALUE"""),71.8)</f>
        <v>71.8</v>
      </c>
      <c r="V323" s="3">
        <f ca="1">IFERROR(__xludf.DUMMYFUNCTION("""COMPUTED_VALUE"""),76.99)</f>
        <v>76.989999999999995</v>
      </c>
      <c r="W323" s="3">
        <f ca="1">IFERROR(__xludf.DUMMYFUNCTION("""COMPUTED_VALUE"""),32.56)</f>
        <v>32.56</v>
      </c>
      <c r="X323" s="3">
        <f ca="1">IFERROR(__xludf.DUMMYFUNCTION("""COMPUTED_VALUE"""),78.32)</f>
        <v>78.319999999999993</v>
      </c>
      <c r="Y323" s="3">
        <f ca="1">IFERROR(__xludf.DUMMYFUNCTION("""COMPUTED_VALUE"""),36.9)</f>
        <v>36.9</v>
      </c>
      <c r="Z323" s="3">
        <f ca="1">IFERROR(__xludf.DUMMYFUNCTION("""COMPUTED_VALUE"""),71.86)</f>
        <v>71.86</v>
      </c>
      <c r="AA323" s="3">
        <f ca="1">IFERROR(__xludf.DUMMYFUNCTION("""COMPUTED_VALUE"""),37.24)</f>
        <v>37.24</v>
      </c>
      <c r="AB323" s="3">
        <f ca="1">IFERROR(__xludf.DUMMYFUNCTION("""COMPUTED_VALUE"""),43.15)</f>
        <v>43.15</v>
      </c>
      <c r="AC323" s="3">
        <f ca="1">IFERROR(__xludf.DUMMYFUNCTION("""COMPUTED_VALUE"""),52.11)</f>
        <v>52.11</v>
      </c>
      <c r="AD323" s="3">
        <f ca="1">IFERROR(__xludf.DUMMYFUNCTION("""COMPUTED_VALUE"""),11.91)</f>
        <v>11.91</v>
      </c>
      <c r="AE323" s="3">
        <f ca="1">IFERROR(__xludf.DUMMYFUNCTION("""COMPUTED_VALUE"""),18.16)</f>
        <v>18.16</v>
      </c>
      <c r="AF323" s="3">
        <f ca="1">IFERROR(__xludf.DUMMYFUNCTION("""COMPUTED_VALUE"""),2.9)</f>
        <v>2.9</v>
      </c>
      <c r="AG323" s="3">
        <f ca="1">IFERROR(__xludf.DUMMYFUNCTION("""COMPUTED_VALUE"""),26.04)</f>
        <v>26.04</v>
      </c>
    </row>
    <row r="324" spans="1:33" ht="12.75" x14ac:dyDescent="0.2">
      <c r="A324" s="4">
        <f ca="1">IFERROR(__xludf.DUMMYFUNCTION("""COMPUTED_VALUE"""),45030.6666666666)</f>
        <v>45030.666666666599</v>
      </c>
      <c r="B324" s="3">
        <f ca="1">IFERROR(__xludf.DUMMYFUNCTION("""COMPUTED_VALUE"""),148.65)</f>
        <v>148.65</v>
      </c>
      <c r="C324" s="3">
        <f ca="1">IFERROR(__xludf.DUMMYFUNCTION("""COMPUTED_VALUE"""),380.37)</f>
        <v>380.37</v>
      </c>
      <c r="D324" s="3">
        <f ca="1">IFERROR(__xludf.DUMMYFUNCTION("""COMPUTED_VALUE"""),91.95)</f>
        <v>91.95</v>
      </c>
      <c r="E324" s="3">
        <f ca="1">IFERROR(__xludf.DUMMYFUNCTION("""COMPUTED_VALUE"""),141.03)</f>
        <v>141.03</v>
      </c>
      <c r="F324" s="3">
        <f ca="1">IFERROR(__xludf.DUMMYFUNCTION("""COMPUTED_VALUE"""),47.83)</f>
        <v>47.83</v>
      </c>
      <c r="G324" s="3">
        <f ca="1">IFERROR(__xludf.DUMMYFUNCTION("""COMPUTED_VALUE"""),24.89)</f>
        <v>24.89</v>
      </c>
      <c r="H324" s="3">
        <f ca="1">IFERROR(__xludf.DUMMYFUNCTION("""COMPUTED_VALUE"""),25.16)</f>
        <v>25.16</v>
      </c>
      <c r="I324" s="3">
        <f ca="1">IFERROR(__xludf.DUMMYFUNCTION("""COMPUTED_VALUE"""),134.57)</f>
        <v>134.57</v>
      </c>
      <c r="J324" s="3">
        <f ca="1">IFERROR(__xludf.DUMMYFUNCTION("""COMPUTED_VALUE"""),247.16)</f>
        <v>247.16</v>
      </c>
      <c r="K324" s="3">
        <f ca="1">IFERROR(__xludf.DUMMYFUNCTION("""COMPUTED_VALUE"""),132.43)</f>
        <v>132.43</v>
      </c>
      <c r="L324" s="3">
        <f ca="1">IFERROR(__xludf.DUMMYFUNCTION("""COMPUTED_VALUE"""),78.19)</f>
        <v>78.19</v>
      </c>
      <c r="M324" s="3">
        <f ca="1">IFERROR(__xludf.DUMMYFUNCTION("""COMPUTED_VALUE"""),63.44)</f>
        <v>63.44</v>
      </c>
      <c r="N324" s="3">
        <f ca="1">IFERROR(__xludf.DUMMYFUNCTION("""COMPUTED_VALUE"""),63.73)</f>
        <v>63.73</v>
      </c>
      <c r="O324" s="3">
        <f ca="1">IFERROR(__xludf.DUMMYFUNCTION("""COMPUTED_VALUE"""),50.12)</f>
        <v>50.12</v>
      </c>
      <c r="P324" s="3">
        <f ca="1">IFERROR(__xludf.DUMMYFUNCTION("""COMPUTED_VALUE"""),87.23)</f>
        <v>87.23</v>
      </c>
      <c r="Q324" s="3">
        <f ca="1">IFERROR(__xludf.DUMMYFUNCTION("""COMPUTED_VALUE"""),119.99)</f>
        <v>119.99</v>
      </c>
      <c r="R324" s="3">
        <f ca="1">IFERROR(__xludf.DUMMYFUNCTION("""COMPUTED_VALUE"""),80.93)</f>
        <v>80.930000000000007</v>
      </c>
      <c r="S324" s="3">
        <f ca="1">IFERROR(__xludf.DUMMYFUNCTION("""COMPUTED_VALUE"""),52.41)</f>
        <v>52.41</v>
      </c>
      <c r="T324" s="3">
        <f ca="1">IFERROR(__xludf.DUMMYFUNCTION("""COMPUTED_VALUE"""),24.47)</f>
        <v>24.47</v>
      </c>
      <c r="U324" s="3">
        <f ca="1">IFERROR(__xludf.DUMMYFUNCTION("""COMPUTED_VALUE"""),72.09)</f>
        <v>72.09</v>
      </c>
      <c r="V324" s="3">
        <f ca="1">IFERROR(__xludf.DUMMYFUNCTION("""COMPUTED_VALUE"""),76.33)</f>
        <v>76.33</v>
      </c>
      <c r="W324" s="3">
        <f ca="1">IFERROR(__xludf.DUMMYFUNCTION("""COMPUTED_VALUE"""),32.88)</f>
        <v>32.880000000000003</v>
      </c>
      <c r="X324" s="3">
        <f ca="1">IFERROR(__xludf.DUMMYFUNCTION("""COMPUTED_VALUE"""),78.98)</f>
        <v>78.98</v>
      </c>
      <c r="Y324" s="3">
        <f ca="1">IFERROR(__xludf.DUMMYFUNCTION("""COMPUTED_VALUE"""),36.49)</f>
        <v>36.49</v>
      </c>
      <c r="Z324" s="3">
        <f ca="1">IFERROR(__xludf.DUMMYFUNCTION("""COMPUTED_VALUE"""),72.54)</f>
        <v>72.540000000000006</v>
      </c>
      <c r="AA324" s="3">
        <f ca="1">IFERROR(__xludf.DUMMYFUNCTION("""COMPUTED_VALUE"""),36.6)</f>
        <v>36.6</v>
      </c>
      <c r="AB324" s="3">
        <f ca="1">IFERROR(__xludf.DUMMYFUNCTION("""COMPUTED_VALUE"""),42.31)</f>
        <v>42.31</v>
      </c>
      <c r="AC324" s="3">
        <f ca="1">IFERROR(__xludf.DUMMYFUNCTION("""COMPUTED_VALUE"""),52.39)</f>
        <v>52.39</v>
      </c>
      <c r="AD324" s="3">
        <f ca="1">IFERROR(__xludf.DUMMYFUNCTION("""COMPUTED_VALUE"""),11.89)</f>
        <v>11.89</v>
      </c>
      <c r="AE324" s="3">
        <f ca="1">IFERROR(__xludf.DUMMYFUNCTION("""COMPUTED_VALUE"""),18.11)</f>
        <v>18.11</v>
      </c>
      <c r="AF324" s="3">
        <f ca="1">IFERROR(__xludf.DUMMYFUNCTION("""COMPUTED_VALUE"""),2.9)</f>
        <v>2.9</v>
      </c>
      <c r="AG324" s="3">
        <f ca="1">IFERROR(__xludf.DUMMYFUNCTION("""COMPUTED_VALUE"""),26.21)</f>
        <v>26.21</v>
      </c>
    </row>
    <row r="325" spans="1:33" ht="12.75" x14ac:dyDescent="0.2">
      <c r="A325" s="4">
        <f ca="1">IFERROR(__xludf.DUMMYFUNCTION("""COMPUTED_VALUE"""),45033.6666666666)</f>
        <v>45033.666666666599</v>
      </c>
      <c r="B325" s="3">
        <f ca="1">IFERROR(__xludf.DUMMYFUNCTION("""COMPUTED_VALUE"""),149.19)</f>
        <v>149.19</v>
      </c>
      <c r="C325" s="3">
        <f ca="1">IFERROR(__xludf.DUMMYFUNCTION("""COMPUTED_VALUE"""),381.75)</f>
        <v>381.75</v>
      </c>
      <c r="D325" s="3">
        <f ca="1">IFERROR(__xludf.DUMMYFUNCTION("""COMPUTED_VALUE"""),91.46)</f>
        <v>91.46</v>
      </c>
      <c r="E325" s="3">
        <f ca="1">IFERROR(__xludf.DUMMYFUNCTION("""COMPUTED_VALUE"""),141.03)</f>
        <v>141.03</v>
      </c>
      <c r="F325" s="3">
        <f ca="1">IFERROR(__xludf.DUMMYFUNCTION("""COMPUTED_VALUE"""),48.09)</f>
        <v>48.09</v>
      </c>
      <c r="G325" s="3">
        <f ca="1">IFERROR(__xludf.DUMMYFUNCTION("""COMPUTED_VALUE"""),24.98)</f>
        <v>24.98</v>
      </c>
      <c r="H325" s="3">
        <f ca="1">IFERROR(__xludf.DUMMYFUNCTION("""COMPUTED_VALUE"""),25.37)</f>
        <v>25.37</v>
      </c>
      <c r="I325" s="3">
        <f ca="1">IFERROR(__xludf.DUMMYFUNCTION("""COMPUTED_VALUE"""),134.46)</f>
        <v>134.46</v>
      </c>
      <c r="J325" s="3">
        <f ca="1">IFERROR(__xludf.DUMMYFUNCTION("""COMPUTED_VALUE"""),247.51)</f>
        <v>247.51</v>
      </c>
      <c r="K325" s="3">
        <f ca="1">IFERROR(__xludf.DUMMYFUNCTION("""COMPUTED_VALUE"""),133.57)</f>
        <v>133.57</v>
      </c>
      <c r="L325" s="3">
        <f ca="1">IFERROR(__xludf.DUMMYFUNCTION("""COMPUTED_VALUE"""),81.83)</f>
        <v>81.83</v>
      </c>
      <c r="M325" s="3">
        <f ca="1">IFERROR(__xludf.DUMMYFUNCTION("""COMPUTED_VALUE"""),64.28)</f>
        <v>64.28</v>
      </c>
      <c r="N325" s="3">
        <f ca="1">IFERROR(__xludf.DUMMYFUNCTION("""COMPUTED_VALUE"""),63.83)</f>
        <v>63.83</v>
      </c>
      <c r="O325" s="3">
        <f ca="1">IFERROR(__xludf.DUMMYFUNCTION("""COMPUTED_VALUE"""),50.64)</f>
        <v>50.64</v>
      </c>
      <c r="P325" s="3">
        <f ca="1">IFERROR(__xludf.DUMMYFUNCTION("""COMPUTED_VALUE"""),86.2)</f>
        <v>86.2</v>
      </c>
      <c r="Q325" s="3">
        <f ca="1">IFERROR(__xludf.DUMMYFUNCTION("""COMPUTED_VALUE"""),118.59)</f>
        <v>118.59</v>
      </c>
      <c r="R325" s="3">
        <f ca="1">IFERROR(__xludf.DUMMYFUNCTION("""COMPUTED_VALUE"""),81.4)</f>
        <v>81.400000000000006</v>
      </c>
      <c r="S325" s="3">
        <f ca="1">IFERROR(__xludf.DUMMYFUNCTION("""COMPUTED_VALUE"""),52.72)</f>
        <v>52.72</v>
      </c>
      <c r="T325" s="3">
        <f ca="1">IFERROR(__xludf.DUMMYFUNCTION("""COMPUTED_VALUE"""),24.37)</f>
        <v>24.37</v>
      </c>
      <c r="U325" s="3">
        <f ca="1">IFERROR(__xludf.DUMMYFUNCTION("""COMPUTED_VALUE"""),70.84)</f>
        <v>70.84</v>
      </c>
      <c r="V325" s="3">
        <f ca="1">IFERROR(__xludf.DUMMYFUNCTION("""COMPUTED_VALUE"""),78.36)</f>
        <v>78.36</v>
      </c>
      <c r="W325" s="3">
        <f ca="1">IFERROR(__xludf.DUMMYFUNCTION("""COMPUTED_VALUE"""),33.26)</f>
        <v>33.26</v>
      </c>
      <c r="X325" s="3">
        <f ca="1">IFERROR(__xludf.DUMMYFUNCTION("""COMPUTED_VALUE"""),80.12)</f>
        <v>80.12</v>
      </c>
      <c r="Y325" s="3">
        <f ca="1">IFERROR(__xludf.DUMMYFUNCTION("""COMPUTED_VALUE"""),37.32)</f>
        <v>37.32</v>
      </c>
      <c r="Z325" s="3">
        <f ca="1">IFERROR(__xludf.DUMMYFUNCTION("""COMPUTED_VALUE"""),73.51)</f>
        <v>73.510000000000005</v>
      </c>
      <c r="AA325" s="3">
        <f ca="1">IFERROR(__xludf.DUMMYFUNCTION("""COMPUTED_VALUE"""),37.43)</f>
        <v>37.43</v>
      </c>
      <c r="AB325" s="3">
        <f ca="1">IFERROR(__xludf.DUMMYFUNCTION("""COMPUTED_VALUE"""),43.57)</f>
        <v>43.57</v>
      </c>
      <c r="AC325" s="3">
        <f ca="1">IFERROR(__xludf.DUMMYFUNCTION("""COMPUTED_VALUE"""),52.06)</f>
        <v>52.06</v>
      </c>
      <c r="AD325" s="3">
        <f ca="1">IFERROR(__xludf.DUMMYFUNCTION("""COMPUTED_VALUE"""),11.51)</f>
        <v>11.51</v>
      </c>
      <c r="AE325" s="3">
        <f ca="1">IFERROR(__xludf.DUMMYFUNCTION("""COMPUTED_VALUE"""),17.55)</f>
        <v>17.55</v>
      </c>
      <c r="AF325" s="3">
        <f ca="1">IFERROR(__xludf.DUMMYFUNCTION("""COMPUTED_VALUE"""),2.84)</f>
        <v>2.84</v>
      </c>
      <c r="AG325" s="3">
        <f ca="1">IFERROR(__xludf.DUMMYFUNCTION("""COMPUTED_VALUE"""),25.76)</f>
        <v>25.76</v>
      </c>
    </row>
    <row r="326" spans="1:33" ht="12.75" x14ac:dyDescent="0.2">
      <c r="A326" s="4">
        <f ca="1">IFERROR(__xludf.DUMMYFUNCTION("""COMPUTED_VALUE"""),45034.6666666666)</f>
        <v>45034.666666666599</v>
      </c>
      <c r="B326" s="3">
        <f ca="1">IFERROR(__xludf.DUMMYFUNCTION("""COMPUTED_VALUE"""),149.65)</f>
        <v>149.65</v>
      </c>
      <c r="C326" s="3">
        <f ca="1">IFERROR(__xludf.DUMMYFUNCTION("""COMPUTED_VALUE"""),382.83)</f>
        <v>382.83</v>
      </c>
      <c r="D326" s="3">
        <f ca="1">IFERROR(__xludf.DUMMYFUNCTION("""COMPUTED_VALUE"""),91.14)</f>
        <v>91.14</v>
      </c>
      <c r="E326" s="3">
        <f ca="1">IFERROR(__xludf.DUMMYFUNCTION("""COMPUTED_VALUE"""),141.64)</f>
        <v>141.63999999999999</v>
      </c>
      <c r="F326" s="3">
        <f ca="1">IFERROR(__xludf.DUMMYFUNCTION("""COMPUTED_VALUE"""),47.98)</f>
        <v>47.98</v>
      </c>
      <c r="G326" s="3">
        <f ca="1">IFERROR(__xludf.DUMMYFUNCTION("""COMPUTED_VALUE"""),25.1)</f>
        <v>25.1</v>
      </c>
      <c r="H326" s="3">
        <f ca="1">IFERROR(__xludf.DUMMYFUNCTION("""COMPUTED_VALUE"""),25.32)</f>
        <v>25.32</v>
      </c>
      <c r="I326" s="3">
        <f ca="1">IFERROR(__xludf.DUMMYFUNCTION("""COMPUTED_VALUE"""),133.54)</f>
        <v>133.54</v>
      </c>
      <c r="J326" s="3">
        <f ca="1">IFERROR(__xludf.DUMMYFUNCTION("""COMPUTED_VALUE"""),245.99)</f>
        <v>245.99</v>
      </c>
      <c r="K326" s="3">
        <f ca="1">IFERROR(__xludf.DUMMYFUNCTION("""COMPUTED_VALUE"""),132.66)</f>
        <v>132.66</v>
      </c>
      <c r="L326" s="3">
        <f ca="1">IFERROR(__xludf.DUMMYFUNCTION("""COMPUTED_VALUE"""),81.33)</f>
        <v>81.33</v>
      </c>
      <c r="M326" s="3">
        <f ca="1">IFERROR(__xludf.DUMMYFUNCTION("""COMPUTED_VALUE"""),63.6)</f>
        <v>63.6</v>
      </c>
      <c r="N326" s="3">
        <f ca="1">IFERROR(__xludf.DUMMYFUNCTION("""COMPUTED_VALUE"""),63.39)</f>
        <v>63.39</v>
      </c>
      <c r="O326" s="3">
        <f ca="1">IFERROR(__xludf.DUMMYFUNCTION("""COMPUTED_VALUE"""),49.95)</f>
        <v>49.95</v>
      </c>
      <c r="P326" s="3">
        <f ca="1">IFERROR(__xludf.DUMMYFUNCTION("""COMPUTED_VALUE"""),86.54)</f>
        <v>86.54</v>
      </c>
      <c r="Q326" s="3">
        <f ca="1">IFERROR(__xludf.DUMMYFUNCTION("""COMPUTED_VALUE"""),118.9)</f>
        <v>118.9</v>
      </c>
      <c r="R326" s="3">
        <f ca="1">IFERROR(__xludf.DUMMYFUNCTION("""COMPUTED_VALUE"""),81.74)</f>
        <v>81.739999999999995</v>
      </c>
      <c r="S326" s="3">
        <f ca="1">IFERROR(__xludf.DUMMYFUNCTION("""COMPUTED_VALUE"""),53.04)</f>
        <v>53.04</v>
      </c>
      <c r="T326" s="3">
        <f ca="1">IFERROR(__xludf.DUMMYFUNCTION("""COMPUTED_VALUE"""),24.42)</f>
        <v>24.42</v>
      </c>
      <c r="U326" s="3">
        <f ca="1">IFERROR(__xludf.DUMMYFUNCTION("""COMPUTED_VALUE"""),70.73)</f>
        <v>70.73</v>
      </c>
      <c r="V326" s="3">
        <f ca="1">IFERROR(__xludf.DUMMYFUNCTION("""COMPUTED_VALUE"""),78.4)</f>
        <v>78.400000000000006</v>
      </c>
      <c r="W326" s="3">
        <f ca="1">IFERROR(__xludf.DUMMYFUNCTION("""COMPUTED_VALUE"""),33.36)</f>
        <v>33.36</v>
      </c>
      <c r="X326" s="3">
        <f ca="1">IFERROR(__xludf.DUMMYFUNCTION("""COMPUTED_VALUE"""),80.35)</f>
        <v>80.349999999999994</v>
      </c>
      <c r="Y326" s="3">
        <f ca="1">IFERROR(__xludf.DUMMYFUNCTION("""COMPUTED_VALUE"""),36.82)</f>
        <v>36.82</v>
      </c>
      <c r="Z326" s="3">
        <f ca="1">IFERROR(__xludf.DUMMYFUNCTION("""COMPUTED_VALUE"""),73.88)</f>
        <v>73.88</v>
      </c>
      <c r="AA326" s="3">
        <f ca="1">IFERROR(__xludf.DUMMYFUNCTION("""COMPUTED_VALUE"""),37.37)</f>
        <v>37.369999999999997</v>
      </c>
      <c r="AB326" s="3">
        <f ca="1">IFERROR(__xludf.DUMMYFUNCTION("""COMPUTED_VALUE"""),42.63)</f>
        <v>42.63</v>
      </c>
      <c r="AC326" s="3">
        <f ca="1">IFERROR(__xludf.DUMMYFUNCTION("""COMPUTED_VALUE"""),51.81)</f>
        <v>51.81</v>
      </c>
      <c r="AD326" s="3">
        <f ca="1">IFERROR(__xludf.DUMMYFUNCTION("""COMPUTED_VALUE"""),11.83)</f>
        <v>11.83</v>
      </c>
      <c r="AE326" s="3">
        <f ca="1">IFERROR(__xludf.DUMMYFUNCTION("""COMPUTED_VALUE"""),18.02)</f>
        <v>18.02</v>
      </c>
      <c r="AF326" s="3">
        <f ca="1">IFERROR(__xludf.DUMMYFUNCTION("""COMPUTED_VALUE"""),2.9)</f>
        <v>2.9</v>
      </c>
      <c r="AG326" s="3">
        <f ca="1">IFERROR(__xludf.DUMMYFUNCTION("""COMPUTED_VALUE"""),26.18)</f>
        <v>26.18</v>
      </c>
    </row>
    <row r="327" spans="1:33" ht="12.75" x14ac:dyDescent="0.2">
      <c r="A327" s="4">
        <f ca="1">IFERROR(__xludf.DUMMYFUNCTION("""COMPUTED_VALUE"""),45035.6666666666)</f>
        <v>45035.666666666599</v>
      </c>
      <c r="B327" s="3">
        <f ca="1">IFERROR(__xludf.DUMMYFUNCTION("""COMPUTED_VALUE"""),149.22)</f>
        <v>149.22</v>
      </c>
      <c r="C327" s="3">
        <f ca="1">IFERROR(__xludf.DUMMYFUNCTION("""COMPUTED_VALUE"""),382.03)</f>
        <v>382.03</v>
      </c>
      <c r="D327" s="3">
        <f ca="1">IFERROR(__xludf.DUMMYFUNCTION("""COMPUTED_VALUE"""),90.78)</f>
        <v>90.78</v>
      </c>
      <c r="E327" s="3">
        <f ca="1">IFERROR(__xludf.DUMMYFUNCTION("""COMPUTED_VALUE"""),140.09)</f>
        <v>140.09</v>
      </c>
      <c r="F327" s="3">
        <f ca="1">IFERROR(__xludf.DUMMYFUNCTION("""COMPUTED_VALUE"""),47.28)</f>
        <v>47.28</v>
      </c>
      <c r="G327" s="3">
        <f ca="1">IFERROR(__xludf.DUMMYFUNCTION("""COMPUTED_VALUE"""),25.12)</f>
        <v>25.12</v>
      </c>
      <c r="H327" s="3">
        <f ca="1">IFERROR(__xludf.DUMMYFUNCTION("""COMPUTED_VALUE"""),25.17)</f>
        <v>25.17</v>
      </c>
      <c r="I327" s="3">
        <f ca="1">IFERROR(__xludf.DUMMYFUNCTION("""COMPUTED_VALUE"""),133.95)</f>
        <v>133.94999999999999</v>
      </c>
      <c r="J327" s="3">
        <f ca="1">IFERROR(__xludf.DUMMYFUNCTION("""COMPUTED_VALUE"""),246.78)</f>
        <v>246.78</v>
      </c>
      <c r="K327" s="3">
        <f ca="1">IFERROR(__xludf.DUMMYFUNCTION("""COMPUTED_VALUE"""),133.22)</f>
        <v>133.22</v>
      </c>
      <c r="L327" s="3">
        <f ca="1">IFERROR(__xludf.DUMMYFUNCTION("""COMPUTED_VALUE"""),82.35)</f>
        <v>82.35</v>
      </c>
      <c r="M327" s="3">
        <f ca="1">IFERROR(__xludf.DUMMYFUNCTION("""COMPUTED_VALUE"""),63.65)</f>
        <v>63.65</v>
      </c>
      <c r="N327" s="3">
        <f ca="1">IFERROR(__xludf.DUMMYFUNCTION("""COMPUTED_VALUE"""),63.61)</f>
        <v>63.61</v>
      </c>
      <c r="O327" s="3">
        <f ca="1">IFERROR(__xludf.DUMMYFUNCTION("""COMPUTED_VALUE"""),50.64)</f>
        <v>50.64</v>
      </c>
      <c r="P327" s="3">
        <f ca="1">IFERROR(__xludf.DUMMYFUNCTION("""COMPUTED_VALUE"""),86.24)</f>
        <v>86.24</v>
      </c>
      <c r="Q327" s="3">
        <f ca="1">IFERROR(__xludf.DUMMYFUNCTION("""COMPUTED_VALUE"""),118.46)</f>
        <v>118.46</v>
      </c>
      <c r="R327" s="3">
        <f ca="1">IFERROR(__xludf.DUMMYFUNCTION("""COMPUTED_VALUE"""),81.51)</f>
        <v>81.510000000000005</v>
      </c>
      <c r="S327" s="3">
        <f ca="1">IFERROR(__xludf.DUMMYFUNCTION("""COMPUTED_VALUE"""),52.32)</f>
        <v>52.32</v>
      </c>
      <c r="T327" s="3">
        <f ca="1">IFERROR(__xludf.DUMMYFUNCTION("""COMPUTED_VALUE"""),24.08)</f>
        <v>24.08</v>
      </c>
      <c r="U327" s="3">
        <f ca="1">IFERROR(__xludf.DUMMYFUNCTION("""COMPUTED_VALUE"""),69.3)</f>
        <v>69.3</v>
      </c>
      <c r="V327" s="3">
        <f ca="1">IFERROR(__xludf.DUMMYFUNCTION("""COMPUTED_VALUE"""),77.78)</f>
        <v>77.78</v>
      </c>
      <c r="W327" s="3">
        <f ca="1">IFERROR(__xludf.DUMMYFUNCTION("""COMPUTED_VALUE"""),33.44)</f>
        <v>33.44</v>
      </c>
      <c r="X327" s="3">
        <f ca="1">IFERROR(__xludf.DUMMYFUNCTION("""COMPUTED_VALUE"""),80.93)</f>
        <v>80.930000000000007</v>
      </c>
      <c r="Y327" s="3">
        <f ca="1">IFERROR(__xludf.DUMMYFUNCTION("""COMPUTED_VALUE"""),37.95)</f>
        <v>37.950000000000003</v>
      </c>
      <c r="Z327" s="3">
        <f ca="1">IFERROR(__xludf.DUMMYFUNCTION("""COMPUTED_VALUE"""),74.28)</f>
        <v>74.28</v>
      </c>
      <c r="AA327" s="3">
        <f ca="1">IFERROR(__xludf.DUMMYFUNCTION("""COMPUTED_VALUE"""),37.59)</f>
        <v>37.590000000000003</v>
      </c>
      <c r="AB327" s="3">
        <f ca="1">IFERROR(__xludf.DUMMYFUNCTION("""COMPUTED_VALUE"""),44.31)</f>
        <v>44.31</v>
      </c>
      <c r="AC327" s="3">
        <f ca="1">IFERROR(__xludf.DUMMYFUNCTION("""COMPUTED_VALUE"""),51.57)</f>
        <v>51.57</v>
      </c>
      <c r="AD327" s="3">
        <f ca="1">IFERROR(__xludf.DUMMYFUNCTION("""COMPUTED_VALUE"""),11.42)</f>
        <v>11.42</v>
      </c>
      <c r="AE327" s="3">
        <f ca="1">IFERROR(__xludf.DUMMYFUNCTION("""COMPUTED_VALUE"""),17.4)</f>
        <v>17.399999999999999</v>
      </c>
      <c r="AF327" s="3">
        <f ca="1">IFERROR(__xludf.DUMMYFUNCTION("""COMPUTED_VALUE"""),2.68)</f>
        <v>2.68</v>
      </c>
      <c r="AG327" s="3">
        <f ca="1">IFERROR(__xludf.DUMMYFUNCTION("""COMPUTED_VALUE"""),24.66)</f>
        <v>24.66</v>
      </c>
    </row>
    <row r="328" spans="1:33" ht="12.75" x14ac:dyDescent="0.2">
      <c r="A328" s="4">
        <f ca="1">IFERROR(__xludf.DUMMYFUNCTION("""COMPUTED_VALUE"""),45036.6666666666)</f>
        <v>45036.666666666599</v>
      </c>
      <c r="B328" s="3">
        <f ca="1">IFERROR(__xludf.DUMMYFUNCTION("""COMPUTED_VALUE"""),148.24)</f>
        <v>148.24</v>
      </c>
      <c r="C328" s="3">
        <f ca="1">IFERROR(__xludf.DUMMYFUNCTION("""COMPUTED_VALUE"""),379.29)</f>
        <v>379.29</v>
      </c>
      <c r="D328" s="3">
        <f ca="1">IFERROR(__xludf.DUMMYFUNCTION("""COMPUTED_VALUE"""),88.68)</f>
        <v>88.68</v>
      </c>
      <c r="E328" s="3">
        <f ca="1">IFERROR(__xludf.DUMMYFUNCTION("""COMPUTED_VALUE"""),139.96)</f>
        <v>139.96</v>
      </c>
      <c r="F328" s="3">
        <f ca="1">IFERROR(__xludf.DUMMYFUNCTION("""COMPUTED_VALUE"""),46.94)</f>
        <v>46.94</v>
      </c>
      <c r="G328" s="3">
        <f ca="1">IFERROR(__xludf.DUMMYFUNCTION("""COMPUTED_VALUE"""),25)</f>
        <v>25</v>
      </c>
      <c r="H328" s="3">
        <f ca="1">IFERROR(__xludf.DUMMYFUNCTION("""COMPUTED_VALUE"""),25.03)</f>
        <v>25.03</v>
      </c>
      <c r="I328" s="3">
        <f ca="1">IFERROR(__xludf.DUMMYFUNCTION("""COMPUTED_VALUE"""),133.4)</f>
        <v>133.4</v>
      </c>
      <c r="J328" s="3">
        <f ca="1">IFERROR(__xludf.DUMMYFUNCTION("""COMPUTED_VALUE"""),245.63)</f>
        <v>245.63</v>
      </c>
      <c r="K328" s="3">
        <f ca="1">IFERROR(__xludf.DUMMYFUNCTION("""COMPUTED_VALUE"""),131.94)</f>
        <v>131.94</v>
      </c>
      <c r="L328" s="3">
        <f ca="1">IFERROR(__xludf.DUMMYFUNCTION("""COMPUTED_VALUE"""),80.62)</f>
        <v>80.62</v>
      </c>
      <c r="M328" s="3">
        <f ca="1">IFERROR(__xludf.DUMMYFUNCTION("""COMPUTED_VALUE"""),63.04)</f>
        <v>63.04</v>
      </c>
      <c r="N328" s="3">
        <f ca="1">IFERROR(__xludf.DUMMYFUNCTION("""COMPUTED_VALUE"""),63.36)</f>
        <v>63.36</v>
      </c>
      <c r="O328" s="3">
        <f ca="1">IFERROR(__xludf.DUMMYFUNCTION("""COMPUTED_VALUE"""),49.56)</f>
        <v>49.56</v>
      </c>
      <c r="P328" s="3">
        <f ca="1">IFERROR(__xludf.DUMMYFUNCTION("""COMPUTED_VALUE"""),85.48)</f>
        <v>85.48</v>
      </c>
      <c r="Q328" s="3">
        <f ca="1">IFERROR(__xludf.DUMMYFUNCTION("""COMPUTED_VALUE"""),117.32)</f>
        <v>117.32</v>
      </c>
      <c r="R328" s="3">
        <f ca="1">IFERROR(__xludf.DUMMYFUNCTION("""COMPUTED_VALUE"""),81.42)</f>
        <v>81.42</v>
      </c>
      <c r="S328" s="3">
        <f ca="1">IFERROR(__xludf.DUMMYFUNCTION("""COMPUTED_VALUE"""),51.52)</f>
        <v>51.52</v>
      </c>
      <c r="T328" s="3">
        <f ca="1">IFERROR(__xludf.DUMMYFUNCTION("""COMPUTED_VALUE"""),23.87)</f>
        <v>23.87</v>
      </c>
      <c r="U328" s="3">
        <f ca="1">IFERROR(__xludf.DUMMYFUNCTION("""COMPUTED_VALUE"""),67.6)</f>
        <v>67.599999999999994</v>
      </c>
      <c r="V328" s="3">
        <f ca="1">IFERROR(__xludf.DUMMYFUNCTION("""COMPUTED_VALUE"""),77.63)</f>
        <v>77.63</v>
      </c>
      <c r="W328" s="3">
        <f ca="1">IFERROR(__xludf.DUMMYFUNCTION("""COMPUTED_VALUE"""),33.34)</f>
        <v>33.340000000000003</v>
      </c>
      <c r="X328" s="3">
        <f ca="1">IFERROR(__xludf.DUMMYFUNCTION("""COMPUTED_VALUE"""),80.42)</f>
        <v>80.42</v>
      </c>
      <c r="Y328" s="3">
        <f ca="1">IFERROR(__xludf.DUMMYFUNCTION("""COMPUTED_VALUE"""),37.32)</f>
        <v>37.32</v>
      </c>
      <c r="Z328" s="3">
        <f ca="1">IFERROR(__xludf.DUMMYFUNCTION("""COMPUTED_VALUE"""),73.84)</f>
        <v>73.84</v>
      </c>
      <c r="AA328" s="3">
        <f ca="1">IFERROR(__xludf.DUMMYFUNCTION("""COMPUTED_VALUE"""),37.14)</f>
        <v>37.14</v>
      </c>
      <c r="AB328" s="3">
        <f ca="1">IFERROR(__xludf.DUMMYFUNCTION("""COMPUTED_VALUE"""),43.48)</f>
        <v>43.48</v>
      </c>
      <c r="AC328" s="3">
        <f ca="1">IFERROR(__xludf.DUMMYFUNCTION("""COMPUTED_VALUE"""),50.35)</f>
        <v>50.35</v>
      </c>
      <c r="AD328" s="3">
        <f ca="1">IFERROR(__xludf.DUMMYFUNCTION("""COMPUTED_VALUE"""),10.96)</f>
        <v>10.96</v>
      </c>
      <c r="AE328" s="3">
        <f ca="1">IFERROR(__xludf.DUMMYFUNCTION("""COMPUTED_VALUE"""),16.69)</f>
        <v>16.690000000000001</v>
      </c>
      <c r="AF328" s="3">
        <f ca="1">IFERROR(__xludf.DUMMYFUNCTION("""COMPUTED_VALUE"""),2.56)</f>
        <v>2.56</v>
      </c>
      <c r="AG328" s="3">
        <f ca="1">IFERROR(__xludf.DUMMYFUNCTION("""COMPUTED_VALUE"""),22.98)</f>
        <v>22.98</v>
      </c>
    </row>
    <row r="329" spans="1:33" ht="12.75" x14ac:dyDescent="0.2">
      <c r="A329" s="4">
        <f ca="1">IFERROR(__xludf.DUMMYFUNCTION("""COMPUTED_VALUE"""),45037.6666666666)</f>
        <v>45037.666666666599</v>
      </c>
      <c r="B329" s="3">
        <f ca="1">IFERROR(__xludf.DUMMYFUNCTION("""COMPUTED_VALUE"""),147.76)</f>
        <v>147.76</v>
      </c>
      <c r="C329" s="3">
        <f ca="1">IFERROR(__xludf.DUMMYFUNCTION("""COMPUTED_VALUE"""),378.17)</f>
        <v>378.17</v>
      </c>
      <c r="D329" s="3">
        <f ca="1">IFERROR(__xludf.DUMMYFUNCTION("""COMPUTED_VALUE"""),89.96)</f>
        <v>89.96</v>
      </c>
      <c r="E329" s="3">
        <f ca="1">IFERROR(__xludf.DUMMYFUNCTION("""COMPUTED_VALUE"""),138.94)</f>
        <v>138.94</v>
      </c>
      <c r="F329" s="3">
        <f ca="1">IFERROR(__xludf.DUMMYFUNCTION("""COMPUTED_VALUE"""),47.16)</f>
        <v>47.16</v>
      </c>
      <c r="G329" s="3">
        <f ca="1">IFERROR(__xludf.DUMMYFUNCTION("""COMPUTED_VALUE"""),25.2)</f>
        <v>25.2</v>
      </c>
      <c r="H329" s="3">
        <f ca="1">IFERROR(__xludf.DUMMYFUNCTION("""COMPUTED_VALUE"""),25.04)</f>
        <v>25.04</v>
      </c>
      <c r="I329" s="3">
        <f ca="1">IFERROR(__xludf.DUMMYFUNCTION("""COMPUTED_VALUE"""),134.3)</f>
        <v>134.30000000000001</v>
      </c>
      <c r="J329" s="3">
        <f ca="1">IFERROR(__xludf.DUMMYFUNCTION("""COMPUTED_VALUE"""),247.55)</f>
        <v>247.55</v>
      </c>
      <c r="K329" s="3">
        <f ca="1">IFERROR(__xludf.DUMMYFUNCTION("""COMPUTED_VALUE"""),133.46)</f>
        <v>133.46</v>
      </c>
      <c r="L329" s="3">
        <f ca="1">IFERROR(__xludf.DUMMYFUNCTION("""COMPUTED_VALUE"""),82.27)</f>
        <v>82.27</v>
      </c>
      <c r="M329" s="3">
        <f ca="1">IFERROR(__xludf.DUMMYFUNCTION("""COMPUTED_VALUE"""),63.71)</f>
        <v>63.71</v>
      </c>
      <c r="N329" s="3">
        <f ca="1">IFERROR(__xludf.DUMMYFUNCTION("""COMPUTED_VALUE"""),63.82)</f>
        <v>63.82</v>
      </c>
      <c r="O329" s="3">
        <f ca="1">IFERROR(__xludf.DUMMYFUNCTION("""COMPUTED_VALUE"""),50.2)</f>
        <v>50.2</v>
      </c>
      <c r="P329" s="3">
        <f ca="1">IFERROR(__xludf.DUMMYFUNCTION("""COMPUTED_VALUE"""),84.98)</f>
        <v>84.98</v>
      </c>
      <c r="Q329" s="3">
        <f ca="1">IFERROR(__xludf.DUMMYFUNCTION("""COMPUTED_VALUE"""),116.62)</f>
        <v>116.62</v>
      </c>
      <c r="R329" s="3">
        <f ca="1">IFERROR(__xludf.DUMMYFUNCTION("""COMPUTED_VALUE"""),80.7)</f>
        <v>80.7</v>
      </c>
      <c r="S329" s="3">
        <f ca="1">IFERROR(__xludf.DUMMYFUNCTION("""COMPUTED_VALUE"""),50.19)</f>
        <v>50.19</v>
      </c>
      <c r="T329" s="3">
        <f ca="1">IFERROR(__xludf.DUMMYFUNCTION("""COMPUTED_VALUE"""),23.82)</f>
        <v>23.82</v>
      </c>
      <c r="U329" s="3">
        <f ca="1">IFERROR(__xludf.DUMMYFUNCTION("""COMPUTED_VALUE"""),68.21)</f>
        <v>68.209999999999994</v>
      </c>
      <c r="V329" s="3">
        <f ca="1">IFERROR(__xludf.DUMMYFUNCTION("""COMPUTED_VALUE"""),77.72)</f>
        <v>77.72</v>
      </c>
      <c r="W329" s="3">
        <f ca="1">IFERROR(__xludf.DUMMYFUNCTION("""COMPUTED_VALUE"""),33.22)</f>
        <v>33.22</v>
      </c>
      <c r="X329" s="3">
        <f ca="1">IFERROR(__xludf.DUMMYFUNCTION("""COMPUTED_VALUE"""),79.94)</f>
        <v>79.94</v>
      </c>
      <c r="Y329" s="3">
        <f ca="1">IFERROR(__xludf.DUMMYFUNCTION("""COMPUTED_VALUE"""),36.87)</f>
        <v>36.869999999999997</v>
      </c>
      <c r="Z329" s="3">
        <f ca="1">IFERROR(__xludf.DUMMYFUNCTION("""COMPUTED_VALUE"""),73.4)</f>
        <v>73.400000000000006</v>
      </c>
      <c r="AA329" s="3">
        <f ca="1">IFERROR(__xludf.DUMMYFUNCTION("""COMPUTED_VALUE"""),37.18)</f>
        <v>37.18</v>
      </c>
      <c r="AB329" s="3">
        <f ca="1">IFERROR(__xludf.DUMMYFUNCTION("""COMPUTED_VALUE"""),42.93)</f>
        <v>42.93</v>
      </c>
      <c r="AC329" s="3">
        <f ca="1">IFERROR(__xludf.DUMMYFUNCTION("""COMPUTED_VALUE"""),49.9)</f>
        <v>49.9</v>
      </c>
      <c r="AD329" s="3">
        <f ca="1">IFERROR(__xludf.DUMMYFUNCTION("""COMPUTED_VALUE"""),10.65)</f>
        <v>10.65</v>
      </c>
      <c r="AE329" s="3">
        <f ca="1">IFERROR(__xludf.DUMMYFUNCTION("""COMPUTED_VALUE"""),16.22)</f>
        <v>16.22</v>
      </c>
      <c r="AF329" s="3">
        <f ca="1">IFERROR(__xludf.DUMMYFUNCTION("""COMPUTED_VALUE"""),2.52)</f>
        <v>2.52</v>
      </c>
      <c r="AG329" s="3">
        <f ca="1">IFERROR(__xludf.DUMMYFUNCTION("""COMPUTED_VALUE"""),22.68)</f>
        <v>22.68</v>
      </c>
    </row>
    <row r="330" spans="1:33" ht="12.75" x14ac:dyDescent="0.2">
      <c r="A330" s="4">
        <f ca="1">IFERROR(__xludf.DUMMYFUNCTION("""COMPUTED_VALUE"""),45040.6666666666)</f>
        <v>45040.666666666599</v>
      </c>
      <c r="B330" s="3">
        <f ca="1">IFERROR(__xludf.DUMMYFUNCTION("""COMPUTED_VALUE"""),147.11)</f>
        <v>147.11000000000001</v>
      </c>
      <c r="C330" s="3">
        <f ca="1">IFERROR(__xludf.DUMMYFUNCTION("""COMPUTED_VALUE"""),376.53)</f>
        <v>376.53</v>
      </c>
      <c r="D330" s="3">
        <f ca="1">IFERROR(__xludf.DUMMYFUNCTION("""COMPUTED_VALUE"""),92.31)</f>
        <v>92.31</v>
      </c>
      <c r="E330" s="3">
        <f ca="1">IFERROR(__xludf.DUMMYFUNCTION("""COMPUTED_VALUE"""),138.31)</f>
        <v>138.31</v>
      </c>
      <c r="F330" s="3">
        <f ca="1">IFERROR(__xludf.DUMMYFUNCTION("""COMPUTED_VALUE"""),46.72)</f>
        <v>46.72</v>
      </c>
      <c r="G330" s="3">
        <f ca="1">IFERROR(__xludf.DUMMYFUNCTION("""COMPUTED_VALUE"""),25.11)</f>
        <v>25.11</v>
      </c>
      <c r="H330" s="3">
        <f ca="1">IFERROR(__xludf.DUMMYFUNCTION("""COMPUTED_VALUE"""),24.97)</f>
        <v>24.97</v>
      </c>
      <c r="I330" s="3">
        <f ca="1">IFERROR(__xludf.DUMMYFUNCTION("""COMPUTED_VALUE"""),135.05)</f>
        <v>135.05000000000001</v>
      </c>
      <c r="J330" s="3">
        <f ca="1">IFERROR(__xludf.DUMMYFUNCTION("""COMPUTED_VALUE"""),248.66)</f>
        <v>248.66</v>
      </c>
      <c r="K330" s="3">
        <f ca="1">IFERROR(__xludf.DUMMYFUNCTION("""COMPUTED_VALUE"""),133.05)</f>
        <v>133.05000000000001</v>
      </c>
      <c r="L330" s="3">
        <f ca="1">IFERROR(__xludf.DUMMYFUNCTION("""COMPUTED_VALUE"""),81.22)</f>
        <v>81.22</v>
      </c>
      <c r="M330" s="3">
        <f ca="1">IFERROR(__xludf.DUMMYFUNCTION("""COMPUTED_VALUE"""),63.03)</f>
        <v>63.03</v>
      </c>
      <c r="N330" s="3">
        <f ca="1">IFERROR(__xludf.DUMMYFUNCTION("""COMPUTED_VALUE"""),64.12)</f>
        <v>64.12</v>
      </c>
      <c r="O330" s="3">
        <f ca="1">IFERROR(__xludf.DUMMYFUNCTION("""COMPUTED_VALUE"""),49.83)</f>
        <v>49.83</v>
      </c>
      <c r="P330" s="3">
        <f ca="1">IFERROR(__xludf.DUMMYFUNCTION("""COMPUTED_VALUE"""),86.28)</f>
        <v>86.28</v>
      </c>
      <c r="Q330" s="3">
        <f ca="1">IFERROR(__xludf.DUMMYFUNCTION("""COMPUTED_VALUE"""),118.48)</f>
        <v>118.48</v>
      </c>
      <c r="R330" s="3">
        <f ca="1">IFERROR(__xludf.DUMMYFUNCTION("""COMPUTED_VALUE"""),81.25)</f>
        <v>81.25</v>
      </c>
      <c r="S330" s="3">
        <f ca="1">IFERROR(__xludf.DUMMYFUNCTION("""COMPUTED_VALUE"""),50.66)</f>
        <v>50.66</v>
      </c>
      <c r="T330" s="3">
        <f ca="1">IFERROR(__xludf.DUMMYFUNCTION("""COMPUTED_VALUE"""),24.01)</f>
        <v>24.01</v>
      </c>
      <c r="U330" s="3">
        <f ca="1">IFERROR(__xludf.DUMMYFUNCTION("""COMPUTED_VALUE"""),69.25)</f>
        <v>69.25</v>
      </c>
      <c r="V330" s="3">
        <f ca="1">IFERROR(__xludf.DUMMYFUNCTION("""COMPUTED_VALUE"""),77.68)</f>
        <v>77.680000000000007</v>
      </c>
      <c r="W330" s="3">
        <f ca="1">IFERROR(__xludf.DUMMYFUNCTION("""COMPUTED_VALUE"""),33.14)</f>
        <v>33.14</v>
      </c>
      <c r="X330" s="3">
        <f ca="1">IFERROR(__xludf.DUMMYFUNCTION("""COMPUTED_VALUE"""),79.75)</f>
        <v>79.75</v>
      </c>
      <c r="Y330" s="3">
        <f ca="1">IFERROR(__xludf.DUMMYFUNCTION("""COMPUTED_VALUE"""),36.7)</f>
        <v>36.700000000000003</v>
      </c>
      <c r="Z330" s="3">
        <f ca="1">IFERROR(__xludf.DUMMYFUNCTION("""COMPUTED_VALUE"""),73.25)</f>
        <v>73.25</v>
      </c>
      <c r="AA330" s="3">
        <f ca="1">IFERROR(__xludf.DUMMYFUNCTION("""COMPUTED_VALUE"""),37.08)</f>
        <v>37.08</v>
      </c>
      <c r="AB330" s="3">
        <f ca="1">IFERROR(__xludf.DUMMYFUNCTION("""COMPUTED_VALUE"""),42.71)</f>
        <v>42.71</v>
      </c>
      <c r="AC330" s="3">
        <f ca="1">IFERROR(__xludf.DUMMYFUNCTION("""COMPUTED_VALUE"""),50.66)</f>
        <v>50.66</v>
      </c>
      <c r="AD330" s="3">
        <f ca="1">IFERROR(__xludf.DUMMYFUNCTION("""COMPUTED_VALUE"""),10.7)</f>
        <v>10.7</v>
      </c>
      <c r="AE330" s="3">
        <f ca="1">IFERROR(__xludf.DUMMYFUNCTION("""COMPUTED_VALUE"""),16.28)</f>
        <v>16.28</v>
      </c>
      <c r="AF330" s="3">
        <f ca="1">IFERROR(__xludf.DUMMYFUNCTION("""COMPUTED_VALUE"""),2.56)</f>
        <v>2.56</v>
      </c>
      <c r="AG330" s="3">
        <f ca="1">IFERROR(__xludf.DUMMYFUNCTION("""COMPUTED_VALUE"""),22.25)</f>
        <v>22.25</v>
      </c>
    </row>
    <row r="331" spans="1:33" ht="12.75" x14ac:dyDescent="0.2">
      <c r="A331" s="4">
        <f ca="1">IFERROR(__xludf.DUMMYFUNCTION("""COMPUTED_VALUE"""),45041.6666666666)</f>
        <v>45041.666666666599</v>
      </c>
      <c r="B331" s="3">
        <f ca="1">IFERROR(__xludf.DUMMYFUNCTION("""COMPUTED_VALUE"""),143.97)</f>
        <v>143.97</v>
      </c>
      <c r="C331" s="3">
        <f ca="1">IFERROR(__xludf.DUMMYFUNCTION("""COMPUTED_VALUE"""),368.4)</f>
        <v>368.4</v>
      </c>
      <c r="D331" s="3">
        <f ca="1">IFERROR(__xludf.DUMMYFUNCTION("""COMPUTED_VALUE"""),93.04)</f>
        <v>93.04</v>
      </c>
      <c r="E331" s="3">
        <f ca="1">IFERROR(__xludf.DUMMYFUNCTION("""COMPUTED_VALUE"""),133.67)</f>
        <v>133.66999999999999</v>
      </c>
      <c r="F331" s="3">
        <f ca="1">IFERROR(__xludf.DUMMYFUNCTION("""COMPUTED_VALUE"""),45.08)</f>
        <v>45.08</v>
      </c>
      <c r="G331" s="3">
        <f ca="1">IFERROR(__xludf.DUMMYFUNCTION("""COMPUTED_VALUE"""),24.62)</f>
        <v>24.62</v>
      </c>
      <c r="H331" s="3">
        <f ca="1">IFERROR(__xludf.DUMMYFUNCTION("""COMPUTED_VALUE"""),24.39)</f>
        <v>24.39</v>
      </c>
      <c r="I331" s="3">
        <f ca="1">IFERROR(__xludf.DUMMYFUNCTION("""COMPUTED_VALUE"""),133.61)</f>
        <v>133.61000000000001</v>
      </c>
      <c r="J331" s="3">
        <f ca="1">IFERROR(__xludf.DUMMYFUNCTION("""COMPUTED_VALUE"""),245.65)</f>
        <v>245.65</v>
      </c>
      <c r="K331" s="3">
        <f ca="1">IFERROR(__xludf.DUMMYFUNCTION("""COMPUTED_VALUE"""),130.5)</f>
        <v>130.5</v>
      </c>
      <c r="L331" s="3">
        <f ca="1">IFERROR(__xludf.DUMMYFUNCTION("""COMPUTED_VALUE"""),80.01)</f>
        <v>80.010000000000005</v>
      </c>
      <c r="M331" s="3">
        <f ca="1">IFERROR(__xludf.DUMMYFUNCTION("""COMPUTED_VALUE"""),61.95)</f>
        <v>61.95</v>
      </c>
      <c r="N331" s="3">
        <f ca="1">IFERROR(__xludf.DUMMYFUNCTION("""COMPUTED_VALUE"""),63.37)</f>
        <v>63.37</v>
      </c>
      <c r="O331" s="3">
        <f ca="1">IFERROR(__xludf.DUMMYFUNCTION("""COMPUTED_VALUE"""),48.33)</f>
        <v>48.33</v>
      </c>
      <c r="P331" s="3">
        <f ca="1">IFERROR(__xludf.DUMMYFUNCTION("""COMPUTED_VALUE"""),84.66)</f>
        <v>84.66</v>
      </c>
      <c r="Q331" s="3">
        <f ca="1">IFERROR(__xludf.DUMMYFUNCTION("""COMPUTED_VALUE"""),115.98)</f>
        <v>115.98</v>
      </c>
      <c r="R331" s="3">
        <f ca="1">IFERROR(__xludf.DUMMYFUNCTION("""COMPUTED_VALUE"""),79.49)</f>
        <v>79.489999999999995</v>
      </c>
      <c r="S331" s="3">
        <f ca="1">IFERROR(__xludf.DUMMYFUNCTION("""COMPUTED_VALUE"""),49.15)</f>
        <v>49.15</v>
      </c>
      <c r="T331" s="3">
        <f ca="1">IFERROR(__xludf.DUMMYFUNCTION("""COMPUTED_VALUE"""),23.67)</f>
        <v>23.67</v>
      </c>
      <c r="U331" s="3">
        <f ca="1">IFERROR(__xludf.DUMMYFUNCTION("""COMPUTED_VALUE"""),67.62)</f>
        <v>67.62</v>
      </c>
      <c r="V331" s="3">
        <f ca="1">IFERROR(__xludf.DUMMYFUNCTION("""COMPUTED_VALUE"""),75.62)</f>
        <v>75.62</v>
      </c>
      <c r="W331" s="3">
        <f ca="1">IFERROR(__xludf.DUMMYFUNCTION("""COMPUTED_VALUE"""),32.57)</f>
        <v>32.57</v>
      </c>
      <c r="X331" s="3">
        <f ca="1">IFERROR(__xludf.DUMMYFUNCTION("""COMPUTED_VALUE"""),78.14)</f>
        <v>78.14</v>
      </c>
      <c r="Y331" s="3">
        <f ca="1">IFERROR(__xludf.DUMMYFUNCTION("""COMPUTED_VALUE"""),35.35)</f>
        <v>35.35</v>
      </c>
      <c r="Z331" s="3">
        <f ca="1">IFERROR(__xludf.DUMMYFUNCTION("""COMPUTED_VALUE"""),71.89)</f>
        <v>71.89</v>
      </c>
      <c r="AA331" s="3">
        <f ca="1">IFERROR(__xludf.DUMMYFUNCTION("""COMPUTED_VALUE"""),36.74)</f>
        <v>36.74</v>
      </c>
      <c r="AB331" s="3">
        <f ca="1">IFERROR(__xludf.DUMMYFUNCTION("""COMPUTED_VALUE"""),40.91)</f>
        <v>40.909999999999997</v>
      </c>
      <c r="AC331" s="3">
        <f ca="1">IFERROR(__xludf.DUMMYFUNCTION("""COMPUTED_VALUE"""),51.36)</f>
        <v>51.36</v>
      </c>
      <c r="AD331" s="3">
        <f ca="1">IFERROR(__xludf.DUMMYFUNCTION("""COMPUTED_VALUE"""),10.77)</f>
        <v>10.77</v>
      </c>
      <c r="AE331" s="3">
        <f ca="1">IFERROR(__xludf.DUMMYFUNCTION("""COMPUTED_VALUE"""),16.42)</f>
        <v>16.420000000000002</v>
      </c>
      <c r="AF331" s="3">
        <f ca="1">IFERROR(__xludf.DUMMYFUNCTION("""COMPUTED_VALUE"""),2.62)</f>
        <v>2.62</v>
      </c>
      <c r="AG331" s="3">
        <f ca="1">IFERROR(__xludf.DUMMYFUNCTION("""COMPUTED_VALUE"""),22)</f>
        <v>22</v>
      </c>
    </row>
    <row r="332" spans="1:33" ht="12.75" x14ac:dyDescent="0.2">
      <c r="A332" s="4">
        <f ca="1">IFERROR(__xludf.DUMMYFUNCTION("""COMPUTED_VALUE"""),45042.6666666666)</f>
        <v>45042.666666666599</v>
      </c>
      <c r="B332" s="3">
        <f ca="1">IFERROR(__xludf.DUMMYFUNCTION("""COMPUTED_VALUE"""),146.11)</f>
        <v>146.11000000000001</v>
      </c>
      <c r="C332" s="3">
        <f ca="1">IFERROR(__xludf.DUMMYFUNCTION("""COMPUTED_VALUE"""),373.3)</f>
        <v>373.3</v>
      </c>
      <c r="D332" s="3">
        <f ca="1">IFERROR(__xludf.DUMMYFUNCTION("""COMPUTED_VALUE"""),93.17)</f>
        <v>93.17</v>
      </c>
      <c r="E332" s="3">
        <f ca="1">IFERROR(__xludf.DUMMYFUNCTION("""COMPUTED_VALUE"""),134.38)</f>
        <v>134.38</v>
      </c>
      <c r="F332" s="3">
        <f ca="1">IFERROR(__xludf.DUMMYFUNCTION("""COMPUTED_VALUE"""),44.95)</f>
        <v>44.95</v>
      </c>
      <c r="G332" s="3">
        <f ca="1">IFERROR(__xludf.DUMMYFUNCTION("""COMPUTED_VALUE"""),24.53)</f>
        <v>24.53</v>
      </c>
      <c r="H332" s="3">
        <f ca="1">IFERROR(__xludf.DUMMYFUNCTION("""COMPUTED_VALUE"""),24.25)</f>
        <v>24.25</v>
      </c>
      <c r="I332" s="3">
        <f ca="1">IFERROR(__xludf.DUMMYFUNCTION("""COMPUTED_VALUE"""),131.71)</f>
        <v>131.71</v>
      </c>
      <c r="J332" s="3">
        <f ca="1">IFERROR(__xludf.DUMMYFUNCTION("""COMPUTED_VALUE"""),242.45)</f>
        <v>242.45</v>
      </c>
      <c r="K332" s="3">
        <f ca="1">IFERROR(__xludf.DUMMYFUNCTION("""COMPUTED_VALUE"""),128.74)</f>
        <v>128.74</v>
      </c>
      <c r="L332" s="3">
        <f ca="1">IFERROR(__xludf.DUMMYFUNCTION("""COMPUTED_VALUE"""),79.35)</f>
        <v>79.349999999999994</v>
      </c>
      <c r="M332" s="3">
        <f ca="1">IFERROR(__xludf.DUMMYFUNCTION("""COMPUTED_VALUE"""),61.25)</f>
        <v>61.25</v>
      </c>
      <c r="N332" s="3">
        <f ca="1">IFERROR(__xludf.DUMMYFUNCTION("""COMPUTED_VALUE"""),62.53)</f>
        <v>62.53</v>
      </c>
      <c r="O332" s="3">
        <f ca="1">IFERROR(__xludf.DUMMYFUNCTION("""COMPUTED_VALUE"""),47.96)</f>
        <v>47.96</v>
      </c>
      <c r="P332" s="3">
        <f ca="1">IFERROR(__xludf.DUMMYFUNCTION("""COMPUTED_VALUE"""),83.53)</f>
        <v>83.53</v>
      </c>
      <c r="Q332" s="3">
        <f ca="1">IFERROR(__xludf.DUMMYFUNCTION("""COMPUTED_VALUE"""),114.46)</f>
        <v>114.46</v>
      </c>
      <c r="R332" s="3">
        <f ca="1">IFERROR(__xludf.DUMMYFUNCTION("""COMPUTED_VALUE"""),78.55)</f>
        <v>78.55</v>
      </c>
      <c r="S332" s="3">
        <f ca="1">IFERROR(__xludf.DUMMYFUNCTION("""COMPUTED_VALUE"""),48.59)</f>
        <v>48.59</v>
      </c>
      <c r="T332" s="3">
        <f ca="1">IFERROR(__xludf.DUMMYFUNCTION("""COMPUTED_VALUE"""),23.31)</f>
        <v>23.31</v>
      </c>
      <c r="U332" s="3">
        <f ca="1">IFERROR(__xludf.DUMMYFUNCTION("""COMPUTED_VALUE"""),65.36)</f>
        <v>65.36</v>
      </c>
      <c r="V332" s="3">
        <f ca="1">IFERROR(__xludf.DUMMYFUNCTION("""COMPUTED_VALUE"""),71.45)</f>
        <v>71.45</v>
      </c>
      <c r="W332" s="3">
        <f ca="1">IFERROR(__xludf.DUMMYFUNCTION("""COMPUTED_VALUE"""),32.26)</f>
        <v>32.26</v>
      </c>
      <c r="X332" s="3">
        <f ca="1">IFERROR(__xludf.DUMMYFUNCTION("""COMPUTED_VALUE"""),77.35)</f>
        <v>77.349999999999994</v>
      </c>
      <c r="Y332" s="3">
        <f ca="1">IFERROR(__xludf.DUMMYFUNCTION("""COMPUTED_VALUE"""),35.5)</f>
        <v>35.5</v>
      </c>
      <c r="Z332" s="3">
        <f ca="1">IFERROR(__xludf.DUMMYFUNCTION("""COMPUTED_VALUE"""),71.11)</f>
        <v>71.11</v>
      </c>
      <c r="AA332" s="3">
        <f ca="1">IFERROR(__xludf.DUMMYFUNCTION("""COMPUTED_VALUE"""),36.44)</f>
        <v>36.44</v>
      </c>
      <c r="AB332" s="3">
        <f ca="1">IFERROR(__xludf.DUMMYFUNCTION("""COMPUTED_VALUE"""),41.16)</f>
        <v>41.16</v>
      </c>
      <c r="AC332" s="3">
        <f ca="1">IFERROR(__xludf.DUMMYFUNCTION("""COMPUTED_VALUE"""),51.1)</f>
        <v>51.1</v>
      </c>
      <c r="AD332" s="3">
        <f ca="1">IFERROR(__xludf.DUMMYFUNCTION("""COMPUTED_VALUE"""),10.87)</f>
        <v>10.87</v>
      </c>
      <c r="AE332" s="3">
        <f ca="1">IFERROR(__xludf.DUMMYFUNCTION("""COMPUTED_VALUE"""),16.6)</f>
        <v>16.600000000000001</v>
      </c>
      <c r="AF332" s="3">
        <f ca="1">IFERROR(__xludf.DUMMYFUNCTION("""COMPUTED_VALUE"""),2.65)</f>
        <v>2.65</v>
      </c>
      <c r="AG332" s="3">
        <f ca="1">IFERROR(__xludf.DUMMYFUNCTION("""COMPUTED_VALUE"""),22.62)</f>
        <v>22.62</v>
      </c>
    </row>
    <row r="333" spans="1:33" ht="12.75" x14ac:dyDescent="0.2">
      <c r="A333" s="4">
        <f ca="1">IFERROR(__xludf.DUMMYFUNCTION("""COMPUTED_VALUE"""),45043.6666666666)</f>
        <v>45043.666666666599</v>
      </c>
      <c r="B333" s="3">
        <f ca="1">IFERROR(__xludf.DUMMYFUNCTION("""COMPUTED_VALUE"""),149.21)</f>
        <v>149.21</v>
      </c>
      <c r="C333" s="3">
        <f ca="1">IFERROR(__xludf.DUMMYFUNCTION("""COMPUTED_VALUE"""),380.37)</f>
        <v>380.37</v>
      </c>
      <c r="D333" s="3">
        <f ca="1">IFERROR(__xludf.DUMMYFUNCTION("""COMPUTED_VALUE"""),92.19)</f>
        <v>92.19</v>
      </c>
      <c r="E333" s="3">
        <f ca="1">IFERROR(__xludf.DUMMYFUNCTION("""COMPUTED_VALUE"""),134.95)</f>
        <v>134.94999999999999</v>
      </c>
      <c r="F333" s="3">
        <f ca="1">IFERROR(__xludf.DUMMYFUNCTION("""COMPUTED_VALUE"""),45.51)</f>
        <v>45.51</v>
      </c>
      <c r="G333" s="3">
        <f ca="1">IFERROR(__xludf.DUMMYFUNCTION("""COMPUTED_VALUE"""),25)</f>
        <v>25</v>
      </c>
      <c r="H333" s="3">
        <f ca="1">IFERROR(__xludf.DUMMYFUNCTION("""COMPUTED_VALUE"""),24.61)</f>
        <v>24.61</v>
      </c>
      <c r="I333" s="3">
        <f ca="1">IFERROR(__xludf.DUMMYFUNCTION("""COMPUTED_VALUE"""),132.4)</f>
        <v>132.4</v>
      </c>
      <c r="J333" s="3">
        <f ca="1">IFERROR(__xludf.DUMMYFUNCTION("""COMPUTED_VALUE"""),243.53)</f>
        <v>243.53</v>
      </c>
      <c r="K333" s="3">
        <f ca="1">IFERROR(__xludf.DUMMYFUNCTION("""COMPUTED_VALUE"""),129.2)</f>
        <v>129.19999999999999</v>
      </c>
      <c r="L333" s="3">
        <f ca="1">IFERROR(__xludf.DUMMYFUNCTION("""COMPUTED_VALUE"""),78.8)</f>
        <v>78.8</v>
      </c>
      <c r="M333" s="3">
        <f ca="1">IFERROR(__xludf.DUMMYFUNCTION("""COMPUTED_VALUE"""),61.65)</f>
        <v>61.65</v>
      </c>
      <c r="N333" s="3">
        <f ca="1">IFERROR(__xludf.DUMMYFUNCTION("""COMPUTED_VALUE"""),62.8)</f>
        <v>62.8</v>
      </c>
      <c r="O333" s="3">
        <f ca="1">IFERROR(__xludf.DUMMYFUNCTION("""COMPUTED_VALUE"""),48.17)</f>
        <v>48.17</v>
      </c>
      <c r="P333" s="3">
        <f ca="1">IFERROR(__xludf.DUMMYFUNCTION("""COMPUTED_VALUE"""),83.83)</f>
        <v>83.83</v>
      </c>
      <c r="Q333" s="3">
        <f ca="1">IFERROR(__xludf.DUMMYFUNCTION("""COMPUTED_VALUE"""),115.07)</f>
        <v>115.07</v>
      </c>
      <c r="R333" s="3">
        <f ca="1">IFERROR(__xludf.DUMMYFUNCTION("""COMPUTED_VALUE"""),79.62)</f>
        <v>79.62</v>
      </c>
      <c r="S333" s="3">
        <f ca="1">IFERROR(__xludf.DUMMYFUNCTION("""COMPUTED_VALUE"""),49.49)</f>
        <v>49.49</v>
      </c>
      <c r="T333" s="3">
        <f ca="1">IFERROR(__xludf.DUMMYFUNCTION("""COMPUTED_VALUE"""),23.34)</f>
        <v>23.34</v>
      </c>
      <c r="U333" s="3">
        <f ca="1">IFERROR(__xludf.DUMMYFUNCTION("""COMPUTED_VALUE"""),65.81)</f>
        <v>65.81</v>
      </c>
      <c r="V333" s="3">
        <f ca="1">IFERROR(__xludf.DUMMYFUNCTION("""COMPUTED_VALUE"""),72.75)</f>
        <v>72.75</v>
      </c>
      <c r="W333" s="3">
        <f ca="1">IFERROR(__xludf.DUMMYFUNCTION("""COMPUTED_VALUE"""),32.78)</f>
        <v>32.78</v>
      </c>
      <c r="X333" s="3">
        <f ca="1">IFERROR(__xludf.DUMMYFUNCTION("""COMPUTED_VALUE"""),78.66)</f>
        <v>78.66</v>
      </c>
      <c r="Y333" s="3">
        <f ca="1">IFERROR(__xludf.DUMMYFUNCTION("""COMPUTED_VALUE"""),36.14)</f>
        <v>36.14</v>
      </c>
      <c r="Z333" s="3">
        <f ca="1">IFERROR(__xludf.DUMMYFUNCTION("""COMPUTED_VALUE"""),72.32)</f>
        <v>72.319999999999993</v>
      </c>
      <c r="AA333" s="3">
        <f ca="1">IFERROR(__xludf.DUMMYFUNCTION("""COMPUTED_VALUE"""),37.32)</f>
        <v>37.32</v>
      </c>
      <c r="AB333" s="3">
        <f ca="1">IFERROR(__xludf.DUMMYFUNCTION("""COMPUTED_VALUE"""),41.93)</f>
        <v>41.93</v>
      </c>
      <c r="AC333" s="3">
        <f ca="1">IFERROR(__xludf.DUMMYFUNCTION("""COMPUTED_VALUE"""),49.73)</f>
        <v>49.73</v>
      </c>
      <c r="AD333" s="3">
        <f ca="1">IFERROR(__xludf.DUMMYFUNCTION("""COMPUTED_VALUE"""),11.6)</f>
        <v>11.6</v>
      </c>
      <c r="AE333" s="3">
        <f ca="1">IFERROR(__xludf.DUMMYFUNCTION("""COMPUTED_VALUE"""),17.7)</f>
        <v>17.7</v>
      </c>
      <c r="AF333" s="3">
        <f ca="1">IFERROR(__xludf.DUMMYFUNCTION("""COMPUTED_VALUE"""),2.6)</f>
        <v>2.6</v>
      </c>
      <c r="AG333" s="3">
        <f ca="1">IFERROR(__xludf.DUMMYFUNCTION("""COMPUTED_VALUE"""),23.49)</f>
        <v>23.49</v>
      </c>
    </row>
    <row r="334" spans="1:33" ht="12.75" x14ac:dyDescent="0.2">
      <c r="A334" s="4">
        <f ca="1">IFERROR(__xludf.DUMMYFUNCTION("""COMPUTED_VALUE"""),45044.6666666666)</f>
        <v>45044.666666666599</v>
      </c>
      <c r="B334" s="3">
        <f ca="1">IFERROR(__xludf.DUMMYFUNCTION("""COMPUTED_VALUE"""),150.83)</f>
        <v>150.83000000000001</v>
      </c>
      <c r="C334" s="3">
        <f ca="1">IFERROR(__xludf.DUMMYFUNCTION("""COMPUTED_VALUE"""),384.36)</f>
        <v>384.36</v>
      </c>
      <c r="D334" s="3">
        <f ca="1">IFERROR(__xludf.DUMMYFUNCTION("""COMPUTED_VALUE"""),91.47)</f>
        <v>91.47</v>
      </c>
      <c r="E334" s="3">
        <f ca="1">IFERROR(__xludf.DUMMYFUNCTION("""COMPUTED_VALUE"""),137.38)</f>
        <v>137.38</v>
      </c>
      <c r="F334" s="3">
        <f ca="1">IFERROR(__xludf.DUMMYFUNCTION("""COMPUTED_VALUE"""),44.91)</f>
        <v>44.91</v>
      </c>
      <c r="G334" s="3">
        <f ca="1">IFERROR(__xludf.DUMMYFUNCTION("""COMPUTED_VALUE"""),24.91)</f>
        <v>24.91</v>
      </c>
      <c r="H334" s="3">
        <f ca="1">IFERROR(__xludf.DUMMYFUNCTION("""COMPUTED_VALUE"""),24.84)</f>
        <v>24.84</v>
      </c>
      <c r="I334" s="3">
        <f ca="1">IFERROR(__xludf.DUMMYFUNCTION("""COMPUTED_VALUE"""),133.53)</f>
        <v>133.53</v>
      </c>
      <c r="J334" s="3">
        <f ca="1">IFERROR(__xludf.DUMMYFUNCTION("""COMPUTED_VALUE"""),245.74)</f>
        <v>245.74</v>
      </c>
      <c r="K334" s="3">
        <f ca="1">IFERROR(__xludf.DUMMYFUNCTION("""COMPUTED_VALUE"""),130.51)</f>
        <v>130.51</v>
      </c>
      <c r="L334" s="3">
        <f ca="1">IFERROR(__xludf.DUMMYFUNCTION("""COMPUTED_VALUE"""),80.2)</f>
        <v>80.2</v>
      </c>
      <c r="M334" s="3">
        <f ca="1">IFERROR(__xludf.DUMMYFUNCTION("""COMPUTED_VALUE"""),62.6)</f>
        <v>62.6</v>
      </c>
      <c r="N334" s="3">
        <f ca="1">IFERROR(__xludf.DUMMYFUNCTION("""COMPUTED_VALUE"""),63.35)</f>
        <v>63.35</v>
      </c>
      <c r="O334" s="3">
        <f ca="1">IFERROR(__xludf.DUMMYFUNCTION("""COMPUTED_VALUE"""),49.04)</f>
        <v>49.04</v>
      </c>
      <c r="P334" s="3">
        <f ca="1">IFERROR(__xludf.DUMMYFUNCTION("""COMPUTED_VALUE"""),85.13)</f>
        <v>85.13</v>
      </c>
      <c r="Q334" s="3">
        <f ca="1">IFERROR(__xludf.DUMMYFUNCTION("""COMPUTED_VALUE"""),116.94)</f>
        <v>116.94</v>
      </c>
      <c r="R334" s="3">
        <f ca="1">IFERROR(__xludf.DUMMYFUNCTION("""COMPUTED_VALUE"""),80.55)</f>
        <v>80.55</v>
      </c>
      <c r="S334" s="3">
        <f ca="1">IFERROR(__xludf.DUMMYFUNCTION("""COMPUTED_VALUE"""),49.4)</f>
        <v>49.4</v>
      </c>
      <c r="T334" s="3">
        <f ca="1">IFERROR(__xludf.DUMMYFUNCTION("""COMPUTED_VALUE"""),23.56)</f>
        <v>23.56</v>
      </c>
      <c r="U334" s="3">
        <f ca="1">IFERROR(__xludf.DUMMYFUNCTION("""COMPUTED_VALUE"""),67.5)</f>
        <v>67.5</v>
      </c>
      <c r="V334" s="3">
        <f ca="1">IFERROR(__xludf.DUMMYFUNCTION("""COMPUTED_VALUE"""),71.99)</f>
        <v>71.989999999999995</v>
      </c>
      <c r="W334" s="3">
        <f ca="1">IFERROR(__xludf.DUMMYFUNCTION("""COMPUTED_VALUE"""),33.17)</f>
        <v>33.17</v>
      </c>
      <c r="X334" s="3">
        <f ca="1">IFERROR(__xludf.DUMMYFUNCTION("""COMPUTED_VALUE"""),79.58)</f>
        <v>79.58</v>
      </c>
      <c r="Y334" s="3">
        <f ca="1">IFERROR(__xludf.DUMMYFUNCTION("""COMPUTED_VALUE"""),36.63)</f>
        <v>36.630000000000003</v>
      </c>
      <c r="Z334" s="3">
        <f ca="1">IFERROR(__xludf.DUMMYFUNCTION("""COMPUTED_VALUE"""),73.17)</f>
        <v>73.17</v>
      </c>
      <c r="AA334" s="3">
        <f ca="1">IFERROR(__xludf.DUMMYFUNCTION("""COMPUTED_VALUE"""),37.75)</f>
        <v>37.75</v>
      </c>
      <c r="AB334" s="3">
        <f ca="1">IFERROR(__xludf.DUMMYFUNCTION("""COMPUTED_VALUE"""),42.66)</f>
        <v>42.66</v>
      </c>
      <c r="AC334" s="3">
        <f ca="1">IFERROR(__xludf.DUMMYFUNCTION("""COMPUTED_VALUE"""),49.06)</f>
        <v>49.06</v>
      </c>
      <c r="AD334" s="3">
        <f ca="1">IFERROR(__xludf.DUMMYFUNCTION("""COMPUTED_VALUE"""),11.42)</f>
        <v>11.42</v>
      </c>
      <c r="AE334" s="3">
        <f ca="1">IFERROR(__xludf.DUMMYFUNCTION("""COMPUTED_VALUE"""),17.41)</f>
        <v>17.41</v>
      </c>
      <c r="AF334" s="3">
        <f ca="1">IFERROR(__xludf.DUMMYFUNCTION("""COMPUTED_VALUE"""),2.47)</f>
        <v>2.4700000000000002</v>
      </c>
      <c r="AG334" s="3">
        <f ca="1">IFERROR(__xludf.DUMMYFUNCTION("""COMPUTED_VALUE"""),23.42)</f>
        <v>23.42</v>
      </c>
    </row>
    <row r="335" spans="1:33" ht="12.75" x14ac:dyDescent="0.2">
      <c r="A335" s="4">
        <f ca="1">IFERROR(__xludf.DUMMYFUNCTION("""COMPUTED_VALUE"""),45047.6666666666)</f>
        <v>45047.666666666599</v>
      </c>
      <c r="B335" s="3">
        <f ca="1">IFERROR(__xludf.DUMMYFUNCTION("""COMPUTED_VALUE"""),150.92)</f>
        <v>150.91999999999999</v>
      </c>
      <c r="C335" s="3">
        <f ca="1">IFERROR(__xludf.DUMMYFUNCTION("""COMPUTED_VALUE"""),384.76)</f>
        <v>384.76</v>
      </c>
      <c r="D335" s="3">
        <f ca="1">IFERROR(__xludf.DUMMYFUNCTION("""COMPUTED_VALUE"""),91.07)</f>
        <v>91.07</v>
      </c>
      <c r="E335" s="3">
        <f ca="1">IFERROR(__xludf.DUMMYFUNCTION("""COMPUTED_VALUE"""),138.62)</f>
        <v>138.62</v>
      </c>
      <c r="F335" s="3">
        <f ca="1">IFERROR(__xludf.DUMMYFUNCTION("""COMPUTED_VALUE"""),44.62)</f>
        <v>44.62</v>
      </c>
      <c r="G335" s="3">
        <f ca="1">IFERROR(__xludf.DUMMYFUNCTION("""COMPUTED_VALUE"""),25.12)</f>
        <v>25.12</v>
      </c>
      <c r="H335" s="3">
        <f ca="1">IFERROR(__xludf.DUMMYFUNCTION("""COMPUTED_VALUE"""),24.91)</f>
        <v>24.91</v>
      </c>
      <c r="I335" s="3">
        <f ca="1">IFERROR(__xludf.DUMMYFUNCTION("""COMPUTED_VALUE"""),134.22)</f>
        <v>134.22</v>
      </c>
      <c r="J335" s="3">
        <f ca="1">IFERROR(__xludf.DUMMYFUNCTION("""COMPUTED_VALUE"""),247.29)</f>
        <v>247.29</v>
      </c>
      <c r="K335" s="3">
        <f ca="1">IFERROR(__xludf.DUMMYFUNCTION("""COMPUTED_VALUE"""),131.54)</f>
        <v>131.54</v>
      </c>
      <c r="L335" s="3">
        <f ca="1">IFERROR(__xludf.DUMMYFUNCTION("""COMPUTED_VALUE"""),82.07)</f>
        <v>82.07</v>
      </c>
      <c r="M335" s="3">
        <f ca="1">IFERROR(__xludf.DUMMYFUNCTION("""COMPUTED_VALUE"""),63.35)</f>
        <v>63.35</v>
      </c>
      <c r="N335" s="3">
        <f ca="1">IFERROR(__xludf.DUMMYFUNCTION("""COMPUTED_VALUE"""),63.75)</f>
        <v>63.75</v>
      </c>
      <c r="O335" s="3">
        <f ca="1">IFERROR(__xludf.DUMMYFUNCTION("""COMPUTED_VALUE"""),49.52)</f>
        <v>49.52</v>
      </c>
      <c r="P335" s="3">
        <f ca="1">IFERROR(__xludf.DUMMYFUNCTION("""COMPUTED_VALUE"""),84.17)</f>
        <v>84.17</v>
      </c>
      <c r="Q335" s="3">
        <f ca="1">IFERROR(__xludf.DUMMYFUNCTION("""COMPUTED_VALUE"""),115.63)</f>
        <v>115.63</v>
      </c>
      <c r="R335" s="3">
        <f ca="1">IFERROR(__xludf.DUMMYFUNCTION("""COMPUTED_VALUE"""),80.51)</f>
        <v>80.510000000000005</v>
      </c>
      <c r="S335" s="3">
        <f ca="1">IFERROR(__xludf.DUMMYFUNCTION("""COMPUTED_VALUE"""),48.81)</f>
        <v>48.81</v>
      </c>
      <c r="T335" s="3">
        <f ca="1">IFERROR(__xludf.DUMMYFUNCTION("""COMPUTED_VALUE"""),23.36)</f>
        <v>23.36</v>
      </c>
      <c r="U335" s="3">
        <f ca="1">IFERROR(__xludf.DUMMYFUNCTION("""COMPUTED_VALUE"""),66.55)</f>
        <v>66.55</v>
      </c>
      <c r="V335" s="3">
        <f ca="1">IFERROR(__xludf.DUMMYFUNCTION("""COMPUTED_VALUE"""),71.13)</f>
        <v>71.13</v>
      </c>
      <c r="W335" s="3">
        <f ca="1">IFERROR(__xludf.DUMMYFUNCTION("""COMPUTED_VALUE"""),33.08)</f>
        <v>33.08</v>
      </c>
      <c r="X335" s="3">
        <f ca="1">IFERROR(__xludf.DUMMYFUNCTION("""COMPUTED_VALUE"""),79.28)</f>
        <v>79.28</v>
      </c>
      <c r="Y335" s="3">
        <f ca="1">IFERROR(__xludf.DUMMYFUNCTION("""COMPUTED_VALUE"""),35.82)</f>
        <v>35.82</v>
      </c>
      <c r="Z335" s="3">
        <f ca="1">IFERROR(__xludf.DUMMYFUNCTION("""COMPUTED_VALUE"""),72.97)</f>
        <v>72.97</v>
      </c>
      <c r="AA335" s="3">
        <f ca="1">IFERROR(__xludf.DUMMYFUNCTION("""COMPUTED_VALUE"""),37.4)</f>
        <v>37.4</v>
      </c>
      <c r="AB335" s="3">
        <f ca="1">IFERROR(__xludf.DUMMYFUNCTION("""COMPUTED_VALUE"""),41.46)</f>
        <v>41.46</v>
      </c>
      <c r="AC335" s="3">
        <f ca="1">IFERROR(__xludf.DUMMYFUNCTION("""COMPUTED_VALUE"""),48.15)</f>
        <v>48.15</v>
      </c>
      <c r="AD335" s="3">
        <f ca="1">IFERROR(__xludf.DUMMYFUNCTION("""COMPUTED_VALUE"""),10.8)</f>
        <v>10.8</v>
      </c>
      <c r="AE335" s="3">
        <f ca="1">IFERROR(__xludf.DUMMYFUNCTION("""COMPUTED_VALUE"""),16.08)</f>
        <v>16.079999999999998</v>
      </c>
      <c r="AF335" s="3">
        <f ca="1">IFERROR(__xludf.DUMMYFUNCTION("""COMPUTED_VALUE"""),2.56)</f>
        <v>2.56</v>
      </c>
      <c r="AG335" s="3">
        <f ca="1">IFERROR(__xludf.DUMMYFUNCTION("""COMPUTED_VALUE"""),22.1)</f>
        <v>22.1</v>
      </c>
    </row>
    <row r="336" spans="1:33" ht="12.75" x14ac:dyDescent="0.2">
      <c r="A336" s="4">
        <f ca="1">IFERROR(__xludf.DUMMYFUNCTION("""COMPUTED_VALUE"""),45048.6666666666)</f>
        <v>45048.666666666599</v>
      </c>
      <c r="B336" s="3">
        <f ca="1">IFERROR(__xludf.DUMMYFUNCTION("""COMPUTED_VALUE"""),149.51)</f>
        <v>149.51</v>
      </c>
      <c r="C336" s="3">
        <f ca="1">IFERROR(__xludf.DUMMYFUNCTION("""COMPUTED_VALUE"""),380.45)</f>
        <v>380.45</v>
      </c>
      <c r="D336" s="3">
        <f ca="1">IFERROR(__xludf.DUMMYFUNCTION("""COMPUTED_VALUE"""),93.11)</f>
        <v>93.11</v>
      </c>
      <c r="E336" s="3">
        <f ca="1">IFERROR(__xludf.DUMMYFUNCTION("""COMPUTED_VALUE"""),137.63)</f>
        <v>137.63</v>
      </c>
      <c r="F336" s="3">
        <f ca="1">IFERROR(__xludf.DUMMYFUNCTION("""COMPUTED_VALUE"""),43.55)</f>
        <v>43.55</v>
      </c>
      <c r="G336" s="3">
        <f ca="1">IFERROR(__xludf.DUMMYFUNCTION("""COMPUTED_VALUE"""),24.78)</f>
        <v>24.78</v>
      </c>
      <c r="H336" s="3">
        <f ca="1">IFERROR(__xludf.DUMMYFUNCTION("""COMPUTED_VALUE"""),24.57)</f>
        <v>24.57</v>
      </c>
      <c r="I336" s="3">
        <f ca="1">IFERROR(__xludf.DUMMYFUNCTION("""COMPUTED_VALUE"""),133.64)</f>
        <v>133.63999999999999</v>
      </c>
      <c r="J336" s="3">
        <f ca="1">IFERROR(__xludf.DUMMYFUNCTION("""COMPUTED_VALUE"""),245.58)</f>
        <v>245.58</v>
      </c>
      <c r="K336" s="3">
        <f ca="1">IFERROR(__xludf.DUMMYFUNCTION("""COMPUTED_VALUE"""),129.81)</f>
        <v>129.81</v>
      </c>
      <c r="L336" s="3">
        <f ca="1">IFERROR(__xludf.DUMMYFUNCTION("""COMPUTED_VALUE"""),79.73)</f>
        <v>79.73</v>
      </c>
      <c r="M336" s="3">
        <f ca="1">IFERROR(__xludf.DUMMYFUNCTION("""COMPUTED_VALUE"""),62.22)</f>
        <v>62.22</v>
      </c>
      <c r="N336" s="3">
        <f ca="1">IFERROR(__xludf.DUMMYFUNCTION("""COMPUTED_VALUE"""),63.31)</f>
        <v>63.31</v>
      </c>
      <c r="O336" s="3">
        <f ca="1">IFERROR(__xludf.DUMMYFUNCTION("""COMPUTED_VALUE"""),48.4)</f>
        <v>48.4</v>
      </c>
      <c r="P336" s="3">
        <f ca="1">IFERROR(__xludf.DUMMYFUNCTION("""COMPUTED_VALUE"""),80.51)</f>
        <v>80.510000000000005</v>
      </c>
      <c r="Q336" s="3">
        <f ca="1">IFERROR(__xludf.DUMMYFUNCTION("""COMPUTED_VALUE"""),110.67)</f>
        <v>110.67</v>
      </c>
      <c r="R336" s="3">
        <f ca="1">IFERROR(__xludf.DUMMYFUNCTION("""COMPUTED_VALUE"""),79.73)</f>
        <v>79.73</v>
      </c>
      <c r="S336" s="3">
        <f ca="1">IFERROR(__xludf.DUMMYFUNCTION("""COMPUTED_VALUE"""),48.7)</f>
        <v>48.7</v>
      </c>
      <c r="T336" s="3">
        <f ca="1">IFERROR(__xludf.DUMMYFUNCTION("""COMPUTED_VALUE"""),22.83)</f>
        <v>22.83</v>
      </c>
      <c r="U336" s="3">
        <f ca="1">IFERROR(__xludf.DUMMYFUNCTION("""COMPUTED_VALUE"""),63.05)</f>
        <v>63.05</v>
      </c>
      <c r="V336" s="3">
        <f ca="1">IFERROR(__xludf.DUMMYFUNCTION("""COMPUTED_VALUE"""),68.81)</f>
        <v>68.81</v>
      </c>
      <c r="W336" s="3">
        <f ca="1">IFERROR(__xludf.DUMMYFUNCTION("""COMPUTED_VALUE"""),32.33)</f>
        <v>32.33</v>
      </c>
      <c r="X336" s="3">
        <f ca="1">IFERROR(__xludf.DUMMYFUNCTION("""COMPUTED_VALUE"""),77.18)</f>
        <v>77.180000000000007</v>
      </c>
      <c r="Y336" s="3">
        <f ca="1">IFERROR(__xludf.DUMMYFUNCTION("""COMPUTED_VALUE"""),33.96)</f>
        <v>33.96</v>
      </c>
      <c r="Z336" s="3">
        <f ca="1">IFERROR(__xludf.DUMMYFUNCTION("""COMPUTED_VALUE"""),71.18)</f>
        <v>71.180000000000007</v>
      </c>
      <c r="AA336" s="3">
        <f ca="1">IFERROR(__xludf.DUMMYFUNCTION("""COMPUTED_VALUE"""),36.76)</f>
        <v>36.76</v>
      </c>
      <c r="AB336" s="3">
        <f ca="1">IFERROR(__xludf.DUMMYFUNCTION("""COMPUTED_VALUE"""),38.86)</f>
        <v>38.86</v>
      </c>
      <c r="AC336" s="3">
        <f ca="1">IFERROR(__xludf.DUMMYFUNCTION("""COMPUTED_VALUE"""),49.55)</f>
        <v>49.55</v>
      </c>
      <c r="AD336" s="3">
        <f ca="1">IFERROR(__xludf.DUMMYFUNCTION("""COMPUTED_VALUE"""),11.16)</f>
        <v>11.16</v>
      </c>
      <c r="AE336" s="3">
        <f ca="1">IFERROR(__xludf.DUMMYFUNCTION("""COMPUTED_VALUE"""),16.64)</f>
        <v>16.64</v>
      </c>
      <c r="AF336" s="3">
        <f ca="1">IFERROR(__xludf.DUMMYFUNCTION("""COMPUTED_VALUE"""),2.56)</f>
        <v>2.56</v>
      </c>
      <c r="AG336" s="3">
        <f ca="1">IFERROR(__xludf.DUMMYFUNCTION("""COMPUTED_VALUE"""),22.82)</f>
        <v>22.82</v>
      </c>
    </row>
    <row r="337" spans="1:33" ht="12.75" x14ac:dyDescent="0.2">
      <c r="A337" s="4">
        <f ca="1">IFERROR(__xludf.DUMMYFUNCTION("""COMPUTED_VALUE"""),45049.6666666666)</f>
        <v>45049.666666666599</v>
      </c>
      <c r="B337" s="3">
        <f ca="1">IFERROR(__xludf.DUMMYFUNCTION("""COMPUTED_VALUE"""),148.25)</f>
        <v>148.25</v>
      </c>
      <c r="C337" s="3">
        <f ca="1">IFERROR(__xludf.DUMMYFUNCTION("""COMPUTED_VALUE"""),377.76)</f>
        <v>377.76</v>
      </c>
      <c r="D337" s="3">
        <f ca="1">IFERROR(__xludf.DUMMYFUNCTION("""COMPUTED_VALUE"""),93.46)</f>
        <v>93.46</v>
      </c>
      <c r="E337" s="3">
        <f ca="1">IFERROR(__xludf.DUMMYFUNCTION("""COMPUTED_VALUE"""),136.05)</f>
        <v>136.05000000000001</v>
      </c>
      <c r="F337" s="3">
        <f ca="1">IFERROR(__xludf.DUMMYFUNCTION("""COMPUTED_VALUE"""),43.61)</f>
        <v>43.61</v>
      </c>
      <c r="G337" s="3">
        <f ca="1">IFERROR(__xludf.DUMMYFUNCTION("""COMPUTED_VALUE"""),24.86)</f>
        <v>24.86</v>
      </c>
      <c r="H337" s="3">
        <f ca="1">IFERROR(__xludf.DUMMYFUNCTION("""COMPUTED_VALUE"""),24.56)</f>
        <v>24.56</v>
      </c>
      <c r="I337" s="3">
        <f ca="1">IFERROR(__xludf.DUMMYFUNCTION("""COMPUTED_VALUE"""),133.46)</f>
        <v>133.46</v>
      </c>
      <c r="J337" s="3">
        <f ca="1">IFERROR(__xludf.DUMMYFUNCTION("""COMPUTED_VALUE"""),245.87)</f>
        <v>245.87</v>
      </c>
      <c r="K337" s="3">
        <f ca="1">IFERROR(__xludf.DUMMYFUNCTION("""COMPUTED_VALUE"""),130.68)</f>
        <v>130.68</v>
      </c>
      <c r="L337" s="3">
        <f ca="1">IFERROR(__xludf.DUMMYFUNCTION("""COMPUTED_VALUE"""),83.21)</f>
        <v>83.21</v>
      </c>
      <c r="M337" s="3">
        <f ca="1">IFERROR(__xludf.DUMMYFUNCTION("""COMPUTED_VALUE"""),62.46)</f>
        <v>62.46</v>
      </c>
      <c r="N337" s="3">
        <f ca="1">IFERROR(__xludf.DUMMYFUNCTION("""COMPUTED_VALUE"""),63.4)</f>
        <v>63.4</v>
      </c>
      <c r="O337" s="3">
        <f ca="1">IFERROR(__xludf.DUMMYFUNCTION("""COMPUTED_VALUE"""),49.72)</f>
        <v>49.72</v>
      </c>
      <c r="P337" s="3">
        <f ca="1">IFERROR(__xludf.DUMMYFUNCTION("""COMPUTED_VALUE"""),78.99)</f>
        <v>78.989999999999995</v>
      </c>
      <c r="Q337" s="3">
        <f ca="1">IFERROR(__xludf.DUMMYFUNCTION("""COMPUTED_VALUE"""),108.51)</f>
        <v>108.51</v>
      </c>
      <c r="R337" s="3">
        <f ca="1">IFERROR(__xludf.DUMMYFUNCTION("""COMPUTED_VALUE"""),78.85)</f>
        <v>78.849999999999994</v>
      </c>
      <c r="S337" s="3">
        <f ca="1">IFERROR(__xludf.DUMMYFUNCTION("""COMPUTED_VALUE"""),48.2)</f>
        <v>48.2</v>
      </c>
      <c r="T337" s="3">
        <f ca="1">IFERROR(__xludf.DUMMYFUNCTION("""COMPUTED_VALUE"""),22.54)</f>
        <v>22.54</v>
      </c>
      <c r="U337" s="3">
        <f ca="1">IFERROR(__xludf.DUMMYFUNCTION("""COMPUTED_VALUE"""),60.31)</f>
        <v>60.31</v>
      </c>
      <c r="V337" s="3">
        <f ca="1">IFERROR(__xludf.DUMMYFUNCTION("""COMPUTED_VALUE"""),68.71)</f>
        <v>68.709999999999994</v>
      </c>
      <c r="W337" s="3">
        <f ca="1">IFERROR(__xludf.DUMMYFUNCTION("""COMPUTED_VALUE"""),31.96)</f>
        <v>31.96</v>
      </c>
      <c r="X337" s="3">
        <f ca="1">IFERROR(__xludf.DUMMYFUNCTION("""COMPUTED_VALUE"""),76.17)</f>
        <v>76.17</v>
      </c>
      <c r="Y337" s="3">
        <f ca="1">IFERROR(__xludf.DUMMYFUNCTION("""COMPUTED_VALUE"""),33.41)</f>
        <v>33.409999999999997</v>
      </c>
      <c r="Z337" s="3">
        <f ca="1">IFERROR(__xludf.DUMMYFUNCTION("""COMPUTED_VALUE"""),70.2)</f>
        <v>70.2</v>
      </c>
      <c r="AA337" s="3">
        <f ca="1">IFERROR(__xludf.DUMMYFUNCTION("""COMPUTED_VALUE"""),36.53)</f>
        <v>36.53</v>
      </c>
      <c r="AB337" s="3">
        <f ca="1">IFERROR(__xludf.DUMMYFUNCTION("""COMPUTED_VALUE"""),38.16)</f>
        <v>38.159999999999997</v>
      </c>
      <c r="AC337" s="3">
        <f ca="1">IFERROR(__xludf.DUMMYFUNCTION("""COMPUTED_VALUE"""),49.5)</f>
        <v>49.5</v>
      </c>
      <c r="AD337" s="3">
        <f ca="1">IFERROR(__xludf.DUMMYFUNCTION("""COMPUTED_VALUE"""),11)</f>
        <v>11</v>
      </c>
      <c r="AE337" s="3">
        <f ca="1">IFERROR(__xludf.DUMMYFUNCTION("""COMPUTED_VALUE"""),16.38)</f>
        <v>16.38</v>
      </c>
      <c r="AF337" s="3">
        <f ca="1">IFERROR(__xludf.DUMMYFUNCTION("""COMPUTED_VALUE"""),2.55)</f>
        <v>2.5499999999999998</v>
      </c>
      <c r="AG337" s="3">
        <f ca="1">IFERROR(__xludf.DUMMYFUNCTION("""COMPUTED_VALUE"""),22.34)</f>
        <v>22.34</v>
      </c>
    </row>
    <row r="338" spans="1:33" ht="12.75" x14ac:dyDescent="0.2">
      <c r="A338" s="4">
        <f ca="1">IFERROR(__xludf.DUMMYFUNCTION("""COMPUTED_VALUE"""),45050.6666666666)</f>
        <v>45050.666666666599</v>
      </c>
      <c r="B338" s="3">
        <f ca="1">IFERROR(__xludf.DUMMYFUNCTION("""COMPUTED_VALUE"""),147.54)</f>
        <v>147.54</v>
      </c>
      <c r="C338" s="3">
        <f ca="1">IFERROR(__xludf.DUMMYFUNCTION("""COMPUTED_VALUE"""),376.23)</f>
        <v>376.23</v>
      </c>
      <c r="D338" s="3">
        <f ca="1">IFERROR(__xludf.DUMMYFUNCTION("""COMPUTED_VALUE"""),92.87)</f>
        <v>92.87</v>
      </c>
      <c r="E338" s="3">
        <f ca="1">IFERROR(__xludf.DUMMYFUNCTION("""COMPUTED_VALUE"""),135.29)</f>
        <v>135.29</v>
      </c>
      <c r="F338" s="3">
        <f ca="1">IFERROR(__xludf.DUMMYFUNCTION("""COMPUTED_VALUE"""),43.38)</f>
        <v>43.38</v>
      </c>
      <c r="G338" s="3">
        <f ca="1">IFERROR(__xludf.DUMMYFUNCTION("""COMPUTED_VALUE"""),24.92)</f>
        <v>24.92</v>
      </c>
      <c r="H338" s="3">
        <f ca="1">IFERROR(__xludf.DUMMYFUNCTION("""COMPUTED_VALUE"""),24.32)</f>
        <v>24.32</v>
      </c>
      <c r="I338" s="3">
        <f ca="1">IFERROR(__xludf.DUMMYFUNCTION("""COMPUTED_VALUE"""),132.4)</f>
        <v>132.4</v>
      </c>
      <c r="J338" s="3">
        <f ca="1">IFERROR(__xludf.DUMMYFUNCTION("""COMPUTED_VALUE"""),244.04)</f>
        <v>244.04</v>
      </c>
      <c r="K338" s="3">
        <f ca="1">IFERROR(__xludf.DUMMYFUNCTION("""COMPUTED_VALUE"""),130.3)</f>
        <v>130.30000000000001</v>
      </c>
      <c r="L338" s="3">
        <f ca="1">IFERROR(__xludf.DUMMYFUNCTION("""COMPUTED_VALUE"""),83.98)</f>
        <v>83.98</v>
      </c>
      <c r="M338" s="3">
        <f ca="1">IFERROR(__xludf.DUMMYFUNCTION("""COMPUTED_VALUE"""),62.3)</f>
        <v>62.3</v>
      </c>
      <c r="N338" s="3">
        <f ca="1">IFERROR(__xludf.DUMMYFUNCTION("""COMPUTED_VALUE"""),62.94)</f>
        <v>62.94</v>
      </c>
      <c r="O338" s="3">
        <f ca="1">IFERROR(__xludf.DUMMYFUNCTION("""COMPUTED_VALUE"""),50.77)</f>
        <v>50.77</v>
      </c>
      <c r="P338" s="3">
        <f ca="1">IFERROR(__xludf.DUMMYFUNCTION("""COMPUTED_VALUE"""),78.11)</f>
        <v>78.11</v>
      </c>
      <c r="Q338" s="3">
        <f ca="1">IFERROR(__xludf.DUMMYFUNCTION("""COMPUTED_VALUE"""),107.42)</f>
        <v>107.42</v>
      </c>
      <c r="R338" s="3">
        <f ca="1">IFERROR(__xludf.DUMMYFUNCTION("""COMPUTED_VALUE"""),78.34)</f>
        <v>78.34</v>
      </c>
      <c r="S338" s="3">
        <f ca="1">IFERROR(__xludf.DUMMYFUNCTION("""COMPUTED_VALUE"""),47.24)</f>
        <v>47.24</v>
      </c>
      <c r="T338" s="3">
        <f ca="1">IFERROR(__xludf.DUMMYFUNCTION("""COMPUTED_VALUE"""),22.63)</f>
        <v>22.63</v>
      </c>
      <c r="U338" s="3">
        <f ca="1">IFERROR(__xludf.DUMMYFUNCTION("""COMPUTED_VALUE"""),60.7)</f>
        <v>60.7</v>
      </c>
      <c r="V338" s="3">
        <f ca="1">IFERROR(__xludf.DUMMYFUNCTION("""COMPUTED_VALUE"""),68.27)</f>
        <v>68.27</v>
      </c>
      <c r="W338" s="3">
        <f ca="1">IFERROR(__xludf.DUMMYFUNCTION("""COMPUTED_VALUE"""),31.55)</f>
        <v>31.55</v>
      </c>
      <c r="X338" s="3">
        <f ca="1">IFERROR(__xludf.DUMMYFUNCTION("""COMPUTED_VALUE"""),74.65)</f>
        <v>74.650000000000006</v>
      </c>
      <c r="Y338" s="3">
        <f ca="1">IFERROR(__xludf.DUMMYFUNCTION("""COMPUTED_VALUE"""),31.9)</f>
        <v>31.9</v>
      </c>
      <c r="Z338" s="3">
        <f ca="1">IFERROR(__xludf.DUMMYFUNCTION("""COMPUTED_VALUE"""),68.91)</f>
        <v>68.91</v>
      </c>
      <c r="AA338" s="3">
        <f ca="1">IFERROR(__xludf.DUMMYFUNCTION("""COMPUTED_VALUE"""),36.87)</f>
        <v>36.869999999999997</v>
      </c>
      <c r="AB338" s="3">
        <f ca="1">IFERROR(__xludf.DUMMYFUNCTION("""COMPUTED_VALUE"""),36.08)</f>
        <v>36.08</v>
      </c>
      <c r="AC338" s="3">
        <f ca="1">IFERROR(__xludf.DUMMYFUNCTION("""COMPUTED_VALUE"""),49.43)</f>
        <v>49.43</v>
      </c>
      <c r="AD338" s="3">
        <f ca="1">IFERROR(__xludf.DUMMYFUNCTION("""COMPUTED_VALUE"""),11.24)</f>
        <v>11.24</v>
      </c>
      <c r="AE338" s="3">
        <f ca="1">IFERROR(__xludf.DUMMYFUNCTION("""COMPUTED_VALUE"""),16.74)</f>
        <v>16.739999999999998</v>
      </c>
      <c r="AF338" s="3">
        <f ca="1">IFERROR(__xludf.DUMMYFUNCTION("""COMPUTED_VALUE"""),2.52)</f>
        <v>2.52</v>
      </c>
      <c r="AG338" s="3">
        <f ca="1">IFERROR(__xludf.DUMMYFUNCTION("""COMPUTED_VALUE"""),22.83)</f>
        <v>22.83</v>
      </c>
    </row>
    <row r="339" spans="1:33" ht="12.75" x14ac:dyDescent="0.2">
      <c r="A339" s="4">
        <f ca="1">IFERROR(__xludf.DUMMYFUNCTION("""COMPUTED_VALUE"""),45051.6666666666)</f>
        <v>45051.666666666599</v>
      </c>
      <c r="B339" s="3">
        <f ca="1">IFERROR(__xludf.DUMMYFUNCTION("""COMPUTED_VALUE"""),151.24)</f>
        <v>151.24</v>
      </c>
      <c r="C339" s="3">
        <f ca="1">IFERROR(__xludf.DUMMYFUNCTION("""COMPUTED_VALUE"""),386.18)</f>
        <v>386.18</v>
      </c>
      <c r="D339" s="3">
        <f ca="1">IFERROR(__xludf.DUMMYFUNCTION("""COMPUTED_VALUE"""),94.28)</f>
        <v>94.28</v>
      </c>
      <c r="E339" s="3">
        <f ca="1">IFERROR(__xludf.DUMMYFUNCTION("""COMPUTED_VALUE"""),138.3)</f>
        <v>138.30000000000001</v>
      </c>
      <c r="F339" s="3">
        <f ca="1">IFERROR(__xludf.DUMMYFUNCTION("""COMPUTED_VALUE"""),44.45)</f>
        <v>44.45</v>
      </c>
      <c r="G339" s="3">
        <f ca="1">IFERROR(__xludf.DUMMYFUNCTION("""COMPUTED_VALUE"""),25.3)</f>
        <v>25.3</v>
      </c>
      <c r="H339" s="3">
        <f ca="1">IFERROR(__xludf.DUMMYFUNCTION("""COMPUTED_VALUE"""),24.69)</f>
        <v>24.69</v>
      </c>
      <c r="I339" s="3">
        <f ca="1">IFERROR(__xludf.DUMMYFUNCTION("""COMPUTED_VALUE"""),133.59)</f>
        <v>133.59</v>
      </c>
      <c r="J339" s="3">
        <f ca="1">IFERROR(__xludf.DUMMYFUNCTION("""COMPUTED_VALUE"""),246.6)</f>
        <v>246.6</v>
      </c>
      <c r="K339" s="3">
        <f ca="1">IFERROR(__xludf.DUMMYFUNCTION("""COMPUTED_VALUE"""),131.92)</f>
        <v>131.91999999999999</v>
      </c>
      <c r="L339" s="3">
        <f ca="1">IFERROR(__xludf.DUMMYFUNCTION("""COMPUTED_VALUE"""),85.38)</f>
        <v>85.38</v>
      </c>
      <c r="M339" s="3">
        <f ca="1">IFERROR(__xludf.DUMMYFUNCTION("""COMPUTED_VALUE"""),63.2)</f>
        <v>63.2</v>
      </c>
      <c r="N339" s="3">
        <f ca="1">IFERROR(__xludf.DUMMYFUNCTION("""COMPUTED_VALUE"""),63.55)</f>
        <v>63.55</v>
      </c>
      <c r="O339" s="3">
        <f ca="1">IFERROR(__xludf.DUMMYFUNCTION("""COMPUTED_VALUE"""),51.52)</f>
        <v>51.52</v>
      </c>
      <c r="P339" s="3">
        <f ca="1">IFERROR(__xludf.DUMMYFUNCTION("""COMPUTED_VALUE"""),80.23)</f>
        <v>80.23</v>
      </c>
      <c r="Q339" s="3">
        <f ca="1">IFERROR(__xludf.DUMMYFUNCTION("""COMPUTED_VALUE"""),110.44)</f>
        <v>110.44</v>
      </c>
      <c r="R339" s="3">
        <f ca="1">IFERROR(__xludf.DUMMYFUNCTION("""COMPUTED_VALUE"""),79.66)</f>
        <v>79.66</v>
      </c>
      <c r="S339" s="3">
        <f ca="1">IFERROR(__xludf.DUMMYFUNCTION("""COMPUTED_VALUE"""),48.47)</f>
        <v>48.47</v>
      </c>
      <c r="T339" s="3">
        <f ca="1">IFERROR(__xludf.DUMMYFUNCTION("""COMPUTED_VALUE"""),23.14)</f>
        <v>23.14</v>
      </c>
      <c r="U339" s="3">
        <f ca="1">IFERROR(__xludf.DUMMYFUNCTION("""COMPUTED_VALUE"""),63.03)</f>
        <v>63.03</v>
      </c>
      <c r="V339" s="3">
        <f ca="1">IFERROR(__xludf.DUMMYFUNCTION("""COMPUTED_VALUE"""),70.21)</f>
        <v>70.209999999999994</v>
      </c>
      <c r="W339" s="3">
        <f ca="1">IFERROR(__xludf.DUMMYFUNCTION("""COMPUTED_VALUE"""),32.33)</f>
        <v>32.33</v>
      </c>
      <c r="X339" s="3">
        <f ca="1">IFERROR(__xludf.DUMMYFUNCTION("""COMPUTED_VALUE"""),76.7)</f>
        <v>76.7</v>
      </c>
      <c r="Y339" s="3">
        <f ca="1">IFERROR(__xludf.DUMMYFUNCTION("""COMPUTED_VALUE"""),33.65)</f>
        <v>33.65</v>
      </c>
      <c r="Z339" s="3">
        <f ca="1">IFERROR(__xludf.DUMMYFUNCTION("""COMPUTED_VALUE"""),70.69)</f>
        <v>70.69</v>
      </c>
      <c r="AA339" s="3">
        <f ca="1">IFERROR(__xludf.DUMMYFUNCTION("""COMPUTED_VALUE"""),37.44)</f>
        <v>37.44</v>
      </c>
      <c r="AB339" s="3">
        <f ca="1">IFERROR(__xludf.DUMMYFUNCTION("""COMPUTED_VALUE"""),38.35)</f>
        <v>38.35</v>
      </c>
      <c r="AC339" s="3">
        <f ca="1">IFERROR(__xludf.DUMMYFUNCTION("""COMPUTED_VALUE"""),49.25)</f>
        <v>49.25</v>
      </c>
      <c r="AD339" s="3">
        <f ca="1">IFERROR(__xludf.DUMMYFUNCTION("""COMPUTED_VALUE"""),11.53)</f>
        <v>11.53</v>
      </c>
      <c r="AE339" s="3">
        <f ca="1">IFERROR(__xludf.DUMMYFUNCTION("""COMPUTED_VALUE"""),17.19)</f>
        <v>17.190000000000001</v>
      </c>
      <c r="AF339" s="3">
        <f ca="1">IFERROR(__xludf.DUMMYFUNCTION("""COMPUTED_VALUE"""),2.5)</f>
        <v>2.5</v>
      </c>
      <c r="AG339" s="3">
        <f ca="1">IFERROR(__xludf.DUMMYFUNCTION("""COMPUTED_VALUE"""),23.89)</f>
        <v>23.89</v>
      </c>
    </row>
    <row r="340" spans="1:33" ht="12.75" x14ac:dyDescent="0.2">
      <c r="A340" s="4">
        <f ca="1">IFERROR(__xludf.DUMMYFUNCTION("""COMPUTED_VALUE"""),45054.6666666666)</f>
        <v>45054.666666666599</v>
      </c>
      <c r="B340" s="3">
        <f ca="1">IFERROR(__xludf.DUMMYFUNCTION("""COMPUTED_VALUE"""),151.16)</f>
        <v>151.16</v>
      </c>
      <c r="C340" s="3">
        <f ca="1">IFERROR(__xludf.DUMMYFUNCTION("""COMPUTED_VALUE"""),386.59)</f>
        <v>386.59</v>
      </c>
      <c r="D340" s="3">
        <f ca="1">IFERROR(__xludf.DUMMYFUNCTION("""COMPUTED_VALUE"""),94.36)</f>
        <v>94.36</v>
      </c>
      <c r="E340" s="3">
        <f ca="1">IFERROR(__xludf.DUMMYFUNCTION("""COMPUTED_VALUE"""),138.88)</f>
        <v>138.88</v>
      </c>
      <c r="F340" s="3">
        <f ca="1">IFERROR(__xludf.DUMMYFUNCTION("""COMPUTED_VALUE"""),45.28)</f>
        <v>45.28</v>
      </c>
      <c r="G340" s="3">
        <f ca="1">IFERROR(__xludf.DUMMYFUNCTION("""COMPUTED_VALUE"""),25.32)</f>
        <v>25.32</v>
      </c>
      <c r="H340" s="3">
        <f ca="1">IFERROR(__xludf.DUMMYFUNCTION("""COMPUTED_VALUE"""),24.71)</f>
        <v>24.71</v>
      </c>
      <c r="I340" s="3">
        <f ca="1">IFERROR(__xludf.DUMMYFUNCTION("""COMPUTED_VALUE"""),133.3)</f>
        <v>133.30000000000001</v>
      </c>
      <c r="J340" s="3">
        <f ca="1">IFERROR(__xludf.DUMMYFUNCTION("""COMPUTED_VALUE"""),245.85)</f>
        <v>245.85</v>
      </c>
      <c r="K340" s="3">
        <f ca="1">IFERROR(__xludf.DUMMYFUNCTION("""COMPUTED_VALUE"""),130.85)</f>
        <v>130.85</v>
      </c>
      <c r="L340" s="3">
        <f ca="1">IFERROR(__xludf.DUMMYFUNCTION("""COMPUTED_VALUE"""),85)</f>
        <v>85</v>
      </c>
      <c r="M340" s="3">
        <f ca="1">IFERROR(__xludf.DUMMYFUNCTION("""COMPUTED_VALUE"""),62.24)</f>
        <v>62.24</v>
      </c>
      <c r="N340" s="3">
        <f ca="1">IFERROR(__xludf.DUMMYFUNCTION("""COMPUTED_VALUE"""),63.39)</f>
        <v>63.39</v>
      </c>
      <c r="O340" s="3">
        <f ca="1">IFERROR(__xludf.DUMMYFUNCTION("""COMPUTED_VALUE"""),50.92)</f>
        <v>50.92</v>
      </c>
      <c r="P340" s="3">
        <f ca="1">IFERROR(__xludf.DUMMYFUNCTION("""COMPUTED_VALUE"""),80.23)</f>
        <v>80.23</v>
      </c>
      <c r="Q340" s="3">
        <f ca="1">IFERROR(__xludf.DUMMYFUNCTION("""COMPUTED_VALUE"""),110.51)</f>
        <v>110.51</v>
      </c>
      <c r="R340" s="3">
        <f ca="1">IFERROR(__xludf.DUMMYFUNCTION("""COMPUTED_VALUE"""),79.4)</f>
        <v>79.400000000000006</v>
      </c>
      <c r="S340" s="3">
        <f ca="1">IFERROR(__xludf.DUMMYFUNCTION("""COMPUTED_VALUE"""),48.77)</f>
        <v>48.77</v>
      </c>
      <c r="T340" s="3">
        <f ca="1">IFERROR(__xludf.DUMMYFUNCTION("""COMPUTED_VALUE"""),23.25)</f>
        <v>23.25</v>
      </c>
      <c r="U340" s="3">
        <f ca="1">IFERROR(__xludf.DUMMYFUNCTION("""COMPUTED_VALUE"""),64.26)</f>
        <v>64.260000000000005</v>
      </c>
      <c r="V340" s="3">
        <f ca="1">IFERROR(__xludf.DUMMYFUNCTION("""COMPUTED_VALUE"""),69.95)</f>
        <v>69.95</v>
      </c>
      <c r="W340" s="3">
        <f ca="1">IFERROR(__xludf.DUMMYFUNCTION("""COMPUTED_VALUE"""),32.38)</f>
        <v>32.380000000000003</v>
      </c>
      <c r="X340" s="3">
        <f ca="1">IFERROR(__xludf.DUMMYFUNCTION("""COMPUTED_VALUE"""),76.68)</f>
        <v>76.680000000000007</v>
      </c>
      <c r="Y340" s="3">
        <f ca="1">IFERROR(__xludf.DUMMYFUNCTION("""COMPUTED_VALUE"""),33.27)</f>
        <v>33.270000000000003</v>
      </c>
      <c r="Z340" s="3">
        <f ca="1">IFERROR(__xludf.DUMMYFUNCTION("""COMPUTED_VALUE"""),70.8)</f>
        <v>70.8</v>
      </c>
      <c r="AA340" s="3">
        <f ca="1">IFERROR(__xludf.DUMMYFUNCTION("""COMPUTED_VALUE"""),37.18)</f>
        <v>37.18</v>
      </c>
      <c r="AB340" s="3">
        <f ca="1">IFERROR(__xludf.DUMMYFUNCTION("""COMPUTED_VALUE"""),37.58)</f>
        <v>37.58</v>
      </c>
      <c r="AC340" s="3">
        <f ca="1">IFERROR(__xludf.DUMMYFUNCTION("""COMPUTED_VALUE"""),49.09)</f>
        <v>49.09</v>
      </c>
      <c r="AD340" s="3">
        <f ca="1">IFERROR(__xludf.DUMMYFUNCTION("""COMPUTED_VALUE"""),10.62)</f>
        <v>10.62</v>
      </c>
      <c r="AE340" s="3">
        <f ca="1">IFERROR(__xludf.DUMMYFUNCTION("""COMPUTED_VALUE"""),15.81)</f>
        <v>15.81</v>
      </c>
      <c r="AF340" s="3">
        <f ca="1">IFERROR(__xludf.DUMMYFUNCTION("""COMPUTED_VALUE"""),2.53)</f>
        <v>2.5299999999999998</v>
      </c>
      <c r="AG340" s="3">
        <f ca="1">IFERROR(__xludf.DUMMYFUNCTION("""COMPUTED_VALUE"""),22.96)</f>
        <v>22.96</v>
      </c>
    </row>
    <row r="341" spans="1:33" ht="12.75" x14ac:dyDescent="0.2">
      <c r="A341" s="4">
        <f ca="1">IFERROR(__xludf.DUMMYFUNCTION("""COMPUTED_VALUE"""),45055.6666666666)</f>
        <v>45055.666666666599</v>
      </c>
      <c r="B341" s="3">
        <f ca="1">IFERROR(__xludf.DUMMYFUNCTION("""COMPUTED_VALUE"""),150)</f>
        <v>150</v>
      </c>
      <c r="C341" s="3">
        <f ca="1">IFERROR(__xludf.DUMMYFUNCTION("""COMPUTED_VALUE"""),383.78)</f>
        <v>383.78</v>
      </c>
      <c r="D341" s="3">
        <f ca="1">IFERROR(__xludf.DUMMYFUNCTION("""COMPUTED_VALUE"""),94.16)</f>
        <v>94.16</v>
      </c>
      <c r="E341" s="3">
        <f ca="1">IFERROR(__xludf.DUMMYFUNCTION("""COMPUTED_VALUE"""),136.52)</f>
        <v>136.52000000000001</v>
      </c>
      <c r="F341" s="3">
        <f ca="1">IFERROR(__xludf.DUMMYFUNCTION("""COMPUTED_VALUE"""),45.27)</f>
        <v>45.27</v>
      </c>
      <c r="G341" s="3">
        <f ca="1">IFERROR(__xludf.DUMMYFUNCTION("""COMPUTED_VALUE"""),25.28)</f>
        <v>25.28</v>
      </c>
      <c r="H341" s="3">
        <f ca="1">IFERROR(__xludf.DUMMYFUNCTION("""COMPUTED_VALUE"""),24.54)</f>
        <v>24.54</v>
      </c>
      <c r="I341" s="3">
        <f ca="1">IFERROR(__xludf.DUMMYFUNCTION("""COMPUTED_VALUE"""),132.41)</f>
        <v>132.41</v>
      </c>
      <c r="J341" s="3">
        <f ca="1">IFERROR(__xludf.DUMMYFUNCTION("""COMPUTED_VALUE"""),244.44)</f>
        <v>244.44</v>
      </c>
      <c r="K341" s="3">
        <f ca="1">IFERROR(__xludf.DUMMYFUNCTION("""COMPUTED_VALUE"""),130.6)</f>
        <v>130.6</v>
      </c>
      <c r="L341" s="3">
        <f ca="1">IFERROR(__xludf.DUMMYFUNCTION("""COMPUTED_VALUE"""),85.91)</f>
        <v>85.91</v>
      </c>
      <c r="M341" s="3">
        <f ca="1">IFERROR(__xludf.DUMMYFUNCTION("""COMPUTED_VALUE"""),62.49)</f>
        <v>62.49</v>
      </c>
      <c r="N341" s="3">
        <f ca="1">IFERROR(__xludf.DUMMYFUNCTION("""COMPUTED_VALUE"""),63.08)</f>
        <v>63.08</v>
      </c>
      <c r="O341" s="3">
        <f ca="1">IFERROR(__xludf.DUMMYFUNCTION("""COMPUTED_VALUE"""),50.96)</f>
        <v>50.96</v>
      </c>
      <c r="P341" s="3">
        <f ca="1">IFERROR(__xludf.DUMMYFUNCTION("""COMPUTED_VALUE"""),80.26)</f>
        <v>80.260000000000005</v>
      </c>
      <c r="Q341" s="3">
        <f ca="1">IFERROR(__xludf.DUMMYFUNCTION("""COMPUTED_VALUE"""),110.56)</f>
        <v>110.56</v>
      </c>
      <c r="R341" s="3">
        <f ca="1">IFERROR(__xludf.DUMMYFUNCTION("""COMPUTED_VALUE"""),78.68)</f>
        <v>78.680000000000007</v>
      </c>
      <c r="S341" s="3">
        <f ca="1">IFERROR(__xludf.DUMMYFUNCTION("""COMPUTED_VALUE"""),48.88)</f>
        <v>48.88</v>
      </c>
      <c r="T341" s="3">
        <f ca="1">IFERROR(__xludf.DUMMYFUNCTION("""COMPUTED_VALUE"""),23.32)</f>
        <v>23.32</v>
      </c>
      <c r="U341" s="3">
        <f ca="1">IFERROR(__xludf.DUMMYFUNCTION("""COMPUTED_VALUE"""),64.87)</f>
        <v>64.87</v>
      </c>
      <c r="V341" s="3">
        <f ca="1">IFERROR(__xludf.DUMMYFUNCTION("""COMPUTED_VALUE"""),69.25)</f>
        <v>69.25</v>
      </c>
      <c r="W341" s="3">
        <f ca="1">IFERROR(__xludf.DUMMYFUNCTION("""COMPUTED_VALUE"""),32.26)</f>
        <v>32.26</v>
      </c>
      <c r="X341" s="3">
        <f ca="1">IFERROR(__xludf.DUMMYFUNCTION("""COMPUTED_VALUE"""),76.52)</f>
        <v>76.52</v>
      </c>
      <c r="Y341" s="3">
        <f ca="1">IFERROR(__xludf.DUMMYFUNCTION("""COMPUTED_VALUE"""),33.09)</f>
        <v>33.090000000000003</v>
      </c>
      <c r="Z341" s="3">
        <f ca="1">IFERROR(__xludf.DUMMYFUNCTION("""COMPUTED_VALUE"""),70.69)</f>
        <v>70.69</v>
      </c>
      <c r="AA341" s="3">
        <f ca="1">IFERROR(__xludf.DUMMYFUNCTION("""COMPUTED_VALUE"""),37.06)</f>
        <v>37.06</v>
      </c>
      <c r="AB341" s="3">
        <f ca="1">IFERROR(__xludf.DUMMYFUNCTION("""COMPUTED_VALUE"""),37.42)</f>
        <v>37.42</v>
      </c>
      <c r="AC341" s="3">
        <f ca="1">IFERROR(__xludf.DUMMYFUNCTION("""COMPUTED_VALUE"""),48.91)</f>
        <v>48.91</v>
      </c>
      <c r="AD341" s="3">
        <f ca="1">IFERROR(__xludf.DUMMYFUNCTION("""COMPUTED_VALUE"""),10.75)</f>
        <v>10.75</v>
      </c>
      <c r="AE341" s="3">
        <f ca="1">IFERROR(__xludf.DUMMYFUNCTION("""COMPUTED_VALUE"""),16.01)</f>
        <v>16.010000000000002</v>
      </c>
      <c r="AF341" s="3">
        <f ca="1">IFERROR(__xludf.DUMMYFUNCTION("""COMPUTED_VALUE"""),2.61)</f>
        <v>2.61</v>
      </c>
      <c r="AG341" s="3">
        <f ca="1">IFERROR(__xludf.DUMMYFUNCTION("""COMPUTED_VALUE"""),23.27)</f>
        <v>23.27</v>
      </c>
    </row>
    <row r="342" spans="1:33" ht="12.75" x14ac:dyDescent="0.2">
      <c r="A342" s="4">
        <f ca="1">IFERROR(__xludf.DUMMYFUNCTION("""COMPUTED_VALUE"""),45056.6666666666)</f>
        <v>45056.666666666599</v>
      </c>
      <c r="B342" s="3">
        <f ca="1">IFERROR(__xludf.DUMMYFUNCTION("""COMPUTED_VALUE"""),151.83)</f>
        <v>151.83000000000001</v>
      </c>
      <c r="C342" s="3">
        <f ca="1">IFERROR(__xludf.DUMMYFUNCTION("""COMPUTED_VALUE"""),387.96)</f>
        <v>387.96</v>
      </c>
      <c r="D342" s="3">
        <f ca="1">IFERROR(__xludf.DUMMYFUNCTION("""COMPUTED_VALUE"""),95)</f>
        <v>95</v>
      </c>
      <c r="E342" s="3">
        <f ca="1">IFERROR(__xludf.DUMMYFUNCTION("""COMPUTED_VALUE"""),137.91)</f>
        <v>137.91</v>
      </c>
      <c r="F342" s="3">
        <f ca="1">IFERROR(__xludf.DUMMYFUNCTION("""COMPUTED_VALUE"""),46.13)</f>
        <v>46.13</v>
      </c>
      <c r="G342" s="3">
        <f ca="1">IFERROR(__xludf.DUMMYFUNCTION("""COMPUTED_VALUE"""),25.57)</f>
        <v>25.57</v>
      </c>
      <c r="H342" s="3">
        <f ca="1">IFERROR(__xludf.DUMMYFUNCTION("""COMPUTED_VALUE"""),24.56)</f>
        <v>24.56</v>
      </c>
      <c r="I342" s="3">
        <f ca="1">IFERROR(__xludf.DUMMYFUNCTION("""COMPUTED_VALUE"""),132.78)</f>
        <v>132.78</v>
      </c>
      <c r="J342" s="3">
        <f ca="1">IFERROR(__xludf.DUMMYFUNCTION("""COMPUTED_VALUE"""),245.34)</f>
        <v>245.34</v>
      </c>
      <c r="K342" s="3">
        <f ca="1">IFERROR(__xludf.DUMMYFUNCTION("""COMPUTED_VALUE"""),131.03)</f>
        <v>131.03</v>
      </c>
      <c r="L342" s="3">
        <f ca="1">IFERROR(__xludf.DUMMYFUNCTION("""COMPUTED_VALUE"""),87.28)</f>
        <v>87.28</v>
      </c>
      <c r="M342" s="3">
        <f ca="1">IFERROR(__xludf.DUMMYFUNCTION("""COMPUTED_VALUE"""),62.78)</f>
        <v>62.78</v>
      </c>
      <c r="N342" s="3">
        <f ca="1">IFERROR(__xludf.DUMMYFUNCTION("""COMPUTED_VALUE"""),63.28)</f>
        <v>63.28</v>
      </c>
      <c r="O342" s="3">
        <f ca="1">IFERROR(__xludf.DUMMYFUNCTION("""COMPUTED_VALUE"""),51.4)</f>
        <v>51.4</v>
      </c>
      <c r="P342" s="3">
        <f ca="1">IFERROR(__xludf.DUMMYFUNCTION("""COMPUTED_VALUE"""),79.35)</f>
        <v>79.349999999999994</v>
      </c>
      <c r="Q342" s="3">
        <f ca="1">IFERROR(__xludf.DUMMYFUNCTION("""COMPUTED_VALUE"""),109.49)</f>
        <v>109.49</v>
      </c>
      <c r="R342" s="3">
        <f ca="1">IFERROR(__xludf.DUMMYFUNCTION("""COMPUTED_VALUE"""),78.73)</f>
        <v>78.73</v>
      </c>
      <c r="S342" s="3">
        <f ca="1">IFERROR(__xludf.DUMMYFUNCTION("""COMPUTED_VALUE"""),48.72)</f>
        <v>48.72</v>
      </c>
      <c r="T342" s="3">
        <f ca="1">IFERROR(__xludf.DUMMYFUNCTION("""COMPUTED_VALUE"""),23.25)</f>
        <v>23.25</v>
      </c>
      <c r="U342" s="3">
        <f ca="1">IFERROR(__xludf.DUMMYFUNCTION("""COMPUTED_VALUE"""),64.39)</f>
        <v>64.39</v>
      </c>
      <c r="V342" s="3">
        <f ca="1">IFERROR(__xludf.DUMMYFUNCTION("""COMPUTED_VALUE"""),69.89)</f>
        <v>69.89</v>
      </c>
      <c r="W342" s="3">
        <f ca="1">IFERROR(__xludf.DUMMYFUNCTION("""COMPUTED_VALUE"""),32.08)</f>
        <v>32.08</v>
      </c>
      <c r="X342" s="3">
        <f ca="1">IFERROR(__xludf.DUMMYFUNCTION("""COMPUTED_VALUE"""),76.28)</f>
        <v>76.28</v>
      </c>
      <c r="Y342" s="3">
        <f ca="1">IFERROR(__xludf.DUMMYFUNCTION("""COMPUTED_VALUE"""),32.85)</f>
        <v>32.85</v>
      </c>
      <c r="Z342" s="3">
        <f ca="1">IFERROR(__xludf.DUMMYFUNCTION("""COMPUTED_VALUE"""),70.49)</f>
        <v>70.489999999999995</v>
      </c>
      <c r="AA342" s="3">
        <f ca="1">IFERROR(__xludf.DUMMYFUNCTION("""COMPUTED_VALUE"""),37.41)</f>
        <v>37.409999999999997</v>
      </c>
      <c r="AB342" s="3">
        <f ca="1">IFERROR(__xludf.DUMMYFUNCTION("""COMPUTED_VALUE"""),37.06)</f>
        <v>37.06</v>
      </c>
      <c r="AC342" s="3">
        <f ca="1">IFERROR(__xludf.DUMMYFUNCTION("""COMPUTED_VALUE"""),49.47)</f>
        <v>49.47</v>
      </c>
      <c r="AD342" s="3">
        <f ca="1">IFERROR(__xludf.DUMMYFUNCTION("""COMPUTED_VALUE"""),10.76)</f>
        <v>10.76</v>
      </c>
      <c r="AE342" s="3">
        <f ca="1">IFERROR(__xludf.DUMMYFUNCTION("""COMPUTED_VALUE"""),16.01)</f>
        <v>16.010000000000002</v>
      </c>
      <c r="AF342" s="3">
        <f ca="1">IFERROR(__xludf.DUMMYFUNCTION("""COMPUTED_VALUE"""),2.44)</f>
        <v>2.44</v>
      </c>
      <c r="AG342" s="3">
        <f ca="1">IFERROR(__xludf.DUMMYFUNCTION("""COMPUTED_VALUE"""),24.08)</f>
        <v>24.08</v>
      </c>
    </row>
    <row r="343" spans="1:33" ht="12.75" x14ac:dyDescent="0.2">
      <c r="A343" s="4">
        <f ca="1">IFERROR(__xludf.DUMMYFUNCTION("""COMPUTED_VALUE"""),45057.6666666666)</f>
        <v>45057.666666666599</v>
      </c>
      <c r="B343" s="3">
        <f ca="1">IFERROR(__xludf.DUMMYFUNCTION("""COMPUTED_VALUE"""),151.15)</f>
        <v>151.15</v>
      </c>
      <c r="C343" s="3">
        <f ca="1">IFERROR(__xludf.DUMMYFUNCTION("""COMPUTED_VALUE"""),386.32)</f>
        <v>386.32</v>
      </c>
      <c r="D343" s="3">
        <f ca="1">IFERROR(__xludf.DUMMYFUNCTION("""COMPUTED_VALUE"""),95.26)</f>
        <v>95.26</v>
      </c>
      <c r="E343" s="3">
        <f ca="1">IFERROR(__xludf.DUMMYFUNCTION("""COMPUTED_VALUE"""),137.01)</f>
        <v>137.01</v>
      </c>
      <c r="F343" s="3">
        <f ca="1">IFERROR(__xludf.DUMMYFUNCTION("""COMPUTED_VALUE"""),45.91)</f>
        <v>45.91</v>
      </c>
      <c r="G343" s="3">
        <f ca="1">IFERROR(__xludf.DUMMYFUNCTION("""COMPUTED_VALUE"""),25.48)</f>
        <v>25.48</v>
      </c>
      <c r="H343" s="3">
        <f ca="1">IFERROR(__xludf.DUMMYFUNCTION("""COMPUTED_VALUE"""),24.59)</f>
        <v>24.59</v>
      </c>
      <c r="I343" s="3">
        <f ca="1">IFERROR(__xludf.DUMMYFUNCTION("""COMPUTED_VALUE"""),132.37)</f>
        <v>132.37</v>
      </c>
      <c r="J343" s="3">
        <f ca="1">IFERROR(__xludf.DUMMYFUNCTION("""COMPUTED_VALUE"""),244.44)</f>
        <v>244.44</v>
      </c>
      <c r="K343" s="3">
        <f ca="1">IFERROR(__xludf.DUMMYFUNCTION("""COMPUTED_VALUE"""),130.43)</f>
        <v>130.43</v>
      </c>
      <c r="L343" s="3">
        <f ca="1">IFERROR(__xludf.DUMMYFUNCTION("""COMPUTED_VALUE"""),86.01)</f>
        <v>86.01</v>
      </c>
      <c r="M343" s="3">
        <f ca="1">IFERROR(__xludf.DUMMYFUNCTION("""COMPUTED_VALUE"""),62.08)</f>
        <v>62.08</v>
      </c>
      <c r="N343" s="3">
        <f ca="1">IFERROR(__xludf.DUMMYFUNCTION("""COMPUTED_VALUE"""),63.03)</f>
        <v>63.03</v>
      </c>
      <c r="O343" s="3">
        <f ca="1">IFERROR(__xludf.DUMMYFUNCTION("""COMPUTED_VALUE"""),50.94)</f>
        <v>50.94</v>
      </c>
      <c r="P343" s="3">
        <f ca="1">IFERROR(__xludf.DUMMYFUNCTION("""COMPUTED_VALUE"""),78.4)</f>
        <v>78.400000000000006</v>
      </c>
      <c r="Q343" s="3">
        <f ca="1">IFERROR(__xludf.DUMMYFUNCTION("""COMPUTED_VALUE"""),108.04)</f>
        <v>108.04</v>
      </c>
      <c r="R343" s="3">
        <f ca="1">IFERROR(__xludf.DUMMYFUNCTION("""COMPUTED_VALUE"""),77.96)</f>
        <v>77.959999999999994</v>
      </c>
      <c r="S343" s="3">
        <f ca="1">IFERROR(__xludf.DUMMYFUNCTION("""COMPUTED_VALUE"""),47.35)</f>
        <v>47.35</v>
      </c>
      <c r="T343" s="3">
        <f ca="1">IFERROR(__xludf.DUMMYFUNCTION("""COMPUTED_VALUE"""),22.85)</f>
        <v>22.85</v>
      </c>
      <c r="U343" s="3">
        <f ca="1">IFERROR(__xludf.DUMMYFUNCTION("""COMPUTED_VALUE"""),63.25)</f>
        <v>63.25</v>
      </c>
      <c r="V343" s="3">
        <f ca="1">IFERROR(__xludf.DUMMYFUNCTION("""COMPUTED_VALUE"""),69.81)</f>
        <v>69.81</v>
      </c>
      <c r="W343" s="3">
        <f ca="1">IFERROR(__xludf.DUMMYFUNCTION("""COMPUTED_VALUE"""),32.03)</f>
        <v>32.03</v>
      </c>
      <c r="X343" s="3">
        <f ca="1">IFERROR(__xludf.DUMMYFUNCTION("""COMPUTED_VALUE"""),75.96)</f>
        <v>75.959999999999994</v>
      </c>
      <c r="Y343" s="3">
        <f ca="1">IFERROR(__xludf.DUMMYFUNCTION("""COMPUTED_VALUE"""),32.34)</f>
        <v>32.340000000000003</v>
      </c>
      <c r="Z343" s="3">
        <f ca="1">IFERROR(__xludf.DUMMYFUNCTION("""COMPUTED_VALUE"""),70.28)</f>
        <v>70.28</v>
      </c>
      <c r="AA343" s="3">
        <f ca="1">IFERROR(__xludf.DUMMYFUNCTION("""COMPUTED_VALUE"""),37.02)</f>
        <v>37.020000000000003</v>
      </c>
      <c r="AB343" s="3">
        <f ca="1">IFERROR(__xludf.DUMMYFUNCTION("""COMPUTED_VALUE"""),36.14)</f>
        <v>36.14</v>
      </c>
      <c r="AC343" s="3">
        <f ca="1">IFERROR(__xludf.DUMMYFUNCTION("""COMPUTED_VALUE"""),48.91)</f>
        <v>48.91</v>
      </c>
      <c r="AD343" s="3">
        <f ca="1">IFERROR(__xludf.DUMMYFUNCTION("""COMPUTED_VALUE"""),10.41)</f>
        <v>10.41</v>
      </c>
      <c r="AE343" s="3">
        <f ca="1">IFERROR(__xludf.DUMMYFUNCTION("""COMPUTED_VALUE"""),15.51)</f>
        <v>15.51</v>
      </c>
      <c r="AF343" s="3">
        <f ca="1">IFERROR(__xludf.DUMMYFUNCTION("""COMPUTED_VALUE"""),2.47)</f>
        <v>2.4700000000000002</v>
      </c>
      <c r="AG343" s="3">
        <f ca="1">IFERROR(__xludf.DUMMYFUNCTION("""COMPUTED_VALUE"""),22.39)</f>
        <v>22.39</v>
      </c>
    </row>
    <row r="344" spans="1:33" ht="12.75" x14ac:dyDescent="0.2">
      <c r="A344" s="4">
        <f ca="1">IFERROR(__xludf.DUMMYFUNCTION("""COMPUTED_VALUE"""),45058.6666666666)</f>
        <v>45058.666666666599</v>
      </c>
      <c r="B344" s="3">
        <f ca="1">IFERROR(__xludf.DUMMYFUNCTION("""COMPUTED_VALUE"""),150.95)</f>
        <v>150.94999999999999</v>
      </c>
      <c r="C344" s="3">
        <f ca="1">IFERROR(__xludf.DUMMYFUNCTION("""COMPUTED_VALUE"""),385.55)</f>
        <v>385.55</v>
      </c>
      <c r="D344" s="3">
        <f ca="1">IFERROR(__xludf.DUMMYFUNCTION("""COMPUTED_VALUE"""),96.67)</f>
        <v>96.67</v>
      </c>
      <c r="E344" s="3">
        <f ca="1">IFERROR(__xludf.DUMMYFUNCTION("""COMPUTED_VALUE"""),136.88)</f>
        <v>136.88</v>
      </c>
      <c r="F344" s="3">
        <f ca="1">IFERROR(__xludf.DUMMYFUNCTION("""COMPUTED_VALUE"""),45.7)</f>
        <v>45.7</v>
      </c>
      <c r="G344" s="3">
        <f ca="1">IFERROR(__xludf.DUMMYFUNCTION("""COMPUTED_VALUE"""),25.36)</f>
        <v>25.36</v>
      </c>
      <c r="H344" s="3">
        <f ca="1">IFERROR(__xludf.DUMMYFUNCTION("""COMPUTED_VALUE"""),24.65)</f>
        <v>24.65</v>
      </c>
      <c r="I344" s="3">
        <f ca="1">IFERROR(__xludf.DUMMYFUNCTION("""COMPUTED_VALUE"""),132.19)</f>
        <v>132.19</v>
      </c>
      <c r="J344" s="3">
        <f ca="1">IFERROR(__xludf.DUMMYFUNCTION("""COMPUTED_VALUE"""),243.83)</f>
        <v>243.83</v>
      </c>
      <c r="K344" s="3">
        <f ca="1">IFERROR(__xludf.DUMMYFUNCTION("""COMPUTED_VALUE"""),130.18)</f>
        <v>130.18</v>
      </c>
      <c r="L344" s="3">
        <f ca="1">IFERROR(__xludf.DUMMYFUNCTION("""COMPUTED_VALUE"""),85.43)</f>
        <v>85.43</v>
      </c>
      <c r="M344" s="3">
        <f ca="1">IFERROR(__xludf.DUMMYFUNCTION("""COMPUTED_VALUE"""),61.2)</f>
        <v>61.2</v>
      </c>
      <c r="N344" s="3">
        <f ca="1">IFERROR(__xludf.DUMMYFUNCTION("""COMPUTED_VALUE"""),62.91)</f>
        <v>62.91</v>
      </c>
      <c r="O344" s="3">
        <f ca="1">IFERROR(__xludf.DUMMYFUNCTION("""COMPUTED_VALUE"""),50.38)</f>
        <v>50.38</v>
      </c>
      <c r="P344" s="3">
        <f ca="1">IFERROR(__xludf.DUMMYFUNCTION("""COMPUTED_VALUE"""),78.52)</f>
        <v>78.52</v>
      </c>
      <c r="Q344" s="3">
        <f ca="1">IFERROR(__xludf.DUMMYFUNCTION("""COMPUTED_VALUE"""),108.29)</f>
        <v>108.29</v>
      </c>
      <c r="R344" s="3">
        <f ca="1">IFERROR(__xludf.DUMMYFUNCTION("""COMPUTED_VALUE"""),78.1)</f>
        <v>78.099999999999994</v>
      </c>
      <c r="S344" s="3">
        <f ca="1">IFERROR(__xludf.DUMMYFUNCTION("""COMPUTED_VALUE"""),47.22)</f>
        <v>47.22</v>
      </c>
      <c r="T344" s="3">
        <f ca="1">IFERROR(__xludf.DUMMYFUNCTION("""COMPUTED_VALUE"""),22.67)</f>
        <v>22.67</v>
      </c>
      <c r="U344" s="3">
        <f ca="1">IFERROR(__xludf.DUMMYFUNCTION("""COMPUTED_VALUE"""),62.07)</f>
        <v>62.07</v>
      </c>
      <c r="V344" s="3">
        <f ca="1">IFERROR(__xludf.DUMMYFUNCTION("""COMPUTED_VALUE"""),71.94)</f>
        <v>71.94</v>
      </c>
      <c r="W344" s="3">
        <f ca="1">IFERROR(__xludf.DUMMYFUNCTION("""COMPUTED_VALUE"""),31.9)</f>
        <v>31.9</v>
      </c>
      <c r="X344" s="3">
        <f ca="1">IFERROR(__xludf.DUMMYFUNCTION("""COMPUTED_VALUE"""),75.73)</f>
        <v>75.73</v>
      </c>
      <c r="Y344" s="3">
        <f ca="1">IFERROR(__xludf.DUMMYFUNCTION("""COMPUTED_VALUE"""),32.34)</f>
        <v>32.340000000000003</v>
      </c>
      <c r="Z344" s="3">
        <f ca="1">IFERROR(__xludf.DUMMYFUNCTION("""COMPUTED_VALUE"""),70)</f>
        <v>70</v>
      </c>
      <c r="AA344" s="3">
        <f ca="1">IFERROR(__xludf.DUMMYFUNCTION("""COMPUTED_VALUE"""),37.09)</f>
        <v>37.090000000000003</v>
      </c>
      <c r="AB344" s="3">
        <f ca="1">IFERROR(__xludf.DUMMYFUNCTION("""COMPUTED_VALUE"""),36.37)</f>
        <v>36.369999999999997</v>
      </c>
      <c r="AC344" s="3">
        <f ca="1">IFERROR(__xludf.DUMMYFUNCTION("""COMPUTED_VALUE"""),50.29)</f>
        <v>50.29</v>
      </c>
      <c r="AD344" s="3">
        <f ca="1">IFERROR(__xludf.DUMMYFUNCTION("""COMPUTED_VALUE"""),10.25)</f>
        <v>10.25</v>
      </c>
      <c r="AE344" s="3">
        <f ca="1">IFERROR(__xludf.DUMMYFUNCTION("""COMPUTED_VALUE"""),15.29)</f>
        <v>15.29</v>
      </c>
      <c r="AF344" s="3">
        <f ca="1">IFERROR(__xludf.DUMMYFUNCTION("""COMPUTED_VALUE"""),2.53)</f>
        <v>2.5299999999999998</v>
      </c>
      <c r="AG344" s="3">
        <f ca="1">IFERROR(__xludf.DUMMYFUNCTION("""COMPUTED_VALUE"""),21.76)</f>
        <v>21.76</v>
      </c>
    </row>
    <row r="345" spans="1:33" ht="12.75" x14ac:dyDescent="0.2">
      <c r="A345" s="4">
        <f ca="1">IFERROR(__xludf.DUMMYFUNCTION("""COMPUTED_VALUE"""),45061.6666666666)</f>
        <v>45061.666666666599</v>
      </c>
      <c r="B345" s="3">
        <f ca="1">IFERROR(__xludf.DUMMYFUNCTION("""COMPUTED_VALUE"""),152.2)</f>
        <v>152.19999999999999</v>
      </c>
      <c r="C345" s="3">
        <f ca="1">IFERROR(__xludf.DUMMYFUNCTION("""COMPUTED_VALUE"""),388.8)</f>
        <v>388.8</v>
      </c>
      <c r="D345" s="3">
        <f ca="1">IFERROR(__xludf.DUMMYFUNCTION("""COMPUTED_VALUE"""),98.72)</f>
        <v>98.72</v>
      </c>
      <c r="E345" s="3">
        <f ca="1">IFERROR(__xludf.DUMMYFUNCTION("""COMPUTED_VALUE"""),140.6)</f>
        <v>140.6</v>
      </c>
      <c r="F345" s="3">
        <f ca="1">IFERROR(__xludf.DUMMYFUNCTION("""COMPUTED_VALUE"""),46.33)</f>
        <v>46.33</v>
      </c>
      <c r="G345" s="3">
        <f ca="1">IFERROR(__xludf.DUMMYFUNCTION("""COMPUTED_VALUE"""),25.73)</f>
        <v>25.73</v>
      </c>
      <c r="H345" s="3">
        <f ca="1">IFERROR(__xludf.DUMMYFUNCTION("""COMPUTED_VALUE"""),24.99)</f>
        <v>24.99</v>
      </c>
      <c r="I345" s="3">
        <f ca="1">IFERROR(__xludf.DUMMYFUNCTION("""COMPUTED_VALUE"""),131.96)</f>
        <v>131.96</v>
      </c>
      <c r="J345" s="3">
        <f ca="1">IFERROR(__xludf.DUMMYFUNCTION("""COMPUTED_VALUE"""),244.06)</f>
        <v>244.06</v>
      </c>
      <c r="K345" s="3">
        <f ca="1">IFERROR(__xludf.DUMMYFUNCTION("""COMPUTED_VALUE"""),131.74)</f>
        <v>131.74</v>
      </c>
      <c r="L345" s="3">
        <f ca="1">IFERROR(__xludf.DUMMYFUNCTION("""COMPUTED_VALUE"""),87.55)</f>
        <v>87.55</v>
      </c>
      <c r="M345" s="3">
        <f ca="1">IFERROR(__xludf.DUMMYFUNCTION("""COMPUTED_VALUE"""),63.24)</f>
        <v>63.24</v>
      </c>
      <c r="N345" s="3">
        <f ca="1">IFERROR(__xludf.DUMMYFUNCTION("""COMPUTED_VALUE"""),62.96)</f>
        <v>62.96</v>
      </c>
      <c r="O345" s="3">
        <f ca="1">IFERROR(__xludf.DUMMYFUNCTION("""COMPUTED_VALUE"""),52.28)</f>
        <v>52.28</v>
      </c>
      <c r="P345" s="3">
        <f ca="1">IFERROR(__xludf.DUMMYFUNCTION("""COMPUTED_VALUE"""),78.92)</f>
        <v>78.92</v>
      </c>
      <c r="Q345" s="3">
        <f ca="1">IFERROR(__xludf.DUMMYFUNCTION("""COMPUTED_VALUE"""),109.04)</f>
        <v>109.04</v>
      </c>
      <c r="R345" s="3">
        <f ca="1">IFERROR(__xludf.DUMMYFUNCTION("""COMPUTED_VALUE"""),78.76)</f>
        <v>78.760000000000005</v>
      </c>
      <c r="S345" s="3">
        <f ca="1">IFERROR(__xludf.DUMMYFUNCTION("""COMPUTED_VALUE"""),47.84)</f>
        <v>47.84</v>
      </c>
      <c r="T345" s="3">
        <f ca="1">IFERROR(__xludf.DUMMYFUNCTION("""COMPUTED_VALUE"""),22.93)</f>
        <v>22.93</v>
      </c>
      <c r="U345" s="3">
        <f ca="1">IFERROR(__xludf.DUMMYFUNCTION("""COMPUTED_VALUE"""),62.99)</f>
        <v>62.99</v>
      </c>
      <c r="V345" s="3">
        <f ca="1">IFERROR(__xludf.DUMMYFUNCTION("""COMPUTED_VALUE"""),72.69)</f>
        <v>72.69</v>
      </c>
      <c r="W345" s="3">
        <f ca="1">IFERROR(__xludf.DUMMYFUNCTION("""COMPUTED_VALUE"""),32.16)</f>
        <v>32.159999999999997</v>
      </c>
      <c r="X345" s="3">
        <f ca="1">IFERROR(__xludf.DUMMYFUNCTION("""COMPUTED_VALUE"""),76.49)</f>
        <v>76.489999999999995</v>
      </c>
      <c r="Y345" s="3">
        <f ca="1">IFERROR(__xludf.DUMMYFUNCTION("""COMPUTED_VALUE"""),33.26)</f>
        <v>33.26</v>
      </c>
      <c r="Z345" s="3">
        <f ca="1">IFERROR(__xludf.DUMMYFUNCTION("""COMPUTED_VALUE"""),70.66)</f>
        <v>70.66</v>
      </c>
      <c r="AA345" s="3">
        <f ca="1">IFERROR(__xludf.DUMMYFUNCTION("""COMPUTED_VALUE"""),37.02)</f>
        <v>37.020000000000003</v>
      </c>
      <c r="AB345" s="3">
        <f ca="1">IFERROR(__xludf.DUMMYFUNCTION("""COMPUTED_VALUE"""),37.52)</f>
        <v>37.520000000000003</v>
      </c>
      <c r="AC345" s="3">
        <f ca="1">IFERROR(__xludf.DUMMYFUNCTION("""COMPUTED_VALUE"""),50.61)</f>
        <v>50.61</v>
      </c>
      <c r="AD345" s="3">
        <f ca="1">IFERROR(__xludf.DUMMYFUNCTION("""COMPUTED_VALUE"""),10.65)</f>
        <v>10.65</v>
      </c>
      <c r="AE345" s="3">
        <f ca="1">IFERROR(__xludf.DUMMYFUNCTION("""COMPUTED_VALUE"""),15.86)</f>
        <v>15.86</v>
      </c>
      <c r="AF345" s="3">
        <f ca="1">IFERROR(__xludf.DUMMYFUNCTION("""COMPUTED_VALUE"""),2.56)</f>
        <v>2.56</v>
      </c>
      <c r="AG345" s="3">
        <f ca="1">IFERROR(__xludf.DUMMYFUNCTION("""COMPUTED_VALUE"""),23.24)</f>
        <v>23.24</v>
      </c>
    </row>
    <row r="346" spans="1:33" ht="12.75" x14ac:dyDescent="0.2">
      <c r="A346" s="4">
        <f ca="1">IFERROR(__xludf.DUMMYFUNCTION("""COMPUTED_VALUE"""),45062.6666666666)</f>
        <v>45062.666666666599</v>
      </c>
      <c r="B346" s="3">
        <f ca="1">IFERROR(__xludf.DUMMYFUNCTION("""COMPUTED_VALUE"""),152.36)</f>
        <v>152.36000000000001</v>
      </c>
      <c r="C346" s="3">
        <f ca="1">IFERROR(__xludf.DUMMYFUNCTION("""COMPUTED_VALUE"""),388.54)</f>
        <v>388.54</v>
      </c>
      <c r="D346" s="3">
        <f ca="1">IFERROR(__xludf.DUMMYFUNCTION("""COMPUTED_VALUE"""),98.56)</f>
        <v>98.56</v>
      </c>
      <c r="E346" s="3">
        <f ca="1">IFERROR(__xludf.DUMMYFUNCTION("""COMPUTED_VALUE"""),140.33)</f>
        <v>140.33000000000001</v>
      </c>
      <c r="F346" s="3">
        <f ca="1">IFERROR(__xludf.DUMMYFUNCTION("""COMPUTED_VALUE"""),45.94)</f>
        <v>45.94</v>
      </c>
      <c r="G346" s="3">
        <f ca="1">IFERROR(__xludf.DUMMYFUNCTION("""COMPUTED_VALUE"""),25.65)</f>
        <v>25.65</v>
      </c>
      <c r="H346" s="3">
        <f ca="1">IFERROR(__xludf.DUMMYFUNCTION("""COMPUTED_VALUE"""),24.6)</f>
        <v>24.6</v>
      </c>
      <c r="I346" s="3">
        <f ca="1">IFERROR(__xludf.DUMMYFUNCTION("""COMPUTED_VALUE"""),130.86)</f>
        <v>130.86000000000001</v>
      </c>
      <c r="J346" s="3">
        <f ca="1">IFERROR(__xludf.DUMMYFUNCTION("""COMPUTED_VALUE"""),241.37)</f>
        <v>241.37</v>
      </c>
      <c r="K346" s="3">
        <f ca="1">IFERROR(__xludf.DUMMYFUNCTION("""COMPUTED_VALUE"""),129.04)</f>
        <v>129.04</v>
      </c>
      <c r="L346" s="3">
        <f ca="1">IFERROR(__xludf.DUMMYFUNCTION("""COMPUTED_VALUE"""),85.03)</f>
        <v>85.03</v>
      </c>
      <c r="M346" s="3">
        <f ca="1">IFERROR(__xludf.DUMMYFUNCTION("""COMPUTED_VALUE"""),61.81)</f>
        <v>61.81</v>
      </c>
      <c r="N346" s="3">
        <f ca="1">IFERROR(__xludf.DUMMYFUNCTION("""COMPUTED_VALUE"""),62.24)</f>
        <v>62.24</v>
      </c>
      <c r="O346" s="3">
        <f ca="1">IFERROR(__xludf.DUMMYFUNCTION("""COMPUTED_VALUE"""),50.68)</f>
        <v>50.68</v>
      </c>
      <c r="P346" s="3">
        <f ca="1">IFERROR(__xludf.DUMMYFUNCTION("""COMPUTED_VALUE"""),76.98)</f>
        <v>76.98</v>
      </c>
      <c r="Q346" s="3">
        <f ca="1">IFERROR(__xludf.DUMMYFUNCTION("""COMPUTED_VALUE"""),106.25)</f>
        <v>106.25</v>
      </c>
      <c r="R346" s="3">
        <f ca="1">IFERROR(__xludf.DUMMYFUNCTION("""COMPUTED_VALUE"""),77.46)</f>
        <v>77.459999999999994</v>
      </c>
      <c r="S346" s="3">
        <f ca="1">IFERROR(__xludf.DUMMYFUNCTION("""COMPUTED_VALUE"""),46.5)</f>
        <v>46.5</v>
      </c>
      <c r="T346" s="3">
        <f ca="1">IFERROR(__xludf.DUMMYFUNCTION("""COMPUTED_VALUE"""),22.68)</f>
        <v>22.68</v>
      </c>
      <c r="U346" s="3">
        <f ca="1">IFERROR(__xludf.DUMMYFUNCTION("""COMPUTED_VALUE"""),62.54)</f>
        <v>62.54</v>
      </c>
      <c r="V346" s="3">
        <f ca="1">IFERROR(__xludf.DUMMYFUNCTION("""COMPUTED_VALUE"""),70.99)</f>
        <v>70.989999999999995</v>
      </c>
      <c r="W346" s="3">
        <f ca="1">IFERROR(__xludf.DUMMYFUNCTION("""COMPUTED_VALUE"""),31.86)</f>
        <v>31.86</v>
      </c>
      <c r="X346" s="3">
        <f ca="1">IFERROR(__xludf.DUMMYFUNCTION("""COMPUTED_VALUE"""),75.69)</f>
        <v>75.69</v>
      </c>
      <c r="Y346" s="3">
        <f ca="1">IFERROR(__xludf.DUMMYFUNCTION("""COMPUTED_VALUE"""),32.75)</f>
        <v>32.75</v>
      </c>
      <c r="Z346" s="3">
        <f ca="1">IFERROR(__xludf.DUMMYFUNCTION("""COMPUTED_VALUE"""),69.88)</f>
        <v>69.88</v>
      </c>
      <c r="AA346" s="3">
        <f ca="1">IFERROR(__xludf.DUMMYFUNCTION("""COMPUTED_VALUE"""),36.03)</f>
        <v>36.03</v>
      </c>
      <c r="AB346" s="3">
        <f ca="1">IFERROR(__xludf.DUMMYFUNCTION("""COMPUTED_VALUE"""),36.96)</f>
        <v>36.96</v>
      </c>
      <c r="AC346" s="3">
        <f ca="1">IFERROR(__xludf.DUMMYFUNCTION("""COMPUTED_VALUE"""),50.33)</f>
        <v>50.33</v>
      </c>
      <c r="AD346" s="3">
        <f ca="1">IFERROR(__xludf.DUMMYFUNCTION("""COMPUTED_VALUE"""),10.44)</f>
        <v>10.44</v>
      </c>
      <c r="AE346" s="3">
        <f ca="1">IFERROR(__xludf.DUMMYFUNCTION("""COMPUTED_VALUE"""),15.57)</f>
        <v>15.57</v>
      </c>
      <c r="AF346" s="3">
        <f ca="1">IFERROR(__xludf.DUMMYFUNCTION("""COMPUTED_VALUE"""),2.68)</f>
        <v>2.68</v>
      </c>
      <c r="AG346" s="3">
        <f ca="1">IFERROR(__xludf.DUMMYFUNCTION("""COMPUTED_VALUE"""),23.49)</f>
        <v>23.49</v>
      </c>
    </row>
    <row r="347" spans="1:33" ht="12.75" x14ac:dyDescent="0.2">
      <c r="A347" s="4">
        <f ca="1">IFERROR(__xludf.DUMMYFUNCTION("""COMPUTED_VALUE"""),45063.6666666666)</f>
        <v>45063.666666666599</v>
      </c>
      <c r="B347" s="3">
        <f ca="1">IFERROR(__xludf.DUMMYFUNCTION("""COMPUTED_VALUE"""),154.39)</f>
        <v>154.38999999999999</v>
      </c>
      <c r="C347" s="3">
        <f ca="1">IFERROR(__xludf.DUMMYFUNCTION("""COMPUTED_VALUE"""),394.23)</f>
        <v>394.23</v>
      </c>
      <c r="D347" s="3">
        <f ca="1">IFERROR(__xludf.DUMMYFUNCTION("""COMPUTED_VALUE"""),99.06)</f>
        <v>99.06</v>
      </c>
      <c r="E347" s="3">
        <f ca="1">IFERROR(__xludf.DUMMYFUNCTION("""COMPUTED_VALUE"""),143.8)</f>
        <v>143.80000000000001</v>
      </c>
      <c r="F347" s="3">
        <f ca="1">IFERROR(__xludf.DUMMYFUNCTION("""COMPUTED_VALUE"""),46.47)</f>
        <v>46.47</v>
      </c>
      <c r="G347" s="3">
        <f ca="1">IFERROR(__xludf.DUMMYFUNCTION("""COMPUTED_VALUE"""),25.9)</f>
        <v>25.9</v>
      </c>
      <c r="H347" s="3">
        <f ca="1">IFERROR(__xludf.DUMMYFUNCTION("""COMPUTED_VALUE"""),24.9)</f>
        <v>24.9</v>
      </c>
      <c r="I347" s="3">
        <f ca="1">IFERROR(__xludf.DUMMYFUNCTION("""COMPUTED_VALUE"""),131.02)</f>
        <v>131.02000000000001</v>
      </c>
      <c r="J347" s="3">
        <f ca="1">IFERROR(__xludf.DUMMYFUNCTION("""COMPUTED_VALUE"""),241.86)</f>
        <v>241.86</v>
      </c>
      <c r="K347" s="3">
        <f ca="1">IFERROR(__xludf.DUMMYFUNCTION("""COMPUTED_VALUE"""),129.33)</f>
        <v>129.33000000000001</v>
      </c>
      <c r="L347" s="3">
        <f ca="1">IFERROR(__xludf.DUMMYFUNCTION("""COMPUTED_VALUE"""),85.74)</f>
        <v>85.74</v>
      </c>
      <c r="M347" s="3">
        <f ca="1">IFERROR(__xludf.DUMMYFUNCTION("""COMPUTED_VALUE"""),61.99)</f>
        <v>61.99</v>
      </c>
      <c r="N347" s="3">
        <f ca="1">IFERROR(__xludf.DUMMYFUNCTION("""COMPUTED_VALUE"""),62.36)</f>
        <v>62.36</v>
      </c>
      <c r="O347" s="3">
        <f ca="1">IFERROR(__xludf.DUMMYFUNCTION("""COMPUTED_VALUE"""),51.04)</f>
        <v>51.04</v>
      </c>
      <c r="P347" s="3">
        <f ca="1">IFERROR(__xludf.DUMMYFUNCTION("""COMPUTED_VALUE"""),78.46)</f>
        <v>78.459999999999994</v>
      </c>
      <c r="Q347" s="3">
        <f ca="1">IFERROR(__xludf.DUMMYFUNCTION("""COMPUTED_VALUE"""),108.37)</f>
        <v>108.37</v>
      </c>
      <c r="R347" s="3">
        <f ca="1">IFERROR(__xludf.DUMMYFUNCTION("""COMPUTED_VALUE"""),77.97)</f>
        <v>77.97</v>
      </c>
      <c r="S347" s="3">
        <f ca="1">IFERROR(__xludf.DUMMYFUNCTION("""COMPUTED_VALUE"""),47.34)</f>
        <v>47.34</v>
      </c>
      <c r="T347" s="3">
        <f ca="1">IFERROR(__xludf.DUMMYFUNCTION("""COMPUTED_VALUE"""),22.95)</f>
        <v>22.95</v>
      </c>
      <c r="U347" s="3">
        <f ca="1">IFERROR(__xludf.DUMMYFUNCTION("""COMPUTED_VALUE"""),64.6)</f>
        <v>64.599999999999994</v>
      </c>
      <c r="V347" s="3">
        <f ca="1">IFERROR(__xludf.DUMMYFUNCTION("""COMPUTED_VALUE"""),71.66)</f>
        <v>71.66</v>
      </c>
      <c r="W347" s="3">
        <f ca="1">IFERROR(__xludf.DUMMYFUNCTION("""COMPUTED_VALUE"""),32.5)</f>
        <v>32.5</v>
      </c>
      <c r="X347" s="3">
        <f ca="1">IFERROR(__xludf.DUMMYFUNCTION("""COMPUTED_VALUE"""),77.62)</f>
        <v>77.62</v>
      </c>
      <c r="Y347" s="3">
        <f ca="1">IFERROR(__xludf.DUMMYFUNCTION("""COMPUTED_VALUE"""),34.78)</f>
        <v>34.78</v>
      </c>
      <c r="Z347" s="3">
        <f ca="1">IFERROR(__xludf.DUMMYFUNCTION("""COMPUTED_VALUE"""),71.5)</f>
        <v>71.5</v>
      </c>
      <c r="AA347" s="3">
        <f ca="1">IFERROR(__xludf.DUMMYFUNCTION("""COMPUTED_VALUE"""),36.5)</f>
        <v>36.5</v>
      </c>
      <c r="AB347" s="3">
        <f ca="1">IFERROR(__xludf.DUMMYFUNCTION("""COMPUTED_VALUE"""),39.68)</f>
        <v>39.68</v>
      </c>
      <c r="AC347" s="3">
        <f ca="1">IFERROR(__xludf.DUMMYFUNCTION("""COMPUTED_VALUE"""),50.58)</f>
        <v>50.58</v>
      </c>
      <c r="AD347" s="3">
        <f ca="1">IFERROR(__xludf.DUMMYFUNCTION("""COMPUTED_VALUE"""),10.63)</f>
        <v>10.63</v>
      </c>
      <c r="AE347" s="3">
        <f ca="1">IFERROR(__xludf.DUMMYFUNCTION("""COMPUTED_VALUE"""),15.85)</f>
        <v>15.85</v>
      </c>
      <c r="AF347" s="3">
        <f ca="1">IFERROR(__xludf.DUMMYFUNCTION("""COMPUTED_VALUE"""),2.65)</f>
        <v>2.65</v>
      </c>
      <c r="AG347" s="3">
        <f ca="1">IFERROR(__xludf.DUMMYFUNCTION("""COMPUTED_VALUE"""),24.79)</f>
        <v>24.79</v>
      </c>
    </row>
    <row r="348" spans="1:33" ht="12.75" x14ac:dyDescent="0.2">
      <c r="A348" s="4">
        <f ca="1">IFERROR(__xludf.DUMMYFUNCTION("""COMPUTED_VALUE"""),45064.6666666666)</f>
        <v>45064.666666666599</v>
      </c>
      <c r="B348" s="3">
        <f ca="1">IFERROR(__xludf.DUMMYFUNCTION("""COMPUTED_VALUE"""),157.55)</f>
        <v>157.55000000000001</v>
      </c>
      <c r="C348" s="3">
        <f ca="1">IFERROR(__xludf.DUMMYFUNCTION("""COMPUTED_VALUE"""),401.97)</f>
        <v>401.97</v>
      </c>
      <c r="D348" s="3">
        <f ca="1">IFERROR(__xludf.DUMMYFUNCTION("""COMPUTED_VALUE"""),97.62)</f>
        <v>97.62</v>
      </c>
      <c r="E348" s="3">
        <f ca="1">IFERROR(__xludf.DUMMYFUNCTION("""COMPUTED_VALUE"""),148.34)</f>
        <v>148.34</v>
      </c>
      <c r="F348" s="3">
        <f ca="1">IFERROR(__xludf.DUMMYFUNCTION("""COMPUTED_VALUE"""),47.19)</f>
        <v>47.19</v>
      </c>
      <c r="G348" s="3">
        <f ca="1">IFERROR(__xludf.DUMMYFUNCTION("""COMPUTED_VALUE"""),26.43)</f>
        <v>26.43</v>
      </c>
      <c r="H348" s="3">
        <f ca="1">IFERROR(__xludf.DUMMYFUNCTION("""COMPUTED_VALUE"""),25.09)</f>
        <v>25.09</v>
      </c>
      <c r="I348" s="3">
        <f ca="1">IFERROR(__xludf.DUMMYFUNCTION("""COMPUTED_VALUE"""),130.7)</f>
        <v>130.69999999999999</v>
      </c>
      <c r="J348" s="3">
        <f ca="1">IFERROR(__xludf.DUMMYFUNCTION("""COMPUTED_VALUE"""),241.42)</f>
        <v>241.42</v>
      </c>
      <c r="K348" s="3">
        <f ca="1">IFERROR(__xludf.DUMMYFUNCTION("""COMPUTED_VALUE"""),128.97)</f>
        <v>128.97</v>
      </c>
      <c r="L348" s="3">
        <f ca="1">IFERROR(__xludf.DUMMYFUNCTION("""COMPUTED_VALUE"""),84.73)</f>
        <v>84.73</v>
      </c>
      <c r="M348" s="3">
        <f ca="1">IFERROR(__xludf.DUMMYFUNCTION("""COMPUTED_VALUE"""),61.62)</f>
        <v>61.62</v>
      </c>
      <c r="N348" s="3">
        <f ca="1">IFERROR(__xludf.DUMMYFUNCTION("""COMPUTED_VALUE"""),62.21)</f>
        <v>62.21</v>
      </c>
      <c r="O348" s="3">
        <f ca="1">IFERROR(__xludf.DUMMYFUNCTION("""COMPUTED_VALUE"""),50.79)</f>
        <v>50.79</v>
      </c>
      <c r="P348" s="3">
        <f ca="1">IFERROR(__xludf.DUMMYFUNCTION("""COMPUTED_VALUE"""),79.03)</f>
        <v>79.03</v>
      </c>
      <c r="Q348" s="3">
        <f ca="1">IFERROR(__xludf.DUMMYFUNCTION("""COMPUTED_VALUE"""),109.22)</f>
        <v>109.22</v>
      </c>
      <c r="R348" s="3">
        <f ca="1">IFERROR(__xludf.DUMMYFUNCTION("""COMPUTED_VALUE"""),78.43)</f>
        <v>78.430000000000007</v>
      </c>
      <c r="S348" s="3">
        <f ca="1">IFERROR(__xludf.DUMMYFUNCTION("""COMPUTED_VALUE"""),47.26)</f>
        <v>47.26</v>
      </c>
      <c r="T348" s="3">
        <f ca="1">IFERROR(__xludf.DUMMYFUNCTION("""COMPUTED_VALUE"""),22.74)</f>
        <v>22.74</v>
      </c>
      <c r="U348" s="3">
        <f ca="1">IFERROR(__xludf.DUMMYFUNCTION("""COMPUTED_VALUE"""),64.04)</f>
        <v>64.040000000000006</v>
      </c>
      <c r="V348" s="3">
        <f ca="1">IFERROR(__xludf.DUMMYFUNCTION("""COMPUTED_VALUE"""),70.77)</f>
        <v>70.77</v>
      </c>
      <c r="W348" s="3">
        <f ca="1">IFERROR(__xludf.DUMMYFUNCTION("""COMPUTED_VALUE"""),32.74)</f>
        <v>32.74</v>
      </c>
      <c r="X348" s="3">
        <f ca="1">IFERROR(__xludf.DUMMYFUNCTION("""COMPUTED_VALUE"""),78.12)</f>
        <v>78.12</v>
      </c>
      <c r="Y348" s="3">
        <f ca="1">IFERROR(__xludf.DUMMYFUNCTION("""COMPUTED_VALUE"""),35.01)</f>
        <v>35.01</v>
      </c>
      <c r="Z348" s="3">
        <f ca="1">IFERROR(__xludf.DUMMYFUNCTION("""COMPUTED_VALUE"""),71.96)</f>
        <v>71.959999999999994</v>
      </c>
      <c r="AA348" s="3">
        <f ca="1">IFERROR(__xludf.DUMMYFUNCTION("""COMPUTED_VALUE"""),36.27)</f>
        <v>36.270000000000003</v>
      </c>
      <c r="AB348" s="3">
        <f ca="1">IFERROR(__xludf.DUMMYFUNCTION("""COMPUTED_VALUE"""),39.92)</f>
        <v>39.92</v>
      </c>
      <c r="AC348" s="3">
        <f ca="1">IFERROR(__xludf.DUMMYFUNCTION("""COMPUTED_VALUE"""),50.09)</f>
        <v>50.09</v>
      </c>
      <c r="AD348" s="3">
        <f ca="1">IFERROR(__xludf.DUMMYFUNCTION("""COMPUTED_VALUE"""),10.37)</f>
        <v>10.37</v>
      </c>
      <c r="AE348" s="3">
        <f ca="1">IFERROR(__xludf.DUMMYFUNCTION("""COMPUTED_VALUE"""),15.46)</f>
        <v>15.46</v>
      </c>
      <c r="AF348" s="3">
        <f ca="1">IFERROR(__xludf.DUMMYFUNCTION("""COMPUTED_VALUE"""),2.65)</f>
        <v>2.65</v>
      </c>
      <c r="AG348" s="3">
        <f ca="1">IFERROR(__xludf.DUMMYFUNCTION("""COMPUTED_VALUE"""),24.38)</f>
        <v>24.38</v>
      </c>
    </row>
    <row r="349" spans="1:33" ht="12.75" x14ac:dyDescent="0.2">
      <c r="A349" s="4">
        <f ca="1">IFERROR(__xludf.DUMMYFUNCTION("""COMPUTED_VALUE"""),45065.6666666666)</f>
        <v>45065.666666666599</v>
      </c>
      <c r="B349" s="3">
        <f ca="1">IFERROR(__xludf.DUMMYFUNCTION("""COMPUTED_VALUE"""),157.48)</f>
        <v>157.47999999999999</v>
      </c>
      <c r="C349" s="3">
        <f ca="1">IFERROR(__xludf.DUMMYFUNCTION("""COMPUTED_VALUE"""),401.24)</f>
        <v>401.24</v>
      </c>
      <c r="D349" s="3">
        <f ca="1">IFERROR(__xludf.DUMMYFUNCTION("""COMPUTED_VALUE"""),97.05)</f>
        <v>97.05</v>
      </c>
      <c r="E349" s="3">
        <f ca="1">IFERROR(__xludf.DUMMYFUNCTION("""COMPUTED_VALUE"""),147.58)</f>
        <v>147.58000000000001</v>
      </c>
      <c r="F349" s="3">
        <f ca="1">IFERROR(__xludf.DUMMYFUNCTION("""COMPUTED_VALUE"""),47.35)</f>
        <v>47.35</v>
      </c>
      <c r="G349" s="3">
        <f ca="1">IFERROR(__xludf.DUMMYFUNCTION("""COMPUTED_VALUE"""),26.58)</f>
        <v>26.58</v>
      </c>
      <c r="H349" s="3">
        <f ca="1">IFERROR(__xludf.DUMMYFUNCTION("""COMPUTED_VALUE"""),24.98)</f>
        <v>24.98</v>
      </c>
      <c r="I349" s="3">
        <f ca="1">IFERROR(__xludf.DUMMYFUNCTION("""COMPUTED_VALUE"""),131.31)</f>
        <v>131.31</v>
      </c>
      <c r="J349" s="3">
        <f ca="1">IFERROR(__xludf.DUMMYFUNCTION("""COMPUTED_VALUE"""),242.37)</f>
        <v>242.37</v>
      </c>
      <c r="K349" s="3">
        <f ca="1">IFERROR(__xludf.DUMMYFUNCTION("""COMPUTED_VALUE"""),130.08)</f>
        <v>130.08000000000001</v>
      </c>
      <c r="L349" s="3">
        <f ca="1">IFERROR(__xludf.DUMMYFUNCTION("""COMPUTED_VALUE"""),85.37)</f>
        <v>85.37</v>
      </c>
      <c r="M349" s="3">
        <f ca="1">IFERROR(__xludf.DUMMYFUNCTION("""COMPUTED_VALUE"""),62.57)</f>
        <v>62.57</v>
      </c>
      <c r="N349" s="3">
        <f ca="1">IFERROR(__xludf.DUMMYFUNCTION("""COMPUTED_VALUE"""),62.49)</f>
        <v>62.49</v>
      </c>
      <c r="O349" s="3">
        <f ca="1">IFERROR(__xludf.DUMMYFUNCTION("""COMPUTED_VALUE"""),50.94)</f>
        <v>50.94</v>
      </c>
      <c r="P349" s="3">
        <f ca="1">IFERROR(__xludf.DUMMYFUNCTION("""COMPUTED_VALUE"""),79.64)</f>
        <v>79.64</v>
      </c>
      <c r="Q349" s="3">
        <f ca="1">IFERROR(__xludf.DUMMYFUNCTION("""COMPUTED_VALUE"""),109.98)</f>
        <v>109.98</v>
      </c>
      <c r="R349" s="3">
        <f ca="1">IFERROR(__xludf.DUMMYFUNCTION("""COMPUTED_VALUE"""),78.63)</f>
        <v>78.63</v>
      </c>
      <c r="S349" s="3">
        <f ca="1">IFERROR(__xludf.DUMMYFUNCTION("""COMPUTED_VALUE"""),46.98)</f>
        <v>46.98</v>
      </c>
      <c r="T349" s="3">
        <f ca="1">IFERROR(__xludf.DUMMYFUNCTION("""COMPUTED_VALUE"""),22.71)</f>
        <v>22.71</v>
      </c>
      <c r="U349" s="3">
        <f ca="1">IFERROR(__xludf.DUMMYFUNCTION("""COMPUTED_VALUE"""),63.9)</f>
        <v>63.9</v>
      </c>
      <c r="V349" s="3">
        <f ca="1">IFERROR(__xludf.DUMMYFUNCTION("""COMPUTED_VALUE"""),70.11)</f>
        <v>70.11</v>
      </c>
      <c r="W349" s="3">
        <f ca="1">IFERROR(__xludf.DUMMYFUNCTION("""COMPUTED_VALUE"""),32.6)</f>
        <v>32.6</v>
      </c>
      <c r="X349" s="3">
        <f ca="1">IFERROR(__xludf.DUMMYFUNCTION("""COMPUTED_VALUE"""),77.76)</f>
        <v>77.760000000000005</v>
      </c>
      <c r="Y349" s="3">
        <f ca="1">IFERROR(__xludf.DUMMYFUNCTION("""COMPUTED_VALUE"""),34.44)</f>
        <v>34.44</v>
      </c>
      <c r="Z349" s="3">
        <f ca="1">IFERROR(__xludf.DUMMYFUNCTION("""COMPUTED_VALUE"""),71.69)</f>
        <v>71.69</v>
      </c>
      <c r="AA349" s="3">
        <f ca="1">IFERROR(__xludf.DUMMYFUNCTION("""COMPUTED_VALUE"""),36.21)</f>
        <v>36.21</v>
      </c>
      <c r="AB349" s="3">
        <f ca="1">IFERROR(__xludf.DUMMYFUNCTION("""COMPUTED_VALUE"""),39.21)</f>
        <v>39.21</v>
      </c>
      <c r="AC349" s="3">
        <f ca="1">IFERROR(__xludf.DUMMYFUNCTION("""COMPUTED_VALUE"""),49.44)</f>
        <v>49.44</v>
      </c>
      <c r="AD349" s="3">
        <f ca="1">IFERROR(__xludf.DUMMYFUNCTION("""COMPUTED_VALUE"""),10.41)</f>
        <v>10.41</v>
      </c>
      <c r="AE349" s="3">
        <f ca="1">IFERROR(__xludf.DUMMYFUNCTION("""COMPUTED_VALUE"""),15.53)</f>
        <v>15.53</v>
      </c>
      <c r="AF349" s="3">
        <f ca="1">IFERROR(__xludf.DUMMYFUNCTION("""COMPUTED_VALUE"""),2.78)</f>
        <v>2.78</v>
      </c>
      <c r="AG349" s="3">
        <f ca="1">IFERROR(__xludf.DUMMYFUNCTION("""COMPUTED_VALUE"""),24.31)</f>
        <v>24.31</v>
      </c>
    </row>
    <row r="350" spans="1:33" ht="12.75" x14ac:dyDescent="0.2">
      <c r="A350" s="4">
        <f ca="1">IFERROR(__xludf.DUMMYFUNCTION("""COMPUTED_VALUE"""),45068.6666666666)</f>
        <v>45068.666666666599</v>
      </c>
      <c r="B350" s="3">
        <f ca="1">IFERROR(__xludf.DUMMYFUNCTION("""COMPUTED_VALUE"""),157.78)</f>
        <v>157.78</v>
      </c>
      <c r="C350" s="3">
        <f ca="1">IFERROR(__xludf.DUMMYFUNCTION("""COMPUTED_VALUE"""),402.27)</f>
        <v>402.27</v>
      </c>
      <c r="D350" s="3">
        <f ca="1">IFERROR(__xludf.DUMMYFUNCTION("""COMPUTED_VALUE"""),100.47)</f>
        <v>100.47</v>
      </c>
      <c r="E350" s="3">
        <f ca="1">IFERROR(__xludf.DUMMYFUNCTION("""COMPUTED_VALUE"""),148.09)</f>
        <v>148.09</v>
      </c>
      <c r="F350" s="3">
        <f ca="1">IFERROR(__xludf.DUMMYFUNCTION("""COMPUTED_VALUE"""),47.89)</f>
        <v>47.89</v>
      </c>
      <c r="G350" s="3">
        <f ca="1">IFERROR(__xludf.DUMMYFUNCTION("""COMPUTED_VALUE"""),26.84)</f>
        <v>26.84</v>
      </c>
      <c r="H350" s="3">
        <f ca="1">IFERROR(__xludf.DUMMYFUNCTION("""COMPUTED_VALUE"""),25.17)</f>
        <v>25.17</v>
      </c>
      <c r="I350" s="3">
        <f ca="1">IFERROR(__xludf.DUMMYFUNCTION("""COMPUTED_VALUE"""),131.44)</f>
        <v>131.44</v>
      </c>
      <c r="J350" s="3">
        <f ca="1">IFERROR(__xludf.DUMMYFUNCTION("""COMPUTED_VALUE"""),242.99)</f>
        <v>242.99</v>
      </c>
      <c r="K350" s="3">
        <f ca="1">IFERROR(__xludf.DUMMYFUNCTION("""COMPUTED_VALUE"""),131.15)</f>
        <v>131.15</v>
      </c>
      <c r="L350" s="3">
        <f ca="1">IFERROR(__xludf.DUMMYFUNCTION("""COMPUTED_VALUE"""),87.47)</f>
        <v>87.47</v>
      </c>
      <c r="M350" s="3">
        <f ca="1">IFERROR(__xludf.DUMMYFUNCTION("""COMPUTED_VALUE"""),63.42)</f>
        <v>63.42</v>
      </c>
      <c r="N350" s="3">
        <f ca="1">IFERROR(__xludf.DUMMYFUNCTION("""COMPUTED_VALUE"""),62.69)</f>
        <v>62.69</v>
      </c>
      <c r="O350" s="3">
        <f ca="1">IFERROR(__xludf.DUMMYFUNCTION("""COMPUTED_VALUE"""),52)</f>
        <v>52</v>
      </c>
      <c r="P350" s="3">
        <f ca="1">IFERROR(__xludf.DUMMYFUNCTION("""COMPUTED_VALUE"""),79.31)</f>
        <v>79.31</v>
      </c>
      <c r="Q350" s="3">
        <f ca="1">IFERROR(__xludf.DUMMYFUNCTION("""COMPUTED_VALUE"""),109.95)</f>
        <v>109.95</v>
      </c>
      <c r="R350" s="3">
        <f ca="1">IFERROR(__xludf.DUMMYFUNCTION("""COMPUTED_VALUE"""),78.22)</f>
        <v>78.22</v>
      </c>
      <c r="S350" s="3">
        <f ca="1">IFERROR(__xludf.DUMMYFUNCTION("""COMPUTED_VALUE"""),47.37)</f>
        <v>47.37</v>
      </c>
      <c r="T350" s="3">
        <f ca="1">IFERROR(__xludf.DUMMYFUNCTION("""COMPUTED_VALUE"""),22.73)</f>
        <v>22.73</v>
      </c>
      <c r="U350" s="3">
        <f ca="1">IFERROR(__xludf.DUMMYFUNCTION("""COMPUTED_VALUE"""),63.91)</f>
        <v>63.91</v>
      </c>
      <c r="V350" s="3">
        <f ca="1">IFERROR(__xludf.DUMMYFUNCTION("""COMPUTED_VALUE"""),71.34)</f>
        <v>71.34</v>
      </c>
      <c r="W350" s="3">
        <f ca="1">IFERROR(__xludf.DUMMYFUNCTION("""COMPUTED_VALUE"""),32.66)</f>
        <v>32.659999999999997</v>
      </c>
      <c r="X350" s="3">
        <f ca="1">IFERROR(__xludf.DUMMYFUNCTION("""COMPUTED_VALUE"""),78.22)</f>
        <v>78.22</v>
      </c>
      <c r="Y350" s="3">
        <f ca="1">IFERROR(__xludf.DUMMYFUNCTION("""COMPUTED_VALUE"""),35.25)</f>
        <v>35.25</v>
      </c>
      <c r="Z350" s="3">
        <f ca="1">IFERROR(__xludf.DUMMYFUNCTION("""COMPUTED_VALUE"""),72.02)</f>
        <v>72.02</v>
      </c>
      <c r="AA350" s="3">
        <f ca="1">IFERROR(__xludf.DUMMYFUNCTION("""COMPUTED_VALUE"""),36.45)</f>
        <v>36.450000000000003</v>
      </c>
      <c r="AB350" s="3">
        <f ca="1">IFERROR(__xludf.DUMMYFUNCTION("""COMPUTED_VALUE"""),40.46)</f>
        <v>40.46</v>
      </c>
      <c r="AC350" s="3">
        <f ca="1">IFERROR(__xludf.DUMMYFUNCTION("""COMPUTED_VALUE"""),49.65)</f>
        <v>49.65</v>
      </c>
      <c r="AD350" s="3">
        <f ca="1">IFERROR(__xludf.DUMMYFUNCTION("""COMPUTED_VALUE"""),10.42)</f>
        <v>10.42</v>
      </c>
      <c r="AE350" s="3">
        <f ca="1">IFERROR(__xludf.DUMMYFUNCTION("""COMPUTED_VALUE"""),15.53)</f>
        <v>15.53</v>
      </c>
      <c r="AF350" s="3">
        <f ca="1">IFERROR(__xludf.DUMMYFUNCTION("""COMPUTED_VALUE"""),2.7)</f>
        <v>2.7</v>
      </c>
      <c r="AG350" s="3">
        <f ca="1">IFERROR(__xludf.DUMMYFUNCTION("""COMPUTED_VALUE"""),25.13)</f>
        <v>25.13</v>
      </c>
    </row>
    <row r="351" spans="1:33" ht="12.75" x14ac:dyDescent="0.2">
      <c r="A351" s="4">
        <f ca="1">IFERROR(__xludf.DUMMYFUNCTION("""COMPUTED_VALUE"""),45069.6666666666)</f>
        <v>45069.666666666599</v>
      </c>
      <c r="B351" s="3">
        <f ca="1">IFERROR(__xludf.DUMMYFUNCTION("""COMPUTED_VALUE"""),155.45)</f>
        <v>155.44999999999999</v>
      </c>
      <c r="C351" s="3">
        <f ca="1">IFERROR(__xludf.DUMMYFUNCTION("""COMPUTED_VALUE"""),396.14)</f>
        <v>396.14</v>
      </c>
      <c r="D351" s="3">
        <f ca="1">IFERROR(__xludf.DUMMYFUNCTION("""COMPUTED_VALUE"""),103.26)</f>
        <v>103.26</v>
      </c>
      <c r="E351" s="3">
        <f ca="1">IFERROR(__xludf.DUMMYFUNCTION("""COMPUTED_VALUE"""),146.26)</f>
        <v>146.26</v>
      </c>
      <c r="F351" s="3">
        <f ca="1">IFERROR(__xludf.DUMMYFUNCTION("""COMPUTED_VALUE"""),47.18)</f>
        <v>47.18</v>
      </c>
      <c r="G351" s="3">
        <f ca="1">IFERROR(__xludf.DUMMYFUNCTION("""COMPUTED_VALUE"""),26.22)</f>
        <v>26.22</v>
      </c>
      <c r="H351" s="3">
        <f ca="1">IFERROR(__xludf.DUMMYFUNCTION("""COMPUTED_VALUE"""),24.81)</f>
        <v>24.81</v>
      </c>
      <c r="I351" s="3">
        <f ca="1">IFERROR(__xludf.DUMMYFUNCTION("""COMPUTED_VALUE"""),130)</f>
        <v>130</v>
      </c>
      <c r="J351" s="3">
        <f ca="1">IFERROR(__xludf.DUMMYFUNCTION("""COMPUTED_VALUE"""),240.28)</f>
        <v>240.28</v>
      </c>
      <c r="K351" s="3">
        <f ca="1">IFERROR(__xludf.DUMMYFUNCTION("""COMPUTED_VALUE"""),131.11)</f>
        <v>131.11000000000001</v>
      </c>
      <c r="L351" s="3">
        <f ca="1">IFERROR(__xludf.DUMMYFUNCTION("""COMPUTED_VALUE"""),87.49)</f>
        <v>87.49</v>
      </c>
      <c r="M351" s="3">
        <f ca="1">IFERROR(__xludf.DUMMYFUNCTION("""COMPUTED_VALUE"""),63.42)</f>
        <v>63.42</v>
      </c>
      <c r="N351" s="3">
        <f ca="1">IFERROR(__xludf.DUMMYFUNCTION("""COMPUTED_VALUE"""),61.94)</f>
        <v>61.94</v>
      </c>
      <c r="O351" s="3">
        <f ca="1">IFERROR(__xludf.DUMMYFUNCTION("""COMPUTED_VALUE"""),52.2)</f>
        <v>52.2</v>
      </c>
      <c r="P351" s="3">
        <f ca="1">IFERROR(__xludf.DUMMYFUNCTION("""COMPUTED_VALUE"""),80.16)</f>
        <v>80.16</v>
      </c>
      <c r="Q351" s="3">
        <f ca="1">IFERROR(__xludf.DUMMYFUNCTION("""COMPUTED_VALUE"""),111.01)</f>
        <v>111.01</v>
      </c>
      <c r="R351" s="3">
        <f ca="1">IFERROR(__xludf.DUMMYFUNCTION("""COMPUTED_VALUE"""),77.01)</f>
        <v>77.010000000000005</v>
      </c>
      <c r="S351" s="3">
        <f ca="1">IFERROR(__xludf.DUMMYFUNCTION("""COMPUTED_VALUE"""),47.07)</f>
        <v>47.07</v>
      </c>
      <c r="T351" s="3">
        <f ca="1">IFERROR(__xludf.DUMMYFUNCTION("""COMPUTED_VALUE"""),22.82)</f>
        <v>22.82</v>
      </c>
      <c r="U351" s="3">
        <f ca="1">IFERROR(__xludf.DUMMYFUNCTION("""COMPUTED_VALUE"""),64.87)</f>
        <v>64.87</v>
      </c>
      <c r="V351" s="3">
        <f ca="1">IFERROR(__xludf.DUMMYFUNCTION("""COMPUTED_VALUE"""),71.14)</f>
        <v>71.14</v>
      </c>
      <c r="W351" s="3">
        <f ca="1">IFERROR(__xludf.DUMMYFUNCTION("""COMPUTED_VALUE"""),32.28)</f>
        <v>32.28</v>
      </c>
      <c r="X351" s="3">
        <f ca="1">IFERROR(__xludf.DUMMYFUNCTION("""COMPUTED_VALUE"""),77.65)</f>
        <v>77.650000000000006</v>
      </c>
      <c r="Y351" s="3">
        <f ca="1">IFERROR(__xludf.DUMMYFUNCTION("""COMPUTED_VALUE"""),35.48)</f>
        <v>35.479999999999997</v>
      </c>
      <c r="Z351" s="3">
        <f ca="1">IFERROR(__xludf.DUMMYFUNCTION("""COMPUTED_VALUE"""),71.37)</f>
        <v>71.37</v>
      </c>
      <c r="AA351" s="3">
        <f ca="1">IFERROR(__xludf.DUMMYFUNCTION("""COMPUTED_VALUE"""),36)</f>
        <v>36</v>
      </c>
      <c r="AB351" s="3">
        <f ca="1">IFERROR(__xludf.DUMMYFUNCTION("""COMPUTED_VALUE"""),40.86)</f>
        <v>40.86</v>
      </c>
      <c r="AC351" s="3">
        <f ca="1">IFERROR(__xludf.DUMMYFUNCTION("""COMPUTED_VALUE"""),50.19)</f>
        <v>50.19</v>
      </c>
      <c r="AD351" s="3">
        <f ca="1">IFERROR(__xludf.DUMMYFUNCTION("""COMPUTED_VALUE"""),10.54)</f>
        <v>10.54</v>
      </c>
      <c r="AE351" s="3">
        <f ca="1">IFERROR(__xludf.DUMMYFUNCTION("""COMPUTED_VALUE"""),15.72)</f>
        <v>15.72</v>
      </c>
      <c r="AF351" s="3">
        <f ca="1">IFERROR(__xludf.DUMMYFUNCTION("""COMPUTED_VALUE"""),2.69)</f>
        <v>2.69</v>
      </c>
      <c r="AG351" s="3">
        <f ca="1">IFERROR(__xludf.DUMMYFUNCTION("""COMPUTED_VALUE"""),24.5)</f>
        <v>24.5</v>
      </c>
    </row>
    <row r="352" spans="1:33" ht="12.75" x14ac:dyDescent="0.2">
      <c r="A352" s="4">
        <f ca="1">IFERROR(__xludf.DUMMYFUNCTION("""COMPUTED_VALUE"""),45070.6666666666)</f>
        <v>45070.666666666599</v>
      </c>
      <c r="B352" s="3">
        <f ca="1">IFERROR(__xludf.DUMMYFUNCTION("""COMPUTED_VALUE"""),154.31)</f>
        <v>154.31</v>
      </c>
      <c r="C352" s="3">
        <f ca="1">IFERROR(__xludf.DUMMYFUNCTION("""COMPUTED_VALUE"""),393.69)</f>
        <v>393.69</v>
      </c>
      <c r="D352" s="3">
        <f ca="1">IFERROR(__xludf.DUMMYFUNCTION("""COMPUTED_VALUE"""),103.78)</f>
        <v>103.78</v>
      </c>
      <c r="E352" s="3">
        <f ca="1">IFERROR(__xludf.DUMMYFUNCTION("""COMPUTED_VALUE"""),143.64)</f>
        <v>143.63999999999999</v>
      </c>
      <c r="F352" s="3">
        <f ca="1">IFERROR(__xludf.DUMMYFUNCTION("""COMPUTED_VALUE"""),47.43)</f>
        <v>47.43</v>
      </c>
      <c r="G352" s="3">
        <f ca="1">IFERROR(__xludf.DUMMYFUNCTION("""COMPUTED_VALUE"""),26.14)</f>
        <v>26.14</v>
      </c>
      <c r="H352" s="3">
        <f ca="1">IFERROR(__xludf.DUMMYFUNCTION("""COMPUTED_VALUE"""),24.51)</f>
        <v>24.51</v>
      </c>
      <c r="I352" s="3">
        <f ca="1">IFERROR(__xludf.DUMMYFUNCTION("""COMPUTED_VALUE"""),129.11)</f>
        <v>129.11000000000001</v>
      </c>
      <c r="J352" s="3">
        <f ca="1">IFERROR(__xludf.DUMMYFUNCTION("""COMPUTED_VALUE"""),238.49)</f>
        <v>238.49</v>
      </c>
      <c r="K352" s="3">
        <f ca="1">IFERROR(__xludf.DUMMYFUNCTION("""COMPUTED_VALUE"""),129.28)</f>
        <v>129.28</v>
      </c>
      <c r="L352" s="3">
        <f ca="1">IFERROR(__xludf.DUMMYFUNCTION("""COMPUTED_VALUE"""),85.79)</f>
        <v>85.79</v>
      </c>
      <c r="M352" s="3">
        <f ca="1">IFERROR(__xludf.DUMMYFUNCTION("""COMPUTED_VALUE"""),62.11)</f>
        <v>62.11</v>
      </c>
      <c r="N352" s="3">
        <f ca="1">IFERROR(__xludf.DUMMYFUNCTION("""COMPUTED_VALUE"""),61.48)</f>
        <v>61.48</v>
      </c>
      <c r="O352" s="3">
        <f ca="1">IFERROR(__xludf.DUMMYFUNCTION("""COMPUTED_VALUE"""),50.56)</f>
        <v>50.56</v>
      </c>
      <c r="P352" s="3">
        <f ca="1">IFERROR(__xludf.DUMMYFUNCTION("""COMPUTED_VALUE"""),80.51)</f>
        <v>80.510000000000005</v>
      </c>
      <c r="Q352" s="3">
        <f ca="1">IFERROR(__xludf.DUMMYFUNCTION("""COMPUTED_VALUE"""),111.45)</f>
        <v>111.45</v>
      </c>
      <c r="R352" s="3">
        <f ca="1">IFERROR(__xludf.DUMMYFUNCTION("""COMPUTED_VALUE"""),76.13)</f>
        <v>76.13</v>
      </c>
      <c r="S352" s="3">
        <f ca="1">IFERROR(__xludf.DUMMYFUNCTION("""COMPUTED_VALUE"""),45.91)</f>
        <v>45.91</v>
      </c>
      <c r="T352" s="3">
        <f ca="1">IFERROR(__xludf.DUMMYFUNCTION("""COMPUTED_VALUE"""),22.83)</f>
        <v>22.83</v>
      </c>
      <c r="U352" s="3">
        <f ca="1">IFERROR(__xludf.DUMMYFUNCTION("""COMPUTED_VALUE"""),65.66)</f>
        <v>65.66</v>
      </c>
      <c r="V352" s="3">
        <f ca="1">IFERROR(__xludf.DUMMYFUNCTION("""COMPUTED_VALUE"""),70.82)</f>
        <v>70.819999999999993</v>
      </c>
      <c r="W352" s="3">
        <f ca="1">IFERROR(__xludf.DUMMYFUNCTION("""COMPUTED_VALUE"""),31.86)</f>
        <v>31.86</v>
      </c>
      <c r="X352" s="3">
        <f ca="1">IFERROR(__xludf.DUMMYFUNCTION("""COMPUTED_VALUE"""),76.59)</f>
        <v>76.59</v>
      </c>
      <c r="Y352" s="3">
        <f ca="1">IFERROR(__xludf.DUMMYFUNCTION("""COMPUTED_VALUE"""),34.86)</f>
        <v>34.86</v>
      </c>
      <c r="Z352" s="3">
        <f ca="1">IFERROR(__xludf.DUMMYFUNCTION("""COMPUTED_VALUE"""),70.47)</f>
        <v>70.47</v>
      </c>
      <c r="AA352" s="3">
        <f ca="1">IFERROR(__xludf.DUMMYFUNCTION("""COMPUTED_VALUE"""),35.21)</f>
        <v>35.21</v>
      </c>
      <c r="AB352" s="3">
        <f ca="1">IFERROR(__xludf.DUMMYFUNCTION("""COMPUTED_VALUE"""),40.13)</f>
        <v>40.130000000000003</v>
      </c>
      <c r="AC352" s="3">
        <f ca="1">IFERROR(__xludf.DUMMYFUNCTION("""COMPUTED_VALUE"""),50.14)</f>
        <v>50.14</v>
      </c>
      <c r="AD352" s="3">
        <f ca="1">IFERROR(__xludf.DUMMYFUNCTION("""COMPUTED_VALUE"""),10.16)</f>
        <v>10.16</v>
      </c>
      <c r="AE352" s="3">
        <f ca="1">IFERROR(__xludf.DUMMYFUNCTION("""COMPUTED_VALUE"""),15.15)</f>
        <v>15.15</v>
      </c>
      <c r="AF352" s="3">
        <f ca="1">IFERROR(__xludf.DUMMYFUNCTION("""COMPUTED_VALUE"""),2.68)</f>
        <v>2.68</v>
      </c>
      <c r="AG352" s="3">
        <f ca="1">IFERROR(__xludf.DUMMYFUNCTION("""COMPUTED_VALUE"""),24.39)</f>
        <v>24.39</v>
      </c>
    </row>
    <row r="353" spans="1:33" ht="12.75" x14ac:dyDescent="0.2">
      <c r="A353" s="4">
        <f ca="1">IFERROR(__xludf.DUMMYFUNCTION("""COMPUTED_VALUE"""),45071.6666666666)</f>
        <v>45071.666666666599</v>
      </c>
      <c r="B353" s="3">
        <f ca="1">IFERROR(__xludf.DUMMYFUNCTION("""COMPUTED_VALUE"""),160.23)</f>
        <v>160.22999999999999</v>
      </c>
      <c r="C353" s="3">
        <f ca="1">IFERROR(__xludf.DUMMYFUNCTION("""COMPUTED_VALUE"""),407.71)</f>
        <v>407.71</v>
      </c>
      <c r="D353" s="3">
        <f ca="1">IFERROR(__xludf.DUMMYFUNCTION("""COMPUTED_VALUE"""),103.09)</f>
        <v>103.09</v>
      </c>
      <c r="E353" s="3">
        <f ca="1">IFERROR(__xludf.DUMMYFUNCTION("""COMPUTED_VALUE"""),153.21)</f>
        <v>153.21</v>
      </c>
      <c r="F353" s="3">
        <f ca="1">IFERROR(__xludf.DUMMYFUNCTION("""COMPUTED_VALUE"""),47.58)</f>
        <v>47.58</v>
      </c>
      <c r="G353" s="3">
        <f ca="1">IFERROR(__xludf.DUMMYFUNCTION("""COMPUTED_VALUE"""),26.93)</f>
        <v>26.93</v>
      </c>
      <c r="H353" s="3">
        <f ca="1">IFERROR(__xludf.DUMMYFUNCTION("""COMPUTED_VALUE"""),24.55)</f>
        <v>24.55</v>
      </c>
      <c r="I353" s="3">
        <f ca="1">IFERROR(__xludf.DUMMYFUNCTION("""COMPUTED_VALUE"""),127.79)</f>
        <v>127.79</v>
      </c>
      <c r="J353" s="3">
        <f ca="1">IFERROR(__xludf.DUMMYFUNCTION("""COMPUTED_VALUE"""),235.84)</f>
        <v>235.84</v>
      </c>
      <c r="K353" s="3">
        <f ca="1">IFERROR(__xludf.DUMMYFUNCTION("""COMPUTED_VALUE"""),126.84)</f>
        <v>126.84</v>
      </c>
      <c r="L353" s="3">
        <f ca="1">IFERROR(__xludf.DUMMYFUNCTION("""COMPUTED_VALUE"""),83.55)</f>
        <v>83.55</v>
      </c>
      <c r="M353" s="3">
        <f ca="1">IFERROR(__xludf.DUMMYFUNCTION("""COMPUTED_VALUE"""),60.87)</f>
        <v>60.87</v>
      </c>
      <c r="N353" s="3">
        <f ca="1">IFERROR(__xludf.DUMMYFUNCTION("""COMPUTED_VALUE"""),60.81)</f>
        <v>60.81</v>
      </c>
      <c r="O353" s="3">
        <f ca="1">IFERROR(__xludf.DUMMYFUNCTION("""COMPUTED_VALUE"""),49.28)</f>
        <v>49.28</v>
      </c>
      <c r="P353" s="3">
        <f ca="1">IFERROR(__xludf.DUMMYFUNCTION("""COMPUTED_VALUE"""),79.08)</f>
        <v>79.08</v>
      </c>
      <c r="Q353" s="3">
        <f ca="1">IFERROR(__xludf.DUMMYFUNCTION("""COMPUTED_VALUE"""),109.34)</f>
        <v>109.34</v>
      </c>
      <c r="R353" s="3">
        <f ca="1">IFERROR(__xludf.DUMMYFUNCTION("""COMPUTED_VALUE"""),75.86)</f>
        <v>75.86</v>
      </c>
      <c r="S353" s="3">
        <f ca="1">IFERROR(__xludf.DUMMYFUNCTION("""COMPUTED_VALUE"""),45.54)</f>
        <v>45.54</v>
      </c>
      <c r="T353" s="3">
        <f ca="1">IFERROR(__xludf.DUMMYFUNCTION("""COMPUTED_VALUE"""),22.47)</f>
        <v>22.47</v>
      </c>
      <c r="U353" s="3">
        <f ca="1">IFERROR(__xludf.DUMMYFUNCTION("""COMPUTED_VALUE"""),64.09)</f>
        <v>64.09</v>
      </c>
      <c r="V353" s="3">
        <f ca="1">IFERROR(__xludf.DUMMYFUNCTION("""COMPUTED_VALUE"""),70.62)</f>
        <v>70.62</v>
      </c>
      <c r="W353" s="3">
        <f ca="1">IFERROR(__xludf.DUMMYFUNCTION("""COMPUTED_VALUE"""),31.85)</f>
        <v>31.85</v>
      </c>
      <c r="X353" s="3">
        <f ca="1">IFERROR(__xludf.DUMMYFUNCTION("""COMPUTED_VALUE"""),76.63)</f>
        <v>76.63</v>
      </c>
      <c r="Y353" s="3">
        <f ca="1">IFERROR(__xludf.DUMMYFUNCTION("""COMPUTED_VALUE"""),34.63)</f>
        <v>34.630000000000003</v>
      </c>
      <c r="Z353" s="3">
        <f ca="1">IFERROR(__xludf.DUMMYFUNCTION("""COMPUTED_VALUE"""),70.53)</f>
        <v>70.53</v>
      </c>
      <c r="AA353" s="3">
        <f ca="1">IFERROR(__xludf.DUMMYFUNCTION("""COMPUTED_VALUE"""),35.29)</f>
        <v>35.29</v>
      </c>
      <c r="AB353" s="3">
        <f ca="1">IFERROR(__xludf.DUMMYFUNCTION("""COMPUTED_VALUE"""),39.8)</f>
        <v>39.799999999999997</v>
      </c>
      <c r="AC353" s="3">
        <f ca="1">IFERROR(__xludf.DUMMYFUNCTION("""COMPUTED_VALUE"""),49.56)</f>
        <v>49.56</v>
      </c>
      <c r="AD353" s="3">
        <f ca="1">IFERROR(__xludf.DUMMYFUNCTION("""COMPUTED_VALUE"""),10.24)</f>
        <v>10.24</v>
      </c>
      <c r="AE353" s="3">
        <f ca="1">IFERROR(__xludf.DUMMYFUNCTION("""COMPUTED_VALUE"""),15.24)</f>
        <v>15.24</v>
      </c>
      <c r="AF353" s="3">
        <f ca="1">IFERROR(__xludf.DUMMYFUNCTION("""COMPUTED_VALUE"""),2.73)</f>
        <v>2.73</v>
      </c>
      <c r="AG353" s="3">
        <f ca="1">IFERROR(__xludf.DUMMYFUNCTION("""COMPUTED_VALUE"""),24.15)</f>
        <v>24.15</v>
      </c>
    </row>
    <row r="354" spans="1:33" ht="12.75" x14ac:dyDescent="0.2">
      <c r="A354" s="4">
        <f ca="1">IFERROR(__xludf.DUMMYFUNCTION("""COMPUTED_VALUE"""),45072.6666666666)</f>
        <v>45072.666666666599</v>
      </c>
      <c r="B354" s="3">
        <f ca="1">IFERROR(__xludf.DUMMYFUNCTION("""COMPUTED_VALUE"""),164.78)</f>
        <v>164.78</v>
      </c>
      <c r="C354" s="3">
        <f ca="1">IFERROR(__xludf.DUMMYFUNCTION("""COMPUTED_VALUE"""),418.53)</f>
        <v>418.53</v>
      </c>
      <c r="D354" s="3">
        <f ca="1">IFERROR(__xludf.DUMMYFUNCTION("""COMPUTED_VALUE"""),104.19)</f>
        <v>104.19</v>
      </c>
      <c r="E354" s="3">
        <f ca="1">IFERROR(__xludf.DUMMYFUNCTION("""COMPUTED_VALUE"""),163.22)</f>
        <v>163.22</v>
      </c>
      <c r="F354" s="3">
        <f ca="1">IFERROR(__xludf.DUMMYFUNCTION("""COMPUTED_VALUE"""),48.6)</f>
        <v>48.6</v>
      </c>
      <c r="G354" s="3">
        <f ca="1">IFERROR(__xludf.DUMMYFUNCTION("""COMPUTED_VALUE"""),27.39)</f>
        <v>27.39</v>
      </c>
      <c r="H354" s="3">
        <f ca="1">IFERROR(__xludf.DUMMYFUNCTION("""COMPUTED_VALUE"""),24.8)</f>
        <v>24.8</v>
      </c>
      <c r="I354" s="3">
        <f ca="1">IFERROR(__xludf.DUMMYFUNCTION("""COMPUTED_VALUE"""),127.53)</f>
        <v>127.53</v>
      </c>
      <c r="J354" s="3">
        <f ca="1">IFERROR(__xludf.DUMMYFUNCTION("""COMPUTED_VALUE"""),235.71)</f>
        <v>235.71</v>
      </c>
      <c r="K354" s="3">
        <f ca="1">IFERROR(__xludf.DUMMYFUNCTION("""COMPUTED_VALUE"""),127.09)</f>
        <v>127.09</v>
      </c>
      <c r="L354" s="3">
        <f ca="1">IFERROR(__xludf.DUMMYFUNCTION("""COMPUTED_VALUE"""),84.31)</f>
        <v>84.31</v>
      </c>
      <c r="M354" s="3">
        <f ca="1">IFERROR(__xludf.DUMMYFUNCTION("""COMPUTED_VALUE"""),60.78)</f>
        <v>60.78</v>
      </c>
      <c r="N354" s="3">
        <f ca="1">IFERROR(__xludf.DUMMYFUNCTION("""COMPUTED_VALUE"""),60.78)</f>
        <v>60.78</v>
      </c>
      <c r="O354" s="3">
        <f ca="1">IFERROR(__xludf.DUMMYFUNCTION("""COMPUTED_VALUE"""),49.52)</f>
        <v>49.52</v>
      </c>
      <c r="P354" s="3">
        <f ca="1">IFERROR(__xludf.DUMMYFUNCTION("""COMPUTED_VALUE"""),78.77)</f>
        <v>78.77</v>
      </c>
      <c r="Q354" s="3">
        <f ca="1">IFERROR(__xludf.DUMMYFUNCTION("""COMPUTED_VALUE"""),108.88)</f>
        <v>108.88</v>
      </c>
      <c r="R354" s="3">
        <f ca="1">IFERROR(__xludf.DUMMYFUNCTION("""COMPUTED_VALUE"""),76.24)</f>
        <v>76.239999999999995</v>
      </c>
      <c r="S354" s="3">
        <f ca="1">IFERROR(__xludf.DUMMYFUNCTION("""COMPUTED_VALUE"""),45.62)</f>
        <v>45.62</v>
      </c>
      <c r="T354" s="3">
        <f ca="1">IFERROR(__xludf.DUMMYFUNCTION("""COMPUTED_VALUE"""),22.83)</f>
        <v>22.83</v>
      </c>
      <c r="U354" s="3">
        <f ca="1">IFERROR(__xludf.DUMMYFUNCTION("""COMPUTED_VALUE"""),64.8)</f>
        <v>64.8</v>
      </c>
      <c r="V354" s="3">
        <f ca="1">IFERROR(__xludf.DUMMYFUNCTION("""COMPUTED_VALUE"""),70.77)</f>
        <v>70.77</v>
      </c>
      <c r="W354" s="3">
        <f ca="1">IFERROR(__xludf.DUMMYFUNCTION("""COMPUTED_VALUE"""),32.11)</f>
        <v>32.11</v>
      </c>
      <c r="X354" s="3">
        <f ca="1">IFERROR(__xludf.DUMMYFUNCTION("""COMPUTED_VALUE"""),77.23)</f>
        <v>77.23</v>
      </c>
      <c r="Y354" s="3">
        <f ca="1">IFERROR(__xludf.DUMMYFUNCTION("""COMPUTED_VALUE"""),35.01)</f>
        <v>35.01</v>
      </c>
      <c r="Z354" s="3">
        <f ca="1">IFERROR(__xludf.DUMMYFUNCTION("""COMPUTED_VALUE"""),70.99)</f>
        <v>70.989999999999995</v>
      </c>
      <c r="AA354" s="3">
        <f ca="1">IFERROR(__xludf.DUMMYFUNCTION("""COMPUTED_VALUE"""),35.7)</f>
        <v>35.700000000000003</v>
      </c>
      <c r="AB354" s="3">
        <f ca="1">IFERROR(__xludf.DUMMYFUNCTION("""COMPUTED_VALUE"""),40.29)</f>
        <v>40.29</v>
      </c>
      <c r="AC354" s="3">
        <f ca="1">IFERROR(__xludf.DUMMYFUNCTION("""COMPUTED_VALUE"""),50.21)</f>
        <v>50.21</v>
      </c>
      <c r="AD354" s="3">
        <f ca="1">IFERROR(__xludf.DUMMYFUNCTION("""COMPUTED_VALUE"""),10.37)</f>
        <v>10.37</v>
      </c>
      <c r="AE354" s="3">
        <f ca="1">IFERROR(__xludf.DUMMYFUNCTION("""COMPUTED_VALUE"""),15.44)</f>
        <v>15.44</v>
      </c>
      <c r="AF354" s="3">
        <f ca="1">IFERROR(__xludf.DUMMYFUNCTION("""COMPUTED_VALUE"""),2.73)</f>
        <v>2.73</v>
      </c>
      <c r="AG354" s="3">
        <f ca="1">IFERROR(__xludf.DUMMYFUNCTION("""COMPUTED_VALUE"""),23.89)</f>
        <v>23.89</v>
      </c>
    </row>
    <row r="355" spans="1:33" ht="12.75" x14ac:dyDescent="0.2">
      <c r="A355" s="4">
        <f ca="1">IFERROR(__xludf.DUMMYFUNCTION("""COMPUTED_VALUE"""),45076.6666666666)</f>
        <v>45076.666666666599</v>
      </c>
      <c r="B355" s="3">
        <f ca="1">IFERROR(__xludf.DUMMYFUNCTION("""COMPUTED_VALUE"""),165.66)</f>
        <v>165.66</v>
      </c>
      <c r="C355" s="3">
        <f ca="1">IFERROR(__xludf.DUMMYFUNCTION("""COMPUTED_VALUE"""),420.72)</f>
        <v>420.72</v>
      </c>
      <c r="D355" s="3">
        <f ca="1">IFERROR(__xludf.DUMMYFUNCTION("""COMPUTED_VALUE"""),104.86)</f>
        <v>104.86</v>
      </c>
      <c r="E355" s="3">
        <f ca="1">IFERROR(__xludf.DUMMYFUNCTION("""COMPUTED_VALUE"""),163.09)</f>
        <v>163.09</v>
      </c>
      <c r="F355" s="3">
        <f ca="1">IFERROR(__xludf.DUMMYFUNCTION("""COMPUTED_VALUE"""),49.07)</f>
        <v>49.07</v>
      </c>
      <c r="G355" s="3">
        <f ca="1">IFERROR(__xludf.DUMMYFUNCTION("""COMPUTED_VALUE"""),27.78)</f>
        <v>27.78</v>
      </c>
      <c r="H355" s="3">
        <f ca="1">IFERROR(__xludf.DUMMYFUNCTION("""COMPUTED_VALUE"""),24.8)</f>
        <v>24.8</v>
      </c>
      <c r="I355" s="3">
        <f ca="1">IFERROR(__xludf.DUMMYFUNCTION("""COMPUTED_VALUE"""),126.74)</f>
        <v>126.74</v>
      </c>
      <c r="J355" s="3">
        <f ca="1">IFERROR(__xludf.DUMMYFUNCTION("""COMPUTED_VALUE"""),234.11)</f>
        <v>234.11</v>
      </c>
      <c r="K355" s="3">
        <f ca="1">IFERROR(__xludf.DUMMYFUNCTION("""COMPUTED_VALUE"""),126.17)</f>
        <v>126.17</v>
      </c>
      <c r="L355" s="3">
        <f ca="1">IFERROR(__xludf.DUMMYFUNCTION("""COMPUTED_VALUE"""),83.14)</f>
        <v>83.14</v>
      </c>
      <c r="M355" s="3">
        <f ca="1">IFERROR(__xludf.DUMMYFUNCTION("""COMPUTED_VALUE"""),60.22)</f>
        <v>60.22</v>
      </c>
      <c r="N355" s="3">
        <f ca="1">IFERROR(__xludf.DUMMYFUNCTION("""COMPUTED_VALUE"""),60.33)</f>
        <v>60.33</v>
      </c>
      <c r="O355" s="3">
        <f ca="1">IFERROR(__xludf.DUMMYFUNCTION("""COMPUTED_VALUE"""),48.8)</f>
        <v>48.8</v>
      </c>
      <c r="P355" s="3">
        <f ca="1">IFERROR(__xludf.DUMMYFUNCTION("""COMPUTED_VALUE"""),77.96)</f>
        <v>77.959999999999994</v>
      </c>
      <c r="Q355" s="3">
        <f ca="1">IFERROR(__xludf.DUMMYFUNCTION("""COMPUTED_VALUE"""),107.8)</f>
        <v>107.8</v>
      </c>
      <c r="R355" s="3">
        <f ca="1">IFERROR(__xludf.DUMMYFUNCTION("""COMPUTED_VALUE"""),75.83)</f>
        <v>75.83</v>
      </c>
      <c r="S355" s="3">
        <f ca="1">IFERROR(__xludf.DUMMYFUNCTION("""COMPUTED_VALUE"""),44.8)</f>
        <v>44.8</v>
      </c>
      <c r="T355" s="3">
        <f ca="1">IFERROR(__xludf.DUMMYFUNCTION("""COMPUTED_VALUE"""),22.3)</f>
        <v>22.3</v>
      </c>
      <c r="U355" s="3">
        <f ca="1">IFERROR(__xludf.DUMMYFUNCTION("""COMPUTED_VALUE"""),62.3)</f>
        <v>62.3</v>
      </c>
      <c r="V355" s="3">
        <f ca="1">IFERROR(__xludf.DUMMYFUNCTION("""COMPUTED_VALUE"""),70.81)</f>
        <v>70.81</v>
      </c>
      <c r="W355" s="3">
        <f ca="1">IFERROR(__xludf.DUMMYFUNCTION("""COMPUTED_VALUE"""),32.1)</f>
        <v>32.1</v>
      </c>
      <c r="X355" s="3">
        <f ca="1">IFERROR(__xludf.DUMMYFUNCTION("""COMPUTED_VALUE"""),77.49)</f>
        <v>77.489999999999995</v>
      </c>
      <c r="Y355" s="3">
        <f ca="1">IFERROR(__xludf.DUMMYFUNCTION("""COMPUTED_VALUE"""),35.05)</f>
        <v>35.049999999999997</v>
      </c>
      <c r="Z355" s="3">
        <f ca="1">IFERROR(__xludf.DUMMYFUNCTION("""COMPUTED_VALUE"""),71.21)</f>
        <v>71.209999999999994</v>
      </c>
      <c r="AA355" s="3">
        <f ca="1">IFERROR(__xludf.DUMMYFUNCTION("""COMPUTED_VALUE"""),35.81)</f>
        <v>35.81</v>
      </c>
      <c r="AB355" s="3">
        <f ca="1">IFERROR(__xludf.DUMMYFUNCTION("""COMPUTED_VALUE"""),40.21)</f>
        <v>40.21</v>
      </c>
      <c r="AC355" s="3">
        <f ca="1">IFERROR(__xludf.DUMMYFUNCTION("""COMPUTED_VALUE"""),51.43)</f>
        <v>51.43</v>
      </c>
      <c r="AD355" s="3">
        <f ca="1">IFERROR(__xludf.DUMMYFUNCTION("""COMPUTED_VALUE"""),10.82)</f>
        <v>10.82</v>
      </c>
      <c r="AE355" s="3">
        <f ca="1">IFERROR(__xludf.DUMMYFUNCTION("""COMPUTED_VALUE"""),16.12)</f>
        <v>16.12</v>
      </c>
      <c r="AF355" s="3">
        <f ca="1">IFERROR(__xludf.DUMMYFUNCTION("""COMPUTED_VALUE"""),2.76)</f>
        <v>2.76</v>
      </c>
      <c r="AG355" s="3">
        <f ca="1">IFERROR(__xludf.DUMMYFUNCTION("""COMPUTED_VALUE"""),25.6)</f>
        <v>25.6</v>
      </c>
    </row>
    <row r="356" spans="1:33" ht="12.75" x14ac:dyDescent="0.2">
      <c r="A356" s="4">
        <f ca="1">IFERROR(__xludf.DUMMYFUNCTION("""COMPUTED_VALUE"""),45077.6666666666)</f>
        <v>45077.666666666599</v>
      </c>
      <c r="B356" s="3">
        <f ca="1">IFERROR(__xludf.DUMMYFUNCTION("""COMPUTED_VALUE"""),164.28)</f>
        <v>164.28</v>
      </c>
      <c r="C356" s="3">
        <f ca="1">IFERROR(__xludf.DUMMYFUNCTION("""COMPUTED_VALUE"""),416.88)</f>
        <v>416.88</v>
      </c>
      <c r="D356" s="3">
        <f ca="1">IFERROR(__xludf.DUMMYFUNCTION("""COMPUTED_VALUE"""),104.56)</f>
        <v>104.56</v>
      </c>
      <c r="E356" s="3">
        <f ca="1">IFERROR(__xludf.DUMMYFUNCTION("""COMPUTED_VALUE"""),158.9)</f>
        <v>158.9</v>
      </c>
      <c r="F356" s="3">
        <f ca="1">IFERROR(__xludf.DUMMYFUNCTION("""COMPUTED_VALUE"""),49.43)</f>
        <v>49.43</v>
      </c>
      <c r="G356" s="3">
        <f ca="1">IFERROR(__xludf.DUMMYFUNCTION("""COMPUTED_VALUE"""),27.28)</f>
        <v>27.28</v>
      </c>
      <c r="H356" s="3">
        <f ca="1">IFERROR(__xludf.DUMMYFUNCTION("""COMPUTED_VALUE"""),24.63)</f>
        <v>24.63</v>
      </c>
      <c r="I356" s="3">
        <f ca="1">IFERROR(__xludf.DUMMYFUNCTION("""COMPUTED_VALUE"""),127.83)</f>
        <v>127.83</v>
      </c>
      <c r="J356" s="3">
        <f ca="1">IFERROR(__xludf.DUMMYFUNCTION("""COMPUTED_VALUE"""),235.86)</f>
        <v>235.86</v>
      </c>
      <c r="K356" s="3">
        <f ca="1">IFERROR(__xludf.DUMMYFUNCTION("""COMPUTED_VALUE"""),126.28)</f>
        <v>126.28</v>
      </c>
      <c r="L356" s="3">
        <f ca="1">IFERROR(__xludf.DUMMYFUNCTION("""COMPUTED_VALUE"""),83.92)</f>
        <v>83.92</v>
      </c>
      <c r="M356" s="3">
        <f ca="1">IFERROR(__xludf.DUMMYFUNCTION("""COMPUTED_VALUE"""),60.3)</f>
        <v>60.3</v>
      </c>
      <c r="N356" s="3">
        <f ca="1">IFERROR(__xludf.DUMMYFUNCTION("""COMPUTED_VALUE"""),60.81)</f>
        <v>60.81</v>
      </c>
      <c r="O356" s="3">
        <f ca="1">IFERROR(__xludf.DUMMYFUNCTION("""COMPUTED_VALUE"""),48.88)</f>
        <v>48.88</v>
      </c>
      <c r="P356" s="3">
        <f ca="1">IFERROR(__xludf.DUMMYFUNCTION("""COMPUTED_VALUE"""),76.59)</f>
        <v>76.59</v>
      </c>
      <c r="Q356" s="3">
        <f ca="1">IFERROR(__xludf.DUMMYFUNCTION("""COMPUTED_VALUE"""),105.87)</f>
        <v>105.87</v>
      </c>
      <c r="R356" s="3">
        <f ca="1">IFERROR(__xludf.DUMMYFUNCTION("""COMPUTED_VALUE"""),75.02)</f>
        <v>75.02</v>
      </c>
      <c r="S356" s="3">
        <f ca="1">IFERROR(__xludf.DUMMYFUNCTION("""COMPUTED_VALUE"""),44.52)</f>
        <v>44.52</v>
      </c>
      <c r="T356" s="3">
        <f ca="1">IFERROR(__xludf.DUMMYFUNCTION("""COMPUTED_VALUE"""),22.05)</f>
        <v>22.05</v>
      </c>
      <c r="U356" s="3">
        <f ca="1">IFERROR(__xludf.DUMMYFUNCTION("""COMPUTED_VALUE"""),60.63)</f>
        <v>60.63</v>
      </c>
      <c r="V356" s="3">
        <f ca="1">IFERROR(__xludf.DUMMYFUNCTION("""COMPUTED_VALUE"""),69.98)</f>
        <v>69.98</v>
      </c>
      <c r="W356" s="3">
        <f ca="1">IFERROR(__xludf.DUMMYFUNCTION("""COMPUTED_VALUE"""),31.76)</f>
        <v>31.76</v>
      </c>
      <c r="X356" s="3">
        <f ca="1">IFERROR(__xludf.DUMMYFUNCTION("""COMPUTED_VALUE"""),76.44)</f>
        <v>76.44</v>
      </c>
      <c r="Y356" s="3">
        <f ca="1">IFERROR(__xludf.DUMMYFUNCTION("""COMPUTED_VALUE"""),34.07)</f>
        <v>34.07</v>
      </c>
      <c r="Z356" s="3">
        <f ca="1">IFERROR(__xludf.DUMMYFUNCTION("""COMPUTED_VALUE"""),70.2)</f>
        <v>70.2</v>
      </c>
      <c r="AA356" s="3">
        <f ca="1">IFERROR(__xludf.DUMMYFUNCTION("""COMPUTED_VALUE"""),36.04)</f>
        <v>36.04</v>
      </c>
      <c r="AB356" s="3">
        <f ca="1">IFERROR(__xludf.DUMMYFUNCTION("""COMPUTED_VALUE"""),38.97)</f>
        <v>38.97</v>
      </c>
      <c r="AC356" s="3">
        <f ca="1">IFERROR(__xludf.DUMMYFUNCTION("""COMPUTED_VALUE"""),51.02)</f>
        <v>51.02</v>
      </c>
      <c r="AD356" s="3">
        <f ca="1">IFERROR(__xludf.DUMMYFUNCTION("""COMPUTED_VALUE"""),10.44)</f>
        <v>10.44</v>
      </c>
      <c r="AE356" s="3">
        <f ca="1">IFERROR(__xludf.DUMMYFUNCTION("""COMPUTED_VALUE"""),15.52)</f>
        <v>15.52</v>
      </c>
      <c r="AF356" s="3">
        <f ca="1">IFERROR(__xludf.DUMMYFUNCTION("""COMPUTED_VALUE"""),2.79)</f>
        <v>2.79</v>
      </c>
      <c r="AG356" s="3">
        <f ca="1">IFERROR(__xludf.DUMMYFUNCTION("""COMPUTED_VALUE"""),25.61)</f>
        <v>25.61</v>
      </c>
    </row>
    <row r="357" spans="1:33" ht="12.75" x14ac:dyDescent="0.2">
      <c r="A357" s="4">
        <f ca="1">IFERROR(__xludf.DUMMYFUNCTION("""COMPUTED_VALUE"""),45078.6666666666)</f>
        <v>45078.666666666599</v>
      </c>
      <c r="B357" s="3">
        <f ca="1">IFERROR(__xludf.DUMMYFUNCTION("""COMPUTED_VALUE"""),165.95)</f>
        <v>165.95</v>
      </c>
      <c r="C357" s="3">
        <f ca="1">IFERROR(__xludf.DUMMYFUNCTION("""COMPUTED_VALUE"""),421.18)</f>
        <v>421.18</v>
      </c>
      <c r="D357" s="3">
        <f ca="1">IFERROR(__xludf.DUMMYFUNCTION("""COMPUTED_VALUE"""),104.74)</f>
        <v>104.74</v>
      </c>
      <c r="E357" s="3">
        <f ca="1">IFERROR(__xludf.DUMMYFUNCTION("""COMPUTED_VALUE"""),161.63)</f>
        <v>161.63</v>
      </c>
      <c r="F357" s="3">
        <f ca="1">IFERROR(__xludf.DUMMYFUNCTION("""COMPUTED_VALUE"""),49.07)</f>
        <v>49.07</v>
      </c>
      <c r="G357" s="3">
        <f ca="1">IFERROR(__xludf.DUMMYFUNCTION("""COMPUTED_VALUE"""),27.82)</f>
        <v>27.82</v>
      </c>
      <c r="H357" s="3">
        <f ca="1">IFERROR(__xludf.DUMMYFUNCTION("""COMPUTED_VALUE"""),24.89)</f>
        <v>24.89</v>
      </c>
      <c r="I357" s="3">
        <f ca="1">IFERROR(__xludf.DUMMYFUNCTION("""COMPUTED_VALUE"""),128.67)</f>
        <v>128.66999999999999</v>
      </c>
      <c r="J357" s="3">
        <f ca="1">IFERROR(__xludf.DUMMYFUNCTION("""COMPUTED_VALUE"""),237.78)</f>
        <v>237.78</v>
      </c>
      <c r="K357" s="3">
        <f ca="1">IFERROR(__xludf.DUMMYFUNCTION("""COMPUTED_VALUE"""),126.77)</f>
        <v>126.77</v>
      </c>
      <c r="L357" s="3">
        <f ca="1">IFERROR(__xludf.DUMMYFUNCTION("""COMPUTED_VALUE"""),85.08)</f>
        <v>85.08</v>
      </c>
      <c r="M357" s="3">
        <f ca="1">IFERROR(__xludf.DUMMYFUNCTION("""COMPUTED_VALUE"""),60.92)</f>
        <v>60.92</v>
      </c>
      <c r="N357" s="3">
        <f ca="1">IFERROR(__xludf.DUMMYFUNCTION("""COMPUTED_VALUE"""),61.35)</f>
        <v>61.35</v>
      </c>
      <c r="O357" s="3">
        <f ca="1">IFERROR(__xludf.DUMMYFUNCTION("""COMPUTED_VALUE"""),49.6)</f>
        <v>49.6</v>
      </c>
      <c r="P357" s="3">
        <f ca="1">IFERROR(__xludf.DUMMYFUNCTION("""COMPUTED_VALUE"""),77.54)</f>
        <v>77.540000000000006</v>
      </c>
      <c r="Q357" s="3">
        <f ca="1">IFERROR(__xludf.DUMMYFUNCTION("""COMPUTED_VALUE"""),107.35)</f>
        <v>107.35</v>
      </c>
      <c r="R357" s="3">
        <f ca="1">IFERROR(__xludf.DUMMYFUNCTION("""COMPUTED_VALUE"""),76.02)</f>
        <v>76.02</v>
      </c>
      <c r="S357" s="3">
        <f ca="1">IFERROR(__xludf.DUMMYFUNCTION("""COMPUTED_VALUE"""),45.58)</f>
        <v>45.58</v>
      </c>
      <c r="T357" s="3">
        <f ca="1">IFERROR(__xludf.DUMMYFUNCTION("""COMPUTED_VALUE"""),22.41)</f>
        <v>22.41</v>
      </c>
      <c r="U357" s="3">
        <f ca="1">IFERROR(__xludf.DUMMYFUNCTION("""COMPUTED_VALUE"""),62.55)</f>
        <v>62.55</v>
      </c>
      <c r="V357" s="3">
        <f ca="1">IFERROR(__xludf.DUMMYFUNCTION("""COMPUTED_VALUE"""),71.48)</f>
        <v>71.48</v>
      </c>
      <c r="W357" s="3">
        <f ca="1">IFERROR(__xludf.DUMMYFUNCTION("""COMPUTED_VALUE"""),32.1)</f>
        <v>32.1</v>
      </c>
      <c r="X357" s="3">
        <f ca="1">IFERROR(__xludf.DUMMYFUNCTION("""COMPUTED_VALUE"""),77.39)</f>
        <v>77.39</v>
      </c>
      <c r="Y357" s="3">
        <f ca="1">IFERROR(__xludf.DUMMYFUNCTION("""COMPUTED_VALUE"""),34.78)</f>
        <v>34.78</v>
      </c>
      <c r="Z357" s="3">
        <f ca="1">IFERROR(__xludf.DUMMYFUNCTION("""COMPUTED_VALUE"""),70.92)</f>
        <v>70.92</v>
      </c>
      <c r="AA357" s="3">
        <f ca="1">IFERROR(__xludf.DUMMYFUNCTION("""COMPUTED_VALUE"""),36.05)</f>
        <v>36.049999999999997</v>
      </c>
      <c r="AB357" s="3">
        <f ca="1">IFERROR(__xludf.DUMMYFUNCTION("""COMPUTED_VALUE"""),39.76)</f>
        <v>39.76</v>
      </c>
      <c r="AC357" s="3">
        <f ca="1">IFERROR(__xludf.DUMMYFUNCTION("""COMPUTED_VALUE"""),51.82)</f>
        <v>51.82</v>
      </c>
      <c r="AD357" s="3">
        <f ca="1">IFERROR(__xludf.DUMMYFUNCTION("""COMPUTED_VALUE"""),10.38)</f>
        <v>10.38</v>
      </c>
      <c r="AE357" s="3">
        <f ca="1">IFERROR(__xludf.DUMMYFUNCTION("""COMPUTED_VALUE"""),15.02)</f>
        <v>15.02</v>
      </c>
      <c r="AF357" s="3">
        <f ca="1">IFERROR(__xludf.DUMMYFUNCTION("""COMPUTED_VALUE"""),2.85)</f>
        <v>2.85</v>
      </c>
      <c r="AG357" s="3">
        <f ca="1">IFERROR(__xludf.DUMMYFUNCTION("""COMPUTED_VALUE"""),26.16)</f>
        <v>26.16</v>
      </c>
    </row>
    <row r="358" spans="1:33" ht="12.75" x14ac:dyDescent="0.2">
      <c r="A358" s="4">
        <f ca="1">IFERROR(__xludf.DUMMYFUNCTION("""COMPUTED_VALUE"""),45079.6666666666)</f>
        <v>45079.666666666599</v>
      </c>
      <c r="B358" s="3">
        <f ca="1">IFERROR(__xludf.DUMMYFUNCTION("""COMPUTED_VALUE"""),166.9)</f>
        <v>166.9</v>
      </c>
      <c r="C358" s="3">
        <f ca="1">IFERROR(__xludf.DUMMYFUNCTION("""COMPUTED_VALUE"""),424.1)</f>
        <v>424.1</v>
      </c>
      <c r="D358" s="3">
        <f ca="1">IFERROR(__xludf.DUMMYFUNCTION("""COMPUTED_VALUE"""),102.54)</f>
        <v>102.54</v>
      </c>
      <c r="E358" s="3">
        <f ca="1">IFERROR(__xludf.DUMMYFUNCTION("""COMPUTED_VALUE"""),161.25)</f>
        <v>161.25</v>
      </c>
      <c r="F358" s="3">
        <f ca="1">IFERROR(__xludf.DUMMYFUNCTION("""COMPUTED_VALUE"""),49.27)</f>
        <v>49.27</v>
      </c>
      <c r="G358" s="3">
        <f ca="1">IFERROR(__xludf.DUMMYFUNCTION("""COMPUTED_VALUE"""),28.22)</f>
        <v>28.22</v>
      </c>
      <c r="H358" s="3">
        <f ca="1">IFERROR(__xludf.DUMMYFUNCTION("""COMPUTED_VALUE"""),25.42)</f>
        <v>25.42</v>
      </c>
      <c r="I358" s="3">
        <f ca="1">IFERROR(__xludf.DUMMYFUNCTION("""COMPUTED_VALUE"""),130.32)</f>
        <v>130.32</v>
      </c>
      <c r="J358" s="3">
        <f ca="1">IFERROR(__xludf.DUMMYFUNCTION("""COMPUTED_VALUE"""),241.14)</f>
        <v>241.14</v>
      </c>
      <c r="K358" s="3">
        <f ca="1">IFERROR(__xludf.DUMMYFUNCTION("""COMPUTED_VALUE"""),128.98)</f>
        <v>128.97999999999999</v>
      </c>
      <c r="L358" s="3">
        <f ca="1">IFERROR(__xludf.DUMMYFUNCTION("""COMPUTED_VALUE"""),86.43)</f>
        <v>86.43</v>
      </c>
      <c r="M358" s="3">
        <f ca="1">IFERROR(__xludf.DUMMYFUNCTION("""COMPUTED_VALUE"""),62.06)</f>
        <v>62.06</v>
      </c>
      <c r="N358" s="3">
        <f ca="1">IFERROR(__xludf.DUMMYFUNCTION("""COMPUTED_VALUE"""),62.15)</f>
        <v>62.15</v>
      </c>
      <c r="O358" s="3">
        <f ca="1">IFERROR(__xludf.DUMMYFUNCTION("""COMPUTED_VALUE"""),51.12)</f>
        <v>51.12</v>
      </c>
      <c r="P358" s="3">
        <f ca="1">IFERROR(__xludf.DUMMYFUNCTION("""COMPUTED_VALUE"""),79.9)</f>
        <v>79.900000000000006</v>
      </c>
      <c r="Q358" s="3">
        <f ca="1">IFERROR(__xludf.DUMMYFUNCTION("""COMPUTED_VALUE"""),110.7)</f>
        <v>110.7</v>
      </c>
      <c r="R358" s="3">
        <f ca="1">IFERROR(__xludf.DUMMYFUNCTION("""COMPUTED_VALUE"""),78.57)</f>
        <v>78.569999999999993</v>
      </c>
      <c r="S358" s="3">
        <f ca="1">IFERROR(__xludf.DUMMYFUNCTION("""COMPUTED_VALUE"""),47.52)</f>
        <v>47.52</v>
      </c>
      <c r="T358" s="3">
        <f ca="1">IFERROR(__xludf.DUMMYFUNCTION("""COMPUTED_VALUE"""),22.7)</f>
        <v>22.7</v>
      </c>
      <c r="U358" s="3">
        <f ca="1">IFERROR(__xludf.DUMMYFUNCTION("""COMPUTED_VALUE"""),64.15)</f>
        <v>64.150000000000006</v>
      </c>
      <c r="V358" s="3">
        <f ca="1">IFERROR(__xludf.DUMMYFUNCTION("""COMPUTED_VALUE"""),72.07)</f>
        <v>72.069999999999993</v>
      </c>
      <c r="W358" s="3">
        <f ca="1">IFERROR(__xludf.DUMMYFUNCTION("""COMPUTED_VALUE"""),32.8)</f>
        <v>32.799999999999997</v>
      </c>
      <c r="X358" s="3">
        <f ca="1">IFERROR(__xludf.DUMMYFUNCTION("""COMPUTED_VALUE"""),79.29)</f>
        <v>79.290000000000006</v>
      </c>
      <c r="Y358" s="3">
        <f ca="1">IFERROR(__xludf.DUMMYFUNCTION("""COMPUTED_VALUE"""),36.57)</f>
        <v>36.57</v>
      </c>
      <c r="Z358" s="3">
        <f ca="1">IFERROR(__xludf.DUMMYFUNCTION("""COMPUTED_VALUE"""),72.7)</f>
        <v>72.7</v>
      </c>
      <c r="AA358" s="3">
        <f ca="1">IFERROR(__xludf.DUMMYFUNCTION("""COMPUTED_VALUE"""),36.81)</f>
        <v>36.81</v>
      </c>
      <c r="AB358" s="3">
        <f ca="1">IFERROR(__xludf.DUMMYFUNCTION("""COMPUTED_VALUE"""),42.21)</f>
        <v>42.21</v>
      </c>
      <c r="AC358" s="3">
        <f ca="1">IFERROR(__xludf.DUMMYFUNCTION("""COMPUTED_VALUE"""),51.8)</f>
        <v>51.8</v>
      </c>
      <c r="AD358" s="3">
        <f ca="1">IFERROR(__xludf.DUMMYFUNCTION("""COMPUTED_VALUE"""),10.57)</f>
        <v>10.57</v>
      </c>
      <c r="AE358" s="3">
        <f ca="1">IFERROR(__xludf.DUMMYFUNCTION("""COMPUTED_VALUE"""),15.29)</f>
        <v>15.29</v>
      </c>
      <c r="AF358" s="3">
        <f ca="1">IFERROR(__xludf.DUMMYFUNCTION("""COMPUTED_VALUE"""),2.77)</f>
        <v>2.77</v>
      </c>
      <c r="AG358" s="3">
        <f ca="1">IFERROR(__xludf.DUMMYFUNCTION("""COMPUTED_VALUE"""),26.04)</f>
        <v>26.04</v>
      </c>
    </row>
    <row r="359" spans="1:33" ht="12.75" x14ac:dyDescent="0.2">
      <c r="A359" s="4">
        <f ca="1">IFERROR(__xludf.DUMMYFUNCTION("""COMPUTED_VALUE"""),45082.6666666666)</f>
        <v>45082.666666666599</v>
      </c>
      <c r="B359" s="3">
        <f ca="1">IFERROR(__xludf.DUMMYFUNCTION("""COMPUTED_VALUE"""),165.94)</f>
        <v>165.94</v>
      </c>
      <c r="C359" s="3">
        <f ca="1">IFERROR(__xludf.DUMMYFUNCTION("""COMPUTED_VALUE"""),421.83)</f>
        <v>421.83</v>
      </c>
      <c r="D359" s="3">
        <f ca="1">IFERROR(__xludf.DUMMYFUNCTION("""COMPUTED_VALUE"""),103.56)</f>
        <v>103.56</v>
      </c>
      <c r="E359" s="3">
        <f ca="1">IFERROR(__xludf.DUMMYFUNCTION("""COMPUTED_VALUE"""),158.76)</f>
        <v>158.76</v>
      </c>
      <c r="F359" s="3">
        <f ca="1">IFERROR(__xludf.DUMMYFUNCTION("""COMPUTED_VALUE"""),49.22)</f>
        <v>49.22</v>
      </c>
      <c r="G359" s="3">
        <f ca="1">IFERROR(__xludf.DUMMYFUNCTION("""COMPUTED_VALUE"""),28.44)</f>
        <v>28.44</v>
      </c>
      <c r="H359" s="3">
        <f ca="1">IFERROR(__xludf.DUMMYFUNCTION("""COMPUTED_VALUE"""),25.33)</f>
        <v>25.33</v>
      </c>
      <c r="I359" s="3">
        <f ca="1">IFERROR(__xludf.DUMMYFUNCTION("""COMPUTED_VALUE"""),130.79)</f>
        <v>130.79</v>
      </c>
      <c r="J359" s="3">
        <f ca="1">IFERROR(__xludf.DUMMYFUNCTION("""COMPUTED_VALUE"""),241.77)</f>
        <v>241.77</v>
      </c>
      <c r="K359" s="3">
        <f ca="1">IFERROR(__xludf.DUMMYFUNCTION("""COMPUTED_VALUE"""),129.47)</f>
        <v>129.47</v>
      </c>
      <c r="L359" s="3">
        <f ca="1">IFERROR(__xludf.DUMMYFUNCTION("""COMPUTED_VALUE"""),86.71)</f>
        <v>86.71</v>
      </c>
      <c r="M359" s="3">
        <f ca="1">IFERROR(__xludf.DUMMYFUNCTION("""COMPUTED_VALUE"""),61.87)</f>
        <v>61.87</v>
      </c>
      <c r="N359" s="3">
        <f ca="1">IFERROR(__xludf.DUMMYFUNCTION("""COMPUTED_VALUE"""),62.36)</f>
        <v>62.36</v>
      </c>
      <c r="O359" s="3">
        <f ca="1">IFERROR(__xludf.DUMMYFUNCTION("""COMPUTED_VALUE"""),50.72)</f>
        <v>50.72</v>
      </c>
      <c r="P359" s="3">
        <f ca="1">IFERROR(__xludf.DUMMYFUNCTION("""COMPUTED_VALUE"""),79.37)</f>
        <v>79.37</v>
      </c>
      <c r="Q359" s="3">
        <f ca="1">IFERROR(__xludf.DUMMYFUNCTION("""COMPUTED_VALUE"""),109.91)</f>
        <v>109.91</v>
      </c>
      <c r="R359" s="3">
        <f ca="1">IFERROR(__xludf.DUMMYFUNCTION("""COMPUTED_VALUE"""),78.51)</f>
        <v>78.510000000000005</v>
      </c>
      <c r="S359" s="3">
        <f ca="1">IFERROR(__xludf.DUMMYFUNCTION("""COMPUTED_VALUE"""),47.12)</f>
        <v>47.12</v>
      </c>
      <c r="T359" s="3">
        <f ca="1">IFERROR(__xludf.DUMMYFUNCTION("""COMPUTED_VALUE"""),22.64)</f>
        <v>22.64</v>
      </c>
      <c r="U359" s="3">
        <f ca="1">IFERROR(__xludf.DUMMYFUNCTION("""COMPUTED_VALUE"""),64.03)</f>
        <v>64.03</v>
      </c>
      <c r="V359" s="3">
        <f ca="1">IFERROR(__xludf.DUMMYFUNCTION("""COMPUTED_VALUE"""),71.81)</f>
        <v>71.81</v>
      </c>
      <c r="W359" s="3">
        <f ca="1">IFERROR(__xludf.DUMMYFUNCTION("""COMPUTED_VALUE"""),32.63)</f>
        <v>32.630000000000003</v>
      </c>
      <c r="X359" s="3">
        <f ca="1">IFERROR(__xludf.DUMMYFUNCTION("""COMPUTED_VALUE"""),78.72)</f>
        <v>78.72</v>
      </c>
      <c r="Y359" s="3">
        <f ca="1">IFERROR(__xludf.DUMMYFUNCTION("""COMPUTED_VALUE"""),35.77)</f>
        <v>35.770000000000003</v>
      </c>
      <c r="Z359" s="3">
        <f ca="1">IFERROR(__xludf.DUMMYFUNCTION("""COMPUTED_VALUE"""),72.26)</f>
        <v>72.260000000000005</v>
      </c>
      <c r="AA359" s="3">
        <f ca="1">IFERROR(__xludf.DUMMYFUNCTION("""COMPUTED_VALUE"""),36.64)</f>
        <v>36.64</v>
      </c>
      <c r="AB359" s="3">
        <f ca="1">IFERROR(__xludf.DUMMYFUNCTION("""COMPUTED_VALUE"""),41.12)</f>
        <v>41.12</v>
      </c>
      <c r="AC359" s="3">
        <f ca="1">IFERROR(__xludf.DUMMYFUNCTION("""COMPUTED_VALUE"""),51.75)</f>
        <v>51.75</v>
      </c>
      <c r="AD359" s="3">
        <f ca="1">IFERROR(__xludf.DUMMYFUNCTION("""COMPUTED_VALUE"""),9.88)</f>
        <v>9.8800000000000008</v>
      </c>
      <c r="AE359" s="3">
        <f ca="1">IFERROR(__xludf.DUMMYFUNCTION("""COMPUTED_VALUE"""),14.32)</f>
        <v>14.32</v>
      </c>
      <c r="AF359" s="3">
        <f ca="1">IFERROR(__xludf.DUMMYFUNCTION("""COMPUTED_VALUE"""),2.64)</f>
        <v>2.64</v>
      </c>
      <c r="AG359" s="3">
        <f ca="1">IFERROR(__xludf.DUMMYFUNCTION("""COMPUTED_VALUE"""),24.5)</f>
        <v>24.5</v>
      </c>
    </row>
    <row r="360" spans="1:33" ht="12.75" x14ac:dyDescent="0.2">
      <c r="A360" s="4">
        <f ca="1">IFERROR(__xludf.DUMMYFUNCTION("""COMPUTED_VALUE"""),45083.6666666666)</f>
        <v>45083.666666666599</v>
      </c>
      <c r="B360" s="3">
        <f ca="1">IFERROR(__xludf.DUMMYFUNCTION("""COMPUTED_VALUE"""),165.9)</f>
        <v>165.9</v>
      </c>
      <c r="C360" s="3">
        <f ca="1">IFERROR(__xludf.DUMMYFUNCTION("""COMPUTED_VALUE"""),422.53)</f>
        <v>422.53</v>
      </c>
      <c r="D360" s="3">
        <f ca="1">IFERROR(__xludf.DUMMYFUNCTION("""COMPUTED_VALUE"""),104.04)</f>
        <v>104.04</v>
      </c>
      <c r="E360" s="3">
        <f ca="1">IFERROR(__xludf.DUMMYFUNCTION("""COMPUTED_VALUE"""),160.67)</f>
        <v>160.66999999999999</v>
      </c>
      <c r="F360" s="3">
        <f ca="1">IFERROR(__xludf.DUMMYFUNCTION("""COMPUTED_VALUE"""),49.39)</f>
        <v>49.39</v>
      </c>
      <c r="G360" s="3">
        <f ca="1">IFERROR(__xludf.DUMMYFUNCTION("""COMPUTED_VALUE"""),28.68)</f>
        <v>28.68</v>
      </c>
      <c r="H360" s="3">
        <f ca="1">IFERROR(__xludf.DUMMYFUNCTION("""COMPUTED_VALUE"""),25.48)</f>
        <v>25.48</v>
      </c>
      <c r="I360" s="3">
        <f ca="1">IFERROR(__xludf.DUMMYFUNCTION("""COMPUTED_VALUE"""),129.7)</f>
        <v>129.69999999999999</v>
      </c>
      <c r="J360" s="3">
        <f ca="1">IFERROR(__xludf.DUMMYFUNCTION("""COMPUTED_VALUE"""),240.28)</f>
        <v>240.28</v>
      </c>
      <c r="K360" s="3">
        <f ca="1">IFERROR(__xludf.DUMMYFUNCTION("""COMPUTED_VALUE"""),129.08)</f>
        <v>129.08000000000001</v>
      </c>
      <c r="L360" s="3">
        <f ca="1">IFERROR(__xludf.DUMMYFUNCTION("""COMPUTED_VALUE"""),88.12)</f>
        <v>88.12</v>
      </c>
      <c r="M360" s="3">
        <f ca="1">IFERROR(__xludf.DUMMYFUNCTION("""COMPUTED_VALUE"""),62.32)</f>
        <v>62.32</v>
      </c>
      <c r="N360" s="3">
        <f ca="1">IFERROR(__xludf.DUMMYFUNCTION("""COMPUTED_VALUE"""),62)</f>
        <v>62</v>
      </c>
      <c r="O360" s="3">
        <f ca="1">IFERROR(__xludf.DUMMYFUNCTION("""COMPUTED_VALUE"""),51.48)</f>
        <v>51.48</v>
      </c>
      <c r="P360" s="3">
        <f ca="1">IFERROR(__xludf.DUMMYFUNCTION("""COMPUTED_VALUE"""),80.01)</f>
        <v>80.010000000000005</v>
      </c>
      <c r="Q360" s="3">
        <f ca="1">IFERROR(__xludf.DUMMYFUNCTION("""COMPUTED_VALUE"""),110.78)</f>
        <v>110.78</v>
      </c>
      <c r="R360" s="3">
        <f ca="1">IFERROR(__xludf.DUMMYFUNCTION("""COMPUTED_VALUE"""),79.01)</f>
        <v>79.010000000000005</v>
      </c>
      <c r="S360" s="3">
        <f ca="1">IFERROR(__xludf.DUMMYFUNCTION("""COMPUTED_VALUE"""),48.24)</f>
        <v>48.24</v>
      </c>
      <c r="T360" s="3">
        <f ca="1">IFERROR(__xludf.DUMMYFUNCTION("""COMPUTED_VALUE"""),22.67)</f>
        <v>22.67</v>
      </c>
      <c r="U360" s="3">
        <f ca="1">IFERROR(__xludf.DUMMYFUNCTION("""COMPUTED_VALUE"""),63.79)</f>
        <v>63.79</v>
      </c>
      <c r="V360" s="3">
        <f ca="1">IFERROR(__xludf.DUMMYFUNCTION("""COMPUTED_VALUE"""),71.24)</f>
        <v>71.239999999999995</v>
      </c>
      <c r="W360" s="3">
        <f ca="1">IFERROR(__xludf.DUMMYFUNCTION("""COMPUTED_VALUE"""),33.04)</f>
        <v>33.04</v>
      </c>
      <c r="X360" s="3">
        <f ca="1">IFERROR(__xludf.DUMMYFUNCTION("""COMPUTED_VALUE"""),79.89)</f>
        <v>79.89</v>
      </c>
      <c r="Y360" s="3">
        <f ca="1">IFERROR(__xludf.DUMMYFUNCTION("""COMPUTED_VALUE"""),37.33)</f>
        <v>37.33</v>
      </c>
      <c r="Z360" s="3">
        <f ca="1">IFERROR(__xludf.DUMMYFUNCTION("""COMPUTED_VALUE"""),73.24)</f>
        <v>73.239999999999995</v>
      </c>
      <c r="AA360" s="3">
        <f ca="1">IFERROR(__xludf.DUMMYFUNCTION("""COMPUTED_VALUE"""),36.86)</f>
        <v>36.86</v>
      </c>
      <c r="AB360" s="3">
        <f ca="1">IFERROR(__xludf.DUMMYFUNCTION("""COMPUTED_VALUE"""),43.16)</f>
        <v>43.16</v>
      </c>
      <c r="AC360" s="3">
        <f ca="1">IFERROR(__xludf.DUMMYFUNCTION("""COMPUTED_VALUE"""),51.77)</f>
        <v>51.77</v>
      </c>
      <c r="AD360" s="3">
        <f ca="1">IFERROR(__xludf.DUMMYFUNCTION("""COMPUTED_VALUE"""),10.52)</f>
        <v>10.52</v>
      </c>
      <c r="AE360" s="3">
        <f ca="1">IFERROR(__xludf.DUMMYFUNCTION("""COMPUTED_VALUE"""),15.2)</f>
        <v>15.2</v>
      </c>
      <c r="AF360" s="3">
        <f ca="1">IFERROR(__xludf.DUMMYFUNCTION("""COMPUTED_VALUE"""),2.66)</f>
        <v>2.66</v>
      </c>
      <c r="AG360" s="3">
        <f ca="1">IFERROR(__xludf.DUMMYFUNCTION("""COMPUTED_VALUE"""),24.8)</f>
        <v>24.8</v>
      </c>
    </row>
    <row r="361" spans="1:33" ht="12.75" x14ac:dyDescent="0.2">
      <c r="A361" s="4">
        <f ca="1">IFERROR(__xludf.DUMMYFUNCTION("""COMPUTED_VALUE"""),45084.6666666666)</f>
        <v>45084.666666666599</v>
      </c>
      <c r="B361" s="3">
        <f ca="1">IFERROR(__xludf.DUMMYFUNCTION("""COMPUTED_VALUE"""),163.42)</f>
        <v>163.41999999999999</v>
      </c>
      <c r="C361" s="3">
        <f ca="1">IFERROR(__xludf.DUMMYFUNCTION("""COMPUTED_VALUE"""),416.24)</f>
        <v>416.24</v>
      </c>
      <c r="D361" s="3">
        <f ca="1">IFERROR(__xludf.DUMMYFUNCTION("""COMPUTED_VALUE"""),106.24)</f>
        <v>106.24</v>
      </c>
      <c r="E361" s="3">
        <f ca="1">IFERROR(__xludf.DUMMYFUNCTION("""COMPUTED_VALUE"""),160.22)</f>
        <v>160.22</v>
      </c>
      <c r="F361" s="3">
        <f ca="1">IFERROR(__xludf.DUMMYFUNCTION("""COMPUTED_VALUE"""),48.54)</f>
        <v>48.54</v>
      </c>
      <c r="G361" s="3">
        <f ca="1">IFERROR(__xludf.DUMMYFUNCTION("""COMPUTED_VALUE"""),28)</f>
        <v>28</v>
      </c>
      <c r="H361" s="3">
        <f ca="1">IFERROR(__xludf.DUMMYFUNCTION("""COMPUTED_VALUE"""),25.45)</f>
        <v>25.45</v>
      </c>
      <c r="I361" s="3">
        <f ca="1">IFERROR(__xludf.DUMMYFUNCTION("""COMPUTED_VALUE"""),129.19)</f>
        <v>129.19</v>
      </c>
      <c r="J361" s="3">
        <f ca="1">IFERROR(__xludf.DUMMYFUNCTION("""COMPUTED_VALUE"""),239.45)</f>
        <v>239.45</v>
      </c>
      <c r="K361" s="3">
        <f ca="1">IFERROR(__xludf.DUMMYFUNCTION("""COMPUTED_VALUE"""),128.83)</f>
        <v>128.83000000000001</v>
      </c>
      <c r="L361" s="3">
        <f ca="1">IFERROR(__xludf.DUMMYFUNCTION("""COMPUTED_VALUE"""),88.21)</f>
        <v>88.21</v>
      </c>
      <c r="M361" s="3">
        <f ca="1">IFERROR(__xludf.DUMMYFUNCTION("""COMPUTED_VALUE"""),62.58)</f>
        <v>62.58</v>
      </c>
      <c r="N361" s="3">
        <f ca="1">IFERROR(__xludf.DUMMYFUNCTION("""COMPUTED_VALUE"""),61.79)</f>
        <v>61.79</v>
      </c>
      <c r="O361" s="3">
        <f ca="1">IFERROR(__xludf.DUMMYFUNCTION("""COMPUTED_VALUE"""),51.44)</f>
        <v>51.44</v>
      </c>
      <c r="P361" s="3">
        <f ca="1">IFERROR(__xludf.DUMMYFUNCTION("""COMPUTED_VALUE"""),82.13)</f>
        <v>82.13</v>
      </c>
      <c r="Q361" s="3">
        <f ca="1">IFERROR(__xludf.DUMMYFUNCTION("""COMPUTED_VALUE"""),113.92)</f>
        <v>113.92</v>
      </c>
      <c r="R361" s="3">
        <f ca="1">IFERROR(__xludf.DUMMYFUNCTION("""COMPUTED_VALUE"""),79.95)</f>
        <v>79.95</v>
      </c>
      <c r="S361" s="3">
        <f ca="1">IFERROR(__xludf.DUMMYFUNCTION("""COMPUTED_VALUE"""),48.86)</f>
        <v>48.86</v>
      </c>
      <c r="T361" s="3">
        <f ca="1">IFERROR(__xludf.DUMMYFUNCTION("""COMPUTED_VALUE"""),22.76)</f>
        <v>22.76</v>
      </c>
      <c r="U361" s="3">
        <f ca="1">IFERROR(__xludf.DUMMYFUNCTION("""COMPUTED_VALUE"""),64.71)</f>
        <v>64.709999999999994</v>
      </c>
      <c r="V361" s="3">
        <f ca="1">IFERROR(__xludf.DUMMYFUNCTION("""COMPUTED_VALUE"""),71.02)</f>
        <v>71.02</v>
      </c>
      <c r="W361" s="3">
        <f ca="1">IFERROR(__xludf.DUMMYFUNCTION("""COMPUTED_VALUE"""),33.17)</f>
        <v>33.17</v>
      </c>
      <c r="X361" s="3">
        <f ca="1">IFERROR(__xludf.DUMMYFUNCTION("""COMPUTED_VALUE"""),80.42)</f>
        <v>80.42</v>
      </c>
      <c r="Y361" s="3">
        <f ca="1">IFERROR(__xludf.DUMMYFUNCTION("""COMPUTED_VALUE"""),38.23)</f>
        <v>38.229999999999997</v>
      </c>
      <c r="Z361" s="3">
        <f ca="1">IFERROR(__xludf.DUMMYFUNCTION("""COMPUTED_VALUE"""),73.59)</f>
        <v>73.59</v>
      </c>
      <c r="AA361" s="3">
        <f ca="1">IFERROR(__xludf.DUMMYFUNCTION("""COMPUTED_VALUE"""),37.54)</f>
        <v>37.54</v>
      </c>
      <c r="AB361" s="3">
        <f ca="1">IFERROR(__xludf.DUMMYFUNCTION("""COMPUTED_VALUE"""),44.59)</f>
        <v>44.59</v>
      </c>
      <c r="AC361" s="3">
        <f ca="1">IFERROR(__xludf.DUMMYFUNCTION("""COMPUTED_VALUE"""),51.74)</f>
        <v>51.74</v>
      </c>
      <c r="AD361" s="3">
        <f ca="1">IFERROR(__xludf.DUMMYFUNCTION("""COMPUTED_VALUE"""),10.26)</f>
        <v>10.26</v>
      </c>
      <c r="AE361" s="3">
        <f ca="1">IFERROR(__xludf.DUMMYFUNCTION("""COMPUTED_VALUE"""),14.84)</f>
        <v>14.84</v>
      </c>
      <c r="AF361" s="3">
        <f ca="1">IFERROR(__xludf.DUMMYFUNCTION("""COMPUTED_VALUE"""),2.58)</f>
        <v>2.58</v>
      </c>
      <c r="AG361" s="3">
        <f ca="1">IFERROR(__xludf.DUMMYFUNCTION("""COMPUTED_VALUE"""),24.03)</f>
        <v>24.03</v>
      </c>
    </row>
    <row r="362" spans="1:33" ht="12.75" x14ac:dyDescent="0.2">
      <c r="A362" s="4">
        <f ca="1">IFERROR(__xludf.DUMMYFUNCTION("""COMPUTED_VALUE"""),45085.6666666666)</f>
        <v>45085.666666666599</v>
      </c>
      <c r="B362" s="3">
        <f ca="1">IFERROR(__xludf.DUMMYFUNCTION("""COMPUTED_VALUE"""),165.19)</f>
        <v>165.19</v>
      </c>
      <c r="C362" s="3">
        <f ca="1">IFERROR(__xludf.DUMMYFUNCTION("""COMPUTED_VALUE"""),420.43)</f>
        <v>420.43</v>
      </c>
      <c r="D362" s="3">
        <f ca="1">IFERROR(__xludf.DUMMYFUNCTION("""COMPUTED_VALUE"""),106.98)</f>
        <v>106.98</v>
      </c>
      <c r="E362" s="3">
        <f ca="1">IFERROR(__xludf.DUMMYFUNCTION("""COMPUTED_VALUE"""),161.86)</f>
        <v>161.86000000000001</v>
      </c>
      <c r="F362" s="3">
        <f ca="1">IFERROR(__xludf.DUMMYFUNCTION("""COMPUTED_VALUE"""),48.93)</f>
        <v>48.93</v>
      </c>
      <c r="G362" s="3">
        <f ca="1">IFERROR(__xludf.DUMMYFUNCTION("""COMPUTED_VALUE"""),28.21)</f>
        <v>28.21</v>
      </c>
      <c r="H362" s="3">
        <f ca="1">IFERROR(__xludf.DUMMYFUNCTION("""COMPUTED_VALUE"""),25.49)</f>
        <v>25.49</v>
      </c>
      <c r="I362" s="3">
        <f ca="1">IFERROR(__xludf.DUMMYFUNCTION("""COMPUTED_VALUE"""),130.02)</f>
        <v>130.02000000000001</v>
      </c>
      <c r="J362" s="3">
        <f ca="1">IFERROR(__xludf.DUMMYFUNCTION("""COMPUTED_VALUE"""),240.71)</f>
        <v>240.71</v>
      </c>
      <c r="K362" s="3">
        <f ca="1">IFERROR(__xludf.DUMMYFUNCTION("""COMPUTED_VALUE"""),129.03)</f>
        <v>129.03</v>
      </c>
      <c r="L362" s="3">
        <f ca="1">IFERROR(__xludf.DUMMYFUNCTION("""COMPUTED_VALUE"""),88.12)</f>
        <v>88.12</v>
      </c>
      <c r="M362" s="3">
        <f ca="1">IFERROR(__xludf.DUMMYFUNCTION("""COMPUTED_VALUE"""),62.92)</f>
        <v>62.92</v>
      </c>
      <c r="N362" s="3">
        <f ca="1">IFERROR(__xludf.DUMMYFUNCTION("""COMPUTED_VALUE"""),62.14)</f>
        <v>62.14</v>
      </c>
      <c r="O362" s="3">
        <f ca="1">IFERROR(__xludf.DUMMYFUNCTION("""COMPUTED_VALUE"""),51)</f>
        <v>51</v>
      </c>
      <c r="P362" s="3">
        <f ca="1">IFERROR(__xludf.DUMMYFUNCTION("""COMPUTED_VALUE"""),81.78)</f>
        <v>81.78</v>
      </c>
      <c r="Q362" s="3">
        <f ca="1">IFERROR(__xludf.DUMMYFUNCTION("""COMPUTED_VALUE"""),113.47)</f>
        <v>113.47</v>
      </c>
      <c r="R362" s="3">
        <f ca="1">IFERROR(__xludf.DUMMYFUNCTION("""COMPUTED_VALUE"""),79.66)</f>
        <v>79.66</v>
      </c>
      <c r="S362" s="3">
        <f ca="1">IFERROR(__xludf.DUMMYFUNCTION("""COMPUTED_VALUE"""),48.78)</f>
        <v>48.78</v>
      </c>
      <c r="T362" s="3">
        <f ca="1">IFERROR(__xludf.DUMMYFUNCTION("""COMPUTED_VALUE"""),22.8)</f>
        <v>22.8</v>
      </c>
      <c r="U362" s="3">
        <f ca="1">IFERROR(__xludf.DUMMYFUNCTION("""COMPUTED_VALUE"""),63.46)</f>
        <v>63.46</v>
      </c>
      <c r="V362" s="3">
        <f ca="1">IFERROR(__xludf.DUMMYFUNCTION("""COMPUTED_VALUE"""),70.82)</f>
        <v>70.819999999999993</v>
      </c>
      <c r="W362" s="3">
        <f ca="1">IFERROR(__xludf.DUMMYFUNCTION("""COMPUTED_VALUE"""),33.14)</f>
        <v>33.14</v>
      </c>
      <c r="X362" s="3">
        <f ca="1">IFERROR(__xludf.DUMMYFUNCTION("""COMPUTED_VALUE"""),80.31)</f>
        <v>80.31</v>
      </c>
      <c r="Y362" s="3">
        <f ca="1">IFERROR(__xludf.DUMMYFUNCTION("""COMPUTED_VALUE"""),37.93)</f>
        <v>37.93</v>
      </c>
      <c r="Z362" s="3">
        <f ca="1">IFERROR(__xludf.DUMMYFUNCTION("""COMPUTED_VALUE"""),73.63)</f>
        <v>73.63</v>
      </c>
      <c r="AA362" s="3">
        <f ca="1">IFERROR(__xludf.DUMMYFUNCTION("""COMPUTED_VALUE"""),37.31)</f>
        <v>37.31</v>
      </c>
      <c r="AB362" s="3">
        <f ca="1">IFERROR(__xludf.DUMMYFUNCTION("""COMPUTED_VALUE"""),44.06)</f>
        <v>44.06</v>
      </c>
      <c r="AC362" s="3">
        <f ca="1">IFERROR(__xludf.DUMMYFUNCTION("""COMPUTED_VALUE"""),52.1)</f>
        <v>52.1</v>
      </c>
      <c r="AD362" s="3">
        <f ca="1">IFERROR(__xludf.DUMMYFUNCTION("""COMPUTED_VALUE"""),10.28)</f>
        <v>10.28</v>
      </c>
      <c r="AE362" s="3">
        <f ca="1">IFERROR(__xludf.DUMMYFUNCTION("""COMPUTED_VALUE"""),14.89)</f>
        <v>14.89</v>
      </c>
      <c r="AF362" s="3">
        <f ca="1">IFERROR(__xludf.DUMMYFUNCTION("""COMPUTED_VALUE"""),2.61)</f>
        <v>2.61</v>
      </c>
      <c r="AG362" s="3">
        <f ca="1">IFERROR(__xludf.DUMMYFUNCTION("""COMPUTED_VALUE"""),24.28)</f>
        <v>24.28</v>
      </c>
    </row>
    <row r="363" spans="1:33" ht="12.75" x14ac:dyDescent="0.2">
      <c r="A363" s="4">
        <f ca="1">IFERROR(__xludf.DUMMYFUNCTION("""COMPUTED_VALUE"""),45086.6666666666)</f>
        <v>45086.666666666599</v>
      </c>
      <c r="B363" s="3">
        <f ca="1">IFERROR(__xludf.DUMMYFUNCTION("""COMPUTED_VALUE"""),166.01)</f>
        <v>166.01</v>
      </c>
      <c r="C363" s="3">
        <f ca="1">IFERROR(__xludf.DUMMYFUNCTION("""COMPUTED_VALUE"""),422.18)</f>
        <v>422.18</v>
      </c>
      <c r="D363" s="3">
        <f ca="1">IFERROR(__xludf.DUMMYFUNCTION("""COMPUTED_VALUE"""),107.98)</f>
        <v>107.98</v>
      </c>
      <c r="E363" s="3">
        <f ca="1">IFERROR(__xludf.DUMMYFUNCTION("""COMPUTED_VALUE"""),162.29)</f>
        <v>162.29</v>
      </c>
      <c r="F363" s="3">
        <f ca="1">IFERROR(__xludf.DUMMYFUNCTION("""COMPUTED_VALUE"""),48.91)</f>
        <v>48.91</v>
      </c>
      <c r="G363" s="3">
        <f ca="1">IFERROR(__xludf.DUMMYFUNCTION("""COMPUTED_VALUE"""),28.34)</f>
        <v>28.34</v>
      </c>
      <c r="H363" s="3">
        <f ca="1">IFERROR(__xludf.DUMMYFUNCTION("""COMPUTED_VALUE"""),25.48)</f>
        <v>25.48</v>
      </c>
      <c r="I363" s="3">
        <f ca="1">IFERROR(__xludf.DUMMYFUNCTION("""COMPUTED_VALUE"""),130.42)</f>
        <v>130.41999999999999</v>
      </c>
      <c r="J363" s="3">
        <f ca="1">IFERROR(__xludf.DUMMYFUNCTION("""COMPUTED_VALUE"""),240.89)</f>
        <v>240.89</v>
      </c>
      <c r="K363" s="3">
        <f ca="1">IFERROR(__xludf.DUMMYFUNCTION("""COMPUTED_VALUE"""),128.84)</f>
        <v>128.84</v>
      </c>
      <c r="L363" s="3">
        <f ca="1">IFERROR(__xludf.DUMMYFUNCTION("""COMPUTED_VALUE"""),87.66)</f>
        <v>87.66</v>
      </c>
      <c r="M363" s="3">
        <f ca="1">IFERROR(__xludf.DUMMYFUNCTION("""COMPUTED_VALUE"""),62.4)</f>
        <v>62.4</v>
      </c>
      <c r="N363" s="3">
        <f ca="1">IFERROR(__xludf.DUMMYFUNCTION("""COMPUTED_VALUE"""),62.25)</f>
        <v>62.25</v>
      </c>
      <c r="O363" s="3">
        <f ca="1">IFERROR(__xludf.DUMMYFUNCTION("""COMPUTED_VALUE"""),50.64)</f>
        <v>50.64</v>
      </c>
      <c r="P363" s="3">
        <f ca="1">IFERROR(__xludf.DUMMYFUNCTION("""COMPUTED_VALUE"""),81.33)</f>
        <v>81.33</v>
      </c>
      <c r="Q363" s="3">
        <f ca="1">IFERROR(__xludf.DUMMYFUNCTION("""COMPUTED_VALUE"""),112.75)</f>
        <v>112.75</v>
      </c>
      <c r="R363" s="3">
        <f ca="1">IFERROR(__xludf.DUMMYFUNCTION("""COMPUTED_VALUE"""),79)</f>
        <v>79</v>
      </c>
      <c r="S363" s="3">
        <f ca="1">IFERROR(__xludf.DUMMYFUNCTION("""COMPUTED_VALUE"""),48.33)</f>
        <v>48.33</v>
      </c>
      <c r="T363" s="3">
        <f ca="1">IFERROR(__xludf.DUMMYFUNCTION("""COMPUTED_VALUE"""),22.66)</f>
        <v>22.66</v>
      </c>
      <c r="U363" s="3">
        <f ca="1">IFERROR(__xludf.DUMMYFUNCTION("""COMPUTED_VALUE"""),62.93)</f>
        <v>62.93</v>
      </c>
      <c r="V363" s="3">
        <f ca="1">IFERROR(__xludf.DUMMYFUNCTION("""COMPUTED_VALUE"""),70.39)</f>
        <v>70.39</v>
      </c>
      <c r="W363" s="3">
        <f ca="1">IFERROR(__xludf.DUMMYFUNCTION("""COMPUTED_VALUE"""),33.15)</f>
        <v>33.15</v>
      </c>
      <c r="X363" s="3">
        <f ca="1">IFERROR(__xludf.DUMMYFUNCTION("""COMPUTED_VALUE"""),80.24)</f>
        <v>80.239999999999995</v>
      </c>
      <c r="Y363" s="3">
        <f ca="1">IFERROR(__xludf.DUMMYFUNCTION("""COMPUTED_VALUE"""),37.55)</f>
        <v>37.549999999999997</v>
      </c>
      <c r="Z363" s="3">
        <f ca="1">IFERROR(__xludf.DUMMYFUNCTION("""COMPUTED_VALUE"""),73.61)</f>
        <v>73.61</v>
      </c>
      <c r="AA363" s="3">
        <f ca="1">IFERROR(__xludf.DUMMYFUNCTION("""COMPUTED_VALUE"""),37.12)</f>
        <v>37.119999999999997</v>
      </c>
      <c r="AB363" s="3">
        <f ca="1">IFERROR(__xludf.DUMMYFUNCTION("""COMPUTED_VALUE"""),43.46)</f>
        <v>43.46</v>
      </c>
      <c r="AC363" s="3">
        <f ca="1">IFERROR(__xludf.DUMMYFUNCTION("""COMPUTED_VALUE"""),51.94)</f>
        <v>51.94</v>
      </c>
      <c r="AD363" s="3">
        <f ca="1">IFERROR(__xludf.DUMMYFUNCTION("""COMPUTED_VALUE"""),10.22)</f>
        <v>10.220000000000001</v>
      </c>
      <c r="AE363" s="3">
        <f ca="1">IFERROR(__xludf.DUMMYFUNCTION("""COMPUTED_VALUE"""),14.78)</f>
        <v>14.78</v>
      </c>
      <c r="AF363" s="3">
        <f ca="1">IFERROR(__xludf.DUMMYFUNCTION("""COMPUTED_VALUE"""),2.57)</f>
        <v>2.57</v>
      </c>
      <c r="AG363" s="3">
        <f ca="1">IFERROR(__xludf.DUMMYFUNCTION("""COMPUTED_VALUE"""),23.61)</f>
        <v>23.61</v>
      </c>
    </row>
    <row r="364" spans="1:33" ht="12.75" x14ac:dyDescent="0.2">
      <c r="A364" s="4">
        <f ca="1">IFERROR(__xludf.DUMMYFUNCTION("""COMPUTED_VALUE"""),45089.6666666666)</f>
        <v>45089.666666666599</v>
      </c>
      <c r="B364" s="3">
        <f ca="1">IFERROR(__xludf.DUMMYFUNCTION("""COMPUTED_VALUE"""),169.62)</f>
        <v>169.62</v>
      </c>
      <c r="C364" s="3">
        <f ca="1">IFERROR(__xludf.DUMMYFUNCTION("""COMPUTED_VALUE"""),430.99)</f>
        <v>430.99</v>
      </c>
      <c r="D364" s="3">
        <f ca="1">IFERROR(__xludf.DUMMYFUNCTION("""COMPUTED_VALUE"""),109.37)</f>
        <v>109.37</v>
      </c>
      <c r="E364" s="3">
        <f ca="1">IFERROR(__xludf.DUMMYFUNCTION("""COMPUTED_VALUE"""),167.51)</f>
        <v>167.51</v>
      </c>
      <c r="F364" s="3">
        <f ca="1">IFERROR(__xludf.DUMMYFUNCTION("""COMPUTED_VALUE"""),49.7)</f>
        <v>49.7</v>
      </c>
      <c r="G364" s="3">
        <f ca="1">IFERROR(__xludf.DUMMYFUNCTION("""COMPUTED_VALUE"""),28.81)</f>
        <v>28.81</v>
      </c>
      <c r="H364" s="3">
        <f ca="1">IFERROR(__xludf.DUMMYFUNCTION("""COMPUTED_VALUE"""),25.75)</f>
        <v>25.75</v>
      </c>
      <c r="I364" s="3">
        <f ca="1">IFERROR(__xludf.DUMMYFUNCTION("""COMPUTED_VALUE"""),130.89)</f>
        <v>130.88999999999999</v>
      </c>
      <c r="J364" s="3">
        <f ca="1">IFERROR(__xludf.DUMMYFUNCTION("""COMPUTED_VALUE"""),242.16)</f>
        <v>242.16</v>
      </c>
      <c r="K364" s="3">
        <f ca="1">IFERROR(__xludf.DUMMYFUNCTION("""COMPUTED_VALUE"""),129.87)</f>
        <v>129.87</v>
      </c>
      <c r="L364" s="3">
        <f ca="1">IFERROR(__xludf.DUMMYFUNCTION("""COMPUTED_VALUE"""),88.61)</f>
        <v>88.61</v>
      </c>
      <c r="M364" s="3">
        <f ca="1">IFERROR(__xludf.DUMMYFUNCTION("""COMPUTED_VALUE"""),63.05)</f>
        <v>63.05</v>
      </c>
      <c r="N364" s="3">
        <f ca="1">IFERROR(__xludf.DUMMYFUNCTION("""COMPUTED_VALUE"""),62.45)</f>
        <v>62.45</v>
      </c>
      <c r="O364" s="3">
        <f ca="1">IFERROR(__xludf.DUMMYFUNCTION("""COMPUTED_VALUE"""),51.02)</f>
        <v>51.02</v>
      </c>
      <c r="P364" s="3">
        <f ca="1">IFERROR(__xludf.DUMMYFUNCTION("""COMPUTED_VALUE"""),80.55)</f>
        <v>80.55</v>
      </c>
      <c r="Q364" s="3">
        <f ca="1">IFERROR(__xludf.DUMMYFUNCTION("""COMPUTED_VALUE"""),111.47)</f>
        <v>111.47</v>
      </c>
      <c r="R364" s="3">
        <f ca="1">IFERROR(__xludf.DUMMYFUNCTION("""COMPUTED_VALUE"""),79.36)</f>
        <v>79.36</v>
      </c>
      <c r="S364" s="3">
        <f ca="1">IFERROR(__xludf.DUMMYFUNCTION("""COMPUTED_VALUE"""),48.36)</f>
        <v>48.36</v>
      </c>
      <c r="T364" s="3">
        <f ca="1">IFERROR(__xludf.DUMMYFUNCTION("""COMPUTED_VALUE"""),22.35)</f>
        <v>22.35</v>
      </c>
      <c r="U364" s="3">
        <f ca="1">IFERROR(__xludf.DUMMYFUNCTION("""COMPUTED_VALUE"""),60.24)</f>
        <v>60.24</v>
      </c>
      <c r="V364" s="3">
        <f ca="1">IFERROR(__xludf.DUMMYFUNCTION("""COMPUTED_VALUE"""),71.54)</f>
        <v>71.540000000000006</v>
      </c>
      <c r="W364" s="3">
        <f ca="1">IFERROR(__xludf.DUMMYFUNCTION("""COMPUTED_VALUE"""),33.14)</f>
        <v>33.14</v>
      </c>
      <c r="X364" s="3">
        <f ca="1">IFERROR(__xludf.DUMMYFUNCTION("""COMPUTED_VALUE"""),80.17)</f>
        <v>80.17</v>
      </c>
      <c r="Y364" s="3">
        <f ca="1">IFERROR(__xludf.DUMMYFUNCTION("""COMPUTED_VALUE"""),37.26)</f>
        <v>37.26</v>
      </c>
      <c r="Z364" s="3">
        <f ca="1">IFERROR(__xludf.DUMMYFUNCTION("""COMPUTED_VALUE"""),73.33)</f>
        <v>73.33</v>
      </c>
      <c r="AA364" s="3">
        <f ca="1">IFERROR(__xludf.DUMMYFUNCTION("""COMPUTED_VALUE"""),37.1)</f>
        <v>37.1</v>
      </c>
      <c r="AB364" s="3">
        <f ca="1">IFERROR(__xludf.DUMMYFUNCTION("""COMPUTED_VALUE"""),43.14)</f>
        <v>43.14</v>
      </c>
      <c r="AC364" s="3">
        <f ca="1">IFERROR(__xludf.DUMMYFUNCTION("""COMPUTED_VALUE"""),52.63)</f>
        <v>52.63</v>
      </c>
      <c r="AD364" s="3">
        <f ca="1">IFERROR(__xludf.DUMMYFUNCTION("""COMPUTED_VALUE"""),9.98)</f>
        <v>9.98</v>
      </c>
      <c r="AE364" s="3">
        <f ca="1">IFERROR(__xludf.DUMMYFUNCTION("""COMPUTED_VALUE"""),14.46)</f>
        <v>14.46</v>
      </c>
      <c r="AF364" s="3">
        <f ca="1">IFERROR(__xludf.DUMMYFUNCTION("""COMPUTED_VALUE"""),2.58)</f>
        <v>2.58</v>
      </c>
      <c r="AG364" s="3">
        <f ca="1">IFERROR(__xludf.DUMMYFUNCTION("""COMPUTED_VALUE"""),23.86)</f>
        <v>23.86</v>
      </c>
    </row>
    <row r="365" spans="1:33" ht="12.75" x14ac:dyDescent="0.2">
      <c r="A365" s="4">
        <f ca="1">IFERROR(__xludf.DUMMYFUNCTION("""COMPUTED_VALUE"""),45090.6666666666)</f>
        <v>45090.666666666599</v>
      </c>
      <c r="B365" s="3">
        <f ca="1">IFERROR(__xludf.DUMMYFUNCTION("""COMPUTED_VALUE"""),170.65)</f>
        <v>170.65</v>
      </c>
      <c r="C365" s="3">
        <f ca="1">IFERROR(__xludf.DUMMYFUNCTION("""COMPUTED_VALUE"""),434.09)</f>
        <v>434.09</v>
      </c>
      <c r="D365" s="3">
        <f ca="1">IFERROR(__xludf.DUMMYFUNCTION("""COMPUTED_VALUE"""),108.48)</f>
        <v>108.48</v>
      </c>
      <c r="E365" s="3">
        <f ca="1">IFERROR(__xludf.DUMMYFUNCTION("""COMPUTED_VALUE"""),169.76)</f>
        <v>169.76</v>
      </c>
      <c r="F365" s="3">
        <f ca="1">IFERROR(__xludf.DUMMYFUNCTION("""COMPUTED_VALUE"""),50.3)</f>
        <v>50.3</v>
      </c>
      <c r="G365" s="3">
        <f ca="1">IFERROR(__xludf.DUMMYFUNCTION("""COMPUTED_VALUE"""),29.3)</f>
        <v>29.3</v>
      </c>
      <c r="H365" s="3">
        <f ca="1">IFERROR(__xludf.DUMMYFUNCTION("""COMPUTED_VALUE"""),26.02)</f>
        <v>26.02</v>
      </c>
      <c r="I365" s="3">
        <f ca="1">IFERROR(__xludf.DUMMYFUNCTION("""COMPUTED_VALUE"""),131.55)</f>
        <v>131.55000000000001</v>
      </c>
      <c r="J365" s="3">
        <f ca="1">IFERROR(__xludf.DUMMYFUNCTION("""COMPUTED_VALUE"""),243.69)</f>
        <v>243.69</v>
      </c>
      <c r="K365" s="3">
        <f ca="1">IFERROR(__xludf.DUMMYFUNCTION("""COMPUTED_VALUE"""),131.35)</f>
        <v>131.35</v>
      </c>
      <c r="L365" s="3">
        <f ca="1">IFERROR(__xludf.DUMMYFUNCTION("""COMPUTED_VALUE"""),90.23)</f>
        <v>90.23</v>
      </c>
      <c r="M365" s="3">
        <f ca="1">IFERROR(__xludf.DUMMYFUNCTION("""COMPUTED_VALUE"""),63.47)</f>
        <v>63.47</v>
      </c>
      <c r="N365" s="3">
        <f ca="1">IFERROR(__xludf.DUMMYFUNCTION("""COMPUTED_VALUE"""),62.83)</f>
        <v>62.83</v>
      </c>
      <c r="O365" s="3">
        <f ca="1">IFERROR(__xludf.DUMMYFUNCTION("""COMPUTED_VALUE"""),52.08)</f>
        <v>52.08</v>
      </c>
      <c r="P365" s="3">
        <f ca="1">IFERROR(__xludf.DUMMYFUNCTION("""COMPUTED_VALUE"""),80.93)</f>
        <v>80.930000000000007</v>
      </c>
      <c r="Q365" s="3">
        <f ca="1">IFERROR(__xludf.DUMMYFUNCTION("""COMPUTED_VALUE"""),112.09)</f>
        <v>112.09</v>
      </c>
      <c r="R365" s="3">
        <f ca="1">IFERROR(__xludf.DUMMYFUNCTION("""COMPUTED_VALUE"""),81.2)</f>
        <v>81.2</v>
      </c>
      <c r="S365" s="3">
        <f ca="1">IFERROR(__xludf.DUMMYFUNCTION("""COMPUTED_VALUE"""),49.69)</f>
        <v>49.69</v>
      </c>
      <c r="T365" s="3">
        <f ca="1">IFERROR(__xludf.DUMMYFUNCTION("""COMPUTED_VALUE"""),22.65)</f>
        <v>22.65</v>
      </c>
      <c r="U365" s="3">
        <f ca="1">IFERROR(__xludf.DUMMYFUNCTION("""COMPUTED_VALUE"""),62.14)</f>
        <v>62.14</v>
      </c>
      <c r="V365" s="3">
        <f ca="1">IFERROR(__xludf.DUMMYFUNCTION("""COMPUTED_VALUE"""),72.31)</f>
        <v>72.31</v>
      </c>
      <c r="W365" s="3">
        <f ca="1">IFERROR(__xludf.DUMMYFUNCTION("""COMPUTED_VALUE"""),33.34)</f>
        <v>33.340000000000003</v>
      </c>
      <c r="X365" s="3">
        <f ca="1">IFERROR(__xludf.DUMMYFUNCTION("""COMPUTED_VALUE"""),80.8)</f>
        <v>80.8</v>
      </c>
      <c r="Y365" s="3">
        <f ca="1">IFERROR(__xludf.DUMMYFUNCTION("""COMPUTED_VALUE"""),38.04)</f>
        <v>38.04</v>
      </c>
      <c r="Z365" s="3">
        <f ca="1">IFERROR(__xludf.DUMMYFUNCTION("""COMPUTED_VALUE"""),74.15)</f>
        <v>74.150000000000006</v>
      </c>
      <c r="AA365" s="3">
        <f ca="1">IFERROR(__xludf.DUMMYFUNCTION("""COMPUTED_VALUE"""),37.37)</f>
        <v>37.369999999999997</v>
      </c>
      <c r="AB365" s="3">
        <f ca="1">IFERROR(__xludf.DUMMYFUNCTION("""COMPUTED_VALUE"""),44.14)</f>
        <v>44.14</v>
      </c>
      <c r="AC365" s="3">
        <f ca="1">IFERROR(__xludf.DUMMYFUNCTION("""COMPUTED_VALUE"""),52.33)</f>
        <v>52.33</v>
      </c>
      <c r="AD365" s="3">
        <f ca="1">IFERROR(__xludf.DUMMYFUNCTION("""COMPUTED_VALUE"""),10)</f>
        <v>10</v>
      </c>
      <c r="AE365" s="3">
        <f ca="1">IFERROR(__xludf.DUMMYFUNCTION("""COMPUTED_VALUE"""),14.48)</f>
        <v>14.48</v>
      </c>
      <c r="AF365" s="3">
        <f ca="1">IFERROR(__xludf.DUMMYFUNCTION("""COMPUTED_VALUE"""),2.52)</f>
        <v>2.52</v>
      </c>
      <c r="AG365" s="3">
        <f ca="1">IFERROR(__xludf.DUMMYFUNCTION("""COMPUTED_VALUE"""),24.52)</f>
        <v>24.52</v>
      </c>
    </row>
    <row r="366" spans="1:33" ht="12.75" x14ac:dyDescent="0.2">
      <c r="A366" s="4">
        <f ca="1">IFERROR(__xludf.DUMMYFUNCTION("""COMPUTED_VALUE"""),45091.6666666666)</f>
        <v>45091.666666666599</v>
      </c>
      <c r="B366" s="3">
        <f ca="1">IFERROR(__xludf.DUMMYFUNCTION("""COMPUTED_VALUE"""),172.41)</f>
        <v>172.41</v>
      </c>
      <c r="C366" s="3">
        <f ca="1">IFERROR(__xludf.DUMMYFUNCTION("""COMPUTED_VALUE"""),437.68)</f>
        <v>437.68</v>
      </c>
      <c r="D366" s="3">
        <f ca="1">IFERROR(__xludf.DUMMYFUNCTION("""COMPUTED_VALUE"""),107.95)</f>
        <v>107.95</v>
      </c>
      <c r="E366" s="3">
        <f ca="1">IFERROR(__xludf.DUMMYFUNCTION("""COMPUTED_VALUE"""),172.17)</f>
        <v>172.17</v>
      </c>
      <c r="F366" s="3">
        <f ca="1">IFERROR(__xludf.DUMMYFUNCTION("""COMPUTED_VALUE"""),50.41)</f>
        <v>50.41</v>
      </c>
      <c r="G366" s="3">
        <f ca="1">IFERROR(__xludf.DUMMYFUNCTION("""COMPUTED_VALUE"""),29.42)</f>
        <v>29.42</v>
      </c>
      <c r="H366" s="3">
        <f ca="1">IFERROR(__xludf.DUMMYFUNCTION("""COMPUTED_VALUE"""),25.99)</f>
        <v>25.99</v>
      </c>
      <c r="I366" s="3">
        <f ca="1">IFERROR(__xludf.DUMMYFUNCTION("""COMPUTED_VALUE"""),130.2)</f>
        <v>130.19999999999999</v>
      </c>
      <c r="J366" s="3">
        <f ca="1">IFERROR(__xludf.DUMMYFUNCTION("""COMPUTED_VALUE"""),241.21)</f>
        <v>241.21</v>
      </c>
      <c r="K366" s="3">
        <f ca="1">IFERROR(__xludf.DUMMYFUNCTION("""COMPUTED_VALUE"""),130.3)</f>
        <v>130.30000000000001</v>
      </c>
      <c r="L366" s="3">
        <f ca="1">IFERROR(__xludf.DUMMYFUNCTION("""COMPUTED_VALUE"""),88.89)</f>
        <v>88.89</v>
      </c>
      <c r="M366" s="3">
        <f ca="1">IFERROR(__xludf.DUMMYFUNCTION("""COMPUTED_VALUE"""),62.67)</f>
        <v>62.67</v>
      </c>
      <c r="N366" s="3">
        <f ca="1">IFERROR(__xludf.DUMMYFUNCTION("""COMPUTED_VALUE"""),62.24)</f>
        <v>62.24</v>
      </c>
      <c r="O366" s="3">
        <f ca="1">IFERROR(__xludf.DUMMYFUNCTION("""COMPUTED_VALUE"""),50.96)</f>
        <v>50.96</v>
      </c>
      <c r="P366" s="3">
        <f ca="1">IFERROR(__xludf.DUMMYFUNCTION("""COMPUTED_VALUE"""),80.1)</f>
        <v>80.099999999999994</v>
      </c>
      <c r="Q366" s="3">
        <f ca="1">IFERROR(__xludf.DUMMYFUNCTION("""COMPUTED_VALUE"""),110.98)</f>
        <v>110.98</v>
      </c>
      <c r="R366" s="3">
        <f ca="1">IFERROR(__xludf.DUMMYFUNCTION("""COMPUTED_VALUE"""),80.86)</f>
        <v>80.86</v>
      </c>
      <c r="S366" s="3">
        <f ca="1">IFERROR(__xludf.DUMMYFUNCTION("""COMPUTED_VALUE"""),49.21)</f>
        <v>49.21</v>
      </c>
      <c r="T366" s="3">
        <f ca="1">IFERROR(__xludf.DUMMYFUNCTION("""COMPUTED_VALUE"""),22.7)</f>
        <v>22.7</v>
      </c>
      <c r="U366" s="3">
        <f ca="1">IFERROR(__xludf.DUMMYFUNCTION("""COMPUTED_VALUE"""),61.83)</f>
        <v>61.83</v>
      </c>
      <c r="V366" s="3">
        <f ca="1">IFERROR(__xludf.DUMMYFUNCTION("""COMPUTED_VALUE"""),71.62)</f>
        <v>71.62</v>
      </c>
      <c r="W366" s="3">
        <f ca="1">IFERROR(__xludf.DUMMYFUNCTION("""COMPUTED_VALUE"""),33.21)</f>
        <v>33.21</v>
      </c>
      <c r="X366" s="3">
        <f ca="1">IFERROR(__xludf.DUMMYFUNCTION("""COMPUTED_VALUE"""),80.47)</f>
        <v>80.47</v>
      </c>
      <c r="Y366" s="3">
        <f ca="1">IFERROR(__xludf.DUMMYFUNCTION("""COMPUTED_VALUE"""),37.14)</f>
        <v>37.14</v>
      </c>
      <c r="Z366" s="3">
        <f ca="1">IFERROR(__xludf.DUMMYFUNCTION("""COMPUTED_VALUE"""),73.7)</f>
        <v>73.7</v>
      </c>
      <c r="AA366" s="3">
        <f ca="1">IFERROR(__xludf.DUMMYFUNCTION("""COMPUTED_VALUE"""),37.57)</f>
        <v>37.57</v>
      </c>
      <c r="AB366" s="3">
        <f ca="1">IFERROR(__xludf.DUMMYFUNCTION("""COMPUTED_VALUE"""),42.85)</f>
        <v>42.85</v>
      </c>
      <c r="AC366" s="3">
        <f ca="1">IFERROR(__xludf.DUMMYFUNCTION("""COMPUTED_VALUE"""),51.86)</f>
        <v>51.86</v>
      </c>
      <c r="AD366" s="3">
        <f ca="1">IFERROR(__xludf.DUMMYFUNCTION("""COMPUTED_VALUE"""),10)</f>
        <v>10</v>
      </c>
      <c r="AE366" s="3">
        <f ca="1">IFERROR(__xludf.DUMMYFUNCTION("""COMPUTED_VALUE"""),14.48)</f>
        <v>14.48</v>
      </c>
      <c r="AF366" s="3">
        <f ca="1">IFERROR(__xludf.DUMMYFUNCTION("""COMPUTED_VALUE"""),2.52)</f>
        <v>2.52</v>
      </c>
      <c r="AG366" s="3">
        <f ca="1">IFERROR(__xludf.DUMMYFUNCTION("""COMPUTED_VALUE"""),24.59)</f>
        <v>24.59</v>
      </c>
    </row>
    <row r="367" spans="1:33" ht="12.75" x14ac:dyDescent="0.2">
      <c r="A367" s="4">
        <f ca="1">IFERROR(__xludf.DUMMYFUNCTION("""COMPUTED_VALUE"""),45092.6666666666)</f>
        <v>45092.666666666599</v>
      </c>
      <c r="B367" s="3">
        <f ca="1">IFERROR(__xludf.DUMMYFUNCTION("""COMPUTED_VALUE"""),174.63)</f>
        <v>174.63</v>
      </c>
      <c r="C367" s="3">
        <f ca="1">IFERROR(__xludf.DUMMYFUNCTION("""COMPUTED_VALUE"""),443.39)</f>
        <v>443.39</v>
      </c>
      <c r="D367" s="3">
        <f ca="1">IFERROR(__xludf.DUMMYFUNCTION("""COMPUTED_VALUE"""),106.17)</f>
        <v>106.17</v>
      </c>
      <c r="E367" s="3">
        <f ca="1">IFERROR(__xludf.DUMMYFUNCTION("""COMPUTED_VALUE"""),170.74)</f>
        <v>170.74</v>
      </c>
      <c r="F367" s="3">
        <f ca="1">IFERROR(__xludf.DUMMYFUNCTION("""COMPUTED_VALUE"""),51.41)</f>
        <v>51.41</v>
      </c>
      <c r="G367" s="3">
        <f ca="1">IFERROR(__xludf.DUMMYFUNCTION("""COMPUTED_VALUE"""),29.72)</f>
        <v>29.72</v>
      </c>
      <c r="H367" s="3">
        <f ca="1">IFERROR(__xludf.DUMMYFUNCTION("""COMPUTED_VALUE"""),26.25)</f>
        <v>26.25</v>
      </c>
      <c r="I367" s="3">
        <f ca="1">IFERROR(__xludf.DUMMYFUNCTION("""COMPUTED_VALUE"""),132.22)</f>
        <v>132.22</v>
      </c>
      <c r="J367" s="3">
        <f ca="1">IFERROR(__xludf.DUMMYFUNCTION("""COMPUTED_VALUE"""),244.79)</f>
        <v>244.79</v>
      </c>
      <c r="K367" s="3">
        <f ca="1">IFERROR(__xludf.DUMMYFUNCTION("""COMPUTED_VALUE"""),131.81)</f>
        <v>131.81</v>
      </c>
      <c r="L367" s="3">
        <f ca="1">IFERROR(__xludf.DUMMYFUNCTION("""COMPUTED_VALUE"""),89.19)</f>
        <v>89.19</v>
      </c>
      <c r="M367" s="3">
        <f ca="1">IFERROR(__xludf.DUMMYFUNCTION("""COMPUTED_VALUE"""),63.31)</f>
        <v>63.31</v>
      </c>
      <c r="N367" s="3">
        <f ca="1">IFERROR(__xludf.DUMMYFUNCTION("""COMPUTED_VALUE"""),63.11)</f>
        <v>63.11</v>
      </c>
      <c r="O367" s="3">
        <f ca="1">IFERROR(__xludf.DUMMYFUNCTION("""COMPUTED_VALUE"""),51.6)</f>
        <v>51.6</v>
      </c>
      <c r="P367" s="3">
        <f ca="1">IFERROR(__xludf.DUMMYFUNCTION("""COMPUTED_VALUE"""),80.98)</f>
        <v>80.98</v>
      </c>
      <c r="Q367" s="3">
        <f ca="1">IFERROR(__xludf.DUMMYFUNCTION("""COMPUTED_VALUE"""),112.31)</f>
        <v>112.31</v>
      </c>
      <c r="R367" s="3">
        <f ca="1">IFERROR(__xludf.DUMMYFUNCTION("""COMPUTED_VALUE"""),81.55)</f>
        <v>81.55</v>
      </c>
      <c r="S367" s="3">
        <f ca="1">IFERROR(__xludf.DUMMYFUNCTION("""COMPUTED_VALUE"""),50)</f>
        <v>50</v>
      </c>
      <c r="T367" s="3">
        <f ca="1">IFERROR(__xludf.DUMMYFUNCTION("""COMPUTED_VALUE"""),23.18)</f>
        <v>23.18</v>
      </c>
      <c r="U367" s="3">
        <f ca="1">IFERROR(__xludf.DUMMYFUNCTION("""COMPUTED_VALUE"""),63.41)</f>
        <v>63.41</v>
      </c>
      <c r="V367" s="3">
        <f ca="1">IFERROR(__xludf.DUMMYFUNCTION("""COMPUTED_VALUE"""),73.2)</f>
        <v>73.2</v>
      </c>
      <c r="W367" s="3">
        <f ca="1">IFERROR(__xludf.DUMMYFUNCTION("""COMPUTED_VALUE"""),33.65)</f>
        <v>33.65</v>
      </c>
      <c r="X367" s="3">
        <f ca="1">IFERROR(__xludf.DUMMYFUNCTION("""COMPUTED_VALUE"""),81.49)</f>
        <v>81.489999999999995</v>
      </c>
      <c r="Y367" s="3">
        <f ca="1">IFERROR(__xludf.DUMMYFUNCTION("""COMPUTED_VALUE"""),37.78)</f>
        <v>37.78</v>
      </c>
      <c r="Z367" s="3">
        <f ca="1">IFERROR(__xludf.DUMMYFUNCTION("""COMPUTED_VALUE"""),74.74)</f>
        <v>74.739999999999995</v>
      </c>
      <c r="AA367" s="3">
        <f ca="1">IFERROR(__xludf.DUMMYFUNCTION("""COMPUTED_VALUE"""),37.73)</f>
        <v>37.729999999999997</v>
      </c>
      <c r="AB367" s="3">
        <f ca="1">IFERROR(__xludf.DUMMYFUNCTION("""COMPUTED_VALUE"""),43.67)</f>
        <v>43.67</v>
      </c>
      <c r="AC367" s="3">
        <f ca="1">IFERROR(__xludf.DUMMYFUNCTION("""COMPUTED_VALUE"""),51.68)</f>
        <v>51.68</v>
      </c>
      <c r="AD367" s="3">
        <f ca="1">IFERROR(__xludf.DUMMYFUNCTION("""COMPUTED_VALUE"""),9.83)</f>
        <v>9.83</v>
      </c>
      <c r="AE367" s="3">
        <f ca="1">IFERROR(__xludf.DUMMYFUNCTION("""COMPUTED_VALUE"""),14.24)</f>
        <v>14.24</v>
      </c>
      <c r="AF367" s="3">
        <f ca="1">IFERROR(__xludf.DUMMYFUNCTION("""COMPUTED_VALUE"""),2.57)</f>
        <v>2.57</v>
      </c>
      <c r="AG367" s="3">
        <f ca="1">IFERROR(__xludf.DUMMYFUNCTION("""COMPUTED_VALUE"""),24.46)</f>
        <v>24.46</v>
      </c>
    </row>
    <row r="368" spans="1:33" ht="12.75" x14ac:dyDescent="0.2">
      <c r="A368" s="4">
        <f ca="1">IFERROR(__xludf.DUMMYFUNCTION("""COMPUTED_VALUE"""),45093.6666666666)</f>
        <v>45093.666666666599</v>
      </c>
      <c r="B368" s="3">
        <f ca="1">IFERROR(__xludf.DUMMYFUNCTION("""COMPUTED_VALUE"""),173.19)</f>
        <v>173.19</v>
      </c>
      <c r="C368" s="3">
        <f ca="1">IFERROR(__xludf.DUMMYFUNCTION("""COMPUTED_VALUE"""),439.56)</f>
        <v>439.56</v>
      </c>
      <c r="D368" s="3">
        <f ca="1">IFERROR(__xludf.DUMMYFUNCTION("""COMPUTED_VALUE"""),107.26)</f>
        <v>107.26</v>
      </c>
      <c r="E368" s="3">
        <f ca="1">IFERROR(__xludf.DUMMYFUNCTION("""COMPUTED_VALUE"""),169.17)</f>
        <v>169.17</v>
      </c>
      <c r="F368" s="3">
        <f ca="1">IFERROR(__xludf.DUMMYFUNCTION("""COMPUTED_VALUE"""),51.07)</f>
        <v>51.07</v>
      </c>
      <c r="G368" s="3">
        <f ca="1">IFERROR(__xludf.DUMMYFUNCTION("""COMPUTED_VALUE"""),29.59)</f>
        <v>29.59</v>
      </c>
      <c r="H368" s="3">
        <f ca="1">IFERROR(__xludf.DUMMYFUNCTION("""COMPUTED_VALUE"""),26.11)</f>
        <v>26.11</v>
      </c>
      <c r="I368" s="3">
        <f ca="1">IFERROR(__xludf.DUMMYFUNCTION("""COMPUTED_VALUE"""),132.21)</f>
        <v>132.21</v>
      </c>
      <c r="J368" s="3">
        <f ca="1">IFERROR(__xludf.DUMMYFUNCTION("""COMPUTED_VALUE"""),244.53)</f>
        <v>244.53</v>
      </c>
      <c r="K368" s="3">
        <f ca="1">IFERROR(__xludf.DUMMYFUNCTION("""COMPUTED_VALUE"""),131.3)</f>
        <v>131.30000000000001</v>
      </c>
      <c r="L368" s="3">
        <f ca="1">IFERROR(__xludf.DUMMYFUNCTION("""COMPUTED_VALUE"""),87.67)</f>
        <v>87.67</v>
      </c>
      <c r="M368" s="3">
        <f ca="1">IFERROR(__xludf.DUMMYFUNCTION("""COMPUTED_VALUE"""),62.94)</f>
        <v>62.94</v>
      </c>
      <c r="N368" s="3">
        <f ca="1">IFERROR(__xludf.DUMMYFUNCTION("""COMPUTED_VALUE"""),62.86)</f>
        <v>62.86</v>
      </c>
      <c r="O368" s="3">
        <f ca="1">IFERROR(__xludf.DUMMYFUNCTION("""COMPUTED_VALUE"""),51.04)</f>
        <v>51.04</v>
      </c>
      <c r="P368" s="3">
        <f ca="1">IFERROR(__xludf.DUMMYFUNCTION("""COMPUTED_VALUE"""),80.86)</f>
        <v>80.86</v>
      </c>
      <c r="Q368" s="3">
        <f ca="1">IFERROR(__xludf.DUMMYFUNCTION("""COMPUTED_VALUE"""),112.24)</f>
        <v>112.24</v>
      </c>
      <c r="R368" s="3">
        <f ca="1">IFERROR(__xludf.DUMMYFUNCTION("""COMPUTED_VALUE"""),81.75)</f>
        <v>81.75</v>
      </c>
      <c r="S368" s="3">
        <f ca="1">IFERROR(__xludf.DUMMYFUNCTION("""COMPUTED_VALUE"""),49.71)</f>
        <v>49.71</v>
      </c>
      <c r="T368" s="3">
        <f ca="1">IFERROR(__xludf.DUMMYFUNCTION("""COMPUTED_VALUE"""),23.47)</f>
        <v>23.47</v>
      </c>
      <c r="U368" s="3">
        <f ca="1">IFERROR(__xludf.DUMMYFUNCTION("""COMPUTED_VALUE"""),64.35)</f>
        <v>64.349999999999994</v>
      </c>
      <c r="V368" s="3">
        <f ca="1">IFERROR(__xludf.DUMMYFUNCTION("""COMPUTED_VALUE"""),72.79)</f>
        <v>72.790000000000006</v>
      </c>
      <c r="W368" s="3">
        <f ca="1">IFERROR(__xludf.DUMMYFUNCTION("""COMPUTED_VALUE"""),33.58)</f>
        <v>33.58</v>
      </c>
      <c r="X368" s="3">
        <f ca="1">IFERROR(__xludf.DUMMYFUNCTION("""COMPUTED_VALUE"""),81.2)</f>
        <v>81.2</v>
      </c>
      <c r="Y368" s="3">
        <f ca="1">IFERROR(__xludf.DUMMYFUNCTION("""COMPUTED_VALUE"""),37.36)</f>
        <v>37.36</v>
      </c>
      <c r="Z368" s="3">
        <f ca="1">IFERROR(__xludf.DUMMYFUNCTION("""COMPUTED_VALUE"""),74.45)</f>
        <v>74.45</v>
      </c>
      <c r="AA368" s="3">
        <f ca="1">IFERROR(__xludf.DUMMYFUNCTION("""COMPUTED_VALUE"""),37.69)</f>
        <v>37.69</v>
      </c>
      <c r="AB368" s="3">
        <f ca="1">IFERROR(__xludf.DUMMYFUNCTION("""COMPUTED_VALUE"""),43.07)</f>
        <v>43.07</v>
      </c>
      <c r="AC368" s="3">
        <f ca="1">IFERROR(__xludf.DUMMYFUNCTION("""COMPUTED_VALUE"""),51.06)</f>
        <v>51.06</v>
      </c>
      <c r="AD368" s="3">
        <f ca="1">IFERROR(__xludf.DUMMYFUNCTION("""COMPUTED_VALUE"""),10.2)</f>
        <v>10.199999999999999</v>
      </c>
      <c r="AE368" s="3">
        <f ca="1">IFERROR(__xludf.DUMMYFUNCTION("""COMPUTED_VALUE"""),14.78)</f>
        <v>14.78</v>
      </c>
      <c r="AF368" s="3">
        <f ca="1">IFERROR(__xludf.DUMMYFUNCTION("""COMPUTED_VALUE"""),2.64)</f>
        <v>2.64</v>
      </c>
      <c r="AG368" s="3">
        <f ca="1">IFERROR(__xludf.DUMMYFUNCTION("""COMPUTED_VALUE"""),25.36)</f>
        <v>25.36</v>
      </c>
    </row>
    <row r="369" spans="1:33" ht="12.75" x14ac:dyDescent="0.2">
      <c r="A369" s="4">
        <f ca="1">IFERROR(__xludf.DUMMYFUNCTION("""COMPUTED_VALUE"""),45097.6666666666)</f>
        <v>45097.666666666599</v>
      </c>
      <c r="B369" s="3">
        <f ca="1">IFERROR(__xludf.DUMMYFUNCTION("""COMPUTED_VALUE"""),171.66)</f>
        <v>171.66</v>
      </c>
      <c r="C369" s="3">
        <f ca="1">IFERROR(__xludf.DUMMYFUNCTION("""COMPUTED_VALUE"""),437)</f>
        <v>437</v>
      </c>
      <c r="D369" s="3">
        <f ca="1">IFERROR(__xludf.DUMMYFUNCTION("""COMPUTED_VALUE"""),106.29)</f>
        <v>106.29</v>
      </c>
      <c r="E369" s="3">
        <f ca="1">IFERROR(__xludf.DUMMYFUNCTION("""COMPUTED_VALUE"""),167.8)</f>
        <v>167.8</v>
      </c>
      <c r="F369" s="3">
        <f ca="1">IFERROR(__xludf.DUMMYFUNCTION("""COMPUTED_VALUE"""),50.42)</f>
        <v>50.42</v>
      </c>
      <c r="G369" s="3">
        <f ca="1">IFERROR(__xludf.DUMMYFUNCTION("""COMPUTED_VALUE"""),29.28)</f>
        <v>29.28</v>
      </c>
      <c r="H369" s="3">
        <f ca="1">IFERROR(__xludf.DUMMYFUNCTION("""COMPUTED_VALUE"""),25.84)</f>
        <v>25.84</v>
      </c>
      <c r="I369" s="3">
        <f ca="1">IFERROR(__xludf.DUMMYFUNCTION("""COMPUTED_VALUE"""),131.52)</f>
        <v>131.52000000000001</v>
      </c>
      <c r="J369" s="3">
        <f ca="1">IFERROR(__xludf.DUMMYFUNCTION("""COMPUTED_VALUE"""),244.44)</f>
        <v>244.44</v>
      </c>
      <c r="K369" s="3">
        <f ca="1">IFERROR(__xludf.DUMMYFUNCTION("""COMPUTED_VALUE"""),130.38)</f>
        <v>130.38</v>
      </c>
      <c r="L369" s="3">
        <f ca="1">IFERROR(__xludf.DUMMYFUNCTION("""COMPUTED_VALUE"""),87.64)</f>
        <v>87.64</v>
      </c>
      <c r="M369" s="3">
        <f ca="1">IFERROR(__xludf.DUMMYFUNCTION("""COMPUTED_VALUE"""),62.4)</f>
        <v>62.4</v>
      </c>
      <c r="N369" s="3">
        <f ca="1">IFERROR(__xludf.DUMMYFUNCTION("""COMPUTED_VALUE"""),62.81)</f>
        <v>62.81</v>
      </c>
      <c r="O369" s="3">
        <f ca="1">IFERROR(__xludf.DUMMYFUNCTION("""COMPUTED_VALUE"""),50.76)</f>
        <v>50.76</v>
      </c>
      <c r="P369" s="3">
        <f ca="1">IFERROR(__xludf.DUMMYFUNCTION("""COMPUTED_VALUE"""),78.36)</f>
        <v>78.36</v>
      </c>
      <c r="Q369" s="3">
        <f ca="1">IFERROR(__xludf.DUMMYFUNCTION("""COMPUTED_VALUE"""),109.81)</f>
        <v>109.81</v>
      </c>
      <c r="R369" s="3">
        <f ca="1">IFERROR(__xludf.DUMMYFUNCTION("""COMPUTED_VALUE"""),80.25)</f>
        <v>80.25</v>
      </c>
      <c r="S369" s="3">
        <f ca="1">IFERROR(__xludf.DUMMYFUNCTION("""COMPUTED_VALUE"""),49.29)</f>
        <v>49.29</v>
      </c>
      <c r="T369" s="3">
        <f ca="1">IFERROR(__xludf.DUMMYFUNCTION("""COMPUTED_VALUE"""),23.26)</f>
        <v>23.26</v>
      </c>
      <c r="U369" s="3">
        <f ca="1">IFERROR(__xludf.DUMMYFUNCTION("""COMPUTED_VALUE"""),63.92)</f>
        <v>63.92</v>
      </c>
      <c r="V369" s="3">
        <f ca="1">IFERROR(__xludf.DUMMYFUNCTION("""COMPUTED_VALUE"""),70.5)</f>
        <v>70.5</v>
      </c>
      <c r="W369" s="3">
        <f ca="1">IFERROR(__xludf.DUMMYFUNCTION("""COMPUTED_VALUE"""),33.18)</f>
        <v>33.18</v>
      </c>
      <c r="X369" s="3">
        <f ca="1">IFERROR(__xludf.DUMMYFUNCTION("""COMPUTED_VALUE"""),80.6)</f>
        <v>80.599999999999994</v>
      </c>
      <c r="Y369" s="3">
        <f ca="1">IFERROR(__xludf.DUMMYFUNCTION("""COMPUTED_VALUE"""),36.67)</f>
        <v>36.67</v>
      </c>
      <c r="Z369" s="3">
        <f ca="1">IFERROR(__xludf.DUMMYFUNCTION("""COMPUTED_VALUE"""),73.92)</f>
        <v>73.92</v>
      </c>
      <c r="AA369" s="3">
        <f ca="1">IFERROR(__xludf.DUMMYFUNCTION("""COMPUTED_VALUE"""),36.93)</f>
        <v>36.93</v>
      </c>
      <c r="AB369" s="3">
        <f ca="1">IFERROR(__xludf.DUMMYFUNCTION("""COMPUTED_VALUE"""),42.12)</f>
        <v>42.12</v>
      </c>
      <c r="AC369" s="3">
        <f ca="1">IFERROR(__xludf.DUMMYFUNCTION("""COMPUTED_VALUE"""),50.84)</f>
        <v>50.84</v>
      </c>
      <c r="AD369" s="3">
        <f ca="1">IFERROR(__xludf.DUMMYFUNCTION("""COMPUTED_VALUE"""),10.88)</f>
        <v>10.88</v>
      </c>
      <c r="AE369" s="3">
        <f ca="1">IFERROR(__xludf.DUMMYFUNCTION("""COMPUTED_VALUE"""),15.79)</f>
        <v>15.79</v>
      </c>
      <c r="AF369" s="3">
        <f ca="1">IFERROR(__xludf.DUMMYFUNCTION("""COMPUTED_VALUE"""),2.86)</f>
        <v>2.86</v>
      </c>
      <c r="AG369" s="3">
        <f ca="1">IFERROR(__xludf.DUMMYFUNCTION("""COMPUTED_VALUE"""),27.53)</f>
        <v>27.53</v>
      </c>
    </row>
    <row r="370" spans="1:33" ht="12.75" x14ac:dyDescent="0.2">
      <c r="A370" s="4">
        <f ca="1">IFERROR(__xludf.DUMMYFUNCTION("""COMPUTED_VALUE"""),45098.6666666666)</f>
        <v>45098.666666666599</v>
      </c>
      <c r="B370" s="3">
        <f ca="1">IFERROR(__xludf.DUMMYFUNCTION("""COMPUTED_VALUE"""),169.12)</f>
        <v>169.12</v>
      </c>
      <c r="C370" s="3">
        <f ca="1">IFERROR(__xludf.DUMMYFUNCTION("""COMPUTED_VALUE"""),430.3)</f>
        <v>430.3</v>
      </c>
      <c r="D370" s="3">
        <f ca="1">IFERROR(__xludf.DUMMYFUNCTION("""COMPUTED_VALUE"""),105.11)</f>
        <v>105.11</v>
      </c>
      <c r="E370" s="3">
        <f ca="1">IFERROR(__xludf.DUMMYFUNCTION("""COMPUTED_VALUE"""),163.71)</f>
        <v>163.71</v>
      </c>
      <c r="F370" s="3">
        <f ca="1">IFERROR(__xludf.DUMMYFUNCTION("""COMPUTED_VALUE"""),49.65)</f>
        <v>49.65</v>
      </c>
      <c r="G370" s="3">
        <f ca="1">IFERROR(__xludf.DUMMYFUNCTION("""COMPUTED_VALUE"""),28.94)</f>
        <v>28.94</v>
      </c>
      <c r="H370" s="3">
        <f ca="1">IFERROR(__xludf.DUMMYFUNCTION("""COMPUTED_VALUE"""),25.63)</f>
        <v>25.63</v>
      </c>
      <c r="I370" s="3">
        <f ca="1">IFERROR(__xludf.DUMMYFUNCTION("""COMPUTED_VALUE"""),131.54)</f>
        <v>131.54</v>
      </c>
      <c r="J370" s="3">
        <f ca="1">IFERROR(__xludf.DUMMYFUNCTION("""COMPUTED_VALUE"""),244.26)</f>
        <v>244.26</v>
      </c>
      <c r="K370" s="3">
        <f ca="1">IFERROR(__xludf.DUMMYFUNCTION("""COMPUTED_VALUE"""),129.82)</f>
        <v>129.82</v>
      </c>
      <c r="L370" s="3">
        <f ca="1">IFERROR(__xludf.DUMMYFUNCTION("""COMPUTED_VALUE"""),87.16)</f>
        <v>87.16</v>
      </c>
      <c r="M370" s="3">
        <f ca="1">IFERROR(__xludf.DUMMYFUNCTION("""COMPUTED_VALUE"""),62.34)</f>
        <v>62.34</v>
      </c>
      <c r="N370" s="3">
        <f ca="1">IFERROR(__xludf.DUMMYFUNCTION("""COMPUTED_VALUE"""),62.75)</f>
        <v>62.75</v>
      </c>
      <c r="O370" s="3">
        <f ca="1">IFERROR(__xludf.DUMMYFUNCTION("""COMPUTED_VALUE"""),49.68)</f>
        <v>49.68</v>
      </c>
      <c r="P370" s="3">
        <f ca="1">IFERROR(__xludf.DUMMYFUNCTION("""COMPUTED_VALUE"""),78.98)</f>
        <v>78.98</v>
      </c>
      <c r="Q370" s="3">
        <f ca="1">IFERROR(__xludf.DUMMYFUNCTION("""COMPUTED_VALUE"""),110.83)</f>
        <v>110.83</v>
      </c>
      <c r="R370" s="3">
        <f ca="1">IFERROR(__xludf.DUMMYFUNCTION("""COMPUTED_VALUE"""),80.51)</f>
        <v>80.510000000000005</v>
      </c>
      <c r="S370" s="3">
        <f ca="1">IFERROR(__xludf.DUMMYFUNCTION("""COMPUTED_VALUE"""),49.71)</f>
        <v>49.71</v>
      </c>
      <c r="T370" s="3">
        <f ca="1">IFERROR(__xludf.DUMMYFUNCTION("""COMPUTED_VALUE"""),23.6)</f>
        <v>23.6</v>
      </c>
      <c r="U370" s="3">
        <f ca="1">IFERROR(__xludf.DUMMYFUNCTION("""COMPUTED_VALUE"""),65.04)</f>
        <v>65.040000000000006</v>
      </c>
      <c r="V370" s="3">
        <f ca="1">IFERROR(__xludf.DUMMYFUNCTION("""COMPUTED_VALUE"""),69.64)</f>
        <v>69.64</v>
      </c>
      <c r="W370" s="3">
        <f ca="1">IFERROR(__xludf.DUMMYFUNCTION("""COMPUTED_VALUE"""),33.14)</f>
        <v>33.14</v>
      </c>
      <c r="X370" s="3">
        <f ca="1">IFERROR(__xludf.DUMMYFUNCTION("""COMPUTED_VALUE"""),80.35)</f>
        <v>80.349999999999994</v>
      </c>
      <c r="Y370" s="3">
        <f ca="1">IFERROR(__xludf.DUMMYFUNCTION("""COMPUTED_VALUE"""),36.24)</f>
        <v>36.24</v>
      </c>
      <c r="Z370" s="3">
        <f ca="1">IFERROR(__xludf.DUMMYFUNCTION("""COMPUTED_VALUE"""),73.7)</f>
        <v>73.7</v>
      </c>
      <c r="AA370" s="3">
        <f ca="1">IFERROR(__xludf.DUMMYFUNCTION("""COMPUTED_VALUE"""),36.77)</f>
        <v>36.770000000000003</v>
      </c>
      <c r="AB370" s="3">
        <f ca="1">IFERROR(__xludf.DUMMYFUNCTION("""COMPUTED_VALUE"""),41.47)</f>
        <v>41.47</v>
      </c>
      <c r="AC370" s="3">
        <f ca="1">IFERROR(__xludf.DUMMYFUNCTION("""COMPUTED_VALUE"""),50.81)</f>
        <v>50.81</v>
      </c>
      <c r="AD370" s="3">
        <f ca="1">IFERROR(__xludf.DUMMYFUNCTION("""COMPUTED_VALUE"""),11.55)</f>
        <v>11.55</v>
      </c>
      <c r="AE370" s="3">
        <f ca="1">IFERROR(__xludf.DUMMYFUNCTION("""COMPUTED_VALUE"""),16.92)</f>
        <v>16.920000000000002</v>
      </c>
      <c r="AF370" s="3">
        <f ca="1">IFERROR(__xludf.DUMMYFUNCTION("""COMPUTED_VALUE"""),2.9)</f>
        <v>2.9</v>
      </c>
      <c r="AG370" s="3">
        <f ca="1">IFERROR(__xludf.DUMMYFUNCTION("""COMPUTED_VALUE"""),28.48)</f>
        <v>28.48</v>
      </c>
    </row>
    <row r="371" spans="1:33" ht="12.75" x14ac:dyDescent="0.2">
      <c r="A371" s="4">
        <f ca="1">IFERROR(__xludf.DUMMYFUNCTION("""COMPUTED_VALUE"""),45099.6666666666)</f>
        <v>45099.666666666599</v>
      </c>
      <c r="B371" s="3">
        <f ca="1">IFERROR(__xludf.DUMMYFUNCTION("""COMPUTED_VALUE"""),170.5)</f>
        <v>170.5</v>
      </c>
      <c r="C371" s="3">
        <f ca="1">IFERROR(__xludf.DUMMYFUNCTION("""COMPUTED_VALUE"""),433.84)</f>
        <v>433.84</v>
      </c>
      <c r="D371" s="3">
        <f ca="1">IFERROR(__xludf.DUMMYFUNCTION("""COMPUTED_VALUE"""),107.14)</f>
        <v>107.14</v>
      </c>
      <c r="E371" s="3">
        <f ca="1">IFERROR(__xludf.DUMMYFUNCTION("""COMPUTED_VALUE"""),164.47)</f>
        <v>164.47</v>
      </c>
      <c r="F371" s="3">
        <f ca="1">IFERROR(__xludf.DUMMYFUNCTION("""COMPUTED_VALUE"""),49.8)</f>
        <v>49.8</v>
      </c>
      <c r="G371" s="3">
        <f ca="1">IFERROR(__xludf.DUMMYFUNCTION("""COMPUTED_VALUE"""),28.7)</f>
        <v>28.7</v>
      </c>
      <c r="H371" s="3">
        <f ca="1">IFERROR(__xludf.DUMMYFUNCTION("""COMPUTED_VALUE"""),25.64)</f>
        <v>25.64</v>
      </c>
      <c r="I371" s="3">
        <f ca="1">IFERROR(__xludf.DUMMYFUNCTION("""COMPUTED_VALUE"""),132.44)</f>
        <v>132.44</v>
      </c>
      <c r="J371" s="3">
        <f ca="1">IFERROR(__xludf.DUMMYFUNCTION("""COMPUTED_VALUE"""),245.67)</f>
        <v>245.67</v>
      </c>
      <c r="K371" s="3">
        <f ca="1">IFERROR(__xludf.DUMMYFUNCTION("""COMPUTED_VALUE"""),129.85)</f>
        <v>129.85</v>
      </c>
      <c r="L371" s="3">
        <f ca="1">IFERROR(__xludf.DUMMYFUNCTION("""COMPUTED_VALUE"""),86.59)</f>
        <v>86.59</v>
      </c>
      <c r="M371" s="3">
        <f ca="1">IFERROR(__xludf.DUMMYFUNCTION("""COMPUTED_VALUE"""),62.41)</f>
        <v>62.41</v>
      </c>
      <c r="N371" s="3">
        <f ca="1">IFERROR(__xludf.DUMMYFUNCTION("""COMPUTED_VALUE"""),63.11)</f>
        <v>63.11</v>
      </c>
      <c r="O371" s="3">
        <f ca="1">IFERROR(__xludf.DUMMYFUNCTION("""COMPUTED_VALUE"""),49.5)</f>
        <v>49.5</v>
      </c>
      <c r="P371" s="3">
        <f ca="1">IFERROR(__xludf.DUMMYFUNCTION("""COMPUTED_VALUE"""),77.92)</f>
        <v>77.92</v>
      </c>
      <c r="Q371" s="3">
        <f ca="1">IFERROR(__xludf.DUMMYFUNCTION("""COMPUTED_VALUE"""),109.37)</f>
        <v>109.37</v>
      </c>
      <c r="R371" s="3">
        <f ca="1">IFERROR(__xludf.DUMMYFUNCTION("""COMPUTED_VALUE"""),80.32)</f>
        <v>80.319999999999993</v>
      </c>
      <c r="S371" s="3">
        <f ca="1">IFERROR(__xludf.DUMMYFUNCTION("""COMPUTED_VALUE"""),49.4)</f>
        <v>49.4</v>
      </c>
      <c r="T371" s="3">
        <f ca="1">IFERROR(__xludf.DUMMYFUNCTION("""COMPUTED_VALUE"""),23.16)</f>
        <v>23.16</v>
      </c>
      <c r="U371" s="3">
        <f ca="1">IFERROR(__xludf.DUMMYFUNCTION("""COMPUTED_VALUE"""),62.52)</f>
        <v>62.52</v>
      </c>
      <c r="V371" s="3">
        <f ca="1">IFERROR(__xludf.DUMMYFUNCTION("""COMPUTED_VALUE"""),68.93)</f>
        <v>68.930000000000007</v>
      </c>
      <c r="W371" s="3">
        <f ca="1">IFERROR(__xludf.DUMMYFUNCTION("""COMPUTED_VALUE"""),32.88)</f>
        <v>32.880000000000003</v>
      </c>
      <c r="X371" s="3">
        <f ca="1">IFERROR(__xludf.DUMMYFUNCTION("""COMPUTED_VALUE"""),79.7)</f>
        <v>79.7</v>
      </c>
      <c r="Y371" s="3">
        <f ca="1">IFERROR(__xludf.DUMMYFUNCTION("""COMPUTED_VALUE"""),35.27)</f>
        <v>35.270000000000003</v>
      </c>
      <c r="Z371" s="3">
        <f ca="1">IFERROR(__xludf.DUMMYFUNCTION("""COMPUTED_VALUE"""),72.86)</f>
        <v>72.86</v>
      </c>
      <c r="AA371" s="3">
        <f ca="1">IFERROR(__xludf.DUMMYFUNCTION("""COMPUTED_VALUE"""),36.25)</f>
        <v>36.25</v>
      </c>
      <c r="AB371" s="3">
        <f ca="1">IFERROR(__xludf.DUMMYFUNCTION("""COMPUTED_VALUE"""),40.16)</f>
        <v>40.159999999999997</v>
      </c>
      <c r="AC371" s="3">
        <f ca="1">IFERROR(__xludf.DUMMYFUNCTION("""COMPUTED_VALUE"""),51.32)</f>
        <v>51.32</v>
      </c>
      <c r="AD371" s="3">
        <f ca="1">IFERROR(__xludf.DUMMYFUNCTION("""COMPUTED_VALUE"""),11.6)</f>
        <v>11.6</v>
      </c>
      <c r="AE371" s="3">
        <f ca="1">IFERROR(__xludf.DUMMYFUNCTION("""COMPUTED_VALUE"""),16.98)</f>
        <v>16.98</v>
      </c>
      <c r="AF371" s="3">
        <f ca="1">IFERROR(__xludf.DUMMYFUNCTION("""COMPUTED_VALUE"""),2.88)</f>
        <v>2.88</v>
      </c>
      <c r="AG371" s="3">
        <f ca="1">IFERROR(__xludf.DUMMYFUNCTION("""COMPUTED_VALUE"""),28.51)</f>
        <v>28.51</v>
      </c>
    </row>
    <row r="372" spans="1:33" ht="12.75" x14ac:dyDescent="0.2">
      <c r="A372" s="4">
        <f ca="1">IFERROR(__xludf.DUMMYFUNCTION("""COMPUTED_VALUE"""),45100.6666666666)</f>
        <v>45100.666666666599</v>
      </c>
      <c r="B372" s="3">
        <f ca="1">IFERROR(__xludf.DUMMYFUNCTION("""COMPUTED_VALUE"""),168.65)</f>
        <v>168.65</v>
      </c>
      <c r="C372" s="3">
        <f ca="1">IFERROR(__xludf.DUMMYFUNCTION("""COMPUTED_VALUE"""),428.8)</f>
        <v>428.8</v>
      </c>
      <c r="D372" s="3">
        <f ca="1">IFERROR(__xludf.DUMMYFUNCTION("""COMPUTED_VALUE"""),107.45)</f>
        <v>107.45</v>
      </c>
      <c r="E372" s="3">
        <f ca="1">IFERROR(__xludf.DUMMYFUNCTION("""COMPUTED_VALUE"""),161.57)</f>
        <v>161.57</v>
      </c>
      <c r="F372" s="3">
        <f ca="1">IFERROR(__xludf.DUMMYFUNCTION("""COMPUTED_VALUE"""),49.13)</f>
        <v>49.13</v>
      </c>
      <c r="G372" s="3">
        <f ca="1">IFERROR(__xludf.DUMMYFUNCTION("""COMPUTED_VALUE"""),27.94)</f>
        <v>27.94</v>
      </c>
      <c r="H372" s="3">
        <f ca="1">IFERROR(__xludf.DUMMYFUNCTION("""COMPUTED_VALUE"""),25.31)</f>
        <v>25.31</v>
      </c>
      <c r="I372" s="3">
        <f ca="1">IFERROR(__xludf.DUMMYFUNCTION("""COMPUTED_VALUE"""),132)</f>
        <v>132</v>
      </c>
      <c r="J372" s="3">
        <f ca="1">IFERROR(__xludf.DUMMYFUNCTION("""COMPUTED_VALUE"""),244.53)</f>
        <v>244.53</v>
      </c>
      <c r="K372" s="3">
        <f ca="1">IFERROR(__xludf.DUMMYFUNCTION("""COMPUTED_VALUE"""),128.5)</f>
        <v>128.5</v>
      </c>
      <c r="L372" s="3">
        <f ca="1">IFERROR(__xludf.DUMMYFUNCTION("""COMPUTED_VALUE"""),85.12)</f>
        <v>85.12</v>
      </c>
      <c r="M372" s="3">
        <f ca="1">IFERROR(__xludf.DUMMYFUNCTION("""COMPUTED_VALUE"""),61.61)</f>
        <v>61.61</v>
      </c>
      <c r="N372" s="3">
        <f ca="1">IFERROR(__xludf.DUMMYFUNCTION("""COMPUTED_VALUE"""),62.86)</f>
        <v>62.86</v>
      </c>
      <c r="O372" s="3">
        <f ca="1">IFERROR(__xludf.DUMMYFUNCTION("""COMPUTED_VALUE"""),48.62)</f>
        <v>48.62</v>
      </c>
      <c r="P372" s="3">
        <f ca="1">IFERROR(__xludf.DUMMYFUNCTION("""COMPUTED_VALUE"""),77.36)</f>
        <v>77.36</v>
      </c>
      <c r="Q372" s="3">
        <f ca="1">IFERROR(__xludf.DUMMYFUNCTION("""COMPUTED_VALUE"""),108.41)</f>
        <v>108.41</v>
      </c>
      <c r="R372" s="3">
        <f ca="1">IFERROR(__xludf.DUMMYFUNCTION("""COMPUTED_VALUE"""),79.67)</f>
        <v>79.67</v>
      </c>
      <c r="S372" s="3">
        <f ca="1">IFERROR(__xludf.DUMMYFUNCTION("""COMPUTED_VALUE"""),48.69)</f>
        <v>48.69</v>
      </c>
      <c r="T372" s="3">
        <f ca="1">IFERROR(__xludf.DUMMYFUNCTION("""COMPUTED_VALUE"""),22.91)</f>
        <v>22.91</v>
      </c>
      <c r="U372" s="3">
        <f ca="1">IFERROR(__xludf.DUMMYFUNCTION("""COMPUTED_VALUE"""),62.42)</f>
        <v>62.42</v>
      </c>
      <c r="V372" s="3">
        <f ca="1">IFERROR(__xludf.DUMMYFUNCTION("""COMPUTED_VALUE"""),68.04)</f>
        <v>68.040000000000006</v>
      </c>
      <c r="W372" s="3">
        <f ca="1">IFERROR(__xludf.DUMMYFUNCTION("""COMPUTED_VALUE"""),32.74)</f>
        <v>32.74</v>
      </c>
      <c r="X372" s="3">
        <f ca="1">IFERROR(__xludf.DUMMYFUNCTION("""COMPUTED_VALUE"""),79.19)</f>
        <v>79.19</v>
      </c>
      <c r="Y372" s="3">
        <f ca="1">IFERROR(__xludf.DUMMYFUNCTION("""COMPUTED_VALUE"""),34.81)</f>
        <v>34.81</v>
      </c>
      <c r="Z372" s="3">
        <f ca="1">IFERROR(__xludf.DUMMYFUNCTION("""COMPUTED_VALUE"""),72.37)</f>
        <v>72.37</v>
      </c>
      <c r="AA372" s="3">
        <f ca="1">IFERROR(__xludf.DUMMYFUNCTION("""COMPUTED_VALUE"""),35.86)</f>
        <v>35.86</v>
      </c>
      <c r="AB372" s="3">
        <f ca="1">IFERROR(__xludf.DUMMYFUNCTION("""COMPUTED_VALUE"""),39.58)</f>
        <v>39.58</v>
      </c>
      <c r="AC372" s="3">
        <f ca="1">IFERROR(__xludf.DUMMYFUNCTION("""COMPUTED_VALUE"""),51.3)</f>
        <v>51.3</v>
      </c>
      <c r="AD372" s="3">
        <f ca="1">IFERROR(__xludf.DUMMYFUNCTION("""COMPUTED_VALUE"""),11.9)</f>
        <v>11.9</v>
      </c>
      <c r="AE372" s="3">
        <f ca="1">IFERROR(__xludf.DUMMYFUNCTION("""COMPUTED_VALUE"""),17.41)</f>
        <v>17.41</v>
      </c>
      <c r="AF372" s="3">
        <f ca="1">IFERROR(__xludf.DUMMYFUNCTION("""COMPUTED_VALUE"""),2.95)</f>
        <v>2.95</v>
      </c>
      <c r="AG372" s="3">
        <f ca="1">IFERROR(__xludf.DUMMYFUNCTION("""COMPUTED_VALUE"""),29.17)</f>
        <v>29.17</v>
      </c>
    </row>
    <row r="373" spans="1:33" ht="12.75" x14ac:dyDescent="0.2">
      <c r="A373" s="4">
        <f ca="1">IFERROR(__xludf.DUMMYFUNCTION("""COMPUTED_VALUE"""),45103.6666666666)</f>
        <v>45103.666666666599</v>
      </c>
      <c r="B373" s="3">
        <f ca="1">IFERROR(__xludf.DUMMYFUNCTION("""COMPUTED_VALUE"""),167.44)</f>
        <v>167.44</v>
      </c>
      <c r="C373" s="3">
        <f ca="1">IFERROR(__xludf.DUMMYFUNCTION("""COMPUTED_VALUE"""),425.32)</f>
        <v>425.32</v>
      </c>
      <c r="D373" s="3">
        <f ca="1">IFERROR(__xludf.DUMMYFUNCTION("""COMPUTED_VALUE"""),107.33)</f>
        <v>107.33</v>
      </c>
      <c r="E373" s="3">
        <f ca="1">IFERROR(__xludf.DUMMYFUNCTION("""COMPUTED_VALUE"""),162.1)</f>
        <v>162.1</v>
      </c>
      <c r="F373" s="3">
        <f ca="1">IFERROR(__xludf.DUMMYFUNCTION("""COMPUTED_VALUE"""),48.93)</f>
        <v>48.93</v>
      </c>
      <c r="G373" s="3">
        <f ca="1">IFERROR(__xludf.DUMMYFUNCTION("""COMPUTED_VALUE"""),27.76)</f>
        <v>27.76</v>
      </c>
      <c r="H373" s="3">
        <f ca="1">IFERROR(__xludf.DUMMYFUNCTION("""COMPUTED_VALUE"""),25.38)</f>
        <v>25.38</v>
      </c>
      <c r="I373" s="3">
        <f ca="1">IFERROR(__xludf.DUMMYFUNCTION("""COMPUTED_VALUE"""),131.25)</f>
        <v>131.25</v>
      </c>
      <c r="J373" s="3">
        <f ca="1">IFERROR(__xludf.DUMMYFUNCTION("""COMPUTED_VALUE"""),242.95)</f>
        <v>242.95</v>
      </c>
      <c r="K373" s="3">
        <f ca="1">IFERROR(__xludf.DUMMYFUNCTION("""COMPUTED_VALUE"""),127.07)</f>
        <v>127.07</v>
      </c>
      <c r="L373" s="3">
        <f ca="1">IFERROR(__xludf.DUMMYFUNCTION("""COMPUTED_VALUE"""),83.17)</f>
        <v>83.17</v>
      </c>
      <c r="M373" s="3">
        <f ca="1">IFERROR(__xludf.DUMMYFUNCTION("""COMPUTED_VALUE"""),60.87)</f>
        <v>60.87</v>
      </c>
      <c r="N373" s="3">
        <f ca="1">IFERROR(__xludf.DUMMYFUNCTION("""COMPUTED_VALUE"""),62.41)</f>
        <v>62.41</v>
      </c>
      <c r="O373" s="3">
        <f ca="1">IFERROR(__xludf.DUMMYFUNCTION("""COMPUTED_VALUE"""),48.36)</f>
        <v>48.36</v>
      </c>
      <c r="P373" s="3">
        <f ca="1">IFERROR(__xludf.DUMMYFUNCTION("""COMPUTED_VALUE"""),78.75)</f>
        <v>78.75</v>
      </c>
      <c r="Q373" s="3">
        <f ca="1">IFERROR(__xludf.DUMMYFUNCTION("""COMPUTED_VALUE"""),110.2)</f>
        <v>110.2</v>
      </c>
      <c r="R373" s="3">
        <f ca="1">IFERROR(__xludf.DUMMYFUNCTION("""COMPUTED_VALUE"""),80.5)</f>
        <v>80.5</v>
      </c>
      <c r="S373" s="3">
        <f ca="1">IFERROR(__xludf.DUMMYFUNCTION("""COMPUTED_VALUE"""),49.04)</f>
        <v>49.04</v>
      </c>
      <c r="T373" s="3">
        <f ca="1">IFERROR(__xludf.DUMMYFUNCTION("""COMPUTED_VALUE"""),22.94)</f>
        <v>22.94</v>
      </c>
      <c r="U373" s="3">
        <f ca="1">IFERROR(__xludf.DUMMYFUNCTION("""COMPUTED_VALUE"""),62.73)</f>
        <v>62.73</v>
      </c>
      <c r="V373" s="3">
        <f ca="1">IFERROR(__xludf.DUMMYFUNCTION("""COMPUTED_VALUE"""),68.41)</f>
        <v>68.41</v>
      </c>
      <c r="W373" s="3">
        <f ca="1">IFERROR(__xludf.DUMMYFUNCTION("""COMPUTED_VALUE"""),32.67)</f>
        <v>32.67</v>
      </c>
      <c r="X373" s="3">
        <f ca="1">IFERROR(__xludf.DUMMYFUNCTION("""COMPUTED_VALUE"""),79.14)</f>
        <v>79.14</v>
      </c>
      <c r="Y373" s="3">
        <f ca="1">IFERROR(__xludf.DUMMYFUNCTION("""COMPUTED_VALUE"""),35.16)</f>
        <v>35.159999999999997</v>
      </c>
      <c r="Z373" s="3">
        <f ca="1">IFERROR(__xludf.DUMMYFUNCTION("""COMPUTED_VALUE"""),72.49)</f>
        <v>72.489999999999995</v>
      </c>
      <c r="AA373" s="3">
        <f ca="1">IFERROR(__xludf.DUMMYFUNCTION("""COMPUTED_VALUE"""),36.66)</f>
        <v>36.659999999999997</v>
      </c>
      <c r="AB373" s="3">
        <f ca="1">IFERROR(__xludf.DUMMYFUNCTION("""COMPUTED_VALUE"""),40.08)</f>
        <v>40.08</v>
      </c>
      <c r="AC373" s="3">
        <f ca="1">IFERROR(__xludf.DUMMYFUNCTION("""COMPUTED_VALUE"""),52.32)</f>
        <v>52.32</v>
      </c>
      <c r="AD373" s="3">
        <f ca="1">IFERROR(__xludf.DUMMYFUNCTION("""COMPUTED_VALUE"""),11.58)</f>
        <v>11.58</v>
      </c>
      <c r="AE373" s="3">
        <f ca="1">IFERROR(__xludf.DUMMYFUNCTION("""COMPUTED_VALUE"""),16.97)</f>
        <v>16.97</v>
      </c>
      <c r="AF373" s="3">
        <f ca="1">IFERROR(__xludf.DUMMYFUNCTION("""COMPUTED_VALUE"""),2.84)</f>
        <v>2.84</v>
      </c>
      <c r="AG373" s="3">
        <f ca="1">IFERROR(__xludf.DUMMYFUNCTION("""COMPUTED_VALUE"""),27.85)</f>
        <v>27.85</v>
      </c>
    </row>
    <row r="374" spans="1:33" ht="12.75" x14ac:dyDescent="0.2">
      <c r="A374" s="4">
        <f ca="1">IFERROR(__xludf.DUMMYFUNCTION("""COMPUTED_VALUE"""),45104.6666666666)</f>
        <v>45104.666666666599</v>
      </c>
      <c r="B374" s="3">
        <f ca="1">IFERROR(__xludf.DUMMYFUNCTION("""COMPUTED_VALUE"""),170.74)</f>
        <v>170.74</v>
      </c>
      <c r="C374" s="3">
        <f ca="1">IFERROR(__xludf.DUMMYFUNCTION("""COMPUTED_VALUE"""),433.92)</f>
        <v>433.92</v>
      </c>
      <c r="D374" s="3">
        <f ca="1">IFERROR(__xludf.DUMMYFUNCTION("""COMPUTED_VALUE"""),108.87)</f>
        <v>108.87</v>
      </c>
      <c r="E374" s="3">
        <f ca="1">IFERROR(__xludf.DUMMYFUNCTION("""COMPUTED_VALUE"""),167.76)</f>
        <v>167.76</v>
      </c>
      <c r="F374" s="3">
        <f ca="1">IFERROR(__xludf.DUMMYFUNCTION("""COMPUTED_VALUE"""),49.79)</f>
        <v>49.79</v>
      </c>
      <c r="G374" s="3">
        <f ca="1">IFERROR(__xludf.DUMMYFUNCTION("""COMPUTED_VALUE"""),28.18)</f>
        <v>28.18</v>
      </c>
      <c r="H374" s="3">
        <f ca="1">IFERROR(__xludf.DUMMYFUNCTION("""COMPUTED_VALUE"""),25.76)</f>
        <v>25.76</v>
      </c>
      <c r="I374" s="3">
        <f ca="1">IFERROR(__xludf.DUMMYFUNCTION("""COMPUTED_VALUE"""),130.95)</f>
        <v>130.94999999999999</v>
      </c>
      <c r="J374" s="3">
        <f ca="1">IFERROR(__xludf.DUMMYFUNCTION("""COMPUTED_VALUE"""),242.52)</f>
        <v>242.52</v>
      </c>
      <c r="K374" s="3">
        <f ca="1">IFERROR(__xludf.DUMMYFUNCTION("""COMPUTED_VALUE"""),125.53)</f>
        <v>125.53</v>
      </c>
      <c r="L374" s="3">
        <f ca="1">IFERROR(__xludf.DUMMYFUNCTION("""COMPUTED_VALUE"""),82.92)</f>
        <v>82.92</v>
      </c>
      <c r="M374" s="3">
        <f ca="1">IFERROR(__xludf.DUMMYFUNCTION("""COMPUTED_VALUE"""),59.86)</f>
        <v>59.86</v>
      </c>
      <c r="N374" s="3">
        <f ca="1">IFERROR(__xludf.DUMMYFUNCTION("""COMPUTED_VALUE"""),62.33)</f>
        <v>62.33</v>
      </c>
      <c r="O374" s="3">
        <f ca="1">IFERROR(__xludf.DUMMYFUNCTION("""COMPUTED_VALUE"""),48.04)</f>
        <v>48.04</v>
      </c>
      <c r="P374" s="3">
        <f ca="1">IFERROR(__xludf.DUMMYFUNCTION("""COMPUTED_VALUE"""),78.93)</f>
        <v>78.930000000000007</v>
      </c>
      <c r="Q374" s="3">
        <f ca="1">IFERROR(__xludf.DUMMYFUNCTION("""COMPUTED_VALUE"""),110.61)</f>
        <v>110.61</v>
      </c>
      <c r="R374" s="3">
        <f ca="1">IFERROR(__xludf.DUMMYFUNCTION("""COMPUTED_VALUE"""),81.64)</f>
        <v>81.64</v>
      </c>
      <c r="S374" s="3">
        <f ca="1">IFERROR(__xludf.DUMMYFUNCTION("""COMPUTED_VALUE"""),49.69)</f>
        <v>49.69</v>
      </c>
      <c r="T374" s="3">
        <f ca="1">IFERROR(__xludf.DUMMYFUNCTION("""COMPUTED_VALUE"""),22.57)</f>
        <v>22.57</v>
      </c>
      <c r="U374" s="3">
        <f ca="1">IFERROR(__xludf.DUMMYFUNCTION("""COMPUTED_VALUE"""),61.3)</f>
        <v>61.3</v>
      </c>
      <c r="V374" s="3">
        <f ca="1">IFERROR(__xludf.DUMMYFUNCTION("""COMPUTED_VALUE"""),69.2)</f>
        <v>69.2</v>
      </c>
      <c r="W374" s="3">
        <f ca="1">IFERROR(__xludf.DUMMYFUNCTION("""COMPUTED_VALUE"""),32.93)</f>
        <v>32.93</v>
      </c>
      <c r="X374" s="3">
        <f ca="1">IFERROR(__xludf.DUMMYFUNCTION("""COMPUTED_VALUE"""),79.88)</f>
        <v>79.88</v>
      </c>
      <c r="Y374" s="3">
        <f ca="1">IFERROR(__xludf.DUMMYFUNCTION("""COMPUTED_VALUE"""),35.7)</f>
        <v>35.700000000000003</v>
      </c>
      <c r="Z374" s="3">
        <f ca="1">IFERROR(__xludf.DUMMYFUNCTION("""COMPUTED_VALUE"""),73.08)</f>
        <v>73.08</v>
      </c>
      <c r="AA374" s="3">
        <f ca="1">IFERROR(__xludf.DUMMYFUNCTION("""COMPUTED_VALUE"""),37.06)</f>
        <v>37.06</v>
      </c>
      <c r="AB374" s="3">
        <f ca="1">IFERROR(__xludf.DUMMYFUNCTION("""COMPUTED_VALUE"""),40.76)</f>
        <v>40.76</v>
      </c>
      <c r="AC374" s="3">
        <f ca="1">IFERROR(__xludf.DUMMYFUNCTION("""COMPUTED_VALUE"""),52.66)</f>
        <v>52.66</v>
      </c>
      <c r="AD374" s="3">
        <f ca="1">IFERROR(__xludf.DUMMYFUNCTION("""COMPUTED_VALUE"""),11.73)</f>
        <v>11.73</v>
      </c>
      <c r="AE374" s="3">
        <f ca="1">IFERROR(__xludf.DUMMYFUNCTION("""COMPUTED_VALUE"""),17.21)</f>
        <v>17.21</v>
      </c>
      <c r="AF374" s="3">
        <f ca="1">IFERROR(__xludf.DUMMYFUNCTION("""COMPUTED_VALUE"""),3.02)</f>
        <v>3.02</v>
      </c>
      <c r="AG374" s="3">
        <f ca="1">IFERROR(__xludf.DUMMYFUNCTION("""COMPUTED_VALUE"""),29.74)</f>
        <v>29.74</v>
      </c>
    </row>
    <row r="375" spans="1:33" ht="12.75" x14ac:dyDescent="0.2">
      <c r="A375" s="4">
        <f ca="1">IFERROR(__xludf.DUMMYFUNCTION("""COMPUTED_VALUE"""),45105.6666666666)</f>
        <v>45105.666666666599</v>
      </c>
      <c r="B375" s="3">
        <f ca="1">IFERROR(__xludf.DUMMYFUNCTION("""COMPUTED_VALUE"""),170.84)</f>
        <v>170.84</v>
      </c>
      <c r="C375" s="3">
        <f ca="1">IFERROR(__xludf.DUMMYFUNCTION("""COMPUTED_VALUE"""),435.04)</f>
        <v>435.04</v>
      </c>
      <c r="D375" s="3">
        <f ca="1">IFERROR(__xludf.DUMMYFUNCTION("""COMPUTED_VALUE"""),108.72)</f>
        <v>108.72</v>
      </c>
      <c r="E375" s="3">
        <f ca="1">IFERROR(__xludf.DUMMYFUNCTION("""COMPUTED_VALUE"""),166.47)</f>
        <v>166.47</v>
      </c>
      <c r="F375" s="3">
        <f ca="1">IFERROR(__xludf.DUMMYFUNCTION("""COMPUTED_VALUE"""),49.86)</f>
        <v>49.86</v>
      </c>
      <c r="G375" s="3">
        <f ca="1">IFERROR(__xludf.DUMMYFUNCTION("""COMPUTED_VALUE"""),28.41)</f>
        <v>28.41</v>
      </c>
      <c r="H375" s="3">
        <f ca="1">IFERROR(__xludf.DUMMYFUNCTION("""COMPUTED_VALUE"""),25.81)</f>
        <v>25.81</v>
      </c>
      <c r="I375" s="3">
        <f ca="1">IFERROR(__xludf.DUMMYFUNCTION("""COMPUTED_VALUE"""),130.53)</f>
        <v>130.53</v>
      </c>
      <c r="J375" s="3">
        <f ca="1">IFERROR(__xludf.DUMMYFUNCTION("""COMPUTED_VALUE"""),242.04)</f>
        <v>242.04</v>
      </c>
      <c r="K375" s="3">
        <f ca="1">IFERROR(__xludf.DUMMYFUNCTION("""COMPUTED_VALUE"""),126.25)</f>
        <v>126.25</v>
      </c>
      <c r="L375" s="3">
        <f ca="1">IFERROR(__xludf.DUMMYFUNCTION("""COMPUTED_VALUE"""),83.98)</f>
        <v>83.98</v>
      </c>
      <c r="M375" s="3">
        <f ca="1">IFERROR(__xludf.DUMMYFUNCTION("""COMPUTED_VALUE"""),60.12)</f>
        <v>60.12</v>
      </c>
      <c r="N375" s="3">
        <f ca="1">IFERROR(__xludf.DUMMYFUNCTION("""COMPUTED_VALUE"""),62.25)</f>
        <v>62.25</v>
      </c>
      <c r="O375" s="3">
        <f ca="1">IFERROR(__xludf.DUMMYFUNCTION("""COMPUTED_VALUE"""),48.88)</f>
        <v>48.88</v>
      </c>
      <c r="P375" s="3">
        <f ca="1">IFERROR(__xludf.DUMMYFUNCTION("""COMPUTED_VALUE"""),79.73)</f>
        <v>79.73</v>
      </c>
      <c r="Q375" s="3">
        <f ca="1">IFERROR(__xludf.DUMMYFUNCTION("""COMPUTED_VALUE"""),111.64)</f>
        <v>111.64</v>
      </c>
      <c r="R375" s="3">
        <f ca="1">IFERROR(__xludf.DUMMYFUNCTION("""COMPUTED_VALUE"""),81.08)</f>
        <v>81.08</v>
      </c>
      <c r="S375" s="3">
        <f ca="1">IFERROR(__xludf.DUMMYFUNCTION("""COMPUTED_VALUE"""),49.53)</f>
        <v>49.53</v>
      </c>
      <c r="T375" s="3">
        <f ca="1">IFERROR(__xludf.DUMMYFUNCTION("""COMPUTED_VALUE"""),22.5)</f>
        <v>22.5</v>
      </c>
      <c r="U375" s="3">
        <f ca="1">IFERROR(__xludf.DUMMYFUNCTION("""COMPUTED_VALUE"""),62.52)</f>
        <v>62.52</v>
      </c>
      <c r="V375" s="3">
        <f ca="1">IFERROR(__xludf.DUMMYFUNCTION("""COMPUTED_VALUE"""),69.63)</f>
        <v>69.63</v>
      </c>
      <c r="W375" s="3">
        <f ca="1">IFERROR(__xludf.DUMMYFUNCTION("""COMPUTED_VALUE"""),32.85)</f>
        <v>32.85</v>
      </c>
      <c r="X375" s="3">
        <f ca="1">IFERROR(__xludf.DUMMYFUNCTION("""COMPUTED_VALUE"""),79.79)</f>
        <v>79.790000000000006</v>
      </c>
      <c r="Y375" s="3">
        <f ca="1">IFERROR(__xludf.DUMMYFUNCTION("""COMPUTED_VALUE"""),35.57)</f>
        <v>35.57</v>
      </c>
      <c r="Z375" s="3">
        <f ca="1">IFERROR(__xludf.DUMMYFUNCTION("""COMPUTED_VALUE"""),72.98)</f>
        <v>72.98</v>
      </c>
      <c r="AA375" s="3">
        <f ca="1">IFERROR(__xludf.DUMMYFUNCTION("""COMPUTED_VALUE"""),37.16)</f>
        <v>37.159999999999997</v>
      </c>
      <c r="AB375" s="3">
        <f ca="1">IFERROR(__xludf.DUMMYFUNCTION("""COMPUTED_VALUE"""),40.54)</f>
        <v>40.54</v>
      </c>
      <c r="AC375" s="3">
        <f ca="1">IFERROR(__xludf.DUMMYFUNCTION("""COMPUTED_VALUE"""),53.1)</f>
        <v>53.1</v>
      </c>
      <c r="AD375" s="3">
        <f ca="1">IFERROR(__xludf.DUMMYFUNCTION("""COMPUTED_VALUE"""),11.51)</f>
        <v>11.51</v>
      </c>
      <c r="AE375" s="3">
        <f ca="1">IFERROR(__xludf.DUMMYFUNCTION("""COMPUTED_VALUE"""),16.89)</f>
        <v>16.89</v>
      </c>
      <c r="AF375" s="3">
        <f ca="1">IFERROR(__xludf.DUMMYFUNCTION("""COMPUTED_VALUE"""),3.07)</f>
        <v>3.07</v>
      </c>
      <c r="AG375" s="3">
        <f ca="1">IFERROR(__xludf.DUMMYFUNCTION("""COMPUTED_VALUE"""),29.9)</f>
        <v>29.9</v>
      </c>
    </row>
    <row r="376" spans="1:33" ht="12.75" x14ac:dyDescent="0.2">
      <c r="A376" s="4">
        <f ca="1">IFERROR(__xludf.DUMMYFUNCTION("""COMPUTED_VALUE"""),45106.6666666666)</f>
        <v>45106.666666666599</v>
      </c>
      <c r="B376" s="3">
        <f ca="1">IFERROR(__xludf.DUMMYFUNCTION("""COMPUTED_VALUE"""),171.14)</f>
        <v>171.14</v>
      </c>
      <c r="C376" s="3">
        <f ca="1">IFERROR(__xludf.DUMMYFUNCTION("""COMPUTED_VALUE"""),435.3)</f>
        <v>435.3</v>
      </c>
      <c r="D376" s="3">
        <f ca="1">IFERROR(__xludf.DUMMYFUNCTION("""COMPUTED_VALUE"""),108.38)</f>
        <v>108.38</v>
      </c>
      <c r="E376" s="3">
        <f ca="1">IFERROR(__xludf.DUMMYFUNCTION("""COMPUTED_VALUE"""),166.51)</f>
        <v>166.51</v>
      </c>
      <c r="F376" s="3">
        <f ca="1">IFERROR(__xludf.DUMMYFUNCTION("""COMPUTED_VALUE"""),50.14)</f>
        <v>50.14</v>
      </c>
      <c r="G376" s="3">
        <f ca="1">IFERROR(__xludf.DUMMYFUNCTION("""COMPUTED_VALUE"""),28.3)</f>
        <v>28.3</v>
      </c>
      <c r="H376" s="3">
        <f ca="1">IFERROR(__xludf.DUMMYFUNCTION("""COMPUTED_VALUE"""),25.93)</f>
        <v>25.93</v>
      </c>
      <c r="I376" s="3">
        <f ca="1">IFERROR(__xludf.DUMMYFUNCTION("""COMPUTED_VALUE"""),131.38)</f>
        <v>131.38</v>
      </c>
      <c r="J376" s="3">
        <f ca="1">IFERROR(__xludf.DUMMYFUNCTION("""COMPUTED_VALUE"""),242.65)</f>
        <v>242.65</v>
      </c>
      <c r="K376" s="3">
        <f ca="1">IFERROR(__xludf.DUMMYFUNCTION("""COMPUTED_VALUE"""),125.95)</f>
        <v>125.95</v>
      </c>
      <c r="L376" s="3">
        <f ca="1">IFERROR(__xludf.DUMMYFUNCTION("""COMPUTED_VALUE"""),82.62)</f>
        <v>82.62</v>
      </c>
      <c r="M376" s="3">
        <f ca="1">IFERROR(__xludf.DUMMYFUNCTION("""COMPUTED_VALUE"""),60.26)</f>
        <v>60.26</v>
      </c>
      <c r="N376" s="3">
        <f ca="1">IFERROR(__xludf.DUMMYFUNCTION("""COMPUTED_VALUE"""),62.56)</f>
        <v>62.56</v>
      </c>
      <c r="O376" s="3">
        <f ca="1">IFERROR(__xludf.DUMMYFUNCTION("""COMPUTED_VALUE"""),48.36)</f>
        <v>48.36</v>
      </c>
      <c r="P376" s="3">
        <f ca="1">IFERROR(__xludf.DUMMYFUNCTION("""COMPUTED_VALUE"""),80.65)</f>
        <v>80.650000000000006</v>
      </c>
      <c r="Q376" s="3">
        <f ca="1">IFERROR(__xludf.DUMMYFUNCTION("""COMPUTED_VALUE"""),112.13)</f>
        <v>112.13</v>
      </c>
      <c r="R376" s="3">
        <f ca="1">IFERROR(__xludf.DUMMYFUNCTION("""COMPUTED_VALUE"""),82.1)</f>
        <v>82.1</v>
      </c>
      <c r="S376" s="3">
        <f ca="1">IFERROR(__xludf.DUMMYFUNCTION("""COMPUTED_VALUE"""),50.61)</f>
        <v>50.61</v>
      </c>
      <c r="T376" s="3">
        <f ca="1">IFERROR(__xludf.DUMMYFUNCTION("""COMPUTED_VALUE"""),22.51)</f>
        <v>22.51</v>
      </c>
      <c r="U376" s="3">
        <f ca="1">IFERROR(__xludf.DUMMYFUNCTION("""COMPUTED_VALUE"""),62.96)</f>
        <v>62.96</v>
      </c>
      <c r="V376" s="3">
        <f ca="1">IFERROR(__xludf.DUMMYFUNCTION("""COMPUTED_VALUE"""),68.92)</f>
        <v>68.92</v>
      </c>
      <c r="W376" s="3">
        <f ca="1">IFERROR(__xludf.DUMMYFUNCTION("""COMPUTED_VALUE"""),33.42)</f>
        <v>33.42</v>
      </c>
      <c r="X376" s="3">
        <f ca="1">IFERROR(__xludf.DUMMYFUNCTION("""COMPUTED_VALUE"""),80.65)</f>
        <v>80.650000000000006</v>
      </c>
      <c r="Y376" s="3">
        <f ca="1">IFERROR(__xludf.DUMMYFUNCTION("""COMPUTED_VALUE"""),36.2)</f>
        <v>36.200000000000003</v>
      </c>
      <c r="Z376" s="3">
        <f ca="1">IFERROR(__xludf.DUMMYFUNCTION("""COMPUTED_VALUE"""),74.11)</f>
        <v>74.11</v>
      </c>
      <c r="AA376" s="3">
        <f ca="1">IFERROR(__xludf.DUMMYFUNCTION("""COMPUTED_VALUE"""),37.5)</f>
        <v>37.5</v>
      </c>
      <c r="AB376" s="3">
        <f ca="1">IFERROR(__xludf.DUMMYFUNCTION("""COMPUTED_VALUE"""),41.3)</f>
        <v>41.3</v>
      </c>
      <c r="AC376" s="3">
        <f ca="1">IFERROR(__xludf.DUMMYFUNCTION("""COMPUTED_VALUE"""),52.89)</f>
        <v>52.89</v>
      </c>
      <c r="AD376" s="3">
        <f ca="1">IFERROR(__xludf.DUMMYFUNCTION("""COMPUTED_VALUE"""),11.69)</f>
        <v>11.69</v>
      </c>
      <c r="AE376" s="3">
        <f ca="1">IFERROR(__xludf.DUMMYFUNCTION("""COMPUTED_VALUE"""),17.19)</f>
        <v>17.190000000000001</v>
      </c>
      <c r="AF376" s="3">
        <f ca="1">IFERROR(__xludf.DUMMYFUNCTION("""COMPUTED_VALUE"""),3.15)</f>
        <v>3.15</v>
      </c>
      <c r="AG376" s="3">
        <f ca="1">IFERROR(__xludf.DUMMYFUNCTION("""COMPUTED_VALUE"""),30.46)</f>
        <v>30.46</v>
      </c>
    </row>
    <row r="377" spans="1:33" ht="12.75" x14ac:dyDescent="0.2">
      <c r="A377" s="4">
        <f ca="1">IFERROR(__xludf.DUMMYFUNCTION("""COMPUTED_VALUE"""),45107.6666666666)</f>
        <v>45107.666666666599</v>
      </c>
      <c r="B377" s="3">
        <f ca="1">IFERROR(__xludf.DUMMYFUNCTION("""COMPUTED_VALUE"""),173.86)</f>
        <v>173.86</v>
      </c>
      <c r="C377" s="3">
        <f ca="1">IFERROR(__xludf.DUMMYFUNCTION("""COMPUTED_VALUE"""),442.16)</f>
        <v>442.16</v>
      </c>
      <c r="D377" s="3">
        <f ca="1">IFERROR(__xludf.DUMMYFUNCTION("""COMPUTED_VALUE"""),107.81)</f>
        <v>107.81</v>
      </c>
      <c r="E377" s="3">
        <f ca="1">IFERROR(__xludf.DUMMYFUNCTION("""COMPUTED_VALUE"""),169.09)</f>
        <v>169.09</v>
      </c>
      <c r="F377" s="3">
        <f ca="1">IFERROR(__xludf.DUMMYFUNCTION("""COMPUTED_VALUE"""),50.58)</f>
        <v>50.58</v>
      </c>
      <c r="G377" s="3">
        <f ca="1">IFERROR(__xludf.DUMMYFUNCTION("""COMPUTED_VALUE"""),28.74)</f>
        <v>28.74</v>
      </c>
      <c r="H377" s="3">
        <f ca="1">IFERROR(__xludf.DUMMYFUNCTION("""COMPUTED_VALUE"""),26.14)</f>
        <v>26.14</v>
      </c>
      <c r="I377" s="3">
        <f ca="1">IFERROR(__xludf.DUMMYFUNCTION("""COMPUTED_VALUE"""),132.73)</f>
        <v>132.72999999999999</v>
      </c>
      <c r="J377" s="3">
        <f ca="1">IFERROR(__xludf.DUMMYFUNCTION("""COMPUTED_VALUE"""),244.82)</f>
        <v>244.82</v>
      </c>
      <c r="K377" s="3">
        <f ca="1">IFERROR(__xludf.DUMMYFUNCTION("""COMPUTED_VALUE"""),126.96)</f>
        <v>126.96</v>
      </c>
      <c r="L377" s="3">
        <f ca="1">IFERROR(__xludf.DUMMYFUNCTION("""COMPUTED_VALUE"""),83.2)</f>
        <v>83.2</v>
      </c>
      <c r="M377" s="3">
        <f ca="1">IFERROR(__xludf.DUMMYFUNCTION("""COMPUTED_VALUE"""),61.29)</f>
        <v>61.29</v>
      </c>
      <c r="N377" s="3">
        <f ca="1">IFERROR(__xludf.DUMMYFUNCTION("""COMPUTED_VALUE"""),63.12)</f>
        <v>63.12</v>
      </c>
      <c r="O377" s="3">
        <f ca="1">IFERROR(__xludf.DUMMYFUNCTION("""COMPUTED_VALUE"""),48.48)</f>
        <v>48.48</v>
      </c>
      <c r="P377" s="3">
        <f ca="1">IFERROR(__xludf.DUMMYFUNCTION("""COMPUTED_VALUE"""),81.17)</f>
        <v>81.17</v>
      </c>
      <c r="Q377" s="3">
        <f ca="1">IFERROR(__xludf.DUMMYFUNCTION("""COMPUTED_VALUE"""),112.89)</f>
        <v>112.89</v>
      </c>
      <c r="R377" s="3">
        <f ca="1">IFERROR(__xludf.DUMMYFUNCTION("""COMPUTED_VALUE"""),82.87)</f>
        <v>82.87</v>
      </c>
      <c r="S377" s="3">
        <f ca="1">IFERROR(__xludf.DUMMYFUNCTION("""COMPUTED_VALUE"""),50.82)</f>
        <v>50.82</v>
      </c>
      <c r="T377" s="3">
        <f ca="1">IFERROR(__xludf.DUMMYFUNCTION("""COMPUTED_VALUE"""),22.7)</f>
        <v>22.7</v>
      </c>
      <c r="U377" s="3">
        <f ca="1">IFERROR(__xludf.DUMMYFUNCTION("""COMPUTED_VALUE"""),63.55)</f>
        <v>63.55</v>
      </c>
      <c r="V377" s="3">
        <f ca="1">IFERROR(__xludf.DUMMYFUNCTION("""COMPUTED_VALUE"""),71.42)</f>
        <v>71.42</v>
      </c>
      <c r="W377" s="3">
        <f ca="1">IFERROR(__xludf.DUMMYFUNCTION("""COMPUTED_VALUE"""),33.71)</f>
        <v>33.71</v>
      </c>
      <c r="X377" s="3">
        <f ca="1">IFERROR(__xludf.DUMMYFUNCTION("""COMPUTED_VALUE"""),81.24)</f>
        <v>81.239999999999995</v>
      </c>
      <c r="Y377" s="3">
        <f ca="1">IFERROR(__xludf.DUMMYFUNCTION("""COMPUTED_VALUE"""),36)</f>
        <v>36</v>
      </c>
      <c r="Z377" s="3">
        <f ca="1">IFERROR(__xludf.DUMMYFUNCTION("""COMPUTED_VALUE"""),74.61)</f>
        <v>74.61</v>
      </c>
      <c r="AA377" s="3">
        <f ca="1">IFERROR(__xludf.DUMMYFUNCTION("""COMPUTED_VALUE"""),37.69)</f>
        <v>37.69</v>
      </c>
      <c r="AB377" s="3">
        <f ca="1">IFERROR(__xludf.DUMMYFUNCTION("""COMPUTED_VALUE"""),40.83)</f>
        <v>40.83</v>
      </c>
      <c r="AC377" s="3">
        <f ca="1">IFERROR(__xludf.DUMMYFUNCTION("""COMPUTED_VALUE"""),52.2)</f>
        <v>52.2</v>
      </c>
      <c r="AD377" s="3">
        <f ca="1">IFERROR(__xludf.DUMMYFUNCTION("""COMPUTED_VALUE"""),11.56)</f>
        <v>11.56</v>
      </c>
      <c r="AE377" s="3">
        <f ca="1">IFERROR(__xludf.DUMMYFUNCTION("""COMPUTED_VALUE"""),16.98)</f>
        <v>16.98</v>
      </c>
      <c r="AF377" s="3">
        <f ca="1">IFERROR(__xludf.DUMMYFUNCTION("""COMPUTED_VALUE"""),3.18)</f>
        <v>3.18</v>
      </c>
      <c r="AG377" s="3">
        <f ca="1">IFERROR(__xludf.DUMMYFUNCTION("""COMPUTED_VALUE"""),30.84)</f>
        <v>30.84</v>
      </c>
    </row>
    <row r="378" spans="1:33" ht="12.75" x14ac:dyDescent="0.2">
      <c r="A378" s="4">
        <f ca="1">IFERROR(__xludf.DUMMYFUNCTION("""COMPUTED_VALUE"""),45110.5520833333)</f>
        <v>45110.552083333299</v>
      </c>
      <c r="B378" s="3">
        <f ca="1">IFERROR(__xludf.DUMMYFUNCTION("""COMPUTED_VALUE"""),173.49)</f>
        <v>173.49</v>
      </c>
      <c r="C378" s="3">
        <f ca="1">IFERROR(__xludf.DUMMYFUNCTION("""COMPUTED_VALUE"""),441.41)</f>
        <v>441.41</v>
      </c>
      <c r="D378" s="3">
        <f ca="1">IFERROR(__xludf.DUMMYFUNCTION("""COMPUTED_VALUE"""),107.38)</f>
        <v>107.38</v>
      </c>
      <c r="E378" s="3">
        <f ca="1">IFERROR(__xludf.DUMMYFUNCTION("""COMPUTED_VALUE"""),170.59)</f>
        <v>170.59</v>
      </c>
      <c r="F378" s="3">
        <f ca="1">IFERROR(__xludf.DUMMYFUNCTION("""COMPUTED_VALUE"""),50.52)</f>
        <v>50.52</v>
      </c>
      <c r="G378" s="3">
        <f ca="1">IFERROR(__xludf.DUMMYFUNCTION("""COMPUTED_VALUE"""),28.87)</f>
        <v>28.87</v>
      </c>
      <c r="H378" s="3">
        <f ca="1">IFERROR(__xludf.DUMMYFUNCTION("""COMPUTED_VALUE"""),26.13)</f>
        <v>26.13</v>
      </c>
      <c r="I378" s="3">
        <f ca="1">IFERROR(__xludf.DUMMYFUNCTION("""COMPUTED_VALUE"""),131.64)</f>
        <v>131.63999999999999</v>
      </c>
      <c r="J378" s="3">
        <f ca="1">IFERROR(__xludf.DUMMYFUNCTION("""COMPUTED_VALUE"""),242.93)</f>
        <v>242.93</v>
      </c>
      <c r="K378" s="3">
        <f ca="1">IFERROR(__xludf.DUMMYFUNCTION("""COMPUTED_VALUE"""),126.81)</f>
        <v>126.81</v>
      </c>
      <c r="L378" s="3">
        <f ca="1">IFERROR(__xludf.DUMMYFUNCTION("""COMPUTED_VALUE"""),82.94)</f>
        <v>82.94</v>
      </c>
      <c r="M378" s="3">
        <f ca="1">IFERROR(__xludf.DUMMYFUNCTION("""COMPUTED_VALUE"""),61)</f>
        <v>61</v>
      </c>
      <c r="N378" s="3">
        <f ca="1">IFERROR(__xludf.DUMMYFUNCTION("""COMPUTED_VALUE"""),62.68)</f>
        <v>62.68</v>
      </c>
      <c r="O378" s="3">
        <f ca="1">IFERROR(__xludf.DUMMYFUNCTION("""COMPUTED_VALUE"""),48.4)</f>
        <v>48.4</v>
      </c>
      <c r="P378" s="3">
        <f ca="1">IFERROR(__xludf.DUMMYFUNCTION("""COMPUTED_VALUE"""),81.36)</f>
        <v>81.36</v>
      </c>
      <c r="Q378" s="3">
        <f ca="1">IFERROR(__xludf.DUMMYFUNCTION("""COMPUTED_VALUE"""),113.25)</f>
        <v>113.25</v>
      </c>
      <c r="R378" s="3">
        <f ca="1">IFERROR(__xludf.DUMMYFUNCTION("""COMPUTED_VALUE"""),83.18)</f>
        <v>83.18</v>
      </c>
      <c r="S378" s="3">
        <f ca="1">IFERROR(__xludf.DUMMYFUNCTION("""COMPUTED_VALUE"""),51.34)</f>
        <v>51.34</v>
      </c>
      <c r="T378" s="3">
        <f ca="1">IFERROR(__xludf.DUMMYFUNCTION("""COMPUTED_VALUE"""),22.7)</f>
        <v>22.7</v>
      </c>
      <c r="U378" s="3">
        <f ca="1">IFERROR(__xludf.DUMMYFUNCTION("""COMPUTED_VALUE"""),63.39)</f>
        <v>63.39</v>
      </c>
      <c r="V378" s="3">
        <f ca="1">IFERROR(__xludf.DUMMYFUNCTION("""COMPUTED_VALUE"""),71.42)</f>
        <v>71.42</v>
      </c>
      <c r="W378" s="3">
        <f ca="1">IFERROR(__xludf.DUMMYFUNCTION("""COMPUTED_VALUE"""),33.9)</f>
        <v>33.9</v>
      </c>
      <c r="X378" s="3">
        <f ca="1">IFERROR(__xludf.DUMMYFUNCTION("""COMPUTED_VALUE"""),81.87)</f>
        <v>81.87</v>
      </c>
      <c r="Y378" s="3">
        <f ca="1">IFERROR(__xludf.DUMMYFUNCTION("""COMPUTED_VALUE"""),36.69)</f>
        <v>36.69</v>
      </c>
      <c r="Z378" s="3">
        <f ca="1">IFERROR(__xludf.DUMMYFUNCTION("""COMPUTED_VALUE"""),75.14)</f>
        <v>75.14</v>
      </c>
      <c r="AA378" s="3">
        <f ca="1">IFERROR(__xludf.DUMMYFUNCTION("""COMPUTED_VALUE"""),37.99)</f>
        <v>37.99</v>
      </c>
      <c r="AB378" s="3">
        <f ca="1">IFERROR(__xludf.DUMMYFUNCTION("""COMPUTED_VALUE"""),41.77)</f>
        <v>41.77</v>
      </c>
      <c r="AC378" s="3">
        <f ca="1">IFERROR(__xludf.DUMMYFUNCTION("""COMPUTED_VALUE"""),52.4)</f>
        <v>52.4</v>
      </c>
      <c r="AD378" s="3">
        <f ca="1">IFERROR(__xludf.DUMMYFUNCTION("""COMPUTED_VALUE"""),11.84)</f>
        <v>11.84</v>
      </c>
      <c r="AE378" s="3">
        <f ca="1">IFERROR(__xludf.DUMMYFUNCTION("""COMPUTED_VALUE"""),16.73)</f>
        <v>16.73</v>
      </c>
      <c r="AF378" s="3">
        <f ca="1">IFERROR(__xludf.DUMMYFUNCTION("""COMPUTED_VALUE"""),3.4)</f>
        <v>3.4</v>
      </c>
      <c r="AG378" s="3">
        <f ca="1">IFERROR(__xludf.DUMMYFUNCTION("""COMPUTED_VALUE"""),33.69)</f>
        <v>33.69</v>
      </c>
    </row>
    <row r="379" spans="1:33" ht="12.75" x14ac:dyDescent="0.2">
      <c r="A379" s="4">
        <f ca="1">IFERROR(__xludf.DUMMYFUNCTION("""COMPUTED_VALUE"""),45112.6666666666)</f>
        <v>45112.666666666599</v>
      </c>
      <c r="B379" s="3">
        <f ca="1">IFERROR(__xludf.DUMMYFUNCTION("""COMPUTED_VALUE"""),172.42)</f>
        <v>172.42</v>
      </c>
      <c r="C379" s="3">
        <f ca="1">IFERROR(__xludf.DUMMYFUNCTION("""COMPUTED_VALUE"""),438.67)</f>
        <v>438.67</v>
      </c>
      <c r="D379" s="3">
        <f ca="1">IFERROR(__xludf.DUMMYFUNCTION("""COMPUTED_VALUE"""),107.6)</f>
        <v>107.6</v>
      </c>
      <c r="E379" s="3">
        <f ca="1">IFERROR(__xludf.DUMMYFUNCTION("""COMPUTED_VALUE"""),166.82)</f>
        <v>166.82</v>
      </c>
      <c r="F379" s="3">
        <f ca="1">IFERROR(__xludf.DUMMYFUNCTION("""COMPUTED_VALUE"""),50.27)</f>
        <v>50.27</v>
      </c>
      <c r="G379" s="3">
        <f ca="1">IFERROR(__xludf.DUMMYFUNCTION("""COMPUTED_VALUE"""),28.53)</f>
        <v>28.53</v>
      </c>
      <c r="H379" s="3">
        <f ca="1">IFERROR(__xludf.DUMMYFUNCTION("""COMPUTED_VALUE"""),25.97)</f>
        <v>25.97</v>
      </c>
      <c r="I379" s="3">
        <f ca="1">IFERROR(__xludf.DUMMYFUNCTION("""COMPUTED_VALUE"""),131.57)</f>
        <v>131.57</v>
      </c>
      <c r="J379" s="3">
        <f ca="1">IFERROR(__xludf.DUMMYFUNCTION("""COMPUTED_VALUE"""),242.71)</f>
        <v>242.71</v>
      </c>
      <c r="K379" s="3">
        <f ca="1">IFERROR(__xludf.DUMMYFUNCTION("""COMPUTED_VALUE"""),127.03)</f>
        <v>127.03</v>
      </c>
      <c r="L379" s="3">
        <f ca="1">IFERROR(__xludf.DUMMYFUNCTION("""COMPUTED_VALUE"""),83.01)</f>
        <v>83.01</v>
      </c>
      <c r="M379" s="3">
        <f ca="1">IFERROR(__xludf.DUMMYFUNCTION("""COMPUTED_VALUE"""),60.61)</f>
        <v>60.61</v>
      </c>
      <c r="N379" s="3">
        <f ca="1">IFERROR(__xludf.DUMMYFUNCTION("""COMPUTED_VALUE"""),62.62)</f>
        <v>62.62</v>
      </c>
      <c r="O379" s="3">
        <f ca="1">IFERROR(__xludf.DUMMYFUNCTION("""COMPUTED_VALUE"""),48.04)</f>
        <v>48.04</v>
      </c>
      <c r="P379" s="3">
        <f ca="1">IFERROR(__xludf.DUMMYFUNCTION("""COMPUTED_VALUE"""),80.91)</f>
        <v>80.91</v>
      </c>
      <c r="Q379" s="3">
        <f ca="1">IFERROR(__xludf.DUMMYFUNCTION("""COMPUTED_VALUE"""),112.68)</f>
        <v>112.68</v>
      </c>
      <c r="R379" s="3">
        <f ca="1">IFERROR(__xludf.DUMMYFUNCTION("""COMPUTED_VALUE"""),81.13)</f>
        <v>81.13</v>
      </c>
      <c r="S379" s="3">
        <f ca="1">IFERROR(__xludf.DUMMYFUNCTION("""COMPUTED_VALUE"""),50.43)</f>
        <v>50.43</v>
      </c>
      <c r="T379" s="3">
        <f ca="1">IFERROR(__xludf.DUMMYFUNCTION("""COMPUTED_VALUE"""),22.84)</f>
        <v>22.84</v>
      </c>
      <c r="U379" s="3">
        <f ca="1">IFERROR(__xludf.DUMMYFUNCTION("""COMPUTED_VALUE"""),64.63)</f>
        <v>64.63</v>
      </c>
      <c r="V379" s="3">
        <f ca="1">IFERROR(__xludf.DUMMYFUNCTION("""COMPUTED_VALUE"""),69.79)</f>
        <v>69.790000000000006</v>
      </c>
      <c r="W379" s="3">
        <f ca="1">IFERROR(__xludf.DUMMYFUNCTION("""COMPUTED_VALUE"""),33.83)</f>
        <v>33.83</v>
      </c>
      <c r="X379" s="3">
        <f ca="1">IFERROR(__xludf.DUMMYFUNCTION("""COMPUTED_VALUE"""),81.54)</f>
        <v>81.540000000000006</v>
      </c>
      <c r="Y379" s="3">
        <f ca="1">IFERROR(__xludf.DUMMYFUNCTION("""COMPUTED_VALUE"""),36.24)</f>
        <v>36.24</v>
      </c>
      <c r="Z379" s="3">
        <f ca="1">IFERROR(__xludf.DUMMYFUNCTION("""COMPUTED_VALUE"""),74.67)</f>
        <v>74.67</v>
      </c>
      <c r="AA379" s="3">
        <f ca="1">IFERROR(__xludf.DUMMYFUNCTION("""COMPUTED_VALUE"""),38.18)</f>
        <v>38.18</v>
      </c>
      <c r="AB379" s="3">
        <f ca="1">IFERROR(__xludf.DUMMYFUNCTION("""COMPUTED_VALUE"""),41.22)</f>
        <v>41.22</v>
      </c>
      <c r="AC379" s="3">
        <f ca="1">IFERROR(__xludf.DUMMYFUNCTION("""COMPUTED_VALUE"""),52.71)</f>
        <v>52.71</v>
      </c>
      <c r="AD379" s="3">
        <f ca="1">IFERROR(__xludf.DUMMYFUNCTION("""COMPUTED_VALUE"""),11.57)</f>
        <v>11.57</v>
      </c>
      <c r="AE379" s="3">
        <f ca="1">IFERROR(__xludf.DUMMYFUNCTION("""COMPUTED_VALUE"""),16.33)</f>
        <v>16.329999999999998</v>
      </c>
      <c r="AF379" s="3">
        <f ca="1">IFERROR(__xludf.DUMMYFUNCTION("""COMPUTED_VALUE"""),3.45)</f>
        <v>3.45</v>
      </c>
      <c r="AG379" s="3">
        <f ca="1">IFERROR(__xludf.DUMMYFUNCTION("""COMPUTED_VALUE"""),34.07)</f>
        <v>34.07</v>
      </c>
    </row>
    <row r="380" spans="1:33" ht="12.75" x14ac:dyDescent="0.2">
      <c r="A380" s="4">
        <f ca="1">IFERROR(__xludf.DUMMYFUNCTION("""COMPUTED_VALUE"""),45113.6666666666)</f>
        <v>45113.666666666599</v>
      </c>
      <c r="B380" s="3">
        <f ca="1">IFERROR(__xludf.DUMMYFUNCTION("""COMPUTED_VALUE"""),171.96)</f>
        <v>171.96</v>
      </c>
      <c r="C380" s="3">
        <f ca="1">IFERROR(__xludf.DUMMYFUNCTION("""COMPUTED_VALUE"""),436.97)</f>
        <v>436.97</v>
      </c>
      <c r="D380" s="3">
        <f ca="1">IFERROR(__xludf.DUMMYFUNCTION("""COMPUTED_VALUE"""),108.03)</f>
        <v>108.03</v>
      </c>
      <c r="E380" s="3">
        <f ca="1">IFERROR(__xludf.DUMMYFUNCTION("""COMPUTED_VALUE"""),164.72)</f>
        <v>164.72</v>
      </c>
      <c r="F380" s="3">
        <f ca="1">IFERROR(__xludf.DUMMYFUNCTION("""COMPUTED_VALUE"""),49.69)</f>
        <v>49.69</v>
      </c>
      <c r="G380" s="3">
        <f ca="1">IFERROR(__xludf.DUMMYFUNCTION("""COMPUTED_VALUE"""),27.95)</f>
        <v>27.95</v>
      </c>
      <c r="H380" s="3">
        <f ca="1">IFERROR(__xludf.DUMMYFUNCTION("""COMPUTED_VALUE"""),25.63)</f>
        <v>25.63</v>
      </c>
      <c r="I380" s="3">
        <f ca="1">IFERROR(__xludf.DUMMYFUNCTION("""COMPUTED_VALUE"""),130.52)</f>
        <v>130.52000000000001</v>
      </c>
      <c r="J380" s="3">
        <f ca="1">IFERROR(__xludf.DUMMYFUNCTION("""COMPUTED_VALUE"""),240.54)</f>
        <v>240.54</v>
      </c>
      <c r="K380" s="3">
        <f ca="1">IFERROR(__xludf.DUMMYFUNCTION("""COMPUTED_VALUE"""),125.45)</f>
        <v>125.45</v>
      </c>
      <c r="L380" s="3">
        <f ca="1">IFERROR(__xludf.DUMMYFUNCTION("""COMPUTED_VALUE"""),81.72)</f>
        <v>81.72</v>
      </c>
      <c r="M380" s="3">
        <f ca="1">IFERROR(__xludf.DUMMYFUNCTION("""COMPUTED_VALUE"""),60.05)</f>
        <v>60.05</v>
      </c>
      <c r="N380" s="3">
        <f ca="1">IFERROR(__xludf.DUMMYFUNCTION("""COMPUTED_VALUE"""),62.06)</f>
        <v>62.06</v>
      </c>
      <c r="O380" s="3">
        <f ca="1">IFERROR(__xludf.DUMMYFUNCTION("""COMPUTED_VALUE"""),47.16)</f>
        <v>47.16</v>
      </c>
      <c r="P380" s="3">
        <f ca="1">IFERROR(__xludf.DUMMYFUNCTION("""COMPUTED_VALUE"""),79.09)</f>
        <v>79.09</v>
      </c>
      <c r="Q380" s="3">
        <f ca="1">IFERROR(__xludf.DUMMYFUNCTION("""COMPUTED_VALUE"""),110.08)</f>
        <v>110.08</v>
      </c>
      <c r="R380" s="3">
        <f ca="1">IFERROR(__xludf.DUMMYFUNCTION("""COMPUTED_VALUE"""),80.54)</f>
        <v>80.540000000000006</v>
      </c>
      <c r="S380" s="3">
        <f ca="1">IFERROR(__xludf.DUMMYFUNCTION("""COMPUTED_VALUE"""),49.55)</f>
        <v>49.55</v>
      </c>
      <c r="T380" s="3">
        <f ca="1">IFERROR(__xludf.DUMMYFUNCTION("""COMPUTED_VALUE"""),22.79)</f>
        <v>22.79</v>
      </c>
      <c r="U380" s="3">
        <f ca="1">IFERROR(__xludf.DUMMYFUNCTION("""COMPUTED_VALUE"""),64.44)</f>
        <v>64.44</v>
      </c>
      <c r="V380" s="3">
        <f ca="1">IFERROR(__xludf.DUMMYFUNCTION("""COMPUTED_VALUE"""),67.36)</f>
        <v>67.36</v>
      </c>
      <c r="W380" s="3">
        <f ca="1">IFERROR(__xludf.DUMMYFUNCTION("""COMPUTED_VALUE"""),33.54)</f>
        <v>33.54</v>
      </c>
      <c r="X380" s="3">
        <f ca="1">IFERROR(__xludf.DUMMYFUNCTION("""COMPUTED_VALUE"""),80.68)</f>
        <v>80.680000000000007</v>
      </c>
      <c r="Y380" s="3">
        <f ca="1">IFERROR(__xludf.DUMMYFUNCTION("""COMPUTED_VALUE"""),35.66)</f>
        <v>35.659999999999997</v>
      </c>
      <c r="Z380" s="3">
        <f ca="1">IFERROR(__xludf.DUMMYFUNCTION("""COMPUTED_VALUE"""),73.99)</f>
        <v>73.989999999999995</v>
      </c>
      <c r="AA380" s="3">
        <f ca="1">IFERROR(__xludf.DUMMYFUNCTION("""COMPUTED_VALUE"""),37.97)</f>
        <v>37.97</v>
      </c>
      <c r="AB380" s="3">
        <f ca="1">IFERROR(__xludf.DUMMYFUNCTION("""COMPUTED_VALUE"""),40.59)</f>
        <v>40.590000000000003</v>
      </c>
      <c r="AC380" s="3">
        <f ca="1">IFERROR(__xludf.DUMMYFUNCTION("""COMPUTED_VALUE"""),53.47)</f>
        <v>53.47</v>
      </c>
      <c r="AD380" s="3">
        <f ca="1">IFERROR(__xludf.DUMMYFUNCTION("""COMPUTED_VALUE"""),11.5)</f>
        <v>11.5</v>
      </c>
      <c r="AE380" s="3">
        <f ca="1">IFERROR(__xludf.DUMMYFUNCTION("""COMPUTED_VALUE"""),16.24)</f>
        <v>16.239999999999998</v>
      </c>
      <c r="AF380" s="3">
        <f ca="1">IFERROR(__xludf.DUMMYFUNCTION("""COMPUTED_VALUE"""),3.46)</f>
        <v>3.46</v>
      </c>
      <c r="AG380" s="3">
        <f ca="1">IFERROR(__xludf.DUMMYFUNCTION("""COMPUTED_VALUE"""),33.36)</f>
        <v>33.36</v>
      </c>
    </row>
    <row r="381" spans="1:33" ht="12.75" x14ac:dyDescent="0.2">
      <c r="A381" s="4">
        <f ca="1">IFERROR(__xludf.DUMMYFUNCTION("""COMPUTED_VALUE"""),45114.6666666666)</f>
        <v>45114.666666666599</v>
      </c>
      <c r="B381" s="3">
        <f ca="1">IFERROR(__xludf.DUMMYFUNCTION("""COMPUTED_VALUE"""),171.21)</f>
        <v>171.21</v>
      </c>
      <c r="C381" s="3">
        <f ca="1">IFERROR(__xludf.DUMMYFUNCTION("""COMPUTED_VALUE"""),435.48)</f>
        <v>435.48</v>
      </c>
      <c r="D381" s="3">
        <f ca="1">IFERROR(__xludf.DUMMYFUNCTION("""COMPUTED_VALUE"""),109.42)</f>
        <v>109.42</v>
      </c>
      <c r="E381" s="3">
        <f ca="1">IFERROR(__xludf.DUMMYFUNCTION("""COMPUTED_VALUE"""),164.79)</f>
        <v>164.79</v>
      </c>
      <c r="F381" s="3">
        <f ca="1">IFERROR(__xludf.DUMMYFUNCTION("""COMPUTED_VALUE"""),49.63)</f>
        <v>49.63</v>
      </c>
      <c r="G381" s="3">
        <f ca="1">IFERROR(__xludf.DUMMYFUNCTION("""COMPUTED_VALUE"""),28.21)</f>
        <v>28.21</v>
      </c>
      <c r="H381" s="3">
        <f ca="1">IFERROR(__xludf.DUMMYFUNCTION("""COMPUTED_VALUE"""),25.72)</f>
        <v>25.72</v>
      </c>
      <c r="I381" s="3">
        <f ca="1">IFERROR(__xludf.DUMMYFUNCTION("""COMPUTED_VALUE"""),129)</f>
        <v>129</v>
      </c>
      <c r="J381" s="3">
        <f ca="1">IFERROR(__xludf.DUMMYFUNCTION("""COMPUTED_VALUE"""),238.23)</f>
        <v>238.23</v>
      </c>
      <c r="K381" s="3">
        <f ca="1">IFERROR(__xludf.DUMMYFUNCTION("""COMPUTED_VALUE"""),124.38)</f>
        <v>124.38</v>
      </c>
      <c r="L381" s="3">
        <f ca="1">IFERROR(__xludf.DUMMYFUNCTION("""COMPUTED_VALUE"""),81.78)</f>
        <v>81.78</v>
      </c>
      <c r="M381" s="3">
        <f ca="1">IFERROR(__xludf.DUMMYFUNCTION("""COMPUTED_VALUE"""),59.69)</f>
        <v>59.69</v>
      </c>
      <c r="N381" s="3">
        <f ca="1">IFERROR(__xludf.DUMMYFUNCTION("""COMPUTED_VALUE"""),61.44)</f>
        <v>61.44</v>
      </c>
      <c r="O381" s="3">
        <f ca="1">IFERROR(__xludf.DUMMYFUNCTION("""COMPUTED_VALUE"""),47.28)</f>
        <v>47.28</v>
      </c>
      <c r="P381" s="3">
        <f ca="1">IFERROR(__xludf.DUMMYFUNCTION("""COMPUTED_VALUE"""),80.79)</f>
        <v>80.790000000000006</v>
      </c>
      <c r="Q381" s="3">
        <f ca="1">IFERROR(__xludf.DUMMYFUNCTION("""COMPUTED_VALUE"""),112.6)</f>
        <v>112.6</v>
      </c>
      <c r="R381" s="3">
        <f ca="1">IFERROR(__xludf.DUMMYFUNCTION("""COMPUTED_VALUE"""),81.24)</f>
        <v>81.239999999999995</v>
      </c>
      <c r="S381" s="3">
        <f ca="1">IFERROR(__xludf.DUMMYFUNCTION("""COMPUTED_VALUE"""),50.53)</f>
        <v>50.53</v>
      </c>
      <c r="T381" s="3">
        <f ca="1">IFERROR(__xludf.DUMMYFUNCTION("""COMPUTED_VALUE"""),22.98)</f>
        <v>22.98</v>
      </c>
      <c r="U381" s="3">
        <f ca="1">IFERROR(__xludf.DUMMYFUNCTION("""COMPUTED_VALUE"""),65.85)</f>
        <v>65.849999999999994</v>
      </c>
      <c r="V381" s="3">
        <f ca="1">IFERROR(__xludf.DUMMYFUNCTION("""COMPUTED_VALUE"""),68.05)</f>
        <v>68.05</v>
      </c>
      <c r="W381" s="3">
        <f ca="1">IFERROR(__xludf.DUMMYFUNCTION("""COMPUTED_VALUE"""),33.59)</f>
        <v>33.590000000000003</v>
      </c>
      <c r="X381" s="3">
        <f ca="1">IFERROR(__xludf.DUMMYFUNCTION("""COMPUTED_VALUE"""),80.98)</f>
        <v>80.98</v>
      </c>
      <c r="Y381" s="3">
        <f ca="1">IFERROR(__xludf.DUMMYFUNCTION("""COMPUTED_VALUE"""),36.35)</f>
        <v>36.35</v>
      </c>
      <c r="Z381" s="3">
        <f ca="1">IFERROR(__xludf.DUMMYFUNCTION("""COMPUTED_VALUE"""),74.42)</f>
        <v>74.42</v>
      </c>
      <c r="AA381" s="3">
        <f ca="1">IFERROR(__xludf.DUMMYFUNCTION("""COMPUTED_VALUE"""),37.79)</f>
        <v>37.79</v>
      </c>
      <c r="AB381" s="3">
        <f ca="1">IFERROR(__xludf.DUMMYFUNCTION("""COMPUTED_VALUE"""),41.47)</f>
        <v>41.47</v>
      </c>
      <c r="AC381" s="3">
        <f ca="1">IFERROR(__xludf.DUMMYFUNCTION("""COMPUTED_VALUE"""),53.99)</f>
        <v>53.99</v>
      </c>
      <c r="AD381" s="3">
        <f ca="1">IFERROR(__xludf.DUMMYFUNCTION("""COMPUTED_VALUE"""),11.45)</f>
        <v>11.45</v>
      </c>
      <c r="AE381" s="3">
        <f ca="1">IFERROR(__xludf.DUMMYFUNCTION("""COMPUTED_VALUE"""),16.19)</f>
        <v>16.190000000000001</v>
      </c>
      <c r="AF381" s="3">
        <f ca="1">IFERROR(__xludf.DUMMYFUNCTION("""COMPUTED_VALUE"""),3.42)</f>
        <v>3.42</v>
      </c>
      <c r="AG381" s="3">
        <f ca="1">IFERROR(__xludf.DUMMYFUNCTION("""COMPUTED_VALUE"""),35.15)</f>
        <v>35.15</v>
      </c>
    </row>
    <row r="382" spans="1:33" ht="12.75" x14ac:dyDescent="0.2">
      <c r="A382" s="4">
        <f ca="1">IFERROR(__xludf.DUMMYFUNCTION("""COMPUTED_VALUE"""),45117.6666666666)</f>
        <v>45117.666666666599</v>
      </c>
      <c r="B382" s="3">
        <f ca="1">IFERROR(__xludf.DUMMYFUNCTION("""COMPUTED_VALUE"""),171.66)</f>
        <v>171.66</v>
      </c>
      <c r="C382" s="3">
        <f ca="1">IFERROR(__xludf.DUMMYFUNCTION("""COMPUTED_VALUE"""),437.23)</f>
        <v>437.23</v>
      </c>
      <c r="D382" s="3">
        <f ca="1">IFERROR(__xludf.DUMMYFUNCTION("""COMPUTED_VALUE"""),111.39)</f>
        <v>111.39</v>
      </c>
      <c r="E382" s="3">
        <f ca="1">IFERROR(__xludf.DUMMYFUNCTION("""COMPUTED_VALUE"""),168.22)</f>
        <v>168.22</v>
      </c>
      <c r="F382" s="3">
        <f ca="1">IFERROR(__xludf.DUMMYFUNCTION("""COMPUTED_VALUE"""),50.44)</f>
        <v>50.44</v>
      </c>
      <c r="G382" s="3">
        <f ca="1">IFERROR(__xludf.DUMMYFUNCTION("""COMPUTED_VALUE"""),28.57)</f>
        <v>28.57</v>
      </c>
      <c r="H382" s="3">
        <f ca="1">IFERROR(__xludf.DUMMYFUNCTION("""COMPUTED_VALUE"""),26.11)</f>
        <v>26.11</v>
      </c>
      <c r="I382" s="3">
        <f ca="1">IFERROR(__xludf.DUMMYFUNCTION("""COMPUTED_VALUE"""),130.02)</f>
        <v>130.02000000000001</v>
      </c>
      <c r="J382" s="3">
        <f ca="1">IFERROR(__xludf.DUMMYFUNCTION("""COMPUTED_VALUE"""),240.63)</f>
        <v>240.63</v>
      </c>
      <c r="K382" s="3">
        <f ca="1">IFERROR(__xludf.DUMMYFUNCTION("""COMPUTED_VALUE"""),126.65)</f>
        <v>126.65</v>
      </c>
      <c r="L382" s="3">
        <f ca="1">IFERROR(__xludf.DUMMYFUNCTION("""COMPUTED_VALUE"""),84.23)</f>
        <v>84.23</v>
      </c>
      <c r="M382" s="3">
        <f ca="1">IFERROR(__xludf.DUMMYFUNCTION("""COMPUTED_VALUE"""),60.92)</f>
        <v>60.92</v>
      </c>
      <c r="N382" s="3">
        <f ca="1">IFERROR(__xludf.DUMMYFUNCTION("""COMPUTED_VALUE"""),62.05)</f>
        <v>62.05</v>
      </c>
      <c r="O382" s="3">
        <f ca="1">IFERROR(__xludf.DUMMYFUNCTION("""COMPUTED_VALUE"""),48.8)</f>
        <v>48.8</v>
      </c>
      <c r="P382" s="3">
        <f ca="1">IFERROR(__xludf.DUMMYFUNCTION("""COMPUTED_VALUE"""),81.42)</f>
        <v>81.42</v>
      </c>
      <c r="Q382" s="3">
        <f ca="1">IFERROR(__xludf.DUMMYFUNCTION("""COMPUTED_VALUE"""),113.4)</f>
        <v>113.4</v>
      </c>
      <c r="R382" s="3">
        <f ca="1">IFERROR(__xludf.DUMMYFUNCTION("""COMPUTED_VALUE"""),81.22)</f>
        <v>81.22</v>
      </c>
      <c r="S382" s="3">
        <f ca="1">IFERROR(__xludf.DUMMYFUNCTION("""COMPUTED_VALUE"""),51.12)</f>
        <v>51.12</v>
      </c>
      <c r="T382" s="3">
        <f ca="1">IFERROR(__xludf.DUMMYFUNCTION("""COMPUTED_VALUE"""),23.03)</f>
        <v>23.03</v>
      </c>
      <c r="U382" s="3">
        <f ca="1">IFERROR(__xludf.DUMMYFUNCTION("""COMPUTED_VALUE"""),65.54)</f>
        <v>65.540000000000006</v>
      </c>
      <c r="V382" s="3">
        <f ca="1">IFERROR(__xludf.DUMMYFUNCTION("""COMPUTED_VALUE"""),69.37)</f>
        <v>69.37</v>
      </c>
      <c r="W382" s="3">
        <f ca="1">IFERROR(__xludf.DUMMYFUNCTION("""COMPUTED_VALUE"""),33.74)</f>
        <v>33.74</v>
      </c>
      <c r="X382" s="3">
        <f ca="1">IFERROR(__xludf.DUMMYFUNCTION("""COMPUTED_VALUE"""),81.42)</f>
        <v>81.42</v>
      </c>
      <c r="Y382" s="3">
        <f ca="1">IFERROR(__xludf.DUMMYFUNCTION("""COMPUTED_VALUE"""),36.63)</f>
        <v>36.630000000000003</v>
      </c>
      <c r="Z382" s="3">
        <f ca="1">IFERROR(__xludf.DUMMYFUNCTION("""COMPUTED_VALUE"""),74.65)</f>
        <v>74.650000000000006</v>
      </c>
      <c r="AA382" s="3">
        <f ca="1">IFERROR(__xludf.DUMMYFUNCTION("""COMPUTED_VALUE"""),37.92)</f>
        <v>37.92</v>
      </c>
      <c r="AB382" s="3">
        <f ca="1">IFERROR(__xludf.DUMMYFUNCTION("""COMPUTED_VALUE"""),41.8)</f>
        <v>41.8</v>
      </c>
      <c r="AC382" s="3">
        <f ca="1">IFERROR(__xludf.DUMMYFUNCTION("""COMPUTED_VALUE"""),54.64)</f>
        <v>54.64</v>
      </c>
      <c r="AD382" s="3">
        <f ca="1">IFERROR(__xludf.DUMMYFUNCTION("""COMPUTED_VALUE"""),11.71)</f>
        <v>11.71</v>
      </c>
      <c r="AE382" s="3">
        <f ca="1">IFERROR(__xludf.DUMMYFUNCTION("""COMPUTED_VALUE"""),16.56)</f>
        <v>16.559999999999999</v>
      </c>
      <c r="AF382" s="3">
        <f ca="1">IFERROR(__xludf.DUMMYFUNCTION("""COMPUTED_VALUE"""),3.53)</f>
        <v>3.53</v>
      </c>
      <c r="AG382" s="3">
        <f ca="1">IFERROR(__xludf.DUMMYFUNCTION("""COMPUTED_VALUE"""),36.98)</f>
        <v>36.979999999999997</v>
      </c>
    </row>
    <row r="383" spans="1:33" ht="12.75" x14ac:dyDescent="0.2">
      <c r="A383" s="4">
        <f ca="1">IFERROR(__xludf.DUMMYFUNCTION("""COMPUTED_VALUE"""),45118.6666666666)</f>
        <v>45118.666666666599</v>
      </c>
      <c r="B383" s="3">
        <f ca="1">IFERROR(__xludf.DUMMYFUNCTION("""COMPUTED_VALUE"""),172.03)</f>
        <v>172.03</v>
      </c>
      <c r="C383" s="3">
        <f ca="1">IFERROR(__xludf.DUMMYFUNCTION("""COMPUTED_VALUE"""),438.88)</f>
        <v>438.88</v>
      </c>
      <c r="D383" s="3">
        <f ca="1">IFERROR(__xludf.DUMMYFUNCTION("""COMPUTED_VALUE"""),111.19)</f>
        <v>111.19</v>
      </c>
      <c r="E383" s="3">
        <f ca="1">IFERROR(__xludf.DUMMYFUNCTION("""COMPUTED_VALUE"""),168.22)</f>
        <v>168.22</v>
      </c>
      <c r="F383" s="3">
        <f ca="1">IFERROR(__xludf.DUMMYFUNCTION("""COMPUTED_VALUE"""),50.73)</f>
        <v>50.73</v>
      </c>
      <c r="G383" s="3">
        <f ca="1">IFERROR(__xludf.DUMMYFUNCTION("""COMPUTED_VALUE"""),28.89)</f>
        <v>28.89</v>
      </c>
      <c r="H383" s="3">
        <f ca="1">IFERROR(__xludf.DUMMYFUNCTION("""COMPUTED_VALUE"""),26.39)</f>
        <v>26.39</v>
      </c>
      <c r="I383" s="3">
        <f ca="1">IFERROR(__xludf.DUMMYFUNCTION("""COMPUTED_VALUE"""),130.05)</f>
        <v>130.05000000000001</v>
      </c>
      <c r="J383" s="3">
        <f ca="1">IFERROR(__xludf.DUMMYFUNCTION("""COMPUTED_VALUE"""),240.7)</f>
        <v>240.7</v>
      </c>
      <c r="K383" s="3">
        <f ca="1">IFERROR(__xludf.DUMMYFUNCTION("""COMPUTED_VALUE"""),126.72)</f>
        <v>126.72</v>
      </c>
      <c r="L383" s="3">
        <f ca="1">IFERROR(__xludf.DUMMYFUNCTION("""COMPUTED_VALUE"""),83.83)</f>
        <v>83.83</v>
      </c>
      <c r="M383" s="3">
        <f ca="1">IFERROR(__xludf.DUMMYFUNCTION("""COMPUTED_VALUE"""),61.07)</f>
        <v>61.07</v>
      </c>
      <c r="N383" s="3">
        <f ca="1">IFERROR(__xludf.DUMMYFUNCTION("""COMPUTED_VALUE"""),62.08)</f>
        <v>62.08</v>
      </c>
      <c r="O383" s="3">
        <f ca="1">IFERROR(__xludf.DUMMYFUNCTION("""COMPUTED_VALUE"""),49.24)</f>
        <v>49.24</v>
      </c>
      <c r="P383" s="3">
        <f ca="1">IFERROR(__xludf.DUMMYFUNCTION("""COMPUTED_VALUE"""),83.21)</f>
        <v>83.21</v>
      </c>
      <c r="Q383" s="3">
        <f ca="1">IFERROR(__xludf.DUMMYFUNCTION("""COMPUTED_VALUE"""),115.97)</f>
        <v>115.97</v>
      </c>
      <c r="R383" s="3">
        <f ca="1">IFERROR(__xludf.DUMMYFUNCTION("""COMPUTED_VALUE"""),82.02)</f>
        <v>82.02</v>
      </c>
      <c r="S383" s="3">
        <f ca="1">IFERROR(__xludf.DUMMYFUNCTION("""COMPUTED_VALUE"""),51.46)</f>
        <v>51.46</v>
      </c>
      <c r="T383" s="3">
        <f ca="1">IFERROR(__xludf.DUMMYFUNCTION("""COMPUTED_VALUE"""),23.3)</f>
        <v>23.3</v>
      </c>
      <c r="U383" s="3">
        <f ca="1">IFERROR(__xludf.DUMMYFUNCTION("""COMPUTED_VALUE"""),67.03)</f>
        <v>67.03</v>
      </c>
      <c r="V383" s="3">
        <f ca="1">IFERROR(__xludf.DUMMYFUNCTION("""COMPUTED_VALUE"""),69.36)</f>
        <v>69.36</v>
      </c>
      <c r="W383" s="3">
        <f ca="1">IFERROR(__xludf.DUMMYFUNCTION("""COMPUTED_VALUE"""),34.14)</f>
        <v>34.14</v>
      </c>
      <c r="X383" s="3">
        <f ca="1">IFERROR(__xludf.DUMMYFUNCTION("""COMPUTED_VALUE"""),82.48)</f>
        <v>82.48</v>
      </c>
      <c r="Y383" s="3">
        <f ca="1">IFERROR(__xludf.DUMMYFUNCTION("""COMPUTED_VALUE"""),37.14)</f>
        <v>37.14</v>
      </c>
      <c r="Z383" s="3">
        <f ca="1">IFERROR(__xludf.DUMMYFUNCTION("""COMPUTED_VALUE"""),75.61)</f>
        <v>75.61</v>
      </c>
      <c r="AA383" s="3">
        <f ca="1">IFERROR(__xludf.DUMMYFUNCTION("""COMPUTED_VALUE"""),38.35)</f>
        <v>38.35</v>
      </c>
      <c r="AB383" s="3">
        <f ca="1">IFERROR(__xludf.DUMMYFUNCTION("""COMPUTED_VALUE"""),42.36)</f>
        <v>42.36</v>
      </c>
      <c r="AC383" s="3">
        <f ca="1">IFERROR(__xludf.DUMMYFUNCTION("""COMPUTED_VALUE"""),54.23)</f>
        <v>54.23</v>
      </c>
      <c r="AD383" s="3">
        <f ca="1">IFERROR(__xludf.DUMMYFUNCTION("""COMPUTED_VALUE"""),11.6)</f>
        <v>11.6</v>
      </c>
      <c r="AE383" s="3">
        <f ca="1">IFERROR(__xludf.DUMMYFUNCTION("""COMPUTED_VALUE"""),16.4)</f>
        <v>16.399999999999999</v>
      </c>
      <c r="AF383" s="3">
        <f ca="1">IFERROR(__xludf.DUMMYFUNCTION("""COMPUTED_VALUE"""),3.77)</f>
        <v>3.77</v>
      </c>
      <c r="AG383" s="3">
        <f ca="1">IFERROR(__xludf.DUMMYFUNCTION("""COMPUTED_VALUE"""),37.86)</f>
        <v>37.86</v>
      </c>
    </row>
    <row r="384" spans="1:33" ht="12.75" x14ac:dyDescent="0.2">
      <c r="A384" s="4">
        <f ca="1">IFERROR(__xludf.DUMMYFUNCTION("""COMPUTED_VALUE"""),45119.6666666666)</f>
        <v>45119.666666666599</v>
      </c>
      <c r="B384" s="3">
        <f ca="1">IFERROR(__xludf.DUMMYFUNCTION("""COMPUTED_VALUE"""),173.98)</f>
        <v>173.98</v>
      </c>
      <c r="C384" s="3">
        <f ca="1">IFERROR(__xludf.DUMMYFUNCTION("""COMPUTED_VALUE"""),443.47)</f>
        <v>443.47</v>
      </c>
      <c r="D384" s="3">
        <f ca="1">IFERROR(__xludf.DUMMYFUNCTION("""COMPUTED_VALUE"""),112.44)</f>
        <v>112.44</v>
      </c>
      <c r="E384" s="3">
        <f ca="1">IFERROR(__xludf.DUMMYFUNCTION("""COMPUTED_VALUE"""),171.36)</f>
        <v>171.36</v>
      </c>
      <c r="F384" s="3">
        <f ca="1">IFERROR(__xludf.DUMMYFUNCTION("""COMPUTED_VALUE"""),50.01)</f>
        <v>50.01</v>
      </c>
      <c r="G384" s="3">
        <f ca="1">IFERROR(__xludf.DUMMYFUNCTION("""COMPUTED_VALUE"""),29.25)</f>
        <v>29.25</v>
      </c>
      <c r="H384" s="3">
        <f ca="1">IFERROR(__xludf.DUMMYFUNCTION("""COMPUTED_VALUE"""),26.51)</f>
        <v>26.51</v>
      </c>
      <c r="I384" s="3">
        <f ca="1">IFERROR(__xludf.DUMMYFUNCTION("""COMPUTED_VALUE"""),129.7)</f>
        <v>129.69999999999999</v>
      </c>
      <c r="J384" s="3">
        <f ca="1">IFERROR(__xludf.DUMMYFUNCTION("""COMPUTED_VALUE"""),240.25)</f>
        <v>240.25</v>
      </c>
      <c r="K384" s="3">
        <f ca="1">IFERROR(__xludf.DUMMYFUNCTION("""COMPUTED_VALUE"""),127.96)</f>
        <v>127.96</v>
      </c>
      <c r="L384" s="3">
        <f ca="1">IFERROR(__xludf.DUMMYFUNCTION("""COMPUTED_VALUE"""),84.78)</f>
        <v>84.78</v>
      </c>
      <c r="M384" s="3">
        <f ca="1">IFERROR(__xludf.DUMMYFUNCTION("""COMPUTED_VALUE"""),61.73)</f>
        <v>61.73</v>
      </c>
      <c r="N384" s="3">
        <f ca="1">IFERROR(__xludf.DUMMYFUNCTION("""COMPUTED_VALUE"""),61.95)</f>
        <v>61.95</v>
      </c>
      <c r="O384" s="3">
        <f ca="1">IFERROR(__xludf.DUMMYFUNCTION("""COMPUTED_VALUE"""),49.78)</f>
        <v>49.78</v>
      </c>
      <c r="P384" s="3">
        <f ca="1">IFERROR(__xludf.DUMMYFUNCTION("""COMPUTED_VALUE"""),83.98)</f>
        <v>83.98</v>
      </c>
      <c r="Q384" s="3">
        <f ca="1">IFERROR(__xludf.DUMMYFUNCTION("""COMPUTED_VALUE"""),116.9)</f>
        <v>116.9</v>
      </c>
      <c r="R384" s="3">
        <f ca="1">IFERROR(__xludf.DUMMYFUNCTION("""COMPUTED_VALUE"""),83.1)</f>
        <v>83.1</v>
      </c>
      <c r="S384" s="3">
        <f ca="1">IFERROR(__xludf.DUMMYFUNCTION("""COMPUTED_VALUE"""),52.09)</f>
        <v>52.09</v>
      </c>
      <c r="T384" s="3">
        <f ca="1">IFERROR(__xludf.DUMMYFUNCTION("""COMPUTED_VALUE"""),23.47)</f>
        <v>23.47</v>
      </c>
      <c r="U384" s="3">
        <f ca="1">IFERROR(__xludf.DUMMYFUNCTION("""COMPUTED_VALUE"""),67.87)</f>
        <v>67.87</v>
      </c>
      <c r="V384" s="3">
        <f ca="1">IFERROR(__xludf.DUMMYFUNCTION("""COMPUTED_VALUE"""),71.32)</f>
        <v>71.319999999999993</v>
      </c>
      <c r="W384" s="3">
        <f ca="1">IFERROR(__xludf.DUMMYFUNCTION("""COMPUTED_VALUE"""),34.36)</f>
        <v>34.36</v>
      </c>
      <c r="X384" s="3">
        <f ca="1">IFERROR(__xludf.DUMMYFUNCTION("""COMPUTED_VALUE"""),83.13)</f>
        <v>83.13</v>
      </c>
      <c r="Y384" s="3">
        <f ca="1">IFERROR(__xludf.DUMMYFUNCTION("""COMPUTED_VALUE"""),37.8)</f>
        <v>37.799999999999997</v>
      </c>
      <c r="Z384" s="3">
        <f ca="1">IFERROR(__xludf.DUMMYFUNCTION("""COMPUTED_VALUE"""),76.1)</f>
        <v>76.099999999999994</v>
      </c>
      <c r="AA384" s="3">
        <f ca="1">IFERROR(__xludf.DUMMYFUNCTION("""COMPUTED_VALUE"""),38.53)</f>
        <v>38.53</v>
      </c>
      <c r="AB384" s="3">
        <f ca="1">IFERROR(__xludf.DUMMYFUNCTION("""COMPUTED_VALUE"""),43.21)</f>
        <v>43.21</v>
      </c>
      <c r="AC384" s="3">
        <f ca="1">IFERROR(__xludf.DUMMYFUNCTION("""COMPUTED_VALUE"""),54.73)</f>
        <v>54.73</v>
      </c>
      <c r="AD384" s="3">
        <f ca="1">IFERROR(__xludf.DUMMYFUNCTION("""COMPUTED_VALUE"""),11.48)</f>
        <v>11.48</v>
      </c>
      <c r="AE384" s="3">
        <f ca="1">IFERROR(__xludf.DUMMYFUNCTION("""COMPUTED_VALUE"""),16.21)</f>
        <v>16.21</v>
      </c>
      <c r="AF384" s="3">
        <f ca="1">IFERROR(__xludf.DUMMYFUNCTION("""COMPUTED_VALUE"""),3.84)</f>
        <v>3.84</v>
      </c>
      <c r="AG384" s="3">
        <f ca="1">IFERROR(__xludf.DUMMYFUNCTION("""COMPUTED_VALUE"""),37.3)</f>
        <v>37.299999999999997</v>
      </c>
    </row>
    <row r="385" spans="1:33" ht="12.75" x14ac:dyDescent="0.2">
      <c r="A385" s="4">
        <f ca="1">IFERROR(__xludf.DUMMYFUNCTION("""COMPUTED_VALUE"""),45120.6666666666)</f>
        <v>45120.666666666599</v>
      </c>
      <c r="B385" s="3">
        <f ca="1">IFERROR(__xludf.DUMMYFUNCTION("""COMPUTED_VALUE"""),176.25)</f>
        <v>176.25</v>
      </c>
      <c r="C385" s="3">
        <f ca="1">IFERROR(__xludf.DUMMYFUNCTION("""COMPUTED_VALUE"""),450.08)</f>
        <v>450.08</v>
      </c>
      <c r="D385" s="3">
        <f ca="1">IFERROR(__xludf.DUMMYFUNCTION("""COMPUTED_VALUE"""),113.48)</f>
        <v>113.48</v>
      </c>
      <c r="E385" s="3">
        <f ca="1">IFERROR(__xludf.DUMMYFUNCTION("""COMPUTED_VALUE"""),174.9)</f>
        <v>174.9</v>
      </c>
      <c r="F385" s="3">
        <f ca="1">IFERROR(__xludf.DUMMYFUNCTION("""COMPUTED_VALUE"""),51.01)</f>
        <v>51.01</v>
      </c>
      <c r="G385" s="3">
        <f ca="1">IFERROR(__xludf.DUMMYFUNCTION("""COMPUTED_VALUE"""),29.87)</f>
        <v>29.87</v>
      </c>
      <c r="H385" s="3">
        <f ca="1">IFERROR(__xludf.DUMMYFUNCTION("""COMPUTED_VALUE"""),26.78)</f>
        <v>26.78</v>
      </c>
      <c r="I385" s="3">
        <f ca="1">IFERROR(__xludf.DUMMYFUNCTION("""COMPUTED_VALUE"""),129.75)</f>
        <v>129.75</v>
      </c>
      <c r="J385" s="3">
        <f ca="1">IFERROR(__xludf.DUMMYFUNCTION("""COMPUTED_VALUE"""),240.37)</f>
        <v>240.37</v>
      </c>
      <c r="K385" s="3">
        <f ca="1">IFERROR(__xludf.DUMMYFUNCTION("""COMPUTED_VALUE"""),128.3)</f>
        <v>128.30000000000001</v>
      </c>
      <c r="L385" s="3">
        <f ca="1">IFERROR(__xludf.DUMMYFUNCTION("""COMPUTED_VALUE"""),84.68)</f>
        <v>84.68</v>
      </c>
      <c r="M385" s="3">
        <f ca="1">IFERROR(__xludf.DUMMYFUNCTION("""COMPUTED_VALUE"""),62.11)</f>
        <v>62.11</v>
      </c>
      <c r="N385" s="3">
        <f ca="1">IFERROR(__xludf.DUMMYFUNCTION("""COMPUTED_VALUE"""),61.97)</f>
        <v>61.97</v>
      </c>
      <c r="O385" s="3">
        <f ca="1">IFERROR(__xludf.DUMMYFUNCTION("""COMPUTED_VALUE"""),49.92)</f>
        <v>49.92</v>
      </c>
      <c r="P385" s="3">
        <f ca="1">IFERROR(__xludf.DUMMYFUNCTION("""COMPUTED_VALUE"""),83.66)</f>
        <v>83.66</v>
      </c>
      <c r="Q385" s="3">
        <f ca="1">IFERROR(__xludf.DUMMYFUNCTION("""COMPUTED_VALUE"""),116.44)</f>
        <v>116.44</v>
      </c>
      <c r="R385" s="3">
        <f ca="1">IFERROR(__xludf.DUMMYFUNCTION("""COMPUTED_VALUE"""),83.75)</f>
        <v>83.75</v>
      </c>
      <c r="S385" s="3">
        <f ca="1">IFERROR(__xludf.DUMMYFUNCTION("""COMPUTED_VALUE"""),52.58)</f>
        <v>52.58</v>
      </c>
      <c r="T385" s="3">
        <f ca="1">IFERROR(__xludf.DUMMYFUNCTION("""COMPUTED_VALUE"""),23.8)</f>
        <v>23.8</v>
      </c>
      <c r="U385" s="3">
        <f ca="1">IFERROR(__xludf.DUMMYFUNCTION("""COMPUTED_VALUE"""),69.09)</f>
        <v>69.09</v>
      </c>
      <c r="V385" s="3">
        <f ca="1">IFERROR(__xludf.DUMMYFUNCTION("""COMPUTED_VALUE"""),72.12)</f>
        <v>72.12</v>
      </c>
      <c r="W385" s="3">
        <f ca="1">IFERROR(__xludf.DUMMYFUNCTION("""COMPUTED_VALUE"""),34.48)</f>
        <v>34.479999999999997</v>
      </c>
      <c r="X385" s="3">
        <f ca="1">IFERROR(__xludf.DUMMYFUNCTION("""COMPUTED_VALUE"""),83.74)</f>
        <v>83.74</v>
      </c>
      <c r="Y385" s="3">
        <f ca="1">IFERROR(__xludf.DUMMYFUNCTION("""COMPUTED_VALUE"""),38.45)</f>
        <v>38.450000000000003</v>
      </c>
      <c r="Z385" s="3">
        <f ca="1">IFERROR(__xludf.DUMMYFUNCTION("""COMPUTED_VALUE"""),76.56)</f>
        <v>76.56</v>
      </c>
      <c r="AA385" s="3">
        <f ca="1">IFERROR(__xludf.DUMMYFUNCTION("""COMPUTED_VALUE"""),38.79)</f>
        <v>38.79</v>
      </c>
      <c r="AB385" s="3">
        <f ca="1">IFERROR(__xludf.DUMMYFUNCTION("""COMPUTED_VALUE"""),43.95)</f>
        <v>43.95</v>
      </c>
      <c r="AC385" s="3">
        <f ca="1">IFERROR(__xludf.DUMMYFUNCTION("""COMPUTED_VALUE"""),55.61)</f>
        <v>55.61</v>
      </c>
      <c r="AD385" s="3">
        <f ca="1">IFERROR(__xludf.DUMMYFUNCTION("""COMPUTED_VALUE"""),12.03)</f>
        <v>12.03</v>
      </c>
      <c r="AE385" s="3">
        <f ca="1">IFERROR(__xludf.DUMMYFUNCTION("""COMPUTED_VALUE"""),17.04)</f>
        <v>17.04</v>
      </c>
      <c r="AF385" s="3">
        <f ca="1">IFERROR(__xludf.DUMMYFUNCTION("""COMPUTED_VALUE"""),3.78)</f>
        <v>3.78</v>
      </c>
      <c r="AG385" s="3">
        <f ca="1">IFERROR(__xludf.DUMMYFUNCTION("""COMPUTED_VALUE"""),43.13)</f>
        <v>43.13</v>
      </c>
    </row>
    <row r="386" spans="1:33" ht="12.75" x14ac:dyDescent="0.2">
      <c r="A386" s="4">
        <f ca="1">IFERROR(__xludf.DUMMYFUNCTION("""COMPUTED_VALUE"""),45121.6666666666)</f>
        <v>45121.666666666599</v>
      </c>
      <c r="B386" s="3">
        <f ca="1">IFERROR(__xludf.DUMMYFUNCTION("""COMPUTED_VALUE"""),175.99)</f>
        <v>175.99</v>
      </c>
      <c r="C386" s="3">
        <f ca="1">IFERROR(__xludf.DUMMYFUNCTION("""COMPUTED_VALUE"""),448.47)</f>
        <v>448.47</v>
      </c>
      <c r="D386" s="3">
        <f ca="1">IFERROR(__xludf.DUMMYFUNCTION("""COMPUTED_VALUE"""),113.18)</f>
        <v>113.18</v>
      </c>
      <c r="E386" s="3">
        <f ca="1">IFERROR(__xludf.DUMMYFUNCTION("""COMPUTED_VALUE"""),172.71)</f>
        <v>172.71</v>
      </c>
      <c r="F386" s="3">
        <f ca="1">IFERROR(__xludf.DUMMYFUNCTION("""COMPUTED_VALUE"""),50.54)</f>
        <v>50.54</v>
      </c>
      <c r="G386" s="3">
        <f ca="1">IFERROR(__xludf.DUMMYFUNCTION("""COMPUTED_VALUE"""),29.41)</f>
        <v>29.41</v>
      </c>
      <c r="H386" s="3">
        <f ca="1">IFERROR(__xludf.DUMMYFUNCTION("""COMPUTED_VALUE"""),26.54)</f>
        <v>26.54</v>
      </c>
      <c r="I386" s="3">
        <f ca="1">IFERROR(__xludf.DUMMYFUNCTION("""COMPUTED_VALUE"""),131.7)</f>
        <v>131.69999999999999</v>
      </c>
      <c r="J386" s="3">
        <f ca="1">IFERROR(__xludf.DUMMYFUNCTION("""COMPUTED_VALUE"""),243.68)</f>
        <v>243.68</v>
      </c>
      <c r="K386" s="3">
        <f ca="1">IFERROR(__xludf.DUMMYFUNCTION("""COMPUTED_VALUE"""),128.24)</f>
        <v>128.24</v>
      </c>
      <c r="L386" s="3">
        <f ca="1">IFERROR(__xludf.DUMMYFUNCTION("""COMPUTED_VALUE"""),84.42)</f>
        <v>84.42</v>
      </c>
      <c r="M386" s="3">
        <f ca="1">IFERROR(__xludf.DUMMYFUNCTION("""COMPUTED_VALUE"""),62.55)</f>
        <v>62.55</v>
      </c>
      <c r="N386" s="3">
        <f ca="1">IFERROR(__xludf.DUMMYFUNCTION("""COMPUTED_VALUE"""),62.8)</f>
        <v>62.8</v>
      </c>
      <c r="O386" s="3">
        <f ca="1">IFERROR(__xludf.DUMMYFUNCTION("""COMPUTED_VALUE"""),49.04)</f>
        <v>49.04</v>
      </c>
      <c r="P386" s="3">
        <f ca="1">IFERROR(__xludf.DUMMYFUNCTION("""COMPUTED_VALUE"""),81.45)</f>
        <v>81.45</v>
      </c>
      <c r="Q386" s="3">
        <f ca="1">IFERROR(__xludf.DUMMYFUNCTION("""COMPUTED_VALUE"""),113.39)</f>
        <v>113.39</v>
      </c>
      <c r="R386" s="3">
        <f ca="1">IFERROR(__xludf.DUMMYFUNCTION("""COMPUTED_VALUE"""),83.26)</f>
        <v>83.26</v>
      </c>
      <c r="S386" s="3">
        <f ca="1">IFERROR(__xludf.DUMMYFUNCTION("""COMPUTED_VALUE"""),51.56)</f>
        <v>51.56</v>
      </c>
      <c r="T386" s="3">
        <f ca="1">IFERROR(__xludf.DUMMYFUNCTION("""COMPUTED_VALUE"""),23.64)</f>
        <v>23.64</v>
      </c>
      <c r="U386" s="3">
        <f ca="1">IFERROR(__xludf.DUMMYFUNCTION("""COMPUTED_VALUE"""),67.47)</f>
        <v>67.47</v>
      </c>
      <c r="V386" s="3">
        <f ca="1">IFERROR(__xludf.DUMMYFUNCTION("""COMPUTED_VALUE"""),70.72)</f>
        <v>70.72</v>
      </c>
      <c r="W386" s="3">
        <f ca="1">IFERROR(__xludf.DUMMYFUNCTION("""COMPUTED_VALUE"""),34.25)</f>
        <v>34.25</v>
      </c>
      <c r="X386" s="3">
        <f ca="1">IFERROR(__xludf.DUMMYFUNCTION("""COMPUTED_VALUE"""),83.15)</f>
        <v>83.15</v>
      </c>
      <c r="Y386" s="3">
        <f ca="1">IFERROR(__xludf.DUMMYFUNCTION("""COMPUTED_VALUE"""),37.71)</f>
        <v>37.71</v>
      </c>
      <c r="Z386" s="3">
        <f ca="1">IFERROR(__xludf.DUMMYFUNCTION("""COMPUTED_VALUE"""),75.95)</f>
        <v>75.95</v>
      </c>
      <c r="AA386" s="3">
        <f ca="1">IFERROR(__xludf.DUMMYFUNCTION("""COMPUTED_VALUE"""),38.79)</f>
        <v>38.79</v>
      </c>
      <c r="AB386" s="3">
        <f ca="1">IFERROR(__xludf.DUMMYFUNCTION("""COMPUTED_VALUE"""),43.13)</f>
        <v>43.13</v>
      </c>
      <c r="AC386" s="3">
        <f ca="1">IFERROR(__xludf.DUMMYFUNCTION("""COMPUTED_VALUE"""),56.17)</f>
        <v>56.17</v>
      </c>
      <c r="AD386" s="3">
        <f ca="1">IFERROR(__xludf.DUMMYFUNCTION("""COMPUTED_VALUE"""),11.41)</f>
        <v>11.41</v>
      </c>
      <c r="AE386" s="3">
        <f ca="1">IFERROR(__xludf.DUMMYFUNCTION("""COMPUTED_VALUE"""),16.13)</f>
        <v>16.13</v>
      </c>
      <c r="AF386" s="3">
        <f ca="1">IFERROR(__xludf.DUMMYFUNCTION("""COMPUTED_VALUE"""),4.2)</f>
        <v>4.2</v>
      </c>
      <c r="AG386" s="3">
        <f ca="1">IFERROR(__xludf.DUMMYFUNCTION("""COMPUTED_VALUE"""),40.61)</f>
        <v>40.61</v>
      </c>
    </row>
    <row r="387" spans="1:33" ht="12.75" x14ac:dyDescent="0.2">
      <c r="A387" s="4">
        <f ca="1">IFERROR(__xludf.DUMMYFUNCTION("""COMPUTED_VALUE"""),45124.6666666666)</f>
        <v>45124.666666666599</v>
      </c>
      <c r="B387" s="3">
        <f ca="1">IFERROR(__xludf.DUMMYFUNCTION("""COMPUTED_VALUE"""),178.24)</f>
        <v>178.24</v>
      </c>
      <c r="C387" s="3">
        <f ca="1">IFERROR(__xludf.DUMMYFUNCTION("""COMPUTED_VALUE"""),454.44)</f>
        <v>454.44</v>
      </c>
      <c r="D387" s="3">
        <f ca="1">IFERROR(__xludf.DUMMYFUNCTION("""COMPUTED_VALUE"""),110.43)</f>
        <v>110.43</v>
      </c>
      <c r="E387" s="3">
        <f ca="1">IFERROR(__xludf.DUMMYFUNCTION("""COMPUTED_VALUE"""),176.84)</f>
        <v>176.84</v>
      </c>
      <c r="F387" s="3">
        <f ca="1">IFERROR(__xludf.DUMMYFUNCTION("""COMPUTED_VALUE"""),51.16)</f>
        <v>51.16</v>
      </c>
      <c r="G387" s="3">
        <f ca="1">IFERROR(__xludf.DUMMYFUNCTION("""COMPUTED_VALUE"""),29.78)</f>
        <v>29.78</v>
      </c>
      <c r="H387" s="3">
        <f ca="1">IFERROR(__xludf.DUMMYFUNCTION("""COMPUTED_VALUE"""),26.78)</f>
        <v>26.78</v>
      </c>
      <c r="I387" s="3">
        <f ca="1">IFERROR(__xludf.DUMMYFUNCTION("""COMPUTED_VALUE"""),131.1)</f>
        <v>131.1</v>
      </c>
      <c r="J387" s="3">
        <f ca="1">IFERROR(__xludf.DUMMYFUNCTION("""COMPUTED_VALUE"""),242.64)</f>
        <v>242.64</v>
      </c>
      <c r="K387" s="3">
        <f ca="1">IFERROR(__xludf.DUMMYFUNCTION("""COMPUTED_VALUE"""),129.24)</f>
        <v>129.24</v>
      </c>
      <c r="L387" s="3">
        <f ca="1">IFERROR(__xludf.DUMMYFUNCTION("""COMPUTED_VALUE"""),85.76)</f>
        <v>85.76</v>
      </c>
      <c r="M387" s="3">
        <f ca="1">IFERROR(__xludf.DUMMYFUNCTION("""COMPUTED_VALUE"""),63.03)</f>
        <v>63.03</v>
      </c>
      <c r="N387" s="3">
        <f ca="1">IFERROR(__xludf.DUMMYFUNCTION("""COMPUTED_VALUE"""),62.59)</f>
        <v>62.59</v>
      </c>
      <c r="O387" s="3">
        <f ca="1">IFERROR(__xludf.DUMMYFUNCTION("""COMPUTED_VALUE"""),49.16)</f>
        <v>49.16</v>
      </c>
      <c r="P387" s="3">
        <f ca="1">IFERROR(__xludf.DUMMYFUNCTION("""COMPUTED_VALUE"""),81.29)</f>
        <v>81.290000000000006</v>
      </c>
      <c r="Q387" s="3">
        <f ca="1">IFERROR(__xludf.DUMMYFUNCTION("""COMPUTED_VALUE"""),113.39)</f>
        <v>113.39</v>
      </c>
      <c r="R387" s="3">
        <f ca="1">IFERROR(__xludf.DUMMYFUNCTION("""COMPUTED_VALUE"""),83.34)</f>
        <v>83.34</v>
      </c>
      <c r="S387" s="3">
        <f ca="1">IFERROR(__xludf.DUMMYFUNCTION("""COMPUTED_VALUE"""),51.76)</f>
        <v>51.76</v>
      </c>
      <c r="T387" s="3">
        <f ca="1">IFERROR(__xludf.DUMMYFUNCTION("""COMPUTED_VALUE"""),23.45)</f>
        <v>23.45</v>
      </c>
      <c r="U387" s="3">
        <f ca="1">IFERROR(__xludf.DUMMYFUNCTION("""COMPUTED_VALUE"""),66.58)</f>
        <v>66.58</v>
      </c>
      <c r="V387" s="3">
        <f ca="1">IFERROR(__xludf.DUMMYFUNCTION("""COMPUTED_VALUE"""),73.55)</f>
        <v>73.55</v>
      </c>
      <c r="W387" s="3">
        <f ca="1">IFERROR(__xludf.DUMMYFUNCTION("""COMPUTED_VALUE"""),34.58)</f>
        <v>34.58</v>
      </c>
      <c r="X387" s="3">
        <f ca="1">IFERROR(__xludf.DUMMYFUNCTION("""COMPUTED_VALUE"""),84.01)</f>
        <v>84.01</v>
      </c>
      <c r="Y387" s="3">
        <f ca="1">IFERROR(__xludf.DUMMYFUNCTION("""COMPUTED_VALUE"""),38.36)</f>
        <v>38.36</v>
      </c>
      <c r="Z387" s="3">
        <f ca="1">IFERROR(__xludf.DUMMYFUNCTION("""COMPUTED_VALUE"""),76.8)</f>
        <v>76.8</v>
      </c>
      <c r="AA387" s="3">
        <f ca="1">IFERROR(__xludf.DUMMYFUNCTION("""COMPUTED_VALUE"""),38.46)</f>
        <v>38.46</v>
      </c>
      <c r="AB387" s="3">
        <f ca="1">IFERROR(__xludf.DUMMYFUNCTION("""COMPUTED_VALUE"""),43.88)</f>
        <v>43.88</v>
      </c>
      <c r="AC387" s="3">
        <f ca="1">IFERROR(__xludf.DUMMYFUNCTION("""COMPUTED_VALUE"""),56.22)</f>
        <v>56.22</v>
      </c>
      <c r="AD387" s="3">
        <f ca="1">IFERROR(__xludf.DUMMYFUNCTION("""COMPUTED_VALUE"""),11.31)</f>
        <v>11.31</v>
      </c>
      <c r="AE387" s="3">
        <f ca="1">IFERROR(__xludf.DUMMYFUNCTION("""COMPUTED_VALUE"""),15.97)</f>
        <v>15.97</v>
      </c>
      <c r="AF387" s="3">
        <f ca="1">IFERROR(__xludf.DUMMYFUNCTION("""COMPUTED_VALUE"""),4.04)</f>
        <v>4.04</v>
      </c>
      <c r="AG387" s="3">
        <f ca="1">IFERROR(__xludf.DUMMYFUNCTION("""COMPUTED_VALUE"""),39.4)</f>
        <v>39.4</v>
      </c>
    </row>
    <row r="388" spans="1:33" ht="12.75" x14ac:dyDescent="0.2">
      <c r="A388" s="4">
        <f ca="1">IFERROR(__xludf.DUMMYFUNCTION("""COMPUTED_VALUE"""),45125.6666666666)</f>
        <v>45125.666666666599</v>
      </c>
      <c r="B388" s="3">
        <f ca="1">IFERROR(__xludf.DUMMYFUNCTION("""COMPUTED_VALUE"""),180.26)</f>
        <v>180.26</v>
      </c>
      <c r="C388" s="3">
        <f ca="1">IFERROR(__xludf.DUMMYFUNCTION("""COMPUTED_VALUE"""),459.58)</f>
        <v>459.58</v>
      </c>
      <c r="D388" s="3">
        <f ca="1">IFERROR(__xludf.DUMMYFUNCTION("""COMPUTED_VALUE"""),110.31)</f>
        <v>110.31</v>
      </c>
      <c r="E388" s="3">
        <f ca="1">IFERROR(__xludf.DUMMYFUNCTION("""COMPUTED_VALUE"""),177.17)</f>
        <v>177.17</v>
      </c>
      <c r="F388" s="3">
        <f ca="1">IFERROR(__xludf.DUMMYFUNCTION("""COMPUTED_VALUE"""),51.56)</f>
        <v>51.56</v>
      </c>
      <c r="G388" s="3">
        <f ca="1">IFERROR(__xludf.DUMMYFUNCTION("""COMPUTED_VALUE"""),30.13)</f>
        <v>30.13</v>
      </c>
      <c r="H388" s="3">
        <f ca="1">IFERROR(__xludf.DUMMYFUNCTION("""COMPUTED_VALUE"""),26.89)</f>
        <v>26.89</v>
      </c>
      <c r="I388" s="3">
        <f ca="1">IFERROR(__xludf.DUMMYFUNCTION("""COMPUTED_VALUE"""),132.07)</f>
        <v>132.07</v>
      </c>
      <c r="J388" s="3">
        <f ca="1">IFERROR(__xludf.DUMMYFUNCTION("""COMPUTED_VALUE"""),244.2)</f>
        <v>244.2</v>
      </c>
      <c r="K388" s="3">
        <f ca="1">IFERROR(__xludf.DUMMYFUNCTION("""COMPUTED_VALUE"""),129.72)</f>
        <v>129.72</v>
      </c>
      <c r="L388" s="3">
        <f ca="1">IFERROR(__xludf.DUMMYFUNCTION("""COMPUTED_VALUE"""),85.58)</f>
        <v>85.58</v>
      </c>
      <c r="M388" s="3">
        <f ca="1">IFERROR(__xludf.DUMMYFUNCTION("""COMPUTED_VALUE"""),63.29)</f>
        <v>63.29</v>
      </c>
      <c r="N388" s="3">
        <f ca="1">IFERROR(__xludf.DUMMYFUNCTION("""COMPUTED_VALUE"""),63.01)</f>
        <v>63.01</v>
      </c>
      <c r="O388" s="3">
        <f ca="1">IFERROR(__xludf.DUMMYFUNCTION("""COMPUTED_VALUE"""),49.28)</f>
        <v>49.28</v>
      </c>
      <c r="P388" s="3">
        <f ca="1">IFERROR(__xludf.DUMMYFUNCTION("""COMPUTED_VALUE"""),82.11)</f>
        <v>82.11</v>
      </c>
      <c r="Q388" s="3">
        <f ca="1">IFERROR(__xludf.DUMMYFUNCTION("""COMPUTED_VALUE"""),114.84)</f>
        <v>114.84</v>
      </c>
      <c r="R388" s="3">
        <f ca="1">IFERROR(__xludf.DUMMYFUNCTION("""COMPUTED_VALUE"""),83.99)</f>
        <v>83.99</v>
      </c>
      <c r="S388" s="3">
        <f ca="1">IFERROR(__xludf.DUMMYFUNCTION("""COMPUTED_VALUE"""),52.58)</f>
        <v>52.58</v>
      </c>
      <c r="T388" s="3">
        <f ca="1">IFERROR(__xludf.DUMMYFUNCTION("""COMPUTED_VALUE"""),23.76)</f>
        <v>23.76</v>
      </c>
      <c r="U388" s="3">
        <f ca="1">IFERROR(__xludf.DUMMYFUNCTION("""COMPUTED_VALUE"""),67.96)</f>
        <v>67.959999999999994</v>
      </c>
      <c r="V388" s="3">
        <f ca="1">IFERROR(__xludf.DUMMYFUNCTION("""COMPUTED_VALUE"""),72.89)</f>
        <v>72.89</v>
      </c>
      <c r="W388" s="3">
        <f ca="1">IFERROR(__xludf.DUMMYFUNCTION("""COMPUTED_VALUE"""),34.97)</f>
        <v>34.97</v>
      </c>
      <c r="X388" s="3">
        <f ca="1">IFERROR(__xludf.DUMMYFUNCTION("""COMPUTED_VALUE"""),85.15)</f>
        <v>85.15</v>
      </c>
      <c r="Y388" s="3">
        <f ca="1">IFERROR(__xludf.DUMMYFUNCTION("""COMPUTED_VALUE"""),39.71)</f>
        <v>39.71</v>
      </c>
      <c r="Z388" s="3">
        <f ca="1">IFERROR(__xludf.DUMMYFUNCTION("""COMPUTED_VALUE"""),78.06)</f>
        <v>78.06</v>
      </c>
      <c r="AA388" s="3">
        <f ca="1">IFERROR(__xludf.DUMMYFUNCTION("""COMPUTED_VALUE"""),38.14)</f>
        <v>38.14</v>
      </c>
      <c r="AB388" s="3">
        <f ca="1">IFERROR(__xludf.DUMMYFUNCTION("""COMPUTED_VALUE"""),45.73)</f>
        <v>45.73</v>
      </c>
      <c r="AC388" s="3">
        <f ca="1">IFERROR(__xludf.DUMMYFUNCTION("""COMPUTED_VALUE"""),55.93)</f>
        <v>55.93</v>
      </c>
      <c r="AD388" s="3">
        <f ca="1">IFERROR(__xludf.DUMMYFUNCTION("""COMPUTED_VALUE"""),11.23)</f>
        <v>11.23</v>
      </c>
      <c r="AE388" s="3">
        <f ca="1">IFERROR(__xludf.DUMMYFUNCTION("""COMPUTED_VALUE"""),15.87)</f>
        <v>15.87</v>
      </c>
      <c r="AF388" s="3">
        <f ca="1">IFERROR(__xludf.DUMMYFUNCTION("""COMPUTED_VALUE"""),3.93)</f>
        <v>3.93</v>
      </c>
      <c r="AG388" s="3">
        <f ca="1">IFERROR(__xludf.DUMMYFUNCTION("""COMPUTED_VALUE"""),38.71)</f>
        <v>38.71</v>
      </c>
    </row>
    <row r="389" spans="1:33" ht="12.75" x14ac:dyDescent="0.2">
      <c r="A389" s="4">
        <f ca="1">IFERROR(__xludf.DUMMYFUNCTION("""COMPUTED_VALUE"""),45126.6666666666)</f>
        <v>45126.666666666599</v>
      </c>
      <c r="B389" s="3">
        <f ca="1">IFERROR(__xludf.DUMMYFUNCTION("""COMPUTED_VALUE"""),179.81)</f>
        <v>179.81</v>
      </c>
      <c r="C389" s="3">
        <f ca="1">IFERROR(__xludf.DUMMYFUNCTION("""COMPUTED_VALUE"""),458.37)</f>
        <v>458.37</v>
      </c>
      <c r="D389" s="3">
        <f ca="1">IFERROR(__xludf.DUMMYFUNCTION("""COMPUTED_VALUE"""),110.51)</f>
        <v>110.51</v>
      </c>
      <c r="E389" s="3">
        <f ca="1">IFERROR(__xludf.DUMMYFUNCTION("""COMPUTED_VALUE"""),175.07)</f>
        <v>175.07</v>
      </c>
      <c r="F389" s="3">
        <f ca="1">IFERROR(__xludf.DUMMYFUNCTION("""COMPUTED_VALUE"""),51.65)</f>
        <v>51.65</v>
      </c>
      <c r="G389" s="3">
        <f ca="1">IFERROR(__xludf.DUMMYFUNCTION("""COMPUTED_VALUE"""),29.94)</f>
        <v>29.94</v>
      </c>
      <c r="H389" s="3">
        <f ca="1">IFERROR(__xludf.DUMMYFUNCTION("""COMPUTED_VALUE"""),26.98)</f>
        <v>26.98</v>
      </c>
      <c r="I389" s="3">
        <f ca="1">IFERROR(__xludf.DUMMYFUNCTION("""COMPUTED_VALUE"""),132.68)</f>
        <v>132.68</v>
      </c>
      <c r="J389" s="3">
        <f ca="1">IFERROR(__xludf.DUMMYFUNCTION("""COMPUTED_VALUE"""),245.19)</f>
        <v>245.19</v>
      </c>
      <c r="K389" s="3">
        <f ca="1">IFERROR(__xludf.DUMMYFUNCTION("""COMPUTED_VALUE"""),130.41)</f>
        <v>130.41</v>
      </c>
      <c r="L389" s="3">
        <f ca="1">IFERROR(__xludf.DUMMYFUNCTION("""COMPUTED_VALUE"""),85.76)</f>
        <v>85.76</v>
      </c>
      <c r="M389" s="3">
        <f ca="1">IFERROR(__xludf.DUMMYFUNCTION("""COMPUTED_VALUE"""),63.56)</f>
        <v>63.56</v>
      </c>
      <c r="N389" s="3">
        <f ca="1">IFERROR(__xludf.DUMMYFUNCTION("""COMPUTED_VALUE"""),63.28)</f>
        <v>63.28</v>
      </c>
      <c r="O389" s="3">
        <f ca="1">IFERROR(__xludf.DUMMYFUNCTION("""COMPUTED_VALUE"""),49.69)</f>
        <v>49.69</v>
      </c>
      <c r="P389" s="3">
        <f ca="1">IFERROR(__xludf.DUMMYFUNCTION("""COMPUTED_VALUE"""),82.59)</f>
        <v>82.59</v>
      </c>
      <c r="Q389" s="3">
        <f ca="1">IFERROR(__xludf.DUMMYFUNCTION("""COMPUTED_VALUE"""),115.35)</f>
        <v>115.35</v>
      </c>
      <c r="R389" s="3">
        <f ca="1">IFERROR(__xludf.DUMMYFUNCTION("""COMPUTED_VALUE"""),83.54)</f>
        <v>83.54</v>
      </c>
      <c r="S389" s="3">
        <f ca="1">IFERROR(__xludf.DUMMYFUNCTION("""COMPUTED_VALUE"""),52.42)</f>
        <v>52.42</v>
      </c>
      <c r="T389" s="3">
        <f ca="1">IFERROR(__xludf.DUMMYFUNCTION("""COMPUTED_VALUE"""),23.89)</f>
        <v>23.89</v>
      </c>
      <c r="U389" s="3">
        <f ca="1">IFERROR(__xludf.DUMMYFUNCTION("""COMPUTED_VALUE"""),67.69)</f>
        <v>67.69</v>
      </c>
      <c r="V389" s="3">
        <f ca="1">IFERROR(__xludf.DUMMYFUNCTION("""COMPUTED_VALUE"""),73.01)</f>
        <v>73.010000000000005</v>
      </c>
      <c r="W389" s="3">
        <f ca="1">IFERROR(__xludf.DUMMYFUNCTION("""COMPUTED_VALUE"""),35.12)</f>
        <v>35.119999999999997</v>
      </c>
      <c r="X389" s="3">
        <f ca="1">IFERROR(__xludf.DUMMYFUNCTION("""COMPUTED_VALUE"""),85.69)</f>
        <v>85.69</v>
      </c>
      <c r="Y389" s="3">
        <f ca="1">IFERROR(__xludf.DUMMYFUNCTION("""COMPUTED_VALUE"""),40.8)</f>
        <v>40.799999999999997</v>
      </c>
      <c r="Z389" s="3">
        <f ca="1">IFERROR(__xludf.DUMMYFUNCTION("""COMPUTED_VALUE"""),78.59)</f>
        <v>78.59</v>
      </c>
      <c r="AA389" s="3">
        <f ca="1">IFERROR(__xludf.DUMMYFUNCTION("""COMPUTED_VALUE"""),38.56)</f>
        <v>38.56</v>
      </c>
      <c r="AB389" s="3">
        <f ca="1">IFERROR(__xludf.DUMMYFUNCTION("""COMPUTED_VALUE"""),47.15)</f>
        <v>47.15</v>
      </c>
      <c r="AC389" s="3">
        <f ca="1">IFERROR(__xludf.DUMMYFUNCTION("""COMPUTED_VALUE"""),56.5)</f>
        <v>56.5</v>
      </c>
      <c r="AD389" s="3">
        <f ca="1">IFERROR(__xludf.DUMMYFUNCTION("""COMPUTED_VALUE"""),11.36)</f>
        <v>11.36</v>
      </c>
      <c r="AE389" s="3">
        <f ca="1">IFERROR(__xludf.DUMMYFUNCTION("""COMPUTED_VALUE"""),16.04)</f>
        <v>16.04</v>
      </c>
      <c r="AF389" s="3">
        <f ca="1">IFERROR(__xludf.DUMMYFUNCTION("""COMPUTED_VALUE"""),3.91)</f>
        <v>3.91</v>
      </c>
      <c r="AG389" s="3">
        <f ca="1">IFERROR(__xludf.DUMMYFUNCTION("""COMPUTED_VALUE"""),40.19)</f>
        <v>40.19</v>
      </c>
    </row>
    <row r="390" spans="1:33" ht="12.75" x14ac:dyDescent="0.2">
      <c r="A390" s="4">
        <f ca="1">IFERROR(__xludf.DUMMYFUNCTION("""COMPUTED_VALUE"""),45127.6666666666)</f>
        <v>45127.666666666599</v>
      </c>
      <c r="B390" s="3">
        <f ca="1">IFERROR(__xludf.DUMMYFUNCTION("""COMPUTED_VALUE"""),176.22)</f>
        <v>176.22</v>
      </c>
      <c r="C390" s="3">
        <f ca="1">IFERROR(__xludf.DUMMYFUNCTION("""COMPUTED_VALUE"""),448.67)</f>
        <v>448.67</v>
      </c>
      <c r="D390" s="3">
        <f ca="1">IFERROR(__xludf.DUMMYFUNCTION("""COMPUTED_VALUE"""),111.63)</f>
        <v>111.63</v>
      </c>
      <c r="E390" s="3">
        <f ca="1">IFERROR(__xludf.DUMMYFUNCTION("""COMPUTED_VALUE"""),168.7)</f>
        <v>168.7</v>
      </c>
      <c r="F390" s="3">
        <f ca="1">IFERROR(__xludf.DUMMYFUNCTION("""COMPUTED_VALUE"""),50.73)</f>
        <v>50.73</v>
      </c>
      <c r="G390" s="3">
        <f ca="1">IFERROR(__xludf.DUMMYFUNCTION("""COMPUTED_VALUE"""),29.13)</f>
        <v>29.13</v>
      </c>
      <c r="H390" s="3">
        <f ca="1">IFERROR(__xludf.DUMMYFUNCTION("""COMPUTED_VALUE"""),26.64)</f>
        <v>26.64</v>
      </c>
      <c r="I390" s="3">
        <f ca="1">IFERROR(__xludf.DUMMYFUNCTION("""COMPUTED_VALUE"""),134.88)</f>
        <v>134.88</v>
      </c>
      <c r="J390" s="3">
        <f ca="1">IFERROR(__xludf.DUMMYFUNCTION("""COMPUTED_VALUE"""),248.33)</f>
        <v>248.33</v>
      </c>
      <c r="K390" s="3">
        <f ca="1">IFERROR(__xludf.DUMMYFUNCTION("""COMPUTED_VALUE"""),130.26)</f>
        <v>130.26</v>
      </c>
      <c r="L390" s="3">
        <f ca="1">IFERROR(__xludf.DUMMYFUNCTION("""COMPUTED_VALUE"""),84.33)</f>
        <v>84.33</v>
      </c>
      <c r="M390" s="3">
        <f ca="1">IFERROR(__xludf.DUMMYFUNCTION("""COMPUTED_VALUE"""),63.28)</f>
        <v>63.28</v>
      </c>
      <c r="N390" s="3">
        <f ca="1">IFERROR(__xludf.DUMMYFUNCTION("""COMPUTED_VALUE"""),64.07)</f>
        <v>64.069999999999993</v>
      </c>
      <c r="O390" s="3">
        <f ca="1">IFERROR(__xludf.DUMMYFUNCTION("""COMPUTED_VALUE"""),49)</f>
        <v>49</v>
      </c>
      <c r="P390" s="3">
        <f ca="1">IFERROR(__xludf.DUMMYFUNCTION("""COMPUTED_VALUE"""),83.56)</f>
        <v>83.56</v>
      </c>
      <c r="Q390" s="3">
        <f ca="1">IFERROR(__xludf.DUMMYFUNCTION("""COMPUTED_VALUE"""),116.64)</f>
        <v>116.64</v>
      </c>
      <c r="R390" s="3">
        <f ca="1">IFERROR(__xludf.DUMMYFUNCTION("""COMPUTED_VALUE"""),83.74)</f>
        <v>83.74</v>
      </c>
      <c r="S390" s="3">
        <f ca="1">IFERROR(__xludf.DUMMYFUNCTION("""COMPUTED_VALUE"""),52.04)</f>
        <v>52.04</v>
      </c>
      <c r="T390" s="3">
        <f ca="1">IFERROR(__xludf.DUMMYFUNCTION("""COMPUTED_VALUE"""),23.96)</f>
        <v>23.96</v>
      </c>
      <c r="U390" s="3">
        <f ca="1">IFERROR(__xludf.DUMMYFUNCTION("""COMPUTED_VALUE"""),68.05)</f>
        <v>68.05</v>
      </c>
      <c r="V390" s="3">
        <f ca="1">IFERROR(__xludf.DUMMYFUNCTION("""COMPUTED_VALUE"""),71.44)</f>
        <v>71.44</v>
      </c>
      <c r="W390" s="3">
        <f ca="1">IFERROR(__xludf.DUMMYFUNCTION("""COMPUTED_VALUE"""),35.38)</f>
        <v>35.380000000000003</v>
      </c>
      <c r="X390" s="3">
        <f ca="1">IFERROR(__xludf.DUMMYFUNCTION("""COMPUTED_VALUE"""),86.1)</f>
        <v>86.1</v>
      </c>
      <c r="Y390" s="3">
        <f ca="1">IFERROR(__xludf.DUMMYFUNCTION("""COMPUTED_VALUE"""),40.75)</f>
        <v>40.75</v>
      </c>
      <c r="Z390" s="3">
        <f ca="1">IFERROR(__xludf.DUMMYFUNCTION("""COMPUTED_VALUE"""),79.24)</f>
        <v>79.239999999999995</v>
      </c>
      <c r="AA390" s="3">
        <f ca="1">IFERROR(__xludf.DUMMYFUNCTION("""COMPUTED_VALUE"""),38.43)</f>
        <v>38.43</v>
      </c>
      <c r="AB390" s="3">
        <f ca="1">IFERROR(__xludf.DUMMYFUNCTION("""COMPUTED_VALUE"""),46.97)</f>
        <v>46.97</v>
      </c>
      <c r="AC390" s="3">
        <f ca="1">IFERROR(__xludf.DUMMYFUNCTION("""COMPUTED_VALUE"""),56.08)</f>
        <v>56.08</v>
      </c>
      <c r="AD390" s="3">
        <f ca="1">IFERROR(__xludf.DUMMYFUNCTION("""COMPUTED_VALUE"""),11.25)</f>
        <v>11.25</v>
      </c>
      <c r="AE390" s="3">
        <f ca="1">IFERROR(__xludf.DUMMYFUNCTION("""COMPUTED_VALUE"""),15.88)</f>
        <v>15.88</v>
      </c>
      <c r="AF390" s="3">
        <f ca="1">IFERROR(__xludf.DUMMYFUNCTION("""COMPUTED_VALUE"""),4.01)</f>
        <v>4.01</v>
      </c>
      <c r="AG390" s="3">
        <f ca="1">IFERROR(__xludf.DUMMYFUNCTION("""COMPUTED_VALUE"""),38.23)</f>
        <v>38.229999999999997</v>
      </c>
    </row>
    <row r="391" spans="1:33" ht="12.75" x14ac:dyDescent="0.2">
      <c r="A391" s="4">
        <f ca="1">IFERROR(__xludf.DUMMYFUNCTION("""COMPUTED_VALUE"""),45128.6666666666)</f>
        <v>45128.666666666599</v>
      </c>
      <c r="B391" s="3">
        <f ca="1">IFERROR(__xludf.DUMMYFUNCTION("""COMPUTED_VALUE"""),176.13)</f>
        <v>176.13</v>
      </c>
      <c r="C391" s="3">
        <f ca="1">IFERROR(__xludf.DUMMYFUNCTION("""COMPUTED_VALUE"""),447.9)</f>
        <v>447.9</v>
      </c>
      <c r="D391" s="3">
        <f ca="1">IFERROR(__xludf.DUMMYFUNCTION("""COMPUTED_VALUE"""),111.17)</f>
        <v>111.17</v>
      </c>
      <c r="E391" s="3">
        <f ca="1">IFERROR(__xludf.DUMMYFUNCTION("""COMPUTED_VALUE"""),170.22)</f>
        <v>170.22</v>
      </c>
      <c r="F391" s="3">
        <f ca="1">IFERROR(__xludf.DUMMYFUNCTION("""COMPUTED_VALUE"""),50.86)</f>
        <v>50.86</v>
      </c>
      <c r="G391" s="3">
        <f ca="1">IFERROR(__xludf.DUMMYFUNCTION("""COMPUTED_VALUE"""),28.94)</f>
        <v>28.94</v>
      </c>
      <c r="H391" s="3">
        <f ca="1">IFERROR(__xludf.DUMMYFUNCTION("""COMPUTED_VALUE"""),26.76)</f>
        <v>26.76</v>
      </c>
      <c r="I391" s="3">
        <f ca="1">IFERROR(__xludf.DUMMYFUNCTION("""COMPUTED_VALUE"""),136.24)</f>
        <v>136.24</v>
      </c>
      <c r="J391" s="3">
        <f ca="1">IFERROR(__xludf.DUMMYFUNCTION("""COMPUTED_VALUE"""),250.77)</f>
        <v>250.77</v>
      </c>
      <c r="K391" s="3">
        <f ca="1">IFERROR(__xludf.DUMMYFUNCTION("""COMPUTED_VALUE"""),131.47)</f>
        <v>131.47</v>
      </c>
      <c r="L391" s="3">
        <f ca="1">IFERROR(__xludf.DUMMYFUNCTION("""COMPUTED_VALUE"""),84.97)</f>
        <v>84.97</v>
      </c>
      <c r="M391" s="3">
        <f ca="1">IFERROR(__xludf.DUMMYFUNCTION("""COMPUTED_VALUE"""),64.1)</f>
        <v>64.099999999999994</v>
      </c>
      <c r="N391" s="3">
        <f ca="1">IFERROR(__xludf.DUMMYFUNCTION("""COMPUTED_VALUE"""),64.65)</f>
        <v>64.650000000000006</v>
      </c>
      <c r="O391" s="3">
        <f ca="1">IFERROR(__xludf.DUMMYFUNCTION("""COMPUTED_VALUE"""),50)</f>
        <v>50</v>
      </c>
      <c r="P391" s="3">
        <f ca="1">IFERROR(__xludf.DUMMYFUNCTION("""COMPUTED_VALUE"""),84.3)</f>
        <v>84.3</v>
      </c>
      <c r="Q391" s="3">
        <f ca="1">IFERROR(__xludf.DUMMYFUNCTION("""COMPUTED_VALUE"""),117.57)</f>
        <v>117.57</v>
      </c>
      <c r="R391" s="3">
        <f ca="1">IFERROR(__xludf.DUMMYFUNCTION("""COMPUTED_VALUE"""),83.75)</f>
        <v>83.75</v>
      </c>
      <c r="S391" s="3">
        <f ca="1">IFERROR(__xludf.DUMMYFUNCTION("""COMPUTED_VALUE"""),51.64)</f>
        <v>51.64</v>
      </c>
      <c r="T391" s="3">
        <f ca="1">IFERROR(__xludf.DUMMYFUNCTION("""COMPUTED_VALUE"""),24.09)</f>
        <v>24.09</v>
      </c>
      <c r="U391" s="3">
        <f ca="1">IFERROR(__xludf.DUMMYFUNCTION("""COMPUTED_VALUE"""),68.99)</f>
        <v>68.989999999999995</v>
      </c>
      <c r="V391" s="3">
        <f ca="1">IFERROR(__xludf.DUMMYFUNCTION("""COMPUTED_VALUE"""),71.15)</f>
        <v>71.150000000000006</v>
      </c>
      <c r="W391" s="3">
        <f ca="1">IFERROR(__xludf.DUMMYFUNCTION("""COMPUTED_VALUE"""),35.26)</f>
        <v>35.26</v>
      </c>
      <c r="X391" s="3">
        <f ca="1">IFERROR(__xludf.DUMMYFUNCTION("""COMPUTED_VALUE"""),85.67)</f>
        <v>85.67</v>
      </c>
      <c r="Y391" s="3">
        <f ca="1">IFERROR(__xludf.DUMMYFUNCTION("""COMPUTED_VALUE"""),40.26)</f>
        <v>40.26</v>
      </c>
      <c r="Z391" s="3">
        <f ca="1">IFERROR(__xludf.DUMMYFUNCTION("""COMPUTED_VALUE"""),78.99)</f>
        <v>78.989999999999995</v>
      </c>
      <c r="AA391" s="3">
        <f ca="1">IFERROR(__xludf.DUMMYFUNCTION("""COMPUTED_VALUE"""),38.6)</f>
        <v>38.6</v>
      </c>
      <c r="AB391" s="3">
        <f ca="1">IFERROR(__xludf.DUMMYFUNCTION("""COMPUTED_VALUE"""),46.38)</f>
        <v>46.38</v>
      </c>
      <c r="AC391" s="3">
        <f ca="1">IFERROR(__xludf.DUMMYFUNCTION("""COMPUTED_VALUE"""),56.49)</f>
        <v>56.49</v>
      </c>
      <c r="AD391" s="3">
        <f ca="1">IFERROR(__xludf.DUMMYFUNCTION("""COMPUTED_VALUE"""),11.28)</f>
        <v>11.28</v>
      </c>
      <c r="AE391" s="3">
        <f ca="1">IFERROR(__xludf.DUMMYFUNCTION("""COMPUTED_VALUE"""),15.95)</f>
        <v>15.95</v>
      </c>
      <c r="AF391" s="3">
        <f ca="1">IFERROR(__xludf.DUMMYFUNCTION("""COMPUTED_VALUE"""),3.85)</f>
        <v>3.85</v>
      </c>
      <c r="AG391" s="3">
        <f ca="1">IFERROR(__xludf.DUMMYFUNCTION("""COMPUTED_VALUE"""),37.77)</f>
        <v>37.770000000000003</v>
      </c>
    </row>
    <row r="392" spans="1:33" ht="12.75" x14ac:dyDescent="0.2">
      <c r="A392" s="4">
        <f ca="1">IFERROR(__xludf.DUMMYFUNCTION("""COMPUTED_VALUE"""),45131.6666666666)</f>
        <v>45131.666666666599</v>
      </c>
      <c r="B392" s="3">
        <f ca="1">IFERROR(__xludf.DUMMYFUNCTION("""COMPUTED_VALUE"""),176.44)</f>
        <v>176.44</v>
      </c>
      <c r="C392" s="3">
        <f ca="1">IFERROR(__xludf.DUMMYFUNCTION("""COMPUTED_VALUE"""),448.41)</f>
        <v>448.41</v>
      </c>
      <c r="D392" s="3">
        <f ca="1">IFERROR(__xludf.DUMMYFUNCTION("""COMPUTED_VALUE"""),111.09)</f>
        <v>111.09</v>
      </c>
      <c r="E392" s="3">
        <f ca="1">IFERROR(__xludf.DUMMYFUNCTION("""COMPUTED_VALUE"""),170.22)</f>
        <v>170.22</v>
      </c>
      <c r="F392" s="3">
        <f ca="1">IFERROR(__xludf.DUMMYFUNCTION("""COMPUTED_VALUE"""),50.71)</f>
        <v>50.71</v>
      </c>
      <c r="G392" s="3">
        <f ca="1">IFERROR(__xludf.DUMMYFUNCTION("""COMPUTED_VALUE"""),28.72)</f>
        <v>28.72</v>
      </c>
      <c r="H392" s="3">
        <f ca="1">IFERROR(__xludf.DUMMYFUNCTION("""COMPUTED_VALUE"""),26.6)</f>
        <v>26.6</v>
      </c>
      <c r="I392" s="3">
        <f ca="1">IFERROR(__xludf.DUMMYFUNCTION("""COMPUTED_VALUE"""),135.94)</f>
        <v>135.94</v>
      </c>
      <c r="J392" s="3">
        <f ca="1">IFERROR(__xludf.DUMMYFUNCTION("""COMPUTED_VALUE"""),249.96)</f>
        <v>249.96</v>
      </c>
      <c r="K392" s="3">
        <f ca="1">IFERROR(__xludf.DUMMYFUNCTION("""COMPUTED_VALUE"""),129.42)</f>
        <v>129.41999999999999</v>
      </c>
      <c r="L392" s="3">
        <f ca="1">IFERROR(__xludf.DUMMYFUNCTION("""COMPUTED_VALUE"""),83.42)</f>
        <v>83.42</v>
      </c>
      <c r="M392" s="3">
        <f ca="1">IFERROR(__xludf.DUMMYFUNCTION("""COMPUTED_VALUE"""),63.43)</f>
        <v>63.43</v>
      </c>
      <c r="N392" s="3">
        <f ca="1">IFERROR(__xludf.DUMMYFUNCTION("""COMPUTED_VALUE"""),64.42)</f>
        <v>64.42</v>
      </c>
      <c r="O392" s="3">
        <f ca="1">IFERROR(__xludf.DUMMYFUNCTION("""COMPUTED_VALUE"""),48.94)</f>
        <v>48.94</v>
      </c>
      <c r="P392" s="3">
        <f ca="1">IFERROR(__xludf.DUMMYFUNCTION("""COMPUTED_VALUE"""),85.66)</f>
        <v>85.66</v>
      </c>
      <c r="Q392" s="3">
        <f ca="1">IFERROR(__xludf.DUMMYFUNCTION("""COMPUTED_VALUE"""),119.46)</f>
        <v>119.46</v>
      </c>
      <c r="R392" s="3">
        <f ca="1">IFERROR(__xludf.DUMMYFUNCTION("""COMPUTED_VALUE"""),84.01)</f>
        <v>84.01</v>
      </c>
      <c r="S392" s="3">
        <f ca="1">IFERROR(__xludf.DUMMYFUNCTION("""COMPUTED_VALUE"""),52.25)</f>
        <v>52.25</v>
      </c>
      <c r="T392" s="3">
        <f ca="1">IFERROR(__xludf.DUMMYFUNCTION("""COMPUTED_VALUE"""),24.52)</f>
        <v>24.52</v>
      </c>
      <c r="U392" s="3">
        <f ca="1">IFERROR(__xludf.DUMMYFUNCTION("""COMPUTED_VALUE"""),70.69)</f>
        <v>70.69</v>
      </c>
      <c r="V392" s="3">
        <f ca="1">IFERROR(__xludf.DUMMYFUNCTION("""COMPUTED_VALUE"""),70.92)</f>
        <v>70.92</v>
      </c>
      <c r="W392" s="3">
        <f ca="1">IFERROR(__xludf.DUMMYFUNCTION("""COMPUTED_VALUE"""),35.6)</f>
        <v>35.6</v>
      </c>
      <c r="X392" s="3">
        <f ca="1">IFERROR(__xludf.DUMMYFUNCTION("""COMPUTED_VALUE"""),86.54)</f>
        <v>86.54</v>
      </c>
      <c r="Y392" s="3">
        <f ca="1">IFERROR(__xludf.DUMMYFUNCTION("""COMPUTED_VALUE"""),41.07)</f>
        <v>41.07</v>
      </c>
      <c r="Z392" s="3">
        <f ca="1">IFERROR(__xludf.DUMMYFUNCTION("""COMPUTED_VALUE"""),79.7)</f>
        <v>79.7</v>
      </c>
      <c r="AA392" s="3">
        <f ca="1">IFERROR(__xludf.DUMMYFUNCTION("""COMPUTED_VALUE"""),38.97)</f>
        <v>38.97</v>
      </c>
      <c r="AB392" s="3">
        <f ca="1">IFERROR(__xludf.DUMMYFUNCTION("""COMPUTED_VALUE"""),47.55)</f>
        <v>47.55</v>
      </c>
      <c r="AC392" s="3">
        <f ca="1">IFERROR(__xludf.DUMMYFUNCTION("""COMPUTED_VALUE"""),55.61)</f>
        <v>55.61</v>
      </c>
      <c r="AD392" s="3">
        <f ca="1">IFERROR(__xludf.DUMMYFUNCTION("""COMPUTED_VALUE"""),10.99)</f>
        <v>10.99</v>
      </c>
      <c r="AE392" s="3">
        <f ca="1">IFERROR(__xludf.DUMMYFUNCTION("""COMPUTED_VALUE"""),15.52)</f>
        <v>15.52</v>
      </c>
      <c r="AF392" s="3">
        <f ca="1">IFERROR(__xludf.DUMMYFUNCTION("""COMPUTED_VALUE"""),3.83)</f>
        <v>3.83</v>
      </c>
      <c r="AG392" s="3">
        <f ca="1">IFERROR(__xludf.DUMMYFUNCTION("""COMPUTED_VALUE"""),37.1)</f>
        <v>37.1</v>
      </c>
    </row>
    <row r="393" spans="1:33" ht="12.75" x14ac:dyDescent="0.2">
      <c r="A393" s="4">
        <f ca="1">IFERROR(__xludf.DUMMYFUNCTION("""COMPUTED_VALUE"""),45132.6666666666)</f>
        <v>45132.666666666599</v>
      </c>
      <c r="B393" s="3">
        <f ca="1">IFERROR(__xludf.DUMMYFUNCTION("""COMPUTED_VALUE"""),178.46)</f>
        <v>178.46</v>
      </c>
      <c r="C393" s="3">
        <f ca="1">IFERROR(__xludf.DUMMYFUNCTION("""COMPUTED_VALUE"""),453.51)</f>
        <v>453.51</v>
      </c>
      <c r="D393" s="3">
        <f ca="1">IFERROR(__xludf.DUMMYFUNCTION("""COMPUTED_VALUE"""),113.26)</f>
        <v>113.26</v>
      </c>
      <c r="E393" s="3">
        <f ca="1">IFERROR(__xludf.DUMMYFUNCTION("""COMPUTED_VALUE"""),173.08)</f>
        <v>173.08</v>
      </c>
      <c r="F393" s="3">
        <f ca="1">IFERROR(__xludf.DUMMYFUNCTION("""COMPUTED_VALUE"""),51.26)</f>
        <v>51.26</v>
      </c>
      <c r="G393" s="3">
        <f ca="1">IFERROR(__xludf.DUMMYFUNCTION("""COMPUTED_VALUE"""),29.06)</f>
        <v>29.06</v>
      </c>
      <c r="H393" s="3">
        <f ca="1">IFERROR(__xludf.DUMMYFUNCTION("""COMPUTED_VALUE"""),26.69)</f>
        <v>26.69</v>
      </c>
      <c r="I393" s="3">
        <f ca="1">IFERROR(__xludf.DUMMYFUNCTION("""COMPUTED_VALUE"""),135.88)</f>
        <v>135.88</v>
      </c>
      <c r="J393" s="3">
        <f ca="1">IFERROR(__xludf.DUMMYFUNCTION("""COMPUTED_VALUE"""),249.73)</f>
        <v>249.73</v>
      </c>
      <c r="K393" s="3">
        <f ca="1">IFERROR(__xludf.DUMMYFUNCTION("""COMPUTED_VALUE"""),129.11)</f>
        <v>129.11000000000001</v>
      </c>
      <c r="L393" s="3">
        <f ca="1">IFERROR(__xludf.DUMMYFUNCTION("""COMPUTED_VALUE"""),83.16)</f>
        <v>83.16</v>
      </c>
      <c r="M393" s="3">
        <f ca="1">IFERROR(__xludf.DUMMYFUNCTION("""COMPUTED_VALUE"""),63.19)</f>
        <v>63.19</v>
      </c>
      <c r="N393" s="3">
        <f ca="1">IFERROR(__xludf.DUMMYFUNCTION("""COMPUTED_VALUE"""),64.37)</f>
        <v>64.37</v>
      </c>
      <c r="O393" s="3">
        <f ca="1">IFERROR(__xludf.DUMMYFUNCTION("""COMPUTED_VALUE"""),48.88)</f>
        <v>48.88</v>
      </c>
      <c r="P393" s="3">
        <f ca="1">IFERROR(__xludf.DUMMYFUNCTION("""COMPUTED_VALUE"""),86.11)</f>
        <v>86.11</v>
      </c>
      <c r="Q393" s="3">
        <f ca="1">IFERROR(__xludf.DUMMYFUNCTION("""COMPUTED_VALUE"""),120.17)</f>
        <v>120.17</v>
      </c>
      <c r="R393" s="3">
        <f ca="1">IFERROR(__xludf.DUMMYFUNCTION("""COMPUTED_VALUE"""),85.52)</f>
        <v>85.52</v>
      </c>
      <c r="S393" s="3">
        <f ca="1">IFERROR(__xludf.DUMMYFUNCTION("""COMPUTED_VALUE"""),53.28)</f>
        <v>53.28</v>
      </c>
      <c r="T393" s="3">
        <f ca="1">IFERROR(__xludf.DUMMYFUNCTION("""COMPUTED_VALUE"""),24.61)</f>
        <v>24.61</v>
      </c>
      <c r="U393" s="3">
        <f ca="1">IFERROR(__xludf.DUMMYFUNCTION("""COMPUTED_VALUE"""),71.16)</f>
        <v>71.16</v>
      </c>
      <c r="V393" s="3">
        <f ca="1">IFERROR(__xludf.DUMMYFUNCTION("""COMPUTED_VALUE"""),71.04)</f>
        <v>71.040000000000006</v>
      </c>
      <c r="W393" s="3">
        <f ca="1">IFERROR(__xludf.DUMMYFUNCTION("""COMPUTED_VALUE"""),35.37)</f>
        <v>35.369999999999997</v>
      </c>
      <c r="X393" s="3">
        <f ca="1">IFERROR(__xludf.DUMMYFUNCTION("""COMPUTED_VALUE"""),85.95)</f>
        <v>85.95</v>
      </c>
      <c r="Y393" s="3">
        <f ca="1">IFERROR(__xludf.DUMMYFUNCTION("""COMPUTED_VALUE"""),40.56)</f>
        <v>40.56</v>
      </c>
      <c r="Z393" s="3">
        <f ca="1">IFERROR(__xludf.DUMMYFUNCTION("""COMPUTED_VALUE"""),79.21)</f>
        <v>79.209999999999994</v>
      </c>
      <c r="AA393" s="3">
        <f ca="1">IFERROR(__xludf.DUMMYFUNCTION("""COMPUTED_VALUE"""),38.68)</f>
        <v>38.68</v>
      </c>
      <c r="AB393" s="3">
        <f ca="1">IFERROR(__xludf.DUMMYFUNCTION("""COMPUTED_VALUE"""),46.65)</f>
        <v>46.65</v>
      </c>
      <c r="AC393" s="3">
        <f ca="1">IFERROR(__xludf.DUMMYFUNCTION("""COMPUTED_VALUE"""),55.9)</f>
        <v>55.9</v>
      </c>
      <c r="AD393" s="3">
        <f ca="1">IFERROR(__xludf.DUMMYFUNCTION("""COMPUTED_VALUE"""),11.02)</f>
        <v>11.02</v>
      </c>
      <c r="AE393" s="3">
        <f ca="1">IFERROR(__xludf.DUMMYFUNCTION("""COMPUTED_VALUE"""),15.57)</f>
        <v>15.57</v>
      </c>
      <c r="AF393" s="3">
        <f ca="1">IFERROR(__xludf.DUMMYFUNCTION("""COMPUTED_VALUE"""),3.74)</f>
        <v>3.74</v>
      </c>
      <c r="AG393" s="3">
        <f ca="1">IFERROR(__xludf.DUMMYFUNCTION("""COMPUTED_VALUE"""),37.26)</f>
        <v>37.26</v>
      </c>
    </row>
    <row r="394" spans="1:33" ht="12.75" x14ac:dyDescent="0.2">
      <c r="A394" s="4">
        <f ca="1">IFERROR(__xludf.DUMMYFUNCTION("""COMPUTED_VALUE"""),45133.6666666666)</f>
        <v>45133.666666666599</v>
      </c>
      <c r="B394" s="3">
        <f ca="1">IFERROR(__xludf.DUMMYFUNCTION("""COMPUTED_VALUE"""),176.06)</f>
        <v>176.06</v>
      </c>
      <c r="C394" s="3">
        <f ca="1">IFERROR(__xludf.DUMMYFUNCTION("""COMPUTED_VALUE"""),448.29)</f>
        <v>448.29</v>
      </c>
      <c r="D394" s="3">
        <f ca="1">IFERROR(__xludf.DUMMYFUNCTION("""COMPUTED_VALUE"""),113.67)</f>
        <v>113.67</v>
      </c>
      <c r="E394" s="3">
        <f ca="1">IFERROR(__xludf.DUMMYFUNCTION("""COMPUTED_VALUE"""),170.69)</f>
        <v>170.69</v>
      </c>
      <c r="F394" s="3">
        <f ca="1">IFERROR(__xludf.DUMMYFUNCTION("""COMPUTED_VALUE"""),51.57)</f>
        <v>51.57</v>
      </c>
      <c r="G394" s="3">
        <f ca="1">IFERROR(__xludf.DUMMYFUNCTION("""COMPUTED_VALUE"""),29.25)</f>
        <v>29.25</v>
      </c>
      <c r="H394" s="3">
        <f ca="1">IFERROR(__xludf.DUMMYFUNCTION("""COMPUTED_VALUE"""),26.7)</f>
        <v>26.7</v>
      </c>
      <c r="I394" s="3">
        <f ca="1">IFERROR(__xludf.DUMMYFUNCTION("""COMPUTED_VALUE"""),135.79)</f>
        <v>135.79</v>
      </c>
      <c r="J394" s="3">
        <f ca="1">IFERROR(__xludf.DUMMYFUNCTION("""COMPUTED_VALUE"""),249.68)</f>
        <v>249.68</v>
      </c>
      <c r="K394" s="3">
        <f ca="1">IFERROR(__xludf.DUMMYFUNCTION("""COMPUTED_VALUE"""),128.84)</f>
        <v>128.84</v>
      </c>
      <c r="L394" s="3">
        <f ca="1">IFERROR(__xludf.DUMMYFUNCTION("""COMPUTED_VALUE"""),83.05)</f>
        <v>83.05</v>
      </c>
      <c r="M394" s="3">
        <f ca="1">IFERROR(__xludf.DUMMYFUNCTION("""COMPUTED_VALUE"""),63.14)</f>
        <v>63.14</v>
      </c>
      <c r="N394" s="3">
        <f ca="1">IFERROR(__xludf.DUMMYFUNCTION("""COMPUTED_VALUE"""),64.38)</f>
        <v>64.38</v>
      </c>
      <c r="O394" s="3">
        <f ca="1">IFERROR(__xludf.DUMMYFUNCTION("""COMPUTED_VALUE"""),49)</f>
        <v>49</v>
      </c>
      <c r="P394" s="3">
        <f ca="1">IFERROR(__xludf.DUMMYFUNCTION("""COMPUTED_VALUE"""),86.14)</f>
        <v>86.14</v>
      </c>
      <c r="Q394" s="3">
        <f ca="1">IFERROR(__xludf.DUMMYFUNCTION("""COMPUTED_VALUE"""),120.15)</f>
        <v>120.15</v>
      </c>
      <c r="R394" s="3">
        <f ca="1">IFERROR(__xludf.DUMMYFUNCTION("""COMPUTED_VALUE"""),85.23)</f>
        <v>85.23</v>
      </c>
      <c r="S394" s="3">
        <f ca="1">IFERROR(__xludf.DUMMYFUNCTION("""COMPUTED_VALUE"""),53.21)</f>
        <v>53.21</v>
      </c>
      <c r="T394" s="3">
        <f ca="1">IFERROR(__xludf.DUMMYFUNCTION("""COMPUTED_VALUE"""),24.49)</f>
        <v>24.49</v>
      </c>
      <c r="U394" s="3">
        <f ca="1">IFERROR(__xludf.DUMMYFUNCTION("""COMPUTED_VALUE"""),70.66)</f>
        <v>70.66</v>
      </c>
      <c r="V394" s="3">
        <f ca="1">IFERROR(__xludf.DUMMYFUNCTION("""COMPUTED_VALUE"""),70.02)</f>
        <v>70.02</v>
      </c>
      <c r="W394" s="3">
        <f ca="1">IFERROR(__xludf.DUMMYFUNCTION("""COMPUTED_VALUE"""),35.58)</f>
        <v>35.58</v>
      </c>
      <c r="X394" s="3">
        <f ca="1">IFERROR(__xludf.DUMMYFUNCTION("""COMPUTED_VALUE"""),86.71)</f>
        <v>86.71</v>
      </c>
      <c r="Y394" s="3">
        <f ca="1">IFERROR(__xludf.DUMMYFUNCTION("""COMPUTED_VALUE"""),42.07)</f>
        <v>42.07</v>
      </c>
      <c r="Z394" s="3">
        <f ca="1">IFERROR(__xludf.DUMMYFUNCTION("""COMPUTED_VALUE"""),79.98)</f>
        <v>79.98</v>
      </c>
      <c r="AA394" s="3">
        <f ca="1">IFERROR(__xludf.DUMMYFUNCTION("""COMPUTED_VALUE"""),38.82)</f>
        <v>38.82</v>
      </c>
      <c r="AB394" s="3">
        <f ca="1">IFERROR(__xludf.DUMMYFUNCTION("""COMPUTED_VALUE"""),48.86)</f>
        <v>48.86</v>
      </c>
      <c r="AC394" s="3">
        <f ca="1">IFERROR(__xludf.DUMMYFUNCTION("""COMPUTED_VALUE"""),56.13)</f>
        <v>56.13</v>
      </c>
      <c r="AD394" s="3">
        <f ca="1">IFERROR(__xludf.DUMMYFUNCTION("""COMPUTED_VALUE"""),11.09)</f>
        <v>11.09</v>
      </c>
      <c r="AE394" s="3">
        <f ca="1">IFERROR(__xludf.DUMMYFUNCTION("""COMPUTED_VALUE"""),15.67)</f>
        <v>15.67</v>
      </c>
      <c r="AF394" s="3">
        <f ca="1">IFERROR(__xludf.DUMMYFUNCTION("""COMPUTED_VALUE"""),3.79)</f>
        <v>3.79</v>
      </c>
      <c r="AG394" s="3">
        <f ca="1">IFERROR(__xludf.DUMMYFUNCTION("""COMPUTED_VALUE"""),38.51)</f>
        <v>38.51</v>
      </c>
    </row>
    <row r="395" spans="1:33" ht="12.75" x14ac:dyDescent="0.2">
      <c r="A395" s="4">
        <f ca="1">IFERROR(__xludf.DUMMYFUNCTION("""COMPUTED_VALUE"""),45134.6666666666)</f>
        <v>45134.666666666599</v>
      </c>
      <c r="B395" s="3">
        <f ca="1">IFERROR(__xludf.DUMMYFUNCTION("""COMPUTED_VALUE"""),175.55)</f>
        <v>175.55</v>
      </c>
      <c r="C395" s="3">
        <f ca="1">IFERROR(__xludf.DUMMYFUNCTION("""COMPUTED_VALUE"""),446.23)</f>
        <v>446.23</v>
      </c>
      <c r="D395" s="3">
        <f ca="1">IFERROR(__xludf.DUMMYFUNCTION("""COMPUTED_VALUE"""),113.59)</f>
        <v>113.59</v>
      </c>
      <c r="E395" s="3">
        <f ca="1">IFERROR(__xludf.DUMMYFUNCTION("""COMPUTED_VALUE"""),173.9)</f>
        <v>173.9</v>
      </c>
      <c r="F395" s="3">
        <f ca="1">IFERROR(__xludf.DUMMYFUNCTION("""COMPUTED_VALUE"""),51.1)</f>
        <v>51.1</v>
      </c>
      <c r="G395" s="3">
        <f ca="1">IFERROR(__xludf.DUMMYFUNCTION("""COMPUTED_VALUE"""),28.97)</f>
        <v>28.97</v>
      </c>
      <c r="H395" s="3">
        <f ca="1">IFERROR(__xludf.DUMMYFUNCTION("""COMPUTED_VALUE"""),26.49)</f>
        <v>26.49</v>
      </c>
      <c r="I395" s="3">
        <f ca="1">IFERROR(__xludf.DUMMYFUNCTION("""COMPUTED_VALUE"""),134.79)</f>
        <v>134.79</v>
      </c>
      <c r="J395" s="3">
        <f ca="1">IFERROR(__xludf.DUMMYFUNCTION("""COMPUTED_VALUE"""),247.88)</f>
        <v>247.88</v>
      </c>
      <c r="K395" s="3">
        <f ca="1">IFERROR(__xludf.DUMMYFUNCTION("""COMPUTED_VALUE"""),127.91)</f>
        <v>127.91</v>
      </c>
      <c r="L395" s="3">
        <f ca="1">IFERROR(__xludf.DUMMYFUNCTION("""COMPUTED_VALUE"""),81.77)</f>
        <v>81.77</v>
      </c>
      <c r="M395" s="3">
        <f ca="1">IFERROR(__xludf.DUMMYFUNCTION("""COMPUTED_VALUE"""),62.61)</f>
        <v>62.61</v>
      </c>
      <c r="N395" s="3">
        <f ca="1">IFERROR(__xludf.DUMMYFUNCTION("""COMPUTED_VALUE"""),63.92)</f>
        <v>63.92</v>
      </c>
      <c r="O395" s="3">
        <f ca="1">IFERROR(__xludf.DUMMYFUNCTION("""COMPUTED_VALUE"""),48.16)</f>
        <v>48.16</v>
      </c>
      <c r="P395" s="3">
        <f ca="1">IFERROR(__xludf.DUMMYFUNCTION("""COMPUTED_VALUE"""),85.59)</f>
        <v>85.59</v>
      </c>
      <c r="Q395" s="3">
        <f ca="1">IFERROR(__xludf.DUMMYFUNCTION("""COMPUTED_VALUE"""),119.29)</f>
        <v>119.29</v>
      </c>
      <c r="R395" s="3">
        <f ca="1">IFERROR(__xludf.DUMMYFUNCTION("""COMPUTED_VALUE"""),84.68)</f>
        <v>84.68</v>
      </c>
      <c r="S395" s="3">
        <f ca="1">IFERROR(__xludf.DUMMYFUNCTION("""COMPUTED_VALUE"""),52.22)</f>
        <v>52.22</v>
      </c>
      <c r="T395" s="3">
        <f ca="1">IFERROR(__xludf.DUMMYFUNCTION("""COMPUTED_VALUE"""),24.43)</f>
        <v>24.43</v>
      </c>
      <c r="U395" s="3">
        <f ca="1">IFERROR(__xludf.DUMMYFUNCTION("""COMPUTED_VALUE"""),71.43)</f>
        <v>71.430000000000007</v>
      </c>
      <c r="V395" s="3">
        <f ca="1">IFERROR(__xludf.DUMMYFUNCTION("""COMPUTED_VALUE"""),68.13)</f>
        <v>68.13</v>
      </c>
      <c r="W395" s="3">
        <f ca="1">IFERROR(__xludf.DUMMYFUNCTION("""COMPUTED_VALUE"""),35.13)</f>
        <v>35.130000000000003</v>
      </c>
      <c r="X395" s="3">
        <f ca="1">IFERROR(__xludf.DUMMYFUNCTION("""COMPUTED_VALUE"""),85.52)</f>
        <v>85.52</v>
      </c>
      <c r="Y395" s="3">
        <f ca="1">IFERROR(__xludf.DUMMYFUNCTION("""COMPUTED_VALUE"""),41.44)</f>
        <v>41.44</v>
      </c>
      <c r="Z395" s="3">
        <f ca="1">IFERROR(__xludf.DUMMYFUNCTION("""COMPUTED_VALUE"""),79.03)</f>
        <v>79.03</v>
      </c>
      <c r="AA395" s="3">
        <f ca="1">IFERROR(__xludf.DUMMYFUNCTION("""COMPUTED_VALUE"""),38)</f>
        <v>38</v>
      </c>
      <c r="AB395" s="3">
        <f ca="1">IFERROR(__xludf.DUMMYFUNCTION("""COMPUTED_VALUE"""),48.03)</f>
        <v>48.03</v>
      </c>
      <c r="AC395" s="3">
        <f ca="1">IFERROR(__xludf.DUMMYFUNCTION("""COMPUTED_VALUE"""),56)</f>
        <v>56</v>
      </c>
      <c r="AD395" s="3">
        <f ca="1">IFERROR(__xludf.DUMMYFUNCTION("""COMPUTED_VALUE"""),10.98)</f>
        <v>10.98</v>
      </c>
      <c r="AE395" s="3">
        <f ca="1">IFERROR(__xludf.DUMMYFUNCTION("""COMPUTED_VALUE"""),15.47)</f>
        <v>15.47</v>
      </c>
      <c r="AF395" s="3">
        <f ca="1">IFERROR(__xludf.DUMMYFUNCTION("""COMPUTED_VALUE"""),3.87)</f>
        <v>3.87</v>
      </c>
      <c r="AG395" s="3">
        <f ca="1">IFERROR(__xludf.DUMMYFUNCTION("""COMPUTED_VALUE"""),36.5)</f>
        <v>36.5</v>
      </c>
    </row>
    <row r="396" spans="1:33" ht="12.75" x14ac:dyDescent="0.2">
      <c r="A396" s="4">
        <f ca="1">IFERROR(__xludf.DUMMYFUNCTION("""COMPUTED_VALUE"""),45135.6666666666)</f>
        <v>45135.666666666599</v>
      </c>
      <c r="B396" s="3">
        <f ca="1">IFERROR(__xludf.DUMMYFUNCTION("""COMPUTED_VALUE"""),177.94)</f>
        <v>177.94</v>
      </c>
      <c r="C396" s="3">
        <f ca="1">IFERROR(__xludf.DUMMYFUNCTION("""COMPUTED_VALUE"""),452.57)</f>
        <v>452.57</v>
      </c>
      <c r="D396" s="3">
        <f ca="1">IFERROR(__xludf.DUMMYFUNCTION("""COMPUTED_VALUE"""),110.44)</f>
        <v>110.44</v>
      </c>
      <c r="E396" s="3">
        <f ca="1">IFERROR(__xludf.DUMMYFUNCTION("""COMPUTED_VALUE"""),177.7)</f>
        <v>177.7</v>
      </c>
      <c r="F396" s="3">
        <f ca="1">IFERROR(__xludf.DUMMYFUNCTION("""COMPUTED_VALUE"""),51.69)</f>
        <v>51.69</v>
      </c>
      <c r="G396" s="3">
        <f ca="1">IFERROR(__xludf.DUMMYFUNCTION("""COMPUTED_VALUE"""),29.07)</f>
        <v>29.07</v>
      </c>
      <c r="H396" s="3">
        <f ca="1">IFERROR(__xludf.DUMMYFUNCTION("""COMPUTED_VALUE"""),26.76)</f>
        <v>26.76</v>
      </c>
      <c r="I396" s="3">
        <f ca="1">IFERROR(__xludf.DUMMYFUNCTION("""COMPUTED_VALUE"""),135.19)</f>
        <v>135.19</v>
      </c>
      <c r="J396" s="3">
        <f ca="1">IFERROR(__xludf.DUMMYFUNCTION("""COMPUTED_VALUE"""),248.88)</f>
        <v>248.88</v>
      </c>
      <c r="K396" s="3">
        <f ca="1">IFERROR(__xludf.DUMMYFUNCTION("""COMPUTED_VALUE"""),129.86)</f>
        <v>129.86000000000001</v>
      </c>
      <c r="L396" s="3">
        <f ca="1">IFERROR(__xludf.DUMMYFUNCTION("""COMPUTED_VALUE"""),83.81)</f>
        <v>83.81</v>
      </c>
      <c r="M396" s="3">
        <f ca="1">IFERROR(__xludf.DUMMYFUNCTION("""COMPUTED_VALUE"""),63.61)</f>
        <v>63.61</v>
      </c>
      <c r="N396" s="3">
        <f ca="1">IFERROR(__xludf.DUMMYFUNCTION("""COMPUTED_VALUE"""),64.22)</f>
        <v>64.22</v>
      </c>
      <c r="O396" s="3">
        <f ca="1">IFERROR(__xludf.DUMMYFUNCTION("""COMPUTED_VALUE"""),49.25)</f>
        <v>49.25</v>
      </c>
      <c r="P396" s="3">
        <f ca="1">IFERROR(__xludf.DUMMYFUNCTION("""COMPUTED_VALUE"""),85.85)</f>
        <v>85.85</v>
      </c>
      <c r="Q396" s="3">
        <f ca="1">IFERROR(__xludf.DUMMYFUNCTION("""COMPUTED_VALUE"""),119.87)</f>
        <v>119.87</v>
      </c>
      <c r="R396" s="3">
        <f ca="1">IFERROR(__xludf.DUMMYFUNCTION("""COMPUTED_VALUE"""),85.27)</f>
        <v>85.27</v>
      </c>
      <c r="S396" s="3">
        <f ca="1">IFERROR(__xludf.DUMMYFUNCTION("""COMPUTED_VALUE"""),52.67)</f>
        <v>52.67</v>
      </c>
      <c r="T396" s="3">
        <f ca="1">IFERROR(__xludf.DUMMYFUNCTION("""COMPUTED_VALUE"""),24.58)</f>
        <v>24.58</v>
      </c>
      <c r="U396" s="3">
        <f ca="1">IFERROR(__xludf.DUMMYFUNCTION("""COMPUTED_VALUE"""),72.09)</f>
        <v>72.09</v>
      </c>
      <c r="V396" s="3">
        <f ca="1">IFERROR(__xludf.DUMMYFUNCTION("""COMPUTED_VALUE"""),68.26)</f>
        <v>68.260000000000005</v>
      </c>
      <c r="W396" s="3">
        <f ca="1">IFERROR(__xludf.DUMMYFUNCTION("""COMPUTED_VALUE"""),35.2)</f>
        <v>35.200000000000003</v>
      </c>
      <c r="X396" s="3">
        <f ca="1">IFERROR(__xludf.DUMMYFUNCTION("""COMPUTED_VALUE"""),85.77)</f>
        <v>85.77</v>
      </c>
      <c r="Y396" s="3">
        <f ca="1">IFERROR(__xludf.DUMMYFUNCTION("""COMPUTED_VALUE"""),41.94)</f>
        <v>41.94</v>
      </c>
      <c r="Z396" s="3">
        <f ca="1">IFERROR(__xludf.DUMMYFUNCTION("""COMPUTED_VALUE"""),79.17)</f>
        <v>79.17</v>
      </c>
      <c r="AA396" s="3">
        <f ca="1">IFERROR(__xludf.DUMMYFUNCTION("""COMPUTED_VALUE"""),37.89)</f>
        <v>37.89</v>
      </c>
      <c r="AB396" s="3">
        <f ca="1">IFERROR(__xludf.DUMMYFUNCTION("""COMPUTED_VALUE"""),48.72)</f>
        <v>48.72</v>
      </c>
      <c r="AC396" s="3">
        <f ca="1">IFERROR(__xludf.DUMMYFUNCTION("""COMPUTED_VALUE"""),55.27)</f>
        <v>55.27</v>
      </c>
      <c r="AD396" s="3">
        <f ca="1">IFERROR(__xludf.DUMMYFUNCTION("""COMPUTED_VALUE"""),11.07)</f>
        <v>11.07</v>
      </c>
      <c r="AE396" s="3">
        <f ca="1">IFERROR(__xludf.DUMMYFUNCTION("""COMPUTED_VALUE"""),15.6)</f>
        <v>15.6</v>
      </c>
      <c r="AF396" s="3">
        <f ca="1">IFERROR(__xludf.DUMMYFUNCTION("""COMPUTED_VALUE"""),3.76)</f>
        <v>3.76</v>
      </c>
      <c r="AG396" s="3">
        <f ca="1">IFERROR(__xludf.DUMMYFUNCTION("""COMPUTED_VALUE"""),37.48)</f>
        <v>37.479999999999997</v>
      </c>
    </row>
    <row r="397" spans="1:33" ht="12.75" x14ac:dyDescent="0.2">
      <c r="A397" s="4">
        <f ca="1">IFERROR(__xludf.DUMMYFUNCTION("""COMPUTED_VALUE"""),45138.6666666666)</f>
        <v>45138.666666666599</v>
      </c>
      <c r="B397" s="3">
        <f ca="1">IFERROR(__xludf.DUMMYFUNCTION("""COMPUTED_VALUE"""),178.35)</f>
        <v>178.35</v>
      </c>
      <c r="C397" s="3">
        <f ca="1">IFERROR(__xludf.DUMMYFUNCTION("""COMPUTED_VALUE"""),454.81)</f>
        <v>454.81</v>
      </c>
      <c r="D397" s="3">
        <f ca="1">IFERROR(__xludf.DUMMYFUNCTION("""COMPUTED_VALUE"""),109.94)</f>
        <v>109.94</v>
      </c>
      <c r="E397" s="3">
        <f ca="1">IFERROR(__xludf.DUMMYFUNCTION("""COMPUTED_VALUE"""),178.43)</f>
        <v>178.43</v>
      </c>
      <c r="F397" s="3">
        <f ca="1">IFERROR(__xludf.DUMMYFUNCTION("""COMPUTED_VALUE"""),52.36)</f>
        <v>52.36</v>
      </c>
      <c r="G397" s="3">
        <f ca="1">IFERROR(__xludf.DUMMYFUNCTION("""COMPUTED_VALUE"""),29.14)</f>
        <v>29.14</v>
      </c>
      <c r="H397" s="3">
        <f ca="1">IFERROR(__xludf.DUMMYFUNCTION("""COMPUTED_VALUE"""),26.93)</f>
        <v>26.93</v>
      </c>
      <c r="I397" s="3">
        <f ca="1">IFERROR(__xludf.DUMMYFUNCTION("""COMPUTED_VALUE"""),134.15)</f>
        <v>134.15</v>
      </c>
      <c r="J397" s="3">
        <f ca="1">IFERROR(__xludf.DUMMYFUNCTION("""COMPUTED_VALUE"""),247.34)</f>
        <v>247.34</v>
      </c>
      <c r="K397" s="3">
        <f ca="1">IFERROR(__xludf.DUMMYFUNCTION("""COMPUTED_VALUE"""),129.31)</f>
        <v>129.31</v>
      </c>
      <c r="L397" s="3">
        <f ca="1">IFERROR(__xludf.DUMMYFUNCTION("""COMPUTED_VALUE"""),84.29)</f>
        <v>84.29</v>
      </c>
      <c r="M397" s="3">
        <f ca="1">IFERROR(__xludf.DUMMYFUNCTION("""COMPUTED_VALUE"""),63.45)</f>
        <v>63.45</v>
      </c>
      <c r="N397" s="3">
        <f ca="1">IFERROR(__xludf.DUMMYFUNCTION("""COMPUTED_VALUE"""),63.76)</f>
        <v>63.76</v>
      </c>
      <c r="O397" s="3">
        <f ca="1">IFERROR(__xludf.DUMMYFUNCTION("""COMPUTED_VALUE"""),49.08)</f>
        <v>49.08</v>
      </c>
      <c r="P397" s="3">
        <f ca="1">IFERROR(__xludf.DUMMYFUNCTION("""COMPUTED_VALUE"""),87.48)</f>
        <v>87.48</v>
      </c>
      <c r="Q397" s="3">
        <f ca="1">IFERROR(__xludf.DUMMYFUNCTION("""COMPUTED_VALUE"""),122.25)</f>
        <v>122.25</v>
      </c>
      <c r="R397" s="3">
        <f ca="1">IFERROR(__xludf.DUMMYFUNCTION("""COMPUTED_VALUE"""),85.72)</f>
        <v>85.72</v>
      </c>
      <c r="S397" s="3">
        <f ca="1">IFERROR(__xludf.DUMMYFUNCTION("""COMPUTED_VALUE"""),53.89)</f>
        <v>53.89</v>
      </c>
      <c r="T397" s="3">
        <f ca="1">IFERROR(__xludf.DUMMYFUNCTION("""COMPUTED_VALUE"""),24.68)</f>
        <v>24.68</v>
      </c>
      <c r="U397" s="3">
        <f ca="1">IFERROR(__xludf.DUMMYFUNCTION("""COMPUTED_VALUE"""),73.17)</f>
        <v>73.17</v>
      </c>
      <c r="V397" s="3">
        <f ca="1">IFERROR(__xludf.DUMMYFUNCTION("""COMPUTED_VALUE"""),68.54)</f>
        <v>68.540000000000006</v>
      </c>
      <c r="W397" s="3">
        <f ca="1">IFERROR(__xludf.DUMMYFUNCTION("""COMPUTED_VALUE"""),35.33)</f>
        <v>35.33</v>
      </c>
      <c r="X397" s="3">
        <f ca="1">IFERROR(__xludf.DUMMYFUNCTION("""COMPUTED_VALUE"""),86.13)</f>
        <v>86.13</v>
      </c>
      <c r="Y397" s="3">
        <f ca="1">IFERROR(__xludf.DUMMYFUNCTION("""COMPUTED_VALUE"""),41.96)</f>
        <v>41.96</v>
      </c>
      <c r="Z397" s="3">
        <f ca="1">IFERROR(__xludf.DUMMYFUNCTION("""COMPUTED_VALUE"""),79.41)</f>
        <v>79.41</v>
      </c>
      <c r="AA397" s="3">
        <f ca="1">IFERROR(__xludf.DUMMYFUNCTION("""COMPUTED_VALUE"""),38.19)</f>
        <v>38.19</v>
      </c>
      <c r="AB397" s="3">
        <f ca="1">IFERROR(__xludf.DUMMYFUNCTION("""COMPUTED_VALUE"""),48.69)</f>
        <v>48.69</v>
      </c>
      <c r="AC397" s="3">
        <f ca="1">IFERROR(__xludf.DUMMYFUNCTION("""COMPUTED_VALUE"""),55.45)</f>
        <v>55.45</v>
      </c>
      <c r="AD397" s="3">
        <f ca="1">IFERROR(__xludf.DUMMYFUNCTION("""COMPUTED_VALUE"""),10.99)</f>
        <v>10.99</v>
      </c>
      <c r="AE397" s="3">
        <f ca="1">IFERROR(__xludf.DUMMYFUNCTION("""COMPUTED_VALUE"""),15.48)</f>
        <v>15.48</v>
      </c>
      <c r="AF397" s="3">
        <f ca="1">IFERROR(__xludf.DUMMYFUNCTION("""COMPUTED_VALUE"""),3.84)</f>
        <v>3.84</v>
      </c>
      <c r="AG397" s="3">
        <f ca="1">IFERROR(__xludf.DUMMYFUNCTION("""COMPUTED_VALUE"""),38.42)</f>
        <v>38.42</v>
      </c>
    </row>
    <row r="398" spans="1:33" ht="12.75" x14ac:dyDescent="0.2">
      <c r="A398" s="4">
        <f ca="1">IFERROR(__xludf.DUMMYFUNCTION("""COMPUTED_VALUE"""),45139.6666666666)</f>
        <v>45139.666666666599</v>
      </c>
      <c r="B398" s="3">
        <f ca="1">IFERROR(__xludf.DUMMYFUNCTION("""COMPUTED_VALUE"""),178.65)</f>
        <v>178.65</v>
      </c>
      <c r="C398" s="3">
        <f ca="1">IFERROR(__xludf.DUMMYFUNCTION("""COMPUTED_VALUE"""),455.05)</f>
        <v>455.05</v>
      </c>
      <c r="D398" s="3">
        <f ca="1">IFERROR(__xludf.DUMMYFUNCTION("""COMPUTED_VALUE"""),108.77)</f>
        <v>108.77</v>
      </c>
      <c r="E398" s="3">
        <f ca="1">IFERROR(__xludf.DUMMYFUNCTION("""COMPUTED_VALUE"""),178.55)</f>
        <v>178.55</v>
      </c>
      <c r="F398" s="3">
        <f ca="1">IFERROR(__xludf.DUMMYFUNCTION("""COMPUTED_VALUE"""),52.72)</f>
        <v>52.72</v>
      </c>
      <c r="G398" s="3">
        <f ca="1">IFERROR(__xludf.DUMMYFUNCTION("""COMPUTED_VALUE"""),28.73)</f>
        <v>28.73</v>
      </c>
      <c r="H398" s="3">
        <f ca="1">IFERROR(__xludf.DUMMYFUNCTION("""COMPUTED_VALUE"""),26.66)</f>
        <v>26.66</v>
      </c>
      <c r="I398" s="3">
        <f ca="1">IFERROR(__xludf.DUMMYFUNCTION("""COMPUTED_VALUE"""),133.45)</f>
        <v>133.44999999999999</v>
      </c>
      <c r="J398" s="3">
        <f ca="1">IFERROR(__xludf.DUMMYFUNCTION("""COMPUTED_VALUE"""),245.93)</f>
        <v>245.93</v>
      </c>
      <c r="K398" s="3">
        <f ca="1">IFERROR(__xludf.DUMMYFUNCTION("""COMPUTED_VALUE"""),128.05)</f>
        <v>128.05000000000001</v>
      </c>
      <c r="L398" s="3">
        <f ca="1">IFERROR(__xludf.DUMMYFUNCTION("""COMPUTED_VALUE"""),83.3)</f>
        <v>83.3</v>
      </c>
      <c r="M398" s="3">
        <f ca="1">IFERROR(__xludf.DUMMYFUNCTION("""COMPUTED_VALUE"""),62.22)</f>
        <v>62.22</v>
      </c>
      <c r="N398" s="3">
        <f ca="1">IFERROR(__xludf.DUMMYFUNCTION("""COMPUTED_VALUE"""),63.42)</f>
        <v>63.42</v>
      </c>
      <c r="O398" s="3">
        <f ca="1">IFERROR(__xludf.DUMMYFUNCTION("""COMPUTED_VALUE"""),48.24)</f>
        <v>48.24</v>
      </c>
      <c r="P398" s="3">
        <f ca="1">IFERROR(__xludf.DUMMYFUNCTION("""COMPUTED_VALUE"""),87.07)</f>
        <v>87.07</v>
      </c>
      <c r="Q398" s="3">
        <f ca="1">IFERROR(__xludf.DUMMYFUNCTION("""COMPUTED_VALUE"""),121.66)</f>
        <v>121.66</v>
      </c>
      <c r="R398" s="3">
        <f ca="1">IFERROR(__xludf.DUMMYFUNCTION("""COMPUTED_VALUE"""),85.34)</f>
        <v>85.34</v>
      </c>
      <c r="S398" s="3">
        <f ca="1">IFERROR(__xludf.DUMMYFUNCTION("""COMPUTED_VALUE"""),53.29)</f>
        <v>53.29</v>
      </c>
      <c r="T398" s="3">
        <f ca="1">IFERROR(__xludf.DUMMYFUNCTION("""COMPUTED_VALUE"""),24.55)</f>
        <v>24.55</v>
      </c>
      <c r="U398" s="3">
        <f ca="1">IFERROR(__xludf.DUMMYFUNCTION("""COMPUTED_VALUE"""),72.96)</f>
        <v>72.959999999999994</v>
      </c>
      <c r="V398" s="3">
        <f ca="1">IFERROR(__xludf.DUMMYFUNCTION("""COMPUTED_VALUE"""),67.06)</f>
        <v>67.06</v>
      </c>
      <c r="W398" s="3">
        <f ca="1">IFERROR(__xludf.DUMMYFUNCTION("""COMPUTED_VALUE"""),35.33)</f>
        <v>35.33</v>
      </c>
      <c r="X398" s="3">
        <f ca="1">IFERROR(__xludf.DUMMYFUNCTION("""COMPUTED_VALUE"""),86.03)</f>
        <v>86.03</v>
      </c>
      <c r="Y398" s="3">
        <f ca="1">IFERROR(__xludf.DUMMYFUNCTION("""COMPUTED_VALUE"""),41.54)</f>
        <v>41.54</v>
      </c>
      <c r="Z398" s="3">
        <f ca="1">IFERROR(__xludf.DUMMYFUNCTION("""COMPUTED_VALUE"""),79.13)</f>
        <v>79.13</v>
      </c>
      <c r="AA398" s="3">
        <f ca="1">IFERROR(__xludf.DUMMYFUNCTION("""COMPUTED_VALUE"""),38.12)</f>
        <v>38.119999999999997</v>
      </c>
      <c r="AB398" s="3">
        <f ca="1">IFERROR(__xludf.DUMMYFUNCTION("""COMPUTED_VALUE"""),48.17)</f>
        <v>48.17</v>
      </c>
      <c r="AC398" s="3">
        <f ca="1">IFERROR(__xludf.DUMMYFUNCTION("""COMPUTED_VALUE"""),55.42)</f>
        <v>55.42</v>
      </c>
      <c r="AD398" s="3">
        <f ca="1">IFERROR(__xludf.DUMMYFUNCTION("""COMPUTED_VALUE"""),11.04)</f>
        <v>11.04</v>
      </c>
      <c r="AE398" s="3">
        <f ca="1">IFERROR(__xludf.DUMMYFUNCTION("""COMPUTED_VALUE"""),15.16)</f>
        <v>15.16</v>
      </c>
      <c r="AF398" s="3">
        <f ca="1">IFERROR(__xludf.DUMMYFUNCTION("""COMPUTED_VALUE"""),3.9)</f>
        <v>3.9</v>
      </c>
      <c r="AG398" s="3">
        <f ca="1">IFERROR(__xludf.DUMMYFUNCTION("""COMPUTED_VALUE"""),37.01)</f>
        <v>37.01</v>
      </c>
    </row>
    <row r="399" spans="1:33" ht="12.75" x14ac:dyDescent="0.2">
      <c r="A399" s="4">
        <f ca="1">IFERROR(__xludf.DUMMYFUNCTION("""COMPUTED_VALUE"""),45140.6666666666)</f>
        <v>45140.666666666599</v>
      </c>
      <c r="B399" s="3">
        <f ca="1">IFERROR(__xludf.DUMMYFUNCTION("""COMPUTED_VALUE"""),174.23)</f>
        <v>174.23</v>
      </c>
      <c r="C399" s="3">
        <f ca="1">IFERROR(__xludf.DUMMYFUNCTION("""COMPUTED_VALUE"""),442.94)</f>
        <v>442.94</v>
      </c>
      <c r="D399" s="3">
        <f ca="1">IFERROR(__xludf.DUMMYFUNCTION("""COMPUTED_VALUE"""),109.41)</f>
        <v>109.41</v>
      </c>
      <c r="E399" s="3">
        <f ca="1">IFERROR(__xludf.DUMMYFUNCTION("""COMPUTED_VALUE"""),171.71)</f>
        <v>171.71</v>
      </c>
      <c r="F399" s="3">
        <f ca="1">IFERROR(__xludf.DUMMYFUNCTION("""COMPUTED_VALUE"""),51.39)</f>
        <v>51.39</v>
      </c>
      <c r="G399" s="3">
        <f ca="1">IFERROR(__xludf.DUMMYFUNCTION("""COMPUTED_VALUE"""),27.71)</f>
        <v>27.71</v>
      </c>
      <c r="H399" s="3">
        <f ca="1">IFERROR(__xludf.DUMMYFUNCTION("""COMPUTED_VALUE"""),26.21)</f>
        <v>26.21</v>
      </c>
      <c r="I399" s="3">
        <f ca="1">IFERROR(__xludf.DUMMYFUNCTION("""COMPUTED_VALUE"""),133.54)</f>
        <v>133.54</v>
      </c>
      <c r="J399" s="3">
        <f ca="1">IFERROR(__xludf.DUMMYFUNCTION("""COMPUTED_VALUE"""),245.6)</f>
        <v>245.6</v>
      </c>
      <c r="K399" s="3">
        <f ca="1">IFERROR(__xludf.DUMMYFUNCTION("""COMPUTED_VALUE"""),127.36)</f>
        <v>127.36</v>
      </c>
      <c r="L399" s="3">
        <f ca="1">IFERROR(__xludf.DUMMYFUNCTION("""COMPUTED_VALUE"""),82.06)</f>
        <v>82.06</v>
      </c>
      <c r="M399" s="3">
        <f ca="1">IFERROR(__xludf.DUMMYFUNCTION("""COMPUTED_VALUE"""),62.05)</f>
        <v>62.05</v>
      </c>
      <c r="N399" s="3">
        <f ca="1">IFERROR(__xludf.DUMMYFUNCTION("""COMPUTED_VALUE"""),63.34)</f>
        <v>63.34</v>
      </c>
      <c r="O399" s="3">
        <f ca="1">IFERROR(__xludf.DUMMYFUNCTION("""COMPUTED_VALUE"""),47.36)</f>
        <v>47.36</v>
      </c>
      <c r="P399" s="3">
        <f ca="1">IFERROR(__xludf.DUMMYFUNCTION("""COMPUTED_VALUE"""),85.93)</f>
        <v>85.93</v>
      </c>
      <c r="Q399" s="3">
        <f ca="1">IFERROR(__xludf.DUMMYFUNCTION("""COMPUTED_VALUE"""),120.1)</f>
        <v>120.1</v>
      </c>
      <c r="R399" s="3">
        <f ca="1">IFERROR(__xludf.DUMMYFUNCTION("""COMPUTED_VALUE"""),84.28)</f>
        <v>84.28</v>
      </c>
      <c r="S399" s="3">
        <f ca="1">IFERROR(__xludf.DUMMYFUNCTION("""COMPUTED_VALUE"""),51.75)</f>
        <v>51.75</v>
      </c>
      <c r="T399" s="3">
        <f ca="1">IFERROR(__xludf.DUMMYFUNCTION("""COMPUTED_VALUE"""),24.18)</f>
        <v>24.18</v>
      </c>
      <c r="U399" s="3">
        <f ca="1">IFERROR(__xludf.DUMMYFUNCTION("""COMPUTED_VALUE"""),71.48)</f>
        <v>71.48</v>
      </c>
      <c r="V399" s="3">
        <f ca="1">IFERROR(__xludf.DUMMYFUNCTION("""COMPUTED_VALUE"""),63.38)</f>
        <v>63.38</v>
      </c>
      <c r="W399" s="3">
        <f ca="1">IFERROR(__xludf.DUMMYFUNCTION("""COMPUTED_VALUE"""),35.03)</f>
        <v>35.03</v>
      </c>
      <c r="X399" s="3">
        <f ca="1">IFERROR(__xludf.DUMMYFUNCTION("""COMPUTED_VALUE"""),85.27)</f>
        <v>85.27</v>
      </c>
      <c r="Y399" s="3">
        <f ca="1">IFERROR(__xludf.DUMMYFUNCTION("""COMPUTED_VALUE"""),41.32)</f>
        <v>41.32</v>
      </c>
      <c r="Z399" s="3">
        <f ca="1">IFERROR(__xludf.DUMMYFUNCTION("""COMPUTED_VALUE"""),78.54)</f>
        <v>78.540000000000006</v>
      </c>
      <c r="AA399" s="3">
        <f ca="1">IFERROR(__xludf.DUMMYFUNCTION("""COMPUTED_VALUE"""),37.96)</f>
        <v>37.96</v>
      </c>
      <c r="AB399" s="3">
        <f ca="1">IFERROR(__xludf.DUMMYFUNCTION("""COMPUTED_VALUE"""),47.95)</f>
        <v>47.95</v>
      </c>
      <c r="AC399" s="3">
        <f ca="1">IFERROR(__xludf.DUMMYFUNCTION("""COMPUTED_VALUE"""),55.94)</f>
        <v>55.94</v>
      </c>
      <c r="AD399" s="3">
        <f ca="1">IFERROR(__xludf.DUMMYFUNCTION("""COMPUTED_VALUE"""),10.97)</f>
        <v>10.97</v>
      </c>
      <c r="AE399" s="3">
        <f ca="1">IFERROR(__xludf.DUMMYFUNCTION("""COMPUTED_VALUE"""),15.08)</f>
        <v>15.08</v>
      </c>
      <c r="AF399" s="3">
        <f ca="1">IFERROR(__xludf.DUMMYFUNCTION("""COMPUTED_VALUE"""),3.87)</f>
        <v>3.87</v>
      </c>
      <c r="AG399" s="3">
        <f ca="1">IFERROR(__xludf.DUMMYFUNCTION("""COMPUTED_VALUE"""),35.92)</f>
        <v>35.92</v>
      </c>
    </row>
    <row r="400" spans="1:33" ht="12.75" x14ac:dyDescent="0.2">
      <c r="A400" s="4">
        <f ca="1">IFERROR(__xludf.DUMMYFUNCTION("""COMPUTED_VALUE"""),45141.6666666666)</f>
        <v>45141.666666666599</v>
      </c>
      <c r="B400" s="3">
        <f ca="1">IFERROR(__xludf.DUMMYFUNCTION("""COMPUTED_VALUE"""),173.52)</f>
        <v>173.52</v>
      </c>
      <c r="C400" s="3">
        <f ca="1">IFERROR(__xludf.DUMMYFUNCTION("""COMPUTED_VALUE"""),441.19)</f>
        <v>441.19</v>
      </c>
      <c r="D400" s="3">
        <f ca="1">IFERROR(__xludf.DUMMYFUNCTION("""COMPUTED_VALUE"""),108.34)</f>
        <v>108.34</v>
      </c>
      <c r="E400" s="3">
        <f ca="1">IFERROR(__xludf.DUMMYFUNCTION("""COMPUTED_VALUE"""),171.27)</f>
        <v>171.27</v>
      </c>
      <c r="F400" s="3">
        <f ca="1">IFERROR(__xludf.DUMMYFUNCTION("""COMPUTED_VALUE"""),51.74)</f>
        <v>51.74</v>
      </c>
      <c r="G400" s="3">
        <f ca="1">IFERROR(__xludf.DUMMYFUNCTION("""COMPUTED_VALUE"""),27.56)</f>
        <v>27.56</v>
      </c>
      <c r="H400" s="3">
        <f ca="1">IFERROR(__xludf.DUMMYFUNCTION("""COMPUTED_VALUE"""),26.15)</f>
        <v>26.15</v>
      </c>
      <c r="I400" s="3">
        <f ca="1">IFERROR(__xludf.DUMMYFUNCTION("""COMPUTED_VALUE"""),132.87)</f>
        <v>132.87</v>
      </c>
      <c r="J400" s="3">
        <f ca="1">IFERROR(__xludf.DUMMYFUNCTION("""COMPUTED_VALUE"""),244.09)</f>
        <v>244.09</v>
      </c>
      <c r="K400" s="3">
        <f ca="1">IFERROR(__xludf.DUMMYFUNCTION("""COMPUTED_VALUE"""),126.89)</f>
        <v>126.89</v>
      </c>
      <c r="L400" s="3">
        <f ca="1">IFERROR(__xludf.DUMMYFUNCTION("""COMPUTED_VALUE"""),81.27)</f>
        <v>81.27</v>
      </c>
      <c r="M400" s="3">
        <f ca="1">IFERROR(__xludf.DUMMYFUNCTION("""COMPUTED_VALUE"""),61.26)</f>
        <v>61.26</v>
      </c>
      <c r="N400" s="3">
        <f ca="1">IFERROR(__xludf.DUMMYFUNCTION("""COMPUTED_VALUE"""),62.98)</f>
        <v>62.98</v>
      </c>
      <c r="O400" s="3">
        <f ca="1">IFERROR(__xludf.DUMMYFUNCTION("""COMPUTED_VALUE"""),46.76)</f>
        <v>46.76</v>
      </c>
      <c r="P400" s="3">
        <f ca="1">IFERROR(__xludf.DUMMYFUNCTION("""COMPUTED_VALUE"""),86.8)</f>
        <v>86.8</v>
      </c>
      <c r="Q400" s="3">
        <f ca="1">IFERROR(__xludf.DUMMYFUNCTION("""COMPUTED_VALUE"""),121.43)</f>
        <v>121.43</v>
      </c>
      <c r="R400" s="3">
        <f ca="1">IFERROR(__xludf.DUMMYFUNCTION("""COMPUTED_VALUE"""),83.76)</f>
        <v>83.76</v>
      </c>
      <c r="S400" s="3">
        <f ca="1">IFERROR(__xludf.DUMMYFUNCTION("""COMPUTED_VALUE"""),51.63)</f>
        <v>51.63</v>
      </c>
      <c r="T400" s="3">
        <f ca="1">IFERROR(__xludf.DUMMYFUNCTION("""COMPUTED_VALUE"""),24.41)</f>
        <v>24.41</v>
      </c>
      <c r="U400" s="3">
        <f ca="1">IFERROR(__xludf.DUMMYFUNCTION("""COMPUTED_VALUE"""),73.14)</f>
        <v>73.14</v>
      </c>
      <c r="V400" s="3">
        <f ca="1">IFERROR(__xludf.DUMMYFUNCTION("""COMPUTED_VALUE"""),63.63)</f>
        <v>63.63</v>
      </c>
      <c r="W400" s="3">
        <f ca="1">IFERROR(__xludf.DUMMYFUNCTION("""COMPUTED_VALUE"""),35.05)</f>
        <v>35.049999999999997</v>
      </c>
      <c r="X400" s="3">
        <f ca="1">IFERROR(__xludf.DUMMYFUNCTION("""COMPUTED_VALUE"""),85.38)</f>
        <v>85.38</v>
      </c>
      <c r="Y400" s="3">
        <f ca="1">IFERROR(__xludf.DUMMYFUNCTION("""COMPUTED_VALUE"""),41.77)</f>
        <v>41.77</v>
      </c>
      <c r="Z400" s="3">
        <f ca="1">IFERROR(__xludf.DUMMYFUNCTION("""COMPUTED_VALUE"""),78.79)</f>
        <v>78.790000000000006</v>
      </c>
      <c r="AA400" s="3">
        <f ca="1">IFERROR(__xludf.DUMMYFUNCTION("""COMPUTED_VALUE"""),37.44)</f>
        <v>37.44</v>
      </c>
      <c r="AB400" s="3">
        <f ca="1">IFERROR(__xludf.DUMMYFUNCTION("""COMPUTED_VALUE"""),48.37)</f>
        <v>48.37</v>
      </c>
      <c r="AC400" s="3">
        <f ca="1">IFERROR(__xludf.DUMMYFUNCTION("""COMPUTED_VALUE"""),55.39)</f>
        <v>55.39</v>
      </c>
      <c r="AD400" s="3">
        <f ca="1">IFERROR(__xludf.DUMMYFUNCTION("""COMPUTED_VALUE"""),11.03)</f>
        <v>11.03</v>
      </c>
      <c r="AE400" s="3">
        <f ca="1">IFERROR(__xludf.DUMMYFUNCTION("""COMPUTED_VALUE"""),15.16)</f>
        <v>15.16</v>
      </c>
      <c r="AF400" s="3">
        <f ca="1">IFERROR(__xludf.DUMMYFUNCTION("""COMPUTED_VALUE"""),3.77)</f>
        <v>3.77</v>
      </c>
      <c r="AG400" s="3">
        <f ca="1">IFERROR(__xludf.DUMMYFUNCTION("""COMPUTED_VALUE"""),35.24)</f>
        <v>35.24</v>
      </c>
    </row>
    <row r="401" spans="1:33" ht="12.75" x14ac:dyDescent="0.2">
      <c r="A401" s="4">
        <f ca="1">IFERROR(__xludf.DUMMYFUNCTION("""COMPUTED_VALUE"""),45142.6666666666)</f>
        <v>45142.666666666599</v>
      </c>
      <c r="B401" s="3">
        <f ca="1">IFERROR(__xludf.DUMMYFUNCTION("""COMPUTED_VALUE"""),171.16)</f>
        <v>171.16</v>
      </c>
      <c r="C401" s="3">
        <f ca="1">IFERROR(__xludf.DUMMYFUNCTION("""COMPUTED_VALUE"""),435.43)</f>
        <v>435.43</v>
      </c>
      <c r="D401" s="3">
        <f ca="1">IFERROR(__xludf.DUMMYFUNCTION("""COMPUTED_VALUE"""),106.74)</f>
        <v>106.74</v>
      </c>
      <c r="E401" s="3">
        <f ca="1">IFERROR(__xludf.DUMMYFUNCTION("""COMPUTED_VALUE"""),171)</f>
        <v>171</v>
      </c>
      <c r="F401" s="3">
        <f ca="1">IFERROR(__xludf.DUMMYFUNCTION("""COMPUTED_VALUE"""),50.76)</f>
        <v>50.76</v>
      </c>
      <c r="G401" s="3">
        <f ca="1">IFERROR(__xludf.DUMMYFUNCTION("""COMPUTED_VALUE"""),27.53)</f>
        <v>27.53</v>
      </c>
      <c r="H401" s="3">
        <f ca="1">IFERROR(__xludf.DUMMYFUNCTION("""COMPUTED_VALUE"""),26.07)</f>
        <v>26.07</v>
      </c>
      <c r="I401" s="3">
        <f ca="1">IFERROR(__xludf.DUMMYFUNCTION("""COMPUTED_VALUE"""),132.4)</f>
        <v>132.4</v>
      </c>
      <c r="J401" s="3">
        <f ca="1">IFERROR(__xludf.DUMMYFUNCTION("""COMPUTED_VALUE"""),243.54)</f>
        <v>243.54</v>
      </c>
      <c r="K401" s="3">
        <f ca="1">IFERROR(__xludf.DUMMYFUNCTION("""COMPUTED_VALUE"""),127.35)</f>
        <v>127.35</v>
      </c>
      <c r="L401" s="3">
        <f ca="1">IFERROR(__xludf.DUMMYFUNCTION("""COMPUTED_VALUE"""),81.22)</f>
        <v>81.22</v>
      </c>
      <c r="M401" s="3">
        <f ca="1">IFERROR(__xludf.DUMMYFUNCTION("""COMPUTED_VALUE"""),61.41)</f>
        <v>61.41</v>
      </c>
      <c r="N401" s="3">
        <f ca="1">IFERROR(__xludf.DUMMYFUNCTION("""COMPUTED_VALUE"""),62.77)</f>
        <v>62.77</v>
      </c>
      <c r="O401" s="3">
        <f ca="1">IFERROR(__xludf.DUMMYFUNCTION("""COMPUTED_VALUE"""),46.68)</f>
        <v>46.68</v>
      </c>
      <c r="P401" s="3">
        <f ca="1">IFERROR(__xludf.DUMMYFUNCTION("""COMPUTED_VALUE"""),86.92)</f>
        <v>86.92</v>
      </c>
      <c r="Q401" s="3">
        <f ca="1">IFERROR(__xludf.DUMMYFUNCTION("""COMPUTED_VALUE"""),121.59)</f>
        <v>121.59</v>
      </c>
      <c r="R401" s="3">
        <f ca="1">IFERROR(__xludf.DUMMYFUNCTION("""COMPUTED_VALUE"""),83.57)</f>
        <v>83.57</v>
      </c>
      <c r="S401" s="3">
        <f ca="1">IFERROR(__xludf.DUMMYFUNCTION("""COMPUTED_VALUE"""),51.67)</f>
        <v>51.67</v>
      </c>
      <c r="T401" s="3">
        <f ca="1">IFERROR(__xludf.DUMMYFUNCTION("""COMPUTED_VALUE"""),24.45)</f>
        <v>24.45</v>
      </c>
      <c r="U401" s="3">
        <f ca="1">IFERROR(__xludf.DUMMYFUNCTION("""COMPUTED_VALUE"""),73.79)</f>
        <v>73.790000000000006</v>
      </c>
      <c r="V401" s="3">
        <f ca="1">IFERROR(__xludf.DUMMYFUNCTION("""COMPUTED_VALUE"""),62.72)</f>
        <v>62.72</v>
      </c>
      <c r="W401" s="3">
        <f ca="1">IFERROR(__xludf.DUMMYFUNCTION("""COMPUTED_VALUE"""),34.91)</f>
        <v>34.909999999999997</v>
      </c>
      <c r="X401" s="3">
        <f ca="1">IFERROR(__xludf.DUMMYFUNCTION("""COMPUTED_VALUE"""),85.09)</f>
        <v>85.09</v>
      </c>
      <c r="Y401" s="3">
        <f ca="1">IFERROR(__xludf.DUMMYFUNCTION("""COMPUTED_VALUE"""),41.89)</f>
        <v>41.89</v>
      </c>
      <c r="Z401" s="3">
        <f ca="1">IFERROR(__xludf.DUMMYFUNCTION("""COMPUTED_VALUE"""),78.54)</f>
        <v>78.540000000000006</v>
      </c>
      <c r="AA401" s="3">
        <f ca="1">IFERROR(__xludf.DUMMYFUNCTION("""COMPUTED_VALUE"""),37.07)</f>
        <v>37.07</v>
      </c>
      <c r="AB401" s="3">
        <f ca="1">IFERROR(__xludf.DUMMYFUNCTION("""COMPUTED_VALUE"""),48.56)</f>
        <v>48.56</v>
      </c>
      <c r="AC401" s="3">
        <f ca="1">IFERROR(__xludf.DUMMYFUNCTION("""COMPUTED_VALUE"""),54.89)</f>
        <v>54.89</v>
      </c>
      <c r="AD401" s="3">
        <f ca="1">IFERROR(__xludf.DUMMYFUNCTION("""COMPUTED_VALUE"""),10.9)</f>
        <v>10.9</v>
      </c>
      <c r="AE401" s="3">
        <f ca="1">IFERROR(__xludf.DUMMYFUNCTION("""COMPUTED_VALUE"""),15)</f>
        <v>15</v>
      </c>
      <c r="AF401" s="3">
        <f ca="1">IFERROR(__xludf.DUMMYFUNCTION("""COMPUTED_VALUE"""),3.74)</f>
        <v>3.74</v>
      </c>
      <c r="AG401" s="3">
        <f ca="1">IFERROR(__xludf.DUMMYFUNCTION("""COMPUTED_VALUE"""),33.83)</f>
        <v>33.83</v>
      </c>
    </row>
    <row r="402" spans="1:33" ht="12.75" x14ac:dyDescent="0.2">
      <c r="A402" s="4">
        <f ca="1">IFERROR(__xludf.DUMMYFUNCTION("""COMPUTED_VALUE"""),45145.6666666666)</f>
        <v>45145.666666666599</v>
      </c>
      <c r="B402" s="3">
        <f ca="1">IFERROR(__xludf.DUMMYFUNCTION("""COMPUTED_VALUE"""),171.64)</f>
        <v>171.64</v>
      </c>
      <c r="C402" s="3">
        <f ca="1">IFERROR(__xludf.DUMMYFUNCTION("""COMPUTED_VALUE"""),436.16)</f>
        <v>436.16</v>
      </c>
      <c r="D402" s="3">
        <f ca="1">IFERROR(__xludf.DUMMYFUNCTION("""COMPUTED_VALUE"""),106.89)</f>
        <v>106.89</v>
      </c>
      <c r="E402" s="3">
        <f ca="1">IFERROR(__xludf.DUMMYFUNCTION("""COMPUTED_VALUE"""),172.8)</f>
        <v>172.8</v>
      </c>
      <c r="F402" s="3">
        <f ca="1">IFERROR(__xludf.DUMMYFUNCTION("""COMPUTED_VALUE"""),51.06)</f>
        <v>51.06</v>
      </c>
      <c r="G402" s="3">
        <f ca="1">IFERROR(__xludf.DUMMYFUNCTION("""COMPUTED_VALUE"""),27.61)</f>
        <v>27.61</v>
      </c>
      <c r="H402" s="3">
        <f ca="1">IFERROR(__xludf.DUMMYFUNCTION("""COMPUTED_VALUE"""),26.19)</f>
        <v>26.19</v>
      </c>
      <c r="I402" s="3">
        <f ca="1">IFERROR(__xludf.DUMMYFUNCTION("""COMPUTED_VALUE"""),133.93)</f>
        <v>133.93</v>
      </c>
      <c r="J402" s="3">
        <f ca="1">IFERROR(__xludf.DUMMYFUNCTION("""COMPUTED_VALUE"""),245.57)</f>
        <v>245.57</v>
      </c>
      <c r="K402" s="3">
        <f ca="1">IFERROR(__xludf.DUMMYFUNCTION("""COMPUTED_VALUE"""),126.55)</f>
        <v>126.55</v>
      </c>
      <c r="L402" s="3">
        <f ca="1">IFERROR(__xludf.DUMMYFUNCTION("""COMPUTED_VALUE"""),78.69)</f>
        <v>78.69</v>
      </c>
      <c r="M402" s="3">
        <f ca="1">IFERROR(__xludf.DUMMYFUNCTION("""COMPUTED_VALUE"""),61.11)</f>
        <v>61.11</v>
      </c>
      <c r="N402" s="3">
        <f ca="1">IFERROR(__xludf.DUMMYFUNCTION("""COMPUTED_VALUE"""),63.29)</f>
        <v>63.29</v>
      </c>
      <c r="O402" s="3">
        <f ca="1">IFERROR(__xludf.DUMMYFUNCTION("""COMPUTED_VALUE"""),45.28)</f>
        <v>45.28</v>
      </c>
      <c r="P402" s="3">
        <f ca="1">IFERROR(__xludf.DUMMYFUNCTION("""COMPUTED_VALUE"""),87.02)</f>
        <v>87.02</v>
      </c>
      <c r="Q402" s="3">
        <f ca="1">IFERROR(__xludf.DUMMYFUNCTION("""COMPUTED_VALUE"""),121.81)</f>
        <v>121.81</v>
      </c>
      <c r="R402" s="3">
        <f ca="1">IFERROR(__xludf.DUMMYFUNCTION("""COMPUTED_VALUE"""),84.12)</f>
        <v>84.12</v>
      </c>
      <c r="S402" s="3">
        <f ca="1">IFERROR(__xludf.DUMMYFUNCTION("""COMPUTED_VALUE"""),51.75)</f>
        <v>51.75</v>
      </c>
      <c r="T402" s="3">
        <f ca="1">IFERROR(__xludf.DUMMYFUNCTION("""COMPUTED_VALUE"""),24.46)</f>
        <v>24.46</v>
      </c>
      <c r="U402" s="3">
        <f ca="1">IFERROR(__xludf.DUMMYFUNCTION("""COMPUTED_VALUE"""),73.82)</f>
        <v>73.819999999999993</v>
      </c>
      <c r="V402" s="3">
        <f ca="1">IFERROR(__xludf.DUMMYFUNCTION("""COMPUTED_VALUE"""),62.21)</f>
        <v>62.21</v>
      </c>
      <c r="W402" s="3">
        <f ca="1">IFERROR(__xludf.DUMMYFUNCTION("""COMPUTED_VALUE"""),35.4)</f>
        <v>35.4</v>
      </c>
      <c r="X402" s="3">
        <f ca="1">IFERROR(__xludf.DUMMYFUNCTION("""COMPUTED_VALUE"""),86.1)</f>
        <v>86.1</v>
      </c>
      <c r="Y402" s="3">
        <f ca="1">IFERROR(__xludf.DUMMYFUNCTION("""COMPUTED_VALUE"""),42.33)</f>
        <v>42.33</v>
      </c>
      <c r="Z402" s="3">
        <f ca="1">IFERROR(__xludf.DUMMYFUNCTION("""COMPUTED_VALUE"""),79.57)</f>
        <v>79.569999999999993</v>
      </c>
      <c r="AA402" s="3">
        <f ca="1">IFERROR(__xludf.DUMMYFUNCTION("""COMPUTED_VALUE"""),37.54)</f>
        <v>37.54</v>
      </c>
      <c r="AB402" s="3">
        <f ca="1">IFERROR(__xludf.DUMMYFUNCTION("""COMPUTED_VALUE"""),49.04)</f>
        <v>49.04</v>
      </c>
      <c r="AC402" s="3">
        <f ca="1">IFERROR(__xludf.DUMMYFUNCTION("""COMPUTED_VALUE"""),54.93)</f>
        <v>54.93</v>
      </c>
      <c r="AD402" s="3">
        <f ca="1">IFERROR(__xludf.DUMMYFUNCTION("""COMPUTED_VALUE"""),10.97)</f>
        <v>10.97</v>
      </c>
      <c r="AE402" s="3">
        <f ca="1">IFERROR(__xludf.DUMMYFUNCTION("""COMPUTED_VALUE"""),15.09)</f>
        <v>15.09</v>
      </c>
      <c r="AF402" s="3">
        <f ca="1">IFERROR(__xludf.DUMMYFUNCTION("""COMPUTED_VALUE"""),3.61)</f>
        <v>3.61</v>
      </c>
      <c r="AG402" s="3">
        <f ca="1">IFERROR(__xludf.DUMMYFUNCTION("""COMPUTED_VALUE"""),32.81)</f>
        <v>32.81</v>
      </c>
    </row>
    <row r="403" spans="1:33" ht="12.75" x14ac:dyDescent="0.2">
      <c r="A403" s="4">
        <f ca="1">IFERROR(__xludf.DUMMYFUNCTION("""COMPUTED_VALUE"""),45146.6666666666)</f>
        <v>45146.666666666599</v>
      </c>
      <c r="B403" s="3">
        <f ca="1">IFERROR(__xludf.DUMMYFUNCTION("""COMPUTED_VALUE"""),170.32)</f>
        <v>170.32</v>
      </c>
      <c r="C403" s="3">
        <f ca="1">IFERROR(__xludf.DUMMYFUNCTION("""COMPUTED_VALUE"""),432.1)</f>
        <v>432.1</v>
      </c>
      <c r="D403" s="3">
        <f ca="1">IFERROR(__xludf.DUMMYFUNCTION("""COMPUTED_VALUE"""),106.07)</f>
        <v>106.07</v>
      </c>
      <c r="E403" s="3">
        <f ca="1">IFERROR(__xludf.DUMMYFUNCTION("""COMPUTED_VALUE"""),170.05)</f>
        <v>170.05</v>
      </c>
      <c r="F403" s="3">
        <f ca="1">IFERROR(__xludf.DUMMYFUNCTION("""COMPUTED_VALUE"""),50.21)</f>
        <v>50.21</v>
      </c>
      <c r="G403" s="3">
        <f ca="1">IFERROR(__xludf.DUMMYFUNCTION("""COMPUTED_VALUE"""),27.12)</f>
        <v>27.12</v>
      </c>
      <c r="H403" s="3">
        <f ca="1">IFERROR(__xludf.DUMMYFUNCTION("""COMPUTED_VALUE"""),25.99)</f>
        <v>25.99</v>
      </c>
      <c r="I403" s="3">
        <f ca="1">IFERROR(__xludf.DUMMYFUNCTION("""COMPUTED_VALUE"""),134.96)</f>
        <v>134.96</v>
      </c>
      <c r="J403" s="3">
        <f ca="1">IFERROR(__xludf.DUMMYFUNCTION("""COMPUTED_VALUE"""),247.3)</f>
        <v>247.3</v>
      </c>
      <c r="K403" s="3">
        <f ca="1">IFERROR(__xludf.DUMMYFUNCTION("""COMPUTED_VALUE"""),127.33)</f>
        <v>127.33</v>
      </c>
      <c r="L403" s="3">
        <f ca="1">IFERROR(__xludf.DUMMYFUNCTION("""COMPUTED_VALUE"""),79.33)</f>
        <v>79.33</v>
      </c>
      <c r="M403" s="3">
        <f ca="1">IFERROR(__xludf.DUMMYFUNCTION("""COMPUTED_VALUE"""),61.93)</f>
        <v>61.93</v>
      </c>
      <c r="N403" s="3">
        <f ca="1">IFERROR(__xludf.DUMMYFUNCTION("""COMPUTED_VALUE"""),63.72)</f>
        <v>63.72</v>
      </c>
      <c r="O403" s="3">
        <f ca="1">IFERROR(__xludf.DUMMYFUNCTION("""COMPUTED_VALUE"""),45.4)</f>
        <v>45.4</v>
      </c>
      <c r="P403" s="3">
        <f ca="1">IFERROR(__xludf.DUMMYFUNCTION("""COMPUTED_VALUE"""),87.45)</f>
        <v>87.45</v>
      </c>
      <c r="Q403" s="3">
        <f ca="1">IFERROR(__xludf.DUMMYFUNCTION("""COMPUTED_VALUE"""),122.51)</f>
        <v>122.51</v>
      </c>
      <c r="R403" s="3">
        <f ca="1">IFERROR(__xludf.DUMMYFUNCTION("""COMPUTED_VALUE"""),83.23)</f>
        <v>83.23</v>
      </c>
      <c r="S403" s="3">
        <f ca="1">IFERROR(__xludf.DUMMYFUNCTION("""COMPUTED_VALUE"""),51.73)</f>
        <v>51.73</v>
      </c>
      <c r="T403" s="3">
        <f ca="1">IFERROR(__xludf.DUMMYFUNCTION("""COMPUTED_VALUE"""),24.43)</f>
        <v>24.43</v>
      </c>
      <c r="U403" s="3">
        <f ca="1">IFERROR(__xludf.DUMMYFUNCTION("""COMPUTED_VALUE"""),74.06)</f>
        <v>74.06</v>
      </c>
      <c r="V403" s="3">
        <f ca="1">IFERROR(__xludf.DUMMYFUNCTION("""COMPUTED_VALUE"""),62.04)</f>
        <v>62.04</v>
      </c>
      <c r="W403" s="3">
        <f ca="1">IFERROR(__xludf.DUMMYFUNCTION("""COMPUTED_VALUE"""),35.08)</f>
        <v>35.08</v>
      </c>
      <c r="X403" s="3">
        <f ca="1">IFERROR(__xludf.DUMMYFUNCTION("""COMPUTED_VALUE"""),85.2)</f>
        <v>85.2</v>
      </c>
      <c r="Y403" s="3">
        <f ca="1">IFERROR(__xludf.DUMMYFUNCTION("""COMPUTED_VALUE"""),41.77)</f>
        <v>41.77</v>
      </c>
      <c r="Z403" s="3">
        <f ca="1">IFERROR(__xludf.DUMMYFUNCTION("""COMPUTED_VALUE"""),78.86)</f>
        <v>78.86</v>
      </c>
      <c r="AA403" s="3">
        <f ca="1">IFERROR(__xludf.DUMMYFUNCTION("""COMPUTED_VALUE"""),37.35)</f>
        <v>37.35</v>
      </c>
      <c r="AB403" s="3">
        <f ca="1">IFERROR(__xludf.DUMMYFUNCTION("""COMPUTED_VALUE"""),48.41)</f>
        <v>48.41</v>
      </c>
      <c r="AC403" s="3">
        <f ca="1">IFERROR(__xludf.DUMMYFUNCTION("""COMPUTED_VALUE"""),54.99)</f>
        <v>54.99</v>
      </c>
      <c r="AD403" s="3">
        <f ca="1">IFERROR(__xludf.DUMMYFUNCTION("""COMPUTED_VALUE"""),11.29)</f>
        <v>11.29</v>
      </c>
      <c r="AE403" s="3">
        <f ca="1">IFERROR(__xludf.DUMMYFUNCTION("""COMPUTED_VALUE"""),15.53)</f>
        <v>15.53</v>
      </c>
      <c r="AF403" s="3">
        <f ca="1">IFERROR(__xludf.DUMMYFUNCTION("""COMPUTED_VALUE"""),3.49)</f>
        <v>3.49</v>
      </c>
      <c r="AG403" s="3">
        <f ca="1">IFERROR(__xludf.DUMMYFUNCTION("""COMPUTED_VALUE"""),34.34)</f>
        <v>34.340000000000003</v>
      </c>
    </row>
    <row r="404" spans="1:33" ht="12.75" x14ac:dyDescent="0.2">
      <c r="A404" s="4">
        <f ca="1">IFERROR(__xludf.DUMMYFUNCTION("""COMPUTED_VALUE"""),45147.6666666666)</f>
        <v>45147.666666666599</v>
      </c>
      <c r="B404" s="3">
        <f ca="1">IFERROR(__xludf.DUMMYFUNCTION("""COMPUTED_VALUE"""),168.12)</f>
        <v>168.12</v>
      </c>
      <c r="C404" s="3">
        <f ca="1">IFERROR(__xludf.DUMMYFUNCTION("""COMPUTED_VALUE"""),426.05)</f>
        <v>426.05</v>
      </c>
      <c r="D404" s="3">
        <f ca="1">IFERROR(__xludf.DUMMYFUNCTION("""COMPUTED_VALUE"""),107.78)</f>
        <v>107.78</v>
      </c>
      <c r="E404" s="3">
        <f ca="1">IFERROR(__xludf.DUMMYFUNCTION("""COMPUTED_VALUE"""),166.93)</f>
        <v>166.93</v>
      </c>
      <c r="F404" s="3">
        <f ca="1">IFERROR(__xludf.DUMMYFUNCTION("""COMPUTED_VALUE"""),50.43)</f>
        <v>50.43</v>
      </c>
      <c r="G404" s="3">
        <f ca="1">IFERROR(__xludf.DUMMYFUNCTION("""COMPUTED_VALUE"""),26.52)</f>
        <v>26.52</v>
      </c>
      <c r="H404" s="3">
        <f ca="1">IFERROR(__xludf.DUMMYFUNCTION("""COMPUTED_VALUE"""),26.06)</f>
        <v>26.06</v>
      </c>
      <c r="I404" s="3">
        <f ca="1">IFERROR(__xludf.DUMMYFUNCTION("""COMPUTED_VALUE"""),134.92)</f>
        <v>134.91999999999999</v>
      </c>
      <c r="J404" s="3">
        <f ca="1">IFERROR(__xludf.DUMMYFUNCTION("""COMPUTED_VALUE"""),247.12)</f>
        <v>247.12</v>
      </c>
      <c r="K404" s="3">
        <f ca="1">IFERROR(__xludf.DUMMYFUNCTION("""COMPUTED_VALUE"""),127.75)</f>
        <v>127.75</v>
      </c>
      <c r="L404" s="3">
        <f ca="1">IFERROR(__xludf.DUMMYFUNCTION("""COMPUTED_VALUE"""),79.26)</f>
        <v>79.260000000000005</v>
      </c>
      <c r="M404" s="3">
        <f ca="1">IFERROR(__xludf.DUMMYFUNCTION("""COMPUTED_VALUE"""),61.68)</f>
        <v>61.68</v>
      </c>
      <c r="N404" s="3">
        <f ca="1">IFERROR(__xludf.DUMMYFUNCTION("""COMPUTED_VALUE"""),63.71)</f>
        <v>63.71</v>
      </c>
      <c r="O404" s="3">
        <f ca="1">IFERROR(__xludf.DUMMYFUNCTION("""COMPUTED_VALUE"""),45.4)</f>
        <v>45.4</v>
      </c>
      <c r="P404" s="3">
        <f ca="1">IFERROR(__xludf.DUMMYFUNCTION("""COMPUTED_VALUE"""),88.55)</f>
        <v>88.55</v>
      </c>
      <c r="Q404" s="3">
        <f ca="1">IFERROR(__xludf.DUMMYFUNCTION("""COMPUTED_VALUE"""),124.07)</f>
        <v>124.07</v>
      </c>
      <c r="R404" s="3">
        <f ca="1">IFERROR(__xludf.DUMMYFUNCTION("""COMPUTED_VALUE"""),82.89)</f>
        <v>82.89</v>
      </c>
      <c r="S404" s="3">
        <f ca="1">IFERROR(__xludf.DUMMYFUNCTION("""COMPUTED_VALUE"""),51.71)</f>
        <v>51.71</v>
      </c>
      <c r="T404" s="3">
        <f ca="1">IFERROR(__xludf.DUMMYFUNCTION("""COMPUTED_VALUE"""),24.6)</f>
        <v>24.6</v>
      </c>
      <c r="U404" s="3">
        <f ca="1">IFERROR(__xludf.DUMMYFUNCTION("""COMPUTED_VALUE"""),75.1)</f>
        <v>75.099999999999994</v>
      </c>
      <c r="V404" s="3">
        <f ca="1">IFERROR(__xludf.DUMMYFUNCTION("""COMPUTED_VALUE"""),63.4)</f>
        <v>63.4</v>
      </c>
      <c r="W404" s="3">
        <f ca="1">IFERROR(__xludf.DUMMYFUNCTION("""COMPUTED_VALUE"""),34.82)</f>
        <v>34.82</v>
      </c>
      <c r="X404" s="3">
        <f ca="1">IFERROR(__xludf.DUMMYFUNCTION("""COMPUTED_VALUE"""),84.56)</f>
        <v>84.56</v>
      </c>
      <c r="Y404" s="3">
        <f ca="1">IFERROR(__xludf.DUMMYFUNCTION("""COMPUTED_VALUE"""),41.19)</f>
        <v>41.19</v>
      </c>
      <c r="Z404" s="3">
        <f ca="1">IFERROR(__xludf.DUMMYFUNCTION("""COMPUTED_VALUE"""),78.11)</f>
        <v>78.11</v>
      </c>
      <c r="AA404" s="3">
        <f ca="1">IFERROR(__xludf.DUMMYFUNCTION("""COMPUTED_VALUE"""),37.44)</f>
        <v>37.44</v>
      </c>
      <c r="AB404" s="3">
        <f ca="1">IFERROR(__xludf.DUMMYFUNCTION("""COMPUTED_VALUE"""),47.71)</f>
        <v>47.71</v>
      </c>
      <c r="AC404" s="3">
        <f ca="1">IFERROR(__xludf.DUMMYFUNCTION("""COMPUTED_VALUE"""),54.81)</f>
        <v>54.81</v>
      </c>
      <c r="AD404" s="3">
        <f ca="1">IFERROR(__xludf.DUMMYFUNCTION("""COMPUTED_VALUE"""),11.07)</f>
        <v>11.07</v>
      </c>
      <c r="AE404" s="3">
        <f ca="1">IFERROR(__xludf.DUMMYFUNCTION("""COMPUTED_VALUE"""),15.21)</f>
        <v>15.21</v>
      </c>
      <c r="AF404" s="3">
        <f ca="1">IFERROR(__xludf.DUMMYFUNCTION("""COMPUTED_VALUE"""),3.6)</f>
        <v>3.6</v>
      </c>
      <c r="AG404" s="3">
        <f ca="1">IFERROR(__xludf.DUMMYFUNCTION("""COMPUTED_VALUE"""),32.85)</f>
        <v>32.85</v>
      </c>
    </row>
    <row r="405" spans="1:33" ht="12.75" x14ac:dyDescent="0.2">
      <c r="A405" s="4">
        <f ca="1">IFERROR(__xludf.DUMMYFUNCTION("""COMPUTED_VALUE"""),45148.6666666666)</f>
        <v>45148.666666666599</v>
      </c>
      <c r="B405" s="3">
        <f ca="1">IFERROR(__xludf.DUMMYFUNCTION("""COMPUTED_VALUE"""),168.14)</f>
        <v>168.14</v>
      </c>
      <c r="C405" s="3">
        <f ca="1">IFERROR(__xludf.DUMMYFUNCTION("""COMPUTED_VALUE"""),426.45)</f>
        <v>426.45</v>
      </c>
      <c r="D405" s="3">
        <f ca="1">IFERROR(__xludf.DUMMYFUNCTION("""COMPUTED_VALUE"""),106.7)</f>
        <v>106.7</v>
      </c>
      <c r="E405" s="3">
        <f ca="1">IFERROR(__xludf.DUMMYFUNCTION("""COMPUTED_VALUE"""),166.26)</f>
        <v>166.26</v>
      </c>
      <c r="F405" s="3">
        <f ca="1">IFERROR(__xludf.DUMMYFUNCTION("""COMPUTED_VALUE"""),50.79)</f>
        <v>50.79</v>
      </c>
      <c r="G405" s="3">
        <f ca="1">IFERROR(__xludf.DUMMYFUNCTION("""COMPUTED_VALUE"""),26.57)</f>
        <v>26.57</v>
      </c>
      <c r="H405" s="3">
        <f ca="1">IFERROR(__xludf.DUMMYFUNCTION("""COMPUTED_VALUE"""),26.07)</f>
        <v>26.07</v>
      </c>
      <c r="I405" s="3">
        <f ca="1">IFERROR(__xludf.DUMMYFUNCTION("""COMPUTED_VALUE"""),134.83)</f>
        <v>134.83000000000001</v>
      </c>
      <c r="J405" s="3">
        <f ca="1">IFERROR(__xludf.DUMMYFUNCTION("""COMPUTED_VALUE"""),246.94)</f>
        <v>246.94</v>
      </c>
      <c r="K405" s="3">
        <f ca="1">IFERROR(__xludf.DUMMYFUNCTION("""COMPUTED_VALUE"""),128.17)</f>
        <v>128.16999999999999</v>
      </c>
      <c r="L405" s="3">
        <f ca="1">IFERROR(__xludf.DUMMYFUNCTION("""COMPUTED_VALUE"""),79.94)</f>
        <v>79.94</v>
      </c>
      <c r="M405" s="3">
        <f ca="1">IFERROR(__xludf.DUMMYFUNCTION("""COMPUTED_VALUE"""),61.99)</f>
        <v>61.99</v>
      </c>
      <c r="N405" s="3">
        <f ca="1">IFERROR(__xludf.DUMMYFUNCTION("""COMPUTED_VALUE"""),63.68)</f>
        <v>63.68</v>
      </c>
      <c r="O405" s="3">
        <f ca="1">IFERROR(__xludf.DUMMYFUNCTION("""COMPUTED_VALUE"""),45.24)</f>
        <v>45.24</v>
      </c>
      <c r="P405" s="3">
        <f ca="1">IFERROR(__xludf.DUMMYFUNCTION("""COMPUTED_VALUE"""),88.54)</f>
        <v>88.54</v>
      </c>
      <c r="Q405" s="3">
        <f ca="1">IFERROR(__xludf.DUMMYFUNCTION("""COMPUTED_VALUE"""),123.91)</f>
        <v>123.91</v>
      </c>
      <c r="R405" s="3">
        <f ca="1">IFERROR(__xludf.DUMMYFUNCTION("""COMPUTED_VALUE"""),82.95)</f>
        <v>82.95</v>
      </c>
      <c r="S405" s="3">
        <f ca="1">IFERROR(__xludf.DUMMYFUNCTION("""COMPUTED_VALUE"""),50.79)</f>
        <v>50.79</v>
      </c>
      <c r="T405" s="3">
        <f ca="1">IFERROR(__xludf.DUMMYFUNCTION("""COMPUTED_VALUE"""),24.47)</f>
        <v>24.47</v>
      </c>
      <c r="U405" s="3">
        <f ca="1">IFERROR(__xludf.DUMMYFUNCTION("""COMPUTED_VALUE"""),74.2)</f>
        <v>74.2</v>
      </c>
      <c r="V405" s="3">
        <f ca="1">IFERROR(__xludf.DUMMYFUNCTION("""COMPUTED_VALUE"""),62.78)</f>
        <v>62.78</v>
      </c>
      <c r="W405" s="3">
        <f ca="1">IFERROR(__xludf.DUMMYFUNCTION("""COMPUTED_VALUE"""),34.85)</f>
        <v>34.85</v>
      </c>
      <c r="X405" s="3">
        <f ca="1">IFERROR(__xludf.DUMMYFUNCTION("""COMPUTED_VALUE"""),84.66)</f>
        <v>84.66</v>
      </c>
      <c r="Y405" s="3">
        <f ca="1">IFERROR(__xludf.DUMMYFUNCTION("""COMPUTED_VALUE"""),41.17)</f>
        <v>41.17</v>
      </c>
      <c r="Z405" s="3">
        <f ca="1">IFERROR(__xludf.DUMMYFUNCTION("""COMPUTED_VALUE"""),78.09)</f>
        <v>78.09</v>
      </c>
      <c r="AA405" s="3">
        <f ca="1">IFERROR(__xludf.DUMMYFUNCTION("""COMPUTED_VALUE"""),37.32)</f>
        <v>37.32</v>
      </c>
      <c r="AB405" s="3">
        <f ca="1">IFERROR(__xludf.DUMMYFUNCTION("""COMPUTED_VALUE"""),47.67)</f>
        <v>47.67</v>
      </c>
      <c r="AC405" s="3">
        <f ca="1">IFERROR(__xludf.DUMMYFUNCTION("""COMPUTED_VALUE"""),53.71)</f>
        <v>53.71</v>
      </c>
      <c r="AD405" s="3">
        <f ca="1">IFERROR(__xludf.DUMMYFUNCTION("""COMPUTED_VALUE"""),11.07)</f>
        <v>11.07</v>
      </c>
      <c r="AE405" s="3">
        <f ca="1">IFERROR(__xludf.DUMMYFUNCTION("""COMPUTED_VALUE"""),15.22)</f>
        <v>15.22</v>
      </c>
      <c r="AF405" s="3">
        <f ca="1">IFERROR(__xludf.DUMMYFUNCTION("""COMPUTED_VALUE"""),3.49)</f>
        <v>3.49</v>
      </c>
      <c r="AG405" s="3">
        <f ca="1">IFERROR(__xludf.DUMMYFUNCTION("""COMPUTED_VALUE"""),32.33)</f>
        <v>32.33</v>
      </c>
    </row>
    <row r="406" spans="1:33" ht="12.75" x14ac:dyDescent="0.2">
      <c r="A406" s="4">
        <f ca="1">IFERROR(__xludf.DUMMYFUNCTION("""COMPUTED_VALUE"""),45149.6666666666)</f>
        <v>45149.666666666599</v>
      </c>
      <c r="B406" s="3">
        <f ca="1">IFERROR(__xludf.DUMMYFUNCTION("""COMPUTED_VALUE"""),166.9)</f>
        <v>166.9</v>
      </c>
      <c r="C406" s="3">
        <f ca="1">IFERROR(__xludf.DUMMYFUNCTION("""COMPUTED_VALUE"""),423.65)</f>
        <v>423.65</v>
      </c>
      <c r="D406" s="3">
        <f ca="1">IFERROR(__xludf.DUMMYFUNCTION("""COMPUTED_VALUE"""),105.57)</f>
        <v>105.57</v>
      </c>
      <c r="E406" s="3">
        <f ca="1">IFERROR(__xludf.DUMMYFUNCTION("""COMPUTED_VALUE"""),162.23)</f>
        <v>162.22999999999999</v>
      </c>
      <c r="F406" s="3">
        <f ca="1">IFERROR(__xludf.DUMMYFUNCTION("""COMPUTED_VALUE"""),50.82)</f>
        <v>50.82</v>
      </c>
      <c r="G406" s="3">
        <f ca="1">IFERROR(__xludf.DUMMYFUNCTION("""COMPUTED_VALUE"""),26.29)</f>
        <v>26.29</v>
      </c>
      <c r="H406" s="3">
        <f ca="1">IFERROR(__xludf.DUMMYFUNCTION("""COMPUTED_VALUE"""),26.01)</f>
        <v>26.01</v>
      </c>
      <c r="I406" s="3">
        <f ca="1">IFERROR(__xludf.DUMMYFUNCTION("""COMPUTED_VALUE"""),135.67)</f>
        <v>135.66999999999999</v>
      </c>
      <c r="J406" s="3">
        <f ca="1">IFERROR(__xludf.DUMMYFUNCTION("""COMPUTED_VALUE"""),248.34)</f>
        <v>248.34</v>
      </c>
      <c r="K406" s="3">
        <f ca="1">IFERROR(__xludf.DUMMYFUNCTION("""COMPUTED_VALUE"""),128.57)</f>
        <v>128.57</v>
      </c>
      <c r="L406" s="3">
        <f ca="1">IFERROR(__xludf.DUMMYFUNCTION("""COMPUTED_VALUE"""),79.87)</f>
        <v>79.87</v>
      </c>
      <c r="M406" s="3">
        <f ca="1">IFERROR(__xludf.DUMMYFUNCTION("""COMPUTED_VALUE"""),62.22)</f>
        <v>62.22</v>
      </c>
      <c r="N406" s="3">
        <f ca="1">IFERROR(__xludf.DUMMYFUNCTION("""COMPUTED_VALUE"""),64.03)</f>
        <v>64.03</v>
      </c>
      <c r="O406" s="3">
        <f ca="1">IFERROR(__xludf.DUMMYFUNCTION("""COMPUTED_VALUE"""),45.2)</f>
        <v>45.2</v>
      </c>
      <c r="P406" s="3">
        <f ca="1">IFERROR(__xludf.DUMMYFUNCTION("""COMPUTED_VALUE"""),89.9)</f>
        <v>89.9</v>
      </c>
      <c r="Q406" s="3">
        <f ca="1">IFERROR(__xludf.DUMMYFUNCTION("""COMPUTED_VALUE"""),125.68)</f>
        <v>125.68</v>
      </c>
      <c r="R406" s="3">
        <f ca="1">IFERROR(__xludf.DUMMYFUNCTION("""COMPUTED_VALUE"""),82.72)</f>
        <v>82.72</v>
      </c>
      <c r="S406" s="3">
        <f ca="1">IFERROR(__xludf.DUMMYFUNCTION("""COMPUTED_VALUE"""),50.94)</f>
        <v>50.94</v>
      </c>
      <c r="T406" s="3">
        <f ca="1">IFERROR(__xludf.DUMMYFUNCTION("""COMPUTED_VALUE"""),24.43)</f>
        <v>24.43</v>
      </c>
      <c r="U406" s="3">
        <f ca="1">IFERROR(__xludf.DUMMYFUNCTION("""COMPUTED_VALUE"""),74.25)</f>
        <v>74.25</v>
      </c>
      <c r="V406" s="3">
        <f ca="1">IFERROR(__xludf.DUMMYFUNCTION("""COMPUTED_VALUE"""),61.82)</f>
        <v>61.82</v>
      </c>
      <c r="W406" s="3">
        <f ca="1">IFERROR(__xludf.DUMMYFUNCTION("""COMPUTED_VALUE"""),34.92)</f>
        <v>34.92</v>
      </c>
      <c r="X406" s="3">
        <f ca="1">IFERROR(__xludf.DUMMYFUNCTION("""COMPUTED_VALUE"""),84.74)</f>
        <v>84.74</v>
      </c>
      <c r="Y406" s="3">
        <f ca="1">IFERROR(__xludf.DUMMYFUNCTION("""COMPUTED_VALUE"""),41.33)</f>
        <v>41.33</v>
      </c>
      <c r="Z406" s="3">
        <f ca="1">IFERROR(__xludf.DUMMYFUNCTION("""COMPUTED_VALUE"""),78.3)</f>
        <v>78.3</v>
      </c>
      <c r="AA406" s="3">
        <f ca="1">IFERROR(__xludf.DUMMYFUNCTION("""COMPUTED_VALUE"""),37.39)</f>
        <v>37.39</v>
      </c>
      <c r="AB406" s="3">
        <f ca="1">IFERROR(__xludf.DUMMYFUNCTION("""COMPUTED_VALUE"""),47.79)</f>
        <v>47.79</v>
      </c>
      <c r="AC406" s="3">
        <f ca="1">IFERROR(__xludf.DUMMYFUNCTION("""COMPUTED_VALUE"""),53.39)</f>
        <v>53.39</v>
      </c>
      <c r="AD406" s="3">
        <f ca="1">IFERROR(__xludf.DUMMYFUNCTION("""COMPUTED_VALUE"""),11.05)</f>
        <v>11.05</v>
      </c>
      <c r="AE406" s="3">
        <f ca="1">IFERROR(__xludf.DUMMYFUNCTION("""COMPUTED_VALUE"""),15.21)</f>
        <v>15.21</v>
      </c>
      <c r="AF406" s="3">
        <f ca="1">IFERROR(__xludf.DUMMYFUNCTION("""COMPUTED_VALUE"""),3.45)</f>
        <v>3.45</v>
      </c>
      <c r="AG406" s="3">
        <f ca="1">IFERROR(__xludf.DUMMYFUNCTION("""COMPUTED_VALUE"""),32.53)</f>
        <v>32.53</v>
      </c>
    </row>
    <row r="407" spans="1:33" ht="12.75" x14ac:dyDescent="0.2">
      <c r="A407" s="4">
        <f ca="1">IFERROR(__xludf.DUMMYFUNCTION("""COMPUTED_VALUE"""),45152.6666666666)</f>
        <v>45152.666666666599</v>
      </c>
      <c r="B407" s="3">
        <f ca="1">IFERROR(__xludf.DUMMYFUNCTION("""COMPUTED_VALUE"""),169.56)</f>
        <v>169.56</v>
      </c>
      <c r="C407" s="3">
        <f ca="1">IFERROR(__xludf.DUMMYFUNCTION("""COMPUTED_VALUE"""),429.9)</f>
        <v>429.9</v>
      </c>
      <c r="D407" s="3">
        <f ca="1">IFERROR(__xludf.DUMMYFUNCTION("""COMPUTED_VALUE"""),104.46)</f>
        <v>104.46</v>
      </c>
      <c r="E407" s="3">
        <f ca="1">IFERROR(__xludf.DUMMYFUNCTION("""COMPUTED_VALUE"""),166.91)</f>
        <v>166.91</v>
      </c>
      <c r="F407" s="3">
        <f ca="1">IFERROR(__xludf.DUMMYFUNCTION("""COMPUTED_VALUE"""),51.18)</f>
        <v>51.18</v>
      </c>
      <c r="G407" s="3">
        <f ca="1">IFERROR(__xludf.DUMMYFUNCTION("""COMPUTED_VALUE"""),26.59)</f>
        <v>26.59</v>
      </c>
      <c r="H407" s="3">
        <f ca="1">IFERROR(__xludf.DUMMYFUNCTION("""COMPUTED_VALUE"""),26.11)</f>
        <v>26.11</v>
      </c>
      <c r="I407" s="3">
        <f ca="1">IFERROR(__xludf.DUMMYFUNCTION("""COMPUTED_VALUE"""),136.08)</f>
        <v>136.08000000000001</v>
      </c>
      <c r="J407" s="3">
        <f ca="1">IFERROR(__xludf.DUMMYFUNCTION("""COMPUTED_VALUE"""),248.99)</f>
        <v>248.99</v>
      </c>
      <c r="K407" s="3">
        <f ca="1">IFERROR(__xludf.DUMMYFUNCTION("""COMPUTED_VALUE"""),128.42)</f>
        <v>128.41999999999999</v>
      </c>
      <c r="L407" s="3">
        <f ca="1">IFERROR(__xludf.DUMMYFUNCTION("""COMPUTED_VALUE"""),80.03)</f>
        <v>80.03</v>
      </c>
      <c r="M407" s="3">
        <f ca="1">IFERROR(__xludf.DUMMYFUNCTION("""COMPUTED_VALUE"""),61.89)</f>
        <v>61.89</v>
      </c>
      <c r="N407" s="3">
        <f ca="1">IFERROR(__xludf.DUMMYFUNCTION("""COMPUTED_VALUE"""),64.23)</f>
        <v>64.23</v>
      </c>
      <c r="O407" s="3">
        <f ca="1">IFERROR(__xludf.DUMMYFUNCTION("""COMPUTED_VALUE"""),45.28)</f>
        <v>45.28</v>
      </c>
      <c r="P407" s="3">
        <f ca="1">IFERROR(__xludf.DUMMYFUNCTION("""COMPUTED_VALUE"""),89.52)</f>
        <v>89.52</v>
      </c>
      <c r="Q407" s="3">
        <f ca="1">IFERROR(__xludf.DUMMYFUNCTION("""COMPUTED_VALUE"""),125.09)</f>
        <v>125.09</v>
      </c>
      <c r="R407" s="3">
        <f ca="1">IFERROR(__xludf.DUMMYFUNCTION("""COMPUTED_VALUE"""),82.9)</f>
        <v>82.9</v>
      </c>
      <c r="S407" s="3">
        <f ca="1">IFERROR(__xludf.DUMMYFUNCTION("""COMPUTED_VALUE"""),52.06)</f>
        <v>52.06</v>
      </c>
      <c r="T407" s="3">
        <f ca="1">IFERROR(__xludf.DUMMYFUNCTION("""COMPUTED_VALUE"""),24.31)</f>
        <v>24.31</v>
      </c>
      <c r="U407" s="3">
        <f ca="1">IFERROR(__xludf.DUMMYFUNCTION("""COMPUTED_VALUE"""),73.81)</f>
        <v>73.81</v>
      </c>
      <c r="V407" s="3">
        <f ca="1">IFERROR(__xludf.DUMMYFUNCTION("""COMPUTED_VALUE"""),62.02)</f>
        <v>62.02</v>
      </c>
      <c r="W407" s="3">
        <f ca="1">IFERROR(__xludf.DUMMYFUNCTION("""COMPUTED_VALUE"""),34.85)</f>
        <v>34.85</v>
      </c>
      <c r="X407" s="3">
        <f ca="1">IFERROR(__xludf.DUMMYFUNCTION("""COMPUTED_VALUE"""),84.55)</f>
        <v>84.55</v>
      </c>
      <c r="Y407" s="3">
        <f ca="1">IFERROR(__xludf.DUMMYFUNCTION("""COMPUTED_VALUE"""),40.69)</f>
        <v>40.69</v>
      </c>
      <c r="Z407" s="3">
        <f ca="1">IFERROR(__xludf.DUMMYFUNCTION("""COMPUTED_VALUE"""),77.93)</f>
        <v>77.930000000000007</v>
      </c>
      <c r="AA407" s="3">
        <f ca="1">IFERROR(__xludf.DUMMYFUNCTION("""COMPUTED_VALUE"""),37.19)</f>
        <v>37.19</v>
      </c>
      <c r="AB407" s="3">
        <f ca="1">IFERROR(__xludf.DUMMYFUNCTION("""COMPUTED_VALUE"""),46.86)</f>
        <v>46.86</v>
      </c>
      <c r="AC407" s="3">
        <f ca="1">IFERROR(__xludf.DUMMYFUNCTION("""COMPUTED_VALUE"""),53.16)</f>
        <v>53.16</v>
      </c>
      <c r="AD407" s="3">
        <f ca="1">IFERROR(__xludf.DUMMYFUNCTION("""COMPUTED_VALUE"""),11.02)</f>
        <v>11.02</v>
      </c>
      <c r="AE407" s="3">
        <f ca="1">IFERROR(__xludf.DUMMYFUNCTION("""COMPUTED_VALUE"""),15.16)</f>
        <v>15.16</v>
      </c>
      <c r="AF407" s="3">
        <f ca="1">IFERROR(__xludf.DUMMYFUNCTION("""COMPUTED_VALUE"""),3.48)</f>
        <v>3.48</v>
      </c>
      <c r="AG407" s="3">
        <f ca="1">IFERROR(__xludf.DUMMYFUNCTION("""COMPUTED_VALUE"""),31.87)</f>
        <v>31.87</v>
      </c>
    </row>
    <row r="408" spans="1:33" ht="12.75" x14ac:dyDescent="0.2">
      <c r="A408" s="4">
        <f ca="1">IFERROR(__xludf.DUMMYFUNCTION("""COMPUTED_VALUE"""),45153.6666666666)</f>
        <v>45153.666666666599</v>
      </c>
      <c r="B408" s="3">
        <f ca="1">IFERROR(__xludf.DUMMYFUNCTION("""COMPUTED_VALUE"""),167.89)</f>
        <v>167.89</v>
      </c>
      <c r="C408" s="3">
        <f ca="1">IFERROR(__xludf.DUMMYFUNCTION("""COMPUTED_VALUE"""),425.65)</f>
        <v>425.65</v>
      </c>
      <c r="D408" s="3">
        <f ca="1">IFERROR(__xludf.DUMMYFUNCTION("""COMPUTED_VALUE"""),104.5)</f>
        <v>104.5</v>
      </c>
      <c r="E408" s="3">
        <f ca="1">IFERROR(__xludf.DUMMYFUNCTION("""COMPUTED_VALUE"""),164.12)</f>
        <v>164.12</v>
      </c>
      <c r="F408" s="3">
        <f ca="1">IFERROR(__xludf.DUMMYFUNCTION("""COMPUTED_VALUE"""),50.57)</f>
        <v>50.57</v>
      </c>
      <c r="G408" s="3">
        <f ca="1">IFERROR(__xludf.DUMMYFUNCTION("""COMPUTED_VALUE"""),26.29)</f>
        <v>26.29</v>
      </c>
      <c r="H408" s="3">
        <f ca="1">IFERROR(__xludf.DUMMYFUNCTION("""COMPUTED_VALUE"""),25.81)</f>
        <v>25.81</v>
      </c>
      <c r="I408" s="3">
        <f ca="1">IFERROR(__xludf.DUMMYFUNCTION("""COMPUTED_VALUE"""),135.58)</f>
        <v>135.58000000000001</v>
      </c>
      <c r="J408" s="3">
        <f ca="1">IFERROR(__xludf.DUMMYFUNCTION("""COMPUTED_VALUE"""),248.06)</f>
        <v>248.06</v>
      </c>
      <c r="K408" s="3">
        <f ca="1">IFERROR(__xludf.DUMMYFUNCTION("""COMPUTED_VALUE"""),128.01)</f>
        <v>128.01</v>
      </c>
      <c r="L408" s="3">
        <f ca="1">IFERROR(__xludf.DUMMYFUNCTION("""COMPUTED_VALUE"""),79.82)</f>
        <v>79.819999999999993</v>
      </c>
      <c r="M408" s="3">
        <f ca="1">IFERROR(__xludf.DUMMYFUNCTION("""COMPUTED_VALUE"""),62.12)</f>
        <v>62.12</v>
      </c>
      <c r="N408" s="3">
        <f ca="1">IFERROR(__xludf.DUMMYFUNCTION("""COMPUTED_VALUE"""),64)</f>
        <v>64</v>
      </c>
      <c r="O408" s="3">
        <f ca="1">IFERROR(__xludf.DUMMYFUNCTION("""COMPUTED_VALUE"""),44.8)</f>
        <v>44.8</v>
      </c>
      <c r="P408" s="3">
        <f ca="1">IFERROR(__xludf.DUMMYFUNCTION("""COMPUTED_VALUE"""),87.66)</f>
        <v>87.66</v>
      </c>
      <c r="Q408" s="3">
        <f ca="1">IFERROR(__xludf.DUMMYFUNCTION("""COMPUTED_VALUE"""),122.5)</f>
        <v>122.5</v>
      </c>
      <c r="R408" s="3">
        <f ca="1">IFERROR(__xludf.DUMMYFUNCTION("""COMPUTED_VALUE"""),81.55)</f>
        <v>81.55</v>
      </c>
      <c r="S408" s="3">
        <f ca="1">IFERROR(__xludf.DUMMYFUNCTION("""COMPUTED_VALUE"""),50.83)</f>
        <v>50.83</v>
      </c>
      <c r="T408" s="3">
        <f ca="1">IFERROR(__xludf.DUMMYFUNCTION("""COMPUTED_VALUE"""),24.02)</f>
        <v>24.02</v>
      </c>
      <c r="U408" s="3">
        <f ca="1">IFERROR(__xludf.DUMMYFUNCTION("""COMPUTED_VALUE"""),72.62)</f>
        <v>72.62</v>
      </c>
      <c r="V408" s="3">
        <f ca="1">IFERROR(__xludf.DUMMYFUNCTION("""COMPUTED_VALUE"""),59.58)</f>
        <v>59.58</v>
      </c>
      <c r="W408" s="3">
        <f ca="1">IFERROR(__xludf.DUMMYFUNCTION("""COMPUTED_VALUE"""),34.21)</f>
        <v>34.21</v>
      </c>
      <c r="X408" s="3">
        <f ca="1">IFERROR(__xludf.DUMMYFUNCTION("""COMPUTED_VALUE"""),82.92)</f>
        <v>82.92</v>
      </c>
      <c r="Y408" s="3">
        <f ca="1">IFERROR(__xludf.DUMMYFUNCTION("""COMPUTED_VALUE"""),39.43)</f>
        <v>39.43</v>
      </c>
      <c r="Z408" s="3">
        <f ca="1">IFERROR(__xludf.DUMMYFUNCTION("""COMPUTED_VALUE"""),76.45)</f>
        <v>76.45</v>
      </c>
      <c r="AA408" s="3">
        <f ca="1">IFERROR(__xludf.DUMMYFUNCTION("""COMPUTED_VALUE"""),36.81)</f>
        <v>36.81</v>
      </c>
      <c r="AB408" s="3">
        <f ca="1">IFERROR(__xludf.DUMMYFUNCTION("""COMPUTED_VALUE"""),45.3)</f>
        <v>45.3</v>
      </c>
      <c r="AC408" s="3">
        <f ca="1">IFERROR(__xludf.DUMMYFUNCTION("""COMPUTED_VALUE"""),53.17)</f>
        <v>53.17</v>
      </c>
      <c r="AD408" s="3">
        <f ca="1">IFERROR(__xludf.DUMMYFUNCTION("""COMPUTED_VALUE"""),10.96)</f>
        <v>10.96</v>
      </c>
      <c r="AE408" s="3">
        <f ca="1">IFERROR(__xludf.DUMMYFUNCTION("""COMPUTED_VALUE"""),15.07)</f>
        <v>15.07</v>
      </c>
      <c r="AF408" s="3">
        <f ca="1">IFERROR(__xludf.DUMMYFUNCTION("""COMPUTED_VALUE"""),3.45)</f>
        <v>3.45</v>
      </c>
      <c r="AG408" s="3">
        <f ca="1">IFERROR(__xludf.DUMMYFUNCTION("""COMPUTED_VALUE"""),30.19)</f>
        <v>30.19</v>
      </c>
    </row>
    <row r="409" spans="1:33" ht="12.75" x14ac:dyDescent="0.2">
      <c r="A409" s="4">
        <f ca="1">IFERROR(__xludf.DUMMYFUNCTION("""COMPUTED_VALUE"""),45154.6666666666)</f>
        <v>45154.666666666599</v>
      </c>
      <c r="B409" s="3">
        <f ca="1">IFERROR(__xludf.DUMMYFUNCTION("""COMPUTED_VALUE"""),166.29)</f>
        <v>166.29</v>
      </c>
      <c r="C409" s="3">
        <f ca="1">IFERROR(__xludf.DUMMYFUNCTION("""COMPUTED_VALUE"""),421.62)</f>
        <v>421.62</v>
      </c>
      <c r="D409" s="3">
        <f ca="1">IFERROR(__xludf.DUMMYFUNCTION("""COMPUTED_VALUE"""),106.45)</f>
        <v>106.45</v>
      </c>
      <c r="E409" s="3">
        <f ca="1">IFERROR(__xludf.DUMMYFUNCTION("""COMPUTED_VALUE"""),160.95)</f>
        <v>160.94999999999999</v>
      </c>
      <c r="F409" s="3">
        <f ca="1">IFERROR(__xludf.DUMMYFUNCTION("""COMPUTED_VALUE"""),50.07)</f>
        <v>50.07</v>
      </c>
      <c r="G409" s="3">
        <f ca="1">IFERROR(__xludf.DUMMYFUNCTION("""COMPUTED_VALUE"""),25.81)</f>
        <v>25.81</v>
      </c>
      <c r="H409" s="3">
        <f ca="1">IFERROR(__xludf.DUMMYFUNCTION("""COMPUTED_VALUE"""),25.55)</f>
        <v>25.55</v>
      </c>
      <c r="I409" s="3">
        <f ca="1">IFERROR(__xludf.DUMMYFUNCTION("""COMPUTED_VALUE"""),134.55)</f>
        <v>134.55000000000001</v>
      </c>
      <c r="J409" s="3">
        <f ca="1">IFERROR(__xludf.DUMMYFUNCTION("""COMPUTED_VALUE"""),246.04)</f>
        <v>246.04</v>
      </c>
      <c r="K409" s="3">
        <f ca="1">IFERROR(__xludf.DUMMYFUNCTION("""COMPUTED_VALUE"""),126.18)</f>
        <v>126.18</v>
      </c>
      <c r="L409" s="3">
        <f ca="1">IFERROR(__xludf.DUMMYFUNCTION("""COMPUTED_VALUE"""),78.08)</f>
        <v>78.08</v>
      </c>
      <c r="M409" s="3">
        <f ca="1">IFERROR(__xludf.DUMMYFUNCTION("""COMPUTED_VALUE"""),60.97)</f>
        <v>60.97</v>
      </c>
      <c r="N409" s="3">
        <f ca="1">IFERROR(__xludf.DUMMYFUNCTION("""COMPUTED_VALUE"""),63.4)</f>
        <v>63.4</v>
      </c>
      <c r="O409" s="3">
        <f ca="1">IFERROR(__xludf.DUMMYFUNCTION("""COMPUTED_VALUE"""),43.84)</f>
        <v>43.84</v>
      </c>
      <c r="P409" s="3">
        <f ca="1">IFERROR(__xludf.DUMMYFUNCTION("""COMPUTED_VALUE"""),86.9)</f>
        <v>86.9</v>
      </c>
      <c r="Q409" s="3">
        <f ca="1">IFERROR(__xludf.DUMMYFUNCTION("""COMPUTED_VALUE"""),121.53)</f>
        <v>121.53</v>
      </c>
      <c r="R409" s="3">
        <f ca="1">IFERROR(__xludf.DUMMYFUNCTION("""COMPUTED_VALUE"""),81)</f>
        <v>81</v>
      </c>
      <c r="S409" s="3">
        <f ca="1">IFERROR(__xludf.DUMMYFUNCTION("""COMPUTED_VALUE"""),50.98)</f>
        <v>50.98</v>
      </c>
      <c r="T409" s="3">
        <f ca="1">IFERROR(__xludf.DUMMYFUNCTION("""COMPUTED_VALUE"""),23.92)</f>
        <v>23.92</v>
      </c>
      <c r="U409" s="3">
        <f ca="1">IFERROR(__xludf.DUMMYFUNCTION("""COMPUTED_VALUE"""),71.37)</f>
        <v>71.37</v>
      </c>
      <c r="V409" s="3">
        <f ca="1">IFERROR(__xludf.DUMMYFUNCTION("""COMPUTED_VALUE"""),58.19)</f>
        <v>58.19</v>
      </c>
      <c r="W409" s="3">
        <f ca="1">IFERROR(__xludf.DUMMYFUNCTION("""COMPUTED_VALUE"""),34.16)</f>
        <v>34.159999999999997</v>
      </c>
      <c r="X409" s="3">
        <f ca="1">IFERROR(__xludf.DUMMYFUNCTION("""COMPUTED_VALUE"""),82.67)</f>
        <v>82.67</v>
      </c>
      <c r="Y409" s="3">
        <f ca="1">IFERROR(__xludf.DUMMYFUNCTION("""COMPUTED_VALUE"""),38.96)</f>
        <v>38.96</v>
      </c>
      <c r="Z409" s="3">
        <f ca="1">IFERROR(__xludf.DUMMYFUNCTION("""COMPUTED_VALUE"""),76.26)</f>
        <v>76.260000000000005</v>
      </c>
      <c r="AA409" s="3">
        <f ca="1">IFERROR(__xludf.DUMMYFUNCTION("""COMPUTED_VALUE"""),36.36)</f>
        <v>36.36</v>
      </c>
      <c r="AB409" s="3">
        <f ca="1">IFERROR(__xludf.DUMMYFUNCTION("""COMPUTED_VALUE"""),44.79)</f>
        <v>44.79</v>
      </c>
      <c r="AC409" s="3">
        <f ca="1">IFERROR(__xludf.DUMMYFUNCTION("""COMPUTED_VALUE"""),53.13)</f>
        <v>53.13</v>
      </c>
      <c r="AD409" s="3">
        <f ca="1">IFERROR(__xludf.DUMMYFUNCTION("""COMPUTED_VALUE"""),10.93)</f>
        <v>10.93</v>
      </c>
      <c r="AE409" s="3">
        <f ca="1">IFERROR(__xludf.DUMMYFUNCTION("""COMPUTED_VALUE"""),15.03)</f>
        <v>15.03</v>
      </c>
      <c r="AF409" s="3">
        <f ca="1">IFERROR(__xludf.DUMMYFUNCTION("""COMPUTED_VALUE"""),3.31)</f>
        <v>3.31</v>
      </c>
      <c r="AG409" s="3">
        <f ca="1">IFERROR(__xludf.DUMMYFUNCTION("""COMPUTED_VALUE"""),29.57)</f>
        <v>29.57</v>
      </c>
    </row>
    <row r="410" spans="1:33" ht="12.75" x14ac:dyDescent="0.2">
      <c r="A410" s="4">
        <f ca="1">IFERROR(__xludf.DUMMYFUNCTION("""COMPUTED_VALUE"""),45155.6666666666)</f>
        <v>45155.666666666599</v>
      </c>
      <c r="B410" s="3">
        <f ca="1">IFERROR(__xludf.DUMMYFUNCTION("""COMPUTED_VALUE"""),164.71)</f>
        <v>164.71</v>
      </c>
      <c r="C410" s="3">
        <f ca="1">IFERROR(__xludf.DUMMYFUNCTION("""COMPUTED_VALUE"""),417.01)</f>
        <v>417.01</v>
      </c>
      <c r="D410" s="3">
        <f ca="1">IFERROR(__xludf.DUMMYFUNCTION("""COMPUTED_VALUE"""),106.33)</f>
        <v>106.33</v>
      </c>
      <c r="E410" s="3">
        <f ca="1">IFERROR(__xludf.DUMMYFUNCTION("""COMPUTED_VALUE"""),159.37)</f>
        <v>159.37</v>
      </c>
      <c r="F410" s="3">
        <f ca="1">IFERROR(__xludf.DUMMYFUNCTION("""COMPUTED_VALUE"""),49.28)</f>
        <v>49.28</v>
      </c>
      <c r="G410" s="3">
        <f ca="1">IFERROR(__xludf.DUMMYFUNCTION("""COMPUTED_VALUE"""),25.38)</f>
        <v>25.38</v>
      </c>
      <c r="H410" s="3">
        <f ca="1">IFERROR(__xludf.DUMMYFUNCTION("""COMPUTED_VALUE"""),25.27)</f>
        <v>25.27</v>
      </c>
      <c r="I410" s="3">
        <f ca="1">IFERROR(__xludf.DUMMYFUNCTION("""COMPUTED_VALUE"""),133.48)</f>
        <v>133.47999999999999</v>
      </c>
      <c r="J410" s="3">
        <f ca="1">IFERROR(__xludf.DUMMYFUNCTION("""COMPUTED_VALUE"""),243.88)</f>
        <v>243.88</v>
      </c>
      <c r="K410" s="3">
        <f ca="1">IFERROR(__xludf.DUMMYFUNCTION("""COMPUTED_VALUE"""),125.56)</f>
        <v>125.56</v>
      </c>
      <c r="L410" s="3">
        <f ca="1">IFERROR(__xludf.DUMMYFUNCTION("""COMPUTED_VALUE"""),76.95)</f>
        <v>76.95</v>
      </c>
      <c r="M410" s="3">
        <f ca="1">IFERROR(__xludf.DUMMYFUNCTION("""COMPUTED_VALUE"""),60.23)</f>
        <v>60.23</v>
      </c>
      <c r="N410" s="3">
        <f ca="1">IFERROR(__xludf.DUMMYFUNCTION("""COMPUTED_VALUE"""),62.91)</f>
        <v>62.91</v>
      </c>
      <c r="O410" s="3">
        <f ca="1">IFERROR(__xludf.DUMMYFUNCTION("""COMPUTED_VALUE"""),43.4)</f>
        <v>43.4</v>
      </c>
      <c r="P410" s="3">
        <f ca="1">IFERROR(__xludf.DUMMYFUNCTION("""COMPUTED_VALUE"""),87.94)</f>
        <v>87.94</v>
      </c>
      <c r="Q410" s="3">
        <f ca="1">IFERROR(__xludf.DUMMYFUNCTION("""COMPUTED_VALUE"""),123.01)</f>
        <v>123.01</v>
      </c>
      <c r="R410" s="3">
        <f ca="1">IFERROR(__xludf.DUMMYFUNCTION("""COMPUTED_VALUE"""),80.84)</f>
        <v>80.84</v>
      </c>
      <c r="S410" s="3">
        <f ca="1">IFERROR(__xludf.DUMMYFUNCTION("""COMPUTED_VALUE"""),51.1)</f>
        <v>51.1</v>
      </c>
      <c r="T410" s="3">
        <f ca="1">IFERROR(__xludf.DUMMYFUNCTION("""COMPUTED_VALUE"""),23.98)</f>
        <v>23.98</v>
      </c>
      <c r="U410" s="3">
        <f ca="1">IFERROR(__xludf.DUMMYFUNCTION("""COMPUTED_VALUE"""),71.98)</f>
        <v>71.98</v>
      </c>
      <c r="V410" s="3">
        <f ca="1">IFERROR(__xludf.DUMMYFUNCTION("""COMPUTED_VALUE"""),57.27)</f>
        <v>57.27</v>
      </c>
      <c r="W410" s="3">
        <f ca="1">IFERROR(__xludf.DUMMYFUNCTION("""COMPUTED_VALUE"""),33.99)</f>
        <v>33.99</v>
      </c>
      <c r="X410" s="3">
        <f ca="1">IFERROR(__xludf.DUMMYFUNCTION("""COMPUTED_VALUE"""),82.22)</f>
        <v>82.22</v>
      </c>
      <c r="Y410" s="3">
        <f ca="1">IFERROR(__xludf.DUMMYFUNCTION("""COMPUTED_VALUE"""),38.92)</f>
        <v>38.92</v>
      </c>
      <c r="Z410" s="3">
        <f ca="1">IFERROR(__xludf.DUMMYFUNCTION("""COMPUTED_VALUE"""),75.93)</f>
        <v>75.930000000000007</v>
      </c>
      <c r="AA410" s="3">
        <f ca="1">IFERROR(__xludf.DUMMYFUNCTION("""COMPUTED_VALUE"""),36.09)</f>
        <v>36.090000000000003</v>
      </c>
      <c r="AB410" s="3">
        <f ca="1">IFERROR(__xludf.DUMMYFUNCTION("""COMPUTED_VALUE"""),44.79)</f>
        <v>44.79</v>
      </c>
      <c r="AC410" s="3">
        <f ca="1">IFERROR(__xludf.DUMMYFUNCTION("""COMPUTED_VALUE"""),52.5)</f>
        <v>52.5</v>
      </c>
      <c r="AD410" s="3">
        <f ca="1">IFERROR(__xludf.DUMMYFUNCTION("""COMPUTED_VALUE"""),10.44)</f>
        <v>10.44</v>
      </c>
      <c r="AE410" s="3">
        <f ca="1">IFERROR(__xludf.DUMMYFUNCTION("""COMPUTED_VALUE"""),14.38)</f>
        <v>14.38</v>
      </c>
      <c r="AF410" s="3">
        <f ca="1">IFERROR(__xludf.DUMMYFUNCTION("""COMPUTED_VALUE"""),3.24)</f>
        <v>3.24</v>
      </c>
      <c r="AG410" s="3">
        <f ca="1">IFERROR(__xludf.DUMMYFUNCTION("""COMPUTED_VALUE"""),27.37)</f>
        <v>27.37</v>
      </c>
    </row>
    <row r="411" spans="1:33" ht="12.75" x14ac:dyDescent="0.2">
      <c r="A411" s="4">
        <f ca="1">IFERROR(__xludf.DUMMYFUNCTION("""COMPUTED_VALUE"""),45156.6666666666)</f>
        <v>45156.666666666599</v>
      </c>
      <c r="B411" s="3">
        <f ca="1">IFERROR(__xludf.DUMMYFUNCTION("""COMPUTED_VALUE"""),164.96)</f>
        <v>164.96</v>
      </c>
      <c r="C411" s="3">
        <f ca="1">IFERROR(__xludf.DUMMYFUNCTION("""COMPUTED_VALUE"""),417.82)</f>
        <v>417.82</v>
      </c>
      <c r="D411" s="3">
        <f ca="1">IFERROR(__xludf.DUMMYFUNCTION("""COMPUTED_VALUE"""),108.43)</f>
        <v>108.43</v>
      </c>
      <c r="E411" s="3">
        <f ca="1">IFERROR(__xludf.DUMMYFUNCTION("""COMPUTED_VALUE"""),160.23)</f>
        <v>160.22999999999999</v>
      </c>
      <c r="F411" s="3">
        <f ca="1">IFERROR(__xludf.DUMMYFUNCTION("""COMPUTED_VALUE"""),49.49)</f>
        <v>49.49</v>
      </c>
      <c r="G411" s="3">
        <f ca="1">IFERROR(__xludf.DUMMYFUNCTION("""COMPUTED_VALUE"""),25.42)</f>
        <v>25.42</v>
      </c>
      <c r="H411" s="3">
        <f ca="1">IFERROR(__xludf.DUMMYFUNCTION("""COMPUTED_VALUE"""),25.28)</f>
        <v>25.28</v>
      </c>
      <c r="I411" s="3">
        <f ca="1">IFERROR(__xludf.DUMMYFUNCTION("""COMPUTED_VALUE"""),133.53)</f>
        <v>133.53</v>
      </c>
      <c r="J411" s="3">
        <f ca="1">IFERROR(__xludf.DUMMYFUNCTION("""COMPUTED_VALUE"""),244.04)</f>
        <v>244.04</v>
      </c>
      <c r="K411" s="3">
        <f ca="1">IFERROR(__xludf.DUMMYFUNCTION("""COMPUTED_VALUE"""),125.41)</f>
        <v>125.41</v>
      </c>
      <c r="L411" s="3">
        <f ca="1">IFERROR(__xludf.DUMMYFUNCTION("""COMPUTED_VALUE"""),77.53)</f>
        <v>77.53</v>
      </c>
      <c r="M411" s="3">
        <f ca="1">IFERROR(__xludf.DUMMYFUNCTION("""COMPUTED_VALUE"""),60.52)</f>
        <v>60.52</v>
      </c>
      <c r="N411" s="3">
        <f ca="1">IFERROR(__xludf.DUMMYFUNCTION("""COMPUTED_VALUE"""),62.96)</f>
        <v>62.96</v>
      </c>
      <c r="O411" s="3">
        <f ca="1">IFERROR(__xludf.DUMMYFUNCTION("""COMPUTED_VALUE"""),43.2)</f>
        <v>43.2</v>
      </c>
      <c r="P411" s="3">
        <f ca="1">IFERROR(__xludf.DUMMYFUNCTION("""COMPUTED_VALUE"""),88.81)</f>
        <v>88.81</v>
      </c>
      <c r="Q411" s="3">
        <f ca="1">IFERROR(__xludf.DUMMYFUNCTION("""COMPUTED_VALUE"""),124.28)</f>
        <v>124.28</v>
      </c>
      <c r="R411" s="3">
        <f ca="1">IFERROR(__xludf.DUMMYFUNCTION("""COMPUTED_VALUE"""),80.83)</f>
        <v>80.83</v>
      </c>
      <c r="S411" s="3">
        <f ca="1">IFERROR(__xludf.DUMMYFUNCTION("""COMPUTED_VALUE"""),51.19)</f>
        <v>51.19</v>
      </c>
      <c r="T411" s="3">
        <f ca="1">IFERROR(__xludf.DUMMYFUNCTION("""COMPUTED_VALUE"""),24.15)</f>
        <v>24.15</v>
      </c>
      <c r="U411" s="3">
        <f ca="1">IFERROR(__xludf.DUMMYFUNCTION("""COMPUTED_VALUE"""),72.79)</f>
        <v>72.790000000000006</v>
      </c>
      <c r="V411" s="3">
        <f ca="1">IFERROR(__xludf.DUMMYFUNCTION("""COMPUTED_VALUE"""),57.01)</f>
        <v>57.01</v>
      </c>
      <c r="W411" s="3">
        <f ca="1">IFERROR(__xludf.DUMMYFUNCTION("""COMPUTED_VALUE"""),33.98)</f>
        <v>33.979999999999997</v>
      </c>
      <c r="X411" s="3">
        <f ca="1">IFERROR(__xludf.DUMMYFUNCTION("""COMPUTED_VALUE"""),82.3)</f>
        <v>82.3</v>
      </c>
      <c r="Y411" s="3">
        <f ca="1">IFERROR(__xludf.DUMMYFUNCTION("""COMPUTED_VALUE"""),38.95)</f>
        <v>38.950000000000003</v>
      </c>
      <c r="Z411" s="3">
        <f ca="1">IFERROR(__xludf.DUMMYFUNCTION("""COMPUTED_VALUE"""),75.87)</f>
        <v>75.87</v>
      </c>
      <c r="AA411" s="3">
        <f ca="1">IFERROR(__xludf.DUMMYFUNCTION("""COMPUTED_VALUE"""),36.19)</f>
        <v>36.19</v>
      </c>
      <c r="AB411" s="3">
        <f ca="1">IFERROR(__xludf.DUMMYFUNCTION("""COMPUTED_VALUE"""),44.75)</f>
        <v>44.75</v>
      </c>
      <c r="AC411" s="3">
        <f ca="1">IFERROR(__xludf.DUMMYFUNCTION("""COMPUTED_VALUE"""),53.03)</f>
        <v>53.03</v>
      </c>
      <c r="AD411" s="3">
        <f ca="1">IFERROR(__xludf.DUMMYFUNCTION("""COMPUTED_VALUE"""),9.77)</f>
        <v>9.77</v>
      </c>
      <c r="AE411" s="3">
        <f ca="1">IFERROR(__xludf.DUMMYFUNCTION("""COMPUTED_VALUE"""),13.44)</f>
        <v>13.44</v>
      </c>
      <c r="AF411" s="3">
        <f ca="1">IFERROR(__xludf.DUMMYFUNCTION("""COMPUTED_VALUE"""),3)</f>
        <v>3</v>
      </c>
      <c r="AG411" s="3">
        <f ca="1">IFERROR(__xludf.DUMMYFUNCTION("""COMPUTED_VALUE"""),26.55)</f>
        <v>26.55</v>
      </c>
    </row>
    <row r="412" spans="1:33" ht="12.75" x14ac:dyDescent="0.2">
      <c r="A412" s="4">
        <f ca="1">IFERROR(__xludf.DUMMYFUNCTION("""COMPUTED_VALUE"""),45159.6666666666)</f>
        <v>45159.666666666599</v>
      </c>
      <c r="B412" s="3">
        <f ca="1">IFERROR(__xludf.DUMMYFUNCTION("""COMPUTED_VALUE"""),168.11)</f>
        <v>168.11</v>
      </c>
      <c r="C412" s="3">
        <f ca="1">IFERROR(__xludf.DUMMYFUNCTION("""COMPUTED_VALUE"""),425.01)</f>
        <v>425.01</v>
      </c>
      <c r="D412" s="3">
        <f ca="1">IFERROR(__xludf.DUMMYFUNCTION("""COMPUTED_VALUE"""),105.87)</f>
        <v>105.87</v>
      </c>
      <c r="E412" s="3">
        <f ca="1">IFERROR(__xludf.DUMMYFUNCTION("""COMPUTED_VALUE"""),164.83)</f>
        <v>164.83</v>
      </c>
      <c r="F412" s="3">
        <f ca="1">IFERROR(__xludf.DUMMYFUNCTION("""COMPUTED_VALUE"""),50.38)</f>
        <v>50.38</v>
      </c>
      <c r="G412" s="3">
        <f ca="1">IFERROR(__xludf.DUMMYFUNCTION("""COMPUTED_VALUE"""),25.7)</f>
        <v>25.7</v>
      </c>
      <c r="H412" s="3">
        <f ca="1">IFERROR(__xludf.DUMMYFUNCTION("""COMPUTED_VALUE"""),25.37)</f>
        <v>25.37</v>
      </c>
      <c r="I412" s="3">
        <f ca="1">IFERROR(__xludf.DUMMYFUNCTION("""COMPUTED_VALUE"""),133.67)</f>
        <v>133.66999999999999</v>
      </c>
      <c r="J412" s="3">
        <f ca="1">IFERROR(__xludf.DUMMYFUNCTION("""COMPUTED_VALUE"""),244.42)</f>
        <v>244.42</v>
      </c>
      <c r="K412" s="3">
        <f ca="1">IFERROR(__xludf.DUMMYFUNCTION("""COMPUTED_VALUE"""),127.23)</f>
        <v>127.23</v>
      </c>
      <c r="L412" s="3">
        <f ca="1">IFERROR(__xludf.DUMMYFUNCTION("""COMPUTED_VALUE"""),78.39)</f>
        <v>78.39</v>
      </c>
      <c r="M412" s="3">
        <f ca="1">IFERROR(__xludf.DUMMYFUNCTION("""COMPUTED_VALUE"""),61.17)</f>
        <v>61.17</v>
      </c>
      <c r="N412" s="3">
        <f ca="1">IFERROR(__xludf.DUMMYFUNCTION("""COMPUTED_VALUE"""),63.01)</f>
        <v>63.01</v>
      </c>
      <c r="O412" s="3">
        <f ca="1">IFERROR(__xludf.DUMMYFUNCTION("""COMPUTED_VALUE"""),43.96)</f>
        <v>43.96</v>
      </c>
      <c r="P412" s="3">
        <f ca="1">IFERROR(__xludf.DUMMYFUNCTION("""COMPUTED_VALUE"""),88.25)</f>
        <v>88.25</v>
      </c>
      <c r="Q412" s="3">
        <f ca="1">IFERROR(__xludf.DUMMYFUNCTION("""COMPUTED_VALUE"""),123.54)</f>
        <v>123.54</v>
      </c>
      <c r="R412" s="3">
        <f ca="1">IFERROR(__xludf.DUMMYFUNCTION("""COMPUTED_VALUE"""),80.84)</f>
        <v>80.84</v>
      </c>
      <c r="S412" s="3">
        <f ca="1">IFERROR(__xludf.DUMMYFUNCTION("""COMPUTED_VALUE"""),50.89)</f>
        <v>50.89</v>
      </c>
      <c r="T412" s="3">
        <f ca="1">IFERROR(__xludf.DUMMYFUNCTION("""COMPUTED_VALUE"""),24.09)</f>
        <v>24.09</v>
      </c>
      <c r="U412" s="3">
        <f ca="1">IFERROR(__xludf.DUMMYFUNCTION("""COMPUTED_VALUE"""),72.58)</f>
        <v>72.58</v>
      </c>
      <c r="V412" s="3">
        <f ca="1">IFERROR(__xludf.DUMMYFUNCTION("""COMPUTED_VALUE"""),56.38)</f>
        <v>56.38</v>
      </c>
      <c r="W412" s="3">
        <f ca="1">IFERROR(__xludf.DUMMYFUNCTION("""COMPUTED_VALUE"""),33.94)</f>
        <v>33.94</v>
      </c>
      <c r="X412" s="3">
        <f ca="1">IFERROR(__xludf.DUMMYFUNCTION("""COMPUTED_VALUE"""),82.19)</f>
        <v>82.19</v>
      </c>
      <c r="Y412" s="3">
        <f ca="1">IFERROR(__xludf.DUMMYFUNCTION("""COMPUTED_VALUE"""),38.68)</f>
        <v>38.68</v>
      </c>
      <c r="Z412" s="3">
        <f ca="1">IFERROR(__xludf.DUMMYFUNCTION("""COMPUTED_VALUE"""),75.75)</f>
        <v>75.75</v>
      </c>
      <c r="AA412" s="3">
        <f ca="1">IFERROR(__xludf.DUMMYFUNCTION("""COMPUTED_VALUE"""),35.88)</f>
        <v>35.880000000000003</v>
      </c>
      <c r="AB412" s="3">
        <f ca="1">IFERROR(__xludf.DUMMYFUNCTION("""COMPUTED_VALUE"""),44.45)</f>
        <v>44.45</v>
      </c>
      <c r="AC412" s="3">
        <f ca="1">IFERROR(__xludf.DUMMYFUNCTION("""COMPUTED_VALUE"""),52.81)</f>
        <v>52.81</v>
      </c>
      <c r="AD412" s="3">
        <f ca="1">IFERROR(__xludf.DUMMYFUNCTION("""COMPUTED_VALUE"""),9.8)</f>
        <v>9.8000000000000007</v>
      </c>
      <c r="AE412" s="3">
        <f ca="1">IFERROR(__xludf.DUMMYFUNCTION("""COMPUTED_VALUE"""),13.45)</f>
        <v>13.45</v>
      </c>
      <c r="AF412" s="3">
        <f ca="1">IFERROR(__xludf.DUMMYFUNCTION("""COMPUTED_VALUE"""),2.95)</f>
        <v>2.95</v>
      </c>
      <c r="AG412" s="3">
        <f ca="1">IFERROR(__xludf.DUMMYFUNCTION("""COMPUTED_VALUE"""),26.49)</f>
        <v>26.49</v>
      </c>
    </row>
    <row r="413" spans="1:33" ht="12.75" x14ac:dyDescent="0.2">
      <c r="A413" s="4">
        <f ca="1">IFERROR(__xludf.DUMMYFUNCTION("""COMPUTED_VALUE"""),45160.6666666666)</f>
        <v>45160.666666666599</v>
      </c>
      <c r="B413" s="3">
        <f ca="1">IFERROR(__xludf.DUMMYFUNCTION("""COMPUTED_VALUE"""),167.92)</f>
        <v>167.92</v>
      </c>
      <c r="C413" s="3">
        <f ca="1">IFERROR(__xludf.DUMMYFUNCTION("""COMPUTED_VALUE"""),425.17)</f>
        <v>425.17</v>
      </c>
      <c r="D413" s="3">
        <f ca="1">IFERROR(__xludf.DUMMYFUNCTION("""COMPUTED_VALUE"""),106.8)</f>
        <v>106.8</v>
      </c>
      <c r="E413" s="3">
        <f ca="1">IFERROR(__xludf.DUMMYFUNCTION("""COMPUTED_VALUE"""),163.38)</f>
        <v>163.38</v>
      </c>
      <c r="F413" s="3">
        <f ca="1">IFERROR(__xludf.DUMMYFUNCTION("""COMPUTED_VALUE"""),50.28)</f>
        <v>50.28</v>
      </c>
      <c r="G413" s="3">
        <f ca="1">IFERROR(__xludf.DUMMYFUNCTION("""COMPUTED_VALUE"""),25.57)</f>
        <v>25.57</v>
      </c>
      <c r="H413" s="3">
        <f ca="1">IFERROR(__xludf.DUMMYFUNCTION("""COMPUTED_VALUE"""),25.43)</f>
        <v>25.43</v>
      </c>
      <c r="I413" s="3">
        <f ca="1">IFERROR(__xludf.DUMMYFUNCTION("""COMPUTED_VALUE"""),133.2)</f>
        <v>133.19999999999999</v>
      </c>
      <c r="J413" s="3">
        <f ca="1">IFERROR(__xludf.DUMMYFUNCTION("""COMPUTED_VALUE"""),243.73)</f>
        <v>243.73</v>
      </c>
      <c r="K413" s="3">
        <f ca="1">IFERROR(__xludf.DUMMYFUNCTION("""COMPUTED_VALUE"""),127.29)</f>
        <v>127.29</v>
      </c>
      <c r="L413" s="3">
        <f ca="1">IFERROR(__xludf.DUMMYFUNCTION("""COMPUTED_VALUE"""),78.37)</f>
        <v>78.37</v>
      </c>
      <c r="M413" s="3">
        <f ca="1">IFERROR(__xludf.DUMMYFUNCTION("""COMPUTED_VALUE"""),61.03)</f>
        <v>61.03</v>
      </c>
      <c r="N413" s="3">
        <f ca="1">IFERROR(__xludf.DUMMYFUNCTION("""COMPUTED_VALUE"""),62.86)</f>
        <v>62.86</v>
      </c>
      <c r="O413" s="3">
        <f ca="1">IFERROR(__xludf.DUMMYFUNCTION("""COMPUTED_VALUE"""),44)</f>
        <v>44</v>
      </c>
      <c r="P413" s="3">
        <f ca="1">IFERROR(__xludf.DUMMYFUNCTION("""COMPUTED_VALUE"""),87.57)</f>
        <v>87.57</v>
      </c>
      <c r="Q413" s="3">
        <f ca="1">IFERROR(__xludf.DUMMYFUNCTION("""COMPUTED_VALUE"""),122.65)</f>
        <v>122.65</v>
      </c>
      <c r="R413" s="3">
        <f ca="1">IFERROR(__xludf.DUMMYFUNCTION("""COMPUTED_VALUE"""),80.77)</f>
        <v>80.77</v>
      </c>
      <c r="S413" s="3">
        <f ca="1">IFERROR(__xludf.DUMMYFUNCTION("""COMPUTED_VALUE"""),51.13)</f>
        <v>51.13</v>
      </c>
      <c r="T413" s="3">
        <f ca="1">IFERROR(__xludf.DUMMYFUNCTION("""COMPUTED_VALUE"""),24.1)</f>
        <v>24.1</v>
      </c>
      <c r="U413" s="3">
        <f ca="1">IFERROR(__xludf.DUMMYFUNCTION("""COMPUTED_VALUE"""),72.28)</f>
        <v>72.28</v>
      </c>
      <c r="V413" s="3">
        <f ca="1">IFERROR(__xludf.DUMMYFUNCTION("""COMPUTED_VALUE"""),55.79)</f>
        <v>55.79</v>
      </c>
      <c r="W413" s="3">
        <f ca="1">IFERROR(__xludf.DUMMYFUNCTION("""COMPUTED_VALUE"""),33.62)</f>
        <v>33.619999999999997</v>
      </c>
      <c r="X413" s="3">
        <f ca="1">IFERROR(__xludf.DUMMYFUNCTION("""COMPUTED_VALUE"""),81.38)</f>
        <v>81.38</v>
      </c>
      <c r="Y413" s="3">
        <f ca="1">IFERROR(__xludf.DUMMYFUNCTION("""COMPUTED_VALUE"""),37.72)</f>
        <v>37.72</v>
      </c>
      <c r="Z413" s="3">
        <f ca="1">IFERROR(__xludf.DUMMYFUNCTION("""COMPUTED_VALUE"""),74.85)</f>
        <v>74.849999999999994</v>
      </c>
      <c r="AA413" s="3">
        <f ca="1">IFERROR(__xludf.DUMMYFUNCTION("""COMPUTED_VALUE"""),35.99)</f>
        <v>35.99</v>
      </c>
      <c r="AB413" s="3">
        <f ca="1">IFERROR(__xludf.DUMMYFUNCTION("""COMPUTED_VALUE"""),43.18)</f>
        <v>43.18</v>
      </c>
      <c r="AC413" s="3">
        <f ca="1">IFERROR(__xludf.DUMMYFUNCTION("""COMPUTED_VALUE"""),52.96)</f>
        <v>52.96</v>
      </c>
      <c r="AD413" s="3">
        <f ca="1">IFERROR(__xludf.DUMMYFUNCTION("""COMPUTED_VALUE"""),9.67)</f>
        <v>9.67</v>
      </c>
      <c r="AE413" s="3">
        <f ca="1">IFERROR(__xludf.DUMMYFUNCTION("""COMPUTED_VALUE"""),13.29)</f>
        <v>13.29</v>
      </c>
      <c r="AF413" s="3">
        <f ca="1">IFERROR(__xludf.DUMMYFUNCTION("""COMPUTED_VALUE"""),2.91)</f>
        <v>2.91</v>
      </c>
      <c r="AG413" s="3">
        <f ca="1">IFERROR(__xludf.DUMMYFUNCTION("""COMPUTED_VALUE"""),25.94)</f>
        <v>25.94</v>
      </c>
    </row>
    <row r="414" spans="1:33" ht="12.75" x14ac:dyDescent="0.2">
      <c r="A414" s="4">
        <f ca="1">IFERROR(__xludf.DUMMYFUNCTION("""COMPUTED_VALUE"""),45161.6666666666)</f>
        <v>45161.666666666599</v>
      </c>
      <c r="B414" s="3">
        <f ca="1">IFERROR(__xludf.DUMMYFUNCTION("""COMPUTED_VALUE"""),170.95)</f>
        <v>170.95</v>
      </c>
      <c r="C414" s="3">
        <f ca="1">IFERROR(__xludf.DUMMYFUNCTION("""COMPUTED_VALUE"""),432.89)</f>
        <v>432.89</v>
      </c>
      <c r="D414" s="3">
        <f ca="1">IFERROR(__xludf.DUMMYFUNCTION("""COMPUTED_VALUE"""),107.69)</f>
        <v>107.69</v>
      </c>
      <c r="E414" s="3">
        <f ca="1">IFERROR(__xludf.DUMMYFUNCTION("""COMPUTED_VALUE"""),166.72)</f>
        <v>166.72</v>
      </c>
      <c r="F414" s="3">
        <f ca="1">IFERROR(__xludf.DUMMYFUNCTION("""COMPUTED_VALUE"""),50.94)</f>
        <v>50.94</v>
      </c>
      <c r="G414" s="3">
        <f ca="1">IFERROR(__xludf.DUMMYFUNCTION("""COMPUTED_VALUE"""),26.11)</f>
        <v>26.11</v>
      </c>
      <c r="H414" s="3">
        <f ca="1">IFERROR(__xludf.DUMMYFUNCTION("""COMPUTED_VALUE"""),25.69)</f>
        <v>25.69</v>
      </c>
      <c r="I414" s="3">
        <f ca="1">IFERROR(__xludf.DUMMYFUNCTION("""COMPUTED_VALUE"""),133.6)</f>
        <v>133.6</v>
      </c>
      <c r="J414" s="3">
        <f ca="1">IFERROR(__xludf.DUMMYFUNCTION("""COMPUTED_VALUE"""),244.4)</f>
        <v>244.4</v>
      </c>
      <c r="K414" s="3">
        <f ca="1">IFERROR(__xludf.DUMMYFUNCTION("""COMPUTED_VALUE"""),128.03)</f>
        <v>128.03</v>
      </c>
      <c r="L414" s="3">
        <f ca="1">IFERROR(__xludf.DUMMYFUNCTION("""COMPUTED_VALUE"""),78.86)</f>
        <v>78.86</v>
      </c>
      <c r="M414" s="3">
        <f ca="1">IFERROR(__xludf.DUMMYFUNCTION("""COMPUTED_VALUE"""),61.31)</f>
        <v>61.31</v>
      </c>
      <c r="N414" s="3">
        <f ca="1">IFERROR(__xludf.DUMMYFUNCTION("""COMPUTED_VALUE"""),63.04)</f>
        <v>63.04</v>
      </c>
      <c r="O414" s="3">
        <f ca="1">IFERROR(__xludf.DUMMYFUNCTION("""COMPUTED_VALUE"""),44.48)</f>
        <v>44.48</v>
      </c>
      <c r="P414" s="3">
        <f ca="1">IFERROR(__xludf.DUMMYFUNCTION("""COMPUTED_VALUE"""),87.35)</f>
        <v>87.35</v>
      </c>
      <c r="Q414" s="3">
        <f ca="1">IFERROR(__xludf.DUMMYFUNCTION("""COMPUTED_VALUE"""),122.26)</f>
        <v>122.26</v>
      </c>
      <c r="R414" s="3">
        <f ca="1">IFERROR(__xludf.DUMMYFUNCTION("""COMPUTED_VALUE"""),80.9)</f>
        <v>80.900000000000006</v>
      </c>
      <c r="S414" s="3">
        <f ca="1">IFERROR(__xludf.DUMMYFUNCTION("""COMPUTED_VALUE"""),51.18)</f>
        <v>51.18</v>
      </c>
      <c r="T414" s="3">
        <f ca="1">IFERROR(__xludf.DUMMYFUNCTION("""COMPUTED_VALUE"""),24.15)</f>
        <v>24.15</v>
      </c>
      <c r="U414" s="3">
        <f ca="1">IFERROR(__xludf.DUMMYFUNCTION("""COMPUTED_VALUE"""),71.36)</f>
        <v>71.36</v>
      </c>
      <c r="V414" s="3">
        <f ca="1">IFERROR(__xludf.DUMMYFUNCTION("""COMPUTED_VALUE"""),56.76)</f>
        <v>56.76</v>
      </c>
      <c r="W414" s="3">
        <f ca="1">IFERROR(__xludf.DUMMYFUNCTION("""COMPUTED_VALUE"""),33.95)</f>
        <v>33.950000000000003</v>
      </c>
      <c r="X414" s="3">
        <f ca="1">IFERROR(__xludf.DUMMYFUNCTION("""COMPUTED_VALUE"""),82.13)</f>
        <v>82.13</v>
      </c>
      <c r="Y414" s="3">
        <f ca="1">IFERROR(__xludf.DUMMYFUNCTION("""COMPUTED_VALUE"""),38.23)</f>
        <v>38.229999999999997</v>
      </c>
      <c r="Z414" s="3">
        <f ca="1">IFERROR(__xludf.DUMMYFUNCTION("""COMPUTED_VALUE"""),75.67)</f>
        <v>75.67</v>
      </c>
      <c r="AA414" s="3">
        <f ca="1">IFERROR(__xludf.DUMMYFUNCTION("""COMPUTED_VALUE"""),36.52)</f>
        <v>36.520000000000003</v>
      </c>
      <c r="AB414" s="3">
        <f ca="1">IFERROR(__xludf.DUMMYFUNCTION("""COMPUTED_VALUE"""),43.74)</f>
        <v>43.74</v>
      </c>
      <c r="AC414" s="3">
        <f ca="1">IFERROR(__xludf.DUMMYFUNCTION("""COMPUTED_VALUE"""),53.43)</f>
        <v>53.43</v>
      </c>
      <c r="AD414" s="3">
        <f ca="1">IFERROR(__xludf.DUMMYFUNCTION("""COMPUTED_VALUE"""),10)</f>
        <v>10</v>
      </c>
      <c r="AE414" s="3">
        <f ca="1">IFERROR(__xludf.DUMMYFUNCTION("""COMPUTED_VALUE"""),13.7)</f>
        <v>13.7</v>
      </c>
      <c r="AF414" s="3">
        <f ca="1">IFERROR(__xludf.DUMMYFUNCTION("""COMPUTED_VALUE"""),2.89)</f>
        <v>2.89</v>
      </c>
      <c r="AG414" s="3">
        <f ca="1">IFERROR(__xludf.DUMMYFUNCTION("""COMPUTED_VALUE"""),27.38)</f>
        <v>27.38</v>
      </c>
    </row>
    <row r="415" spans="1:33" ht="12.75" x14ac:dyDescent="0.2">
      <c r="A415" s="4">
        <f ca="1">IFERROR(__xludf.DUMMYFUNCTION("""COMPUTED_VALUE"""),45162.6666666666)</f>
        <v>45162.666666666599</v>
      </c>
      <c r="B415" s="3">
        <f ca="1">IFERROR(__xludf.DUMMYFUNCTION("""COMPUTED_VALUE"""),167.01)</f>
        <v>167.01</v>
      </c>
      <c r="C415" s="3">
        <f ca="1">IFERROR(__xludf.DUMMYFUNCTION("""COMPUTED_VALUE"""),422.84)</f>
        <v>422.84</v>
      </c>
      <c r="D415" s="3">
        <f ca="1">IFERROR(__xludf.DUMMYFUNCTION("""COMPUTED_VALUE"""),109.98)</f>
        <v>109.98</v>
      </c>
      <c r="E415" s="3">
        <f ca="1">IFERROR(__xludf.DUMMYFUNCTION("""COMPUTED_VALUE"""),161.21)</f>
        <v>161.21</v>
      </c>
      <c r="F415" s="3">
        <f ca="1">IFERROR(__xludf.DUMMYFUNCTION("""COMPUTED_VALUE"""),50.31)</f>
        <v>50.31</v>
      </c>
      <c r="G415" s="3">
        <f ca="1">IFERROR(__xludf.DUMMYFUNCTION("""COMPUTED_VALUE"""),25.65)</f>
        <v>25.65</v>
      </c>
      <c r="H415" s="3">
        <f ca="1">IFERROR(__xludf.DUMMYFUNCTION("""COMPUTED_VALUE"""),25.31)</f>
        <v>25.31</v>
      </c>
      <c r="I415" s="3">
        <f ca="1">IFERROR(__xludf.DUMMYFUNCTION("""COMPUTED_VALUE"""),132.44)</f>
        <v>132.44</v>
      </c>
      <c r="J415" s="3">
        <f ca="1">IFERROR(__xludf.DUMMYFUNCTION("""COMPUTED_VALUE"""),242.52)</f>
        <v>242.52</v>
      </c>
      <c r="K415" s="3">
        <f ca="1">IFERROR(__xludf.DUMMYFUNCTION("""COMPUTED_VALUE"""),126.86)</f>
        <v>126.86</v>
      </c>
      <c r="L415" s="3">
        <f ca="1">IFERROR(__xludf.DUMMYFUNCTION("""COMPUTED_VALUE"""),77.82)</f>
        <v>77.819999999999993</v>
      </c>
      <c r="M415" s="3">
        <f ca="1">IFERROR(__xludf.DUMMYFUNCTION("""COMPUTED_VALUE"""),60.68)</f>
        <v>60.68</v>
      </c>
      <c r="N415" s="3">
        <f ca="1">IFERROR(__xludf.DUMMYFUNCTION("""COMPUTED_VALUE"""),62.55)</f>
        <v>62.55</v>
      </c>
      <c r="O415" s="3">
        <f ca="1">IFERROR(__xludf.DUMMYFUNCTION("""COMPUTED_VALUE"""),43.88)</f>
        <v>43.88</v>
      </c>
      <c r="P415" s="3">
        <f ca="1">IFERROR(__xludf.DUMMYFUNCTION("""COMPUTED_VALUE"""),86.75)</f>
        <v>86.75</v>
      </c>
      <c r="Q415" s="3">
        <f ca="1">IFERROR(__xludf.DUMMYFUNCTION("""COMPUTED_VALUE"""),121.33)</f>
        <v>121.33</v>
      </c>
      <c r="R415" s="3">
        <f ca="1">IFERROR(__xludf.DUMMYFUNCTION("""COMPUTED_VALUE"""),80.56)</f>
        <v>80.56</v>
      </c>
      <c r="S415" s="3">
        <f ca="1">IFERROR(__xludf.DUMMYFUNCTION("""COMPUTED_VALUE"""),50.39)</f>
        <v>50.39</v>
      </c>
      <c r="T415" s="3">
        <f ca="1">IFERROR(__xludf.DUMMYFUNCTION("""COMPUTED_VALUE"""),24.17)</f>
        <v>24.17</v>
      </c>
      <c r="U415" s="3">
        <f ca="1">IFERROR(__xludf.DUMMYFUNCTION("""COMPUTED_VALUE"""),71.41)</f>
        <v>71.41</v>
      </c>
      <c r="V415" s="3">
        <f ca="1">IFERROR(__xludf.DUMMYFUNCTION("""COMPUTED_VALUE"""),55.5)</f>
        <v>55.5</v>
      </c>
      <c r="W415" s="3">
        <f ca="1">IFERROR(__xludf.DUMMYFUNCTION("""COMPUTED_VALUE"""),33.83)</f>
        <v>33.83</v>
      </c>
      <c r="X415" s="3">
        <f ca="1">IFERROR(__xludf.DUMMYFUNCTION("""COMPUTED_VALUE"""),81.96)</f>
        <v>81.96</v>
      </c>
      <c r="Y415" s="3">
        <f ca="1">IFERROR(__xludf.DUMMYFUNCTION("""COMPUTED_VALUE"""),38.34)</f>
        <v>38.340000000000003</v>
      </c>
      <c r="Z415" s="3">
        <f ca="1">IFERROR(__xludf.DUMMYFUNCTION("""COMPUTED_VALUE"""),75.62)</f>
        <v>75.62</v>
      </c>
      <c r="AA415" s="3">
        <f ca="1">IFERROR(__xludf.DUMMYFUNCTION("""COMPUTED_VALUE"""),36.35)</f>
        <v>36.35</v>
      </c>
      <c r="AB415" s="3">
        <f ca="1">IFERROR(__xludf.DUMMYFUNCTION("""COMPUTED_VALUE"""),43.94)</f>
        <v>43.94</v>
      </c>
      <c r="AC415" s="3">
        <f ca="1">IFERROR(__xludf.DUMMYFUNCTION("""COMPUTED_VALUE"""),54)</f>
        <v>54</v>
      </c>
      <c r="AD415" s="3">
        <f ca="1">IFERROR(__xludf.DUMMYFUNCTION("""COMPUTED_VALUE"""),9.76)</f>
        <v>9.76</v>
      </c>
      <c r="AE415" s="3">
        <f ca="1">IFERROR(__xludf.DUMMYFUNCTION("""COMPUTED_VALUE"""),13.4)</f>
        <v>13.4</v>
      </c>
      <c r="AF415" s="3">
        <f ca="1">IFERROR(__xludf.DUMMYFUNCTION("""COMPUTED_VALUE"""),3.03)</f>
        <v>3.03</v>
      </c>
      <c r="AG415" s="3">
        <f ca="1">IFERROR(__xludf.DUMMYFUNCTION("""COMPUTED_VALUE"""),25.89)</f>
        <v>25.89</v>
      </c>
    </row>
    <row r="416" spans="1:33" ht="12.75" x14ac:dyDescent="0.2">
      <c r="A416" s="4">
        <f ca="1">IFERROR(__xludf.DUMMYFUNCTION("""COMPUTED_VALUE"""),45163.6666666666)</f>
        <v>45163.666666666599</v>
      </c>
      <c r="B416" s="3">
        <f ca="1">IFERROR(__xludf.DUMMYFUNCTION("""COMPUTED_VALUE"""),168.71)</f>
        <v>168.71</v>
      </c>
      <c r="C416" s="3">
        <f ca="1">IFERROR(__xludf.DUMMYFUNCTION("""COMPUTED_VALUE"""),427.09)</f>
        <v>427.09</v>
      </c>
      <c r="D416" s="3">
        <f ca="1">IFERROR(__xludf.DUMMYFUNCTION("""COMPUTED_VALUE"""),110.92)</f>
        <v>110.92</v>
      </c>
      <c r="E416" s="3">
        <f ca="1">IFERROR(__xludf.DUMMYFUNCTION("""COMPUTED_VALUE"""),161.9)</f>
        <v>161.9</v>
      </c>
      <c r="F416" s="3">
        <f ca="1">IFERROR(__xludf.DUMMYFUNCTION("""COMPUTED_VALUE"""),51.06)</f>
        <v>51.06</v>
      </c>
      <c r="G416" s="3">
        <f ca="1">IFERROR(__xludf.DUMMYFUNCTION("""COMPUTED_VALUE"""),25.78)</f>
        <v>25.78</v>
      </c>
      <c r="H416" s="3">
        <f ca="1">IFERROR(__xludf.DUMMYFUNCTION("""COMPUTED_VALUE"""),25.5)</f>
        <v>25.5</v>
      </c>
      <c r="I416" s="3">
        <f ca="1">IFERROR(__xludf.DUMMYFUNCTION("""COMPUTED_VALUE"""),133.41)</f>
        <v>133.41</v>
      </c>
      <c r="J416" s="3">
        <f ca="1">IFERROR(__xludf.DUMMYFUNCTION("""COMPUTED_VALUE"""),244.27)</f>
        <v>244.27</v>
      </c>
      <c r="K416" s="3">
        <f ca="1">IFERROR(__xludf.DUMMYFUNCTION("""COMPUTED_VALUE"""),127.58)</f>
        <v>127.58</v>
      </c>
      <c r="L416" s="3">
        <f ca="1">IFERROR(__xludf.DUMMYFUNCTION("""COMPUTED_VALUE"""),78.69)</f>
        <v>78.69</v>
      </c>
      <c r="M416" s="3">
        <f ca="1">IFERROR(__xludf.DUMMYFUNCTION("""COMPUTED_VALUE"""),60.85)</f>
        <v>60.85</v>
      </c>
      <c r="N416" s="3">
        <f ca="1">IFERROR(__xludf.DUMMYFUNCTION("""COMPUTED_VALUE"""),63.01)</f>
        <v>63.01</v>
      </c>
      <c r="O416" s="3">
        <f ca="1">IFERROR(__xludf.DUMMYFUNCTION("""COMPUTED_VALUE"""),44.24)</f>
        <v>44.24</v>
      </c>
      <c r="P416" s="3">
        <f ca="1">IFERROR(__xludf.DUMMYFUNCTION("""COMPUTED_VALUE"""),87.59)</f>
        <v>87.59</v>
      </c>
      <c r="Q416" s="3">
        <f ca="1">IFERROR(__xludf.DUMMYFUNCTION("""COMPUTED_VALUE"""),122.57)</f>
        <v>122.57</v>
      </c>
      <c r="R416" s="3">
        <f ca="1">IFERROR(__xludf.DUMMYFUNCTION("""COMPUTED_VALUE"""),80.8)</f>
        <v>80.8</v>
      </c>
      <c r="S416" s="3">
        <f ca="1">IFERROR(__xludf.DUMMYFUNCTION("""COMPUTED_VALUE"""),50.38)</f>
        <v>50.38</v>
      </c>
      <c r="T416" s="3">
        <f ca="1">IFERROR(__xludf.DUMMYFUNCTION("""COMPUTED_VALUE"""),24.41)</f>
        <v>24.41</v>
      </c>
      <c r="U416" s="3">
        <f ca="1">IFERROR(__xludf.DUMMYFUNCTION("""COMPUTED_VALUE"""),72.45)</f>
        <v>72.45</v>
      </c>
      <c r="V416" s="3">
        <f ca="1">IFERROR(__xludf.DUMMYFUNCTION("""COMPUTED_VALUE"""),56.17)</f>
        <v>56.17</v>
      </c>
      <c r="W416" s="3">
        <f ca="1">IFERROR(__xludf.DUMMYFUNCTION("""COMPUTED_VALUE"""),33.99)</f>
        <v>33.99</v>
      </c>
      <c r="X416" s="3">
        <f ca="1">IFERROR(__xludf.DUMMYFUNCTION("""COMPUTED_VALUE"""),82.24)</f>
        <v>82.24</v>
      </c>
      <c r="Y416" s="3">
        <f ca="1">IFERROR(__xludf.DUMMYFUNCTION("""COMPUTED_VALUE"""),38.18)</f>
        <v>38.18</v>
      </c>
      <c r="Z416" s="3">
        <f ca="1">IFERROR(__xludf.DUMMYFUNCTION("""COMPUTED_VALUE"""),75.74)</f>
        <v>75.739999999999995</v>
      </c>
      <c r="AA416" s="3">
        <f ca="1">IFERROR(__xludf.DUMMYFUNCTION("""COMPUTED_VALUE"""),36.45)</f>
        <v>36.450000000000003</v>
      </c>
      <c r="AB416" s="3">
        <f ca="1">IFERROR(__xludf.DUMMYFUNCTION("""COMPUTED_VALUE"""),43.63)</f>
        <v>43.63</v>
      </c>
      <c r="AC416" s="3">
        <f ca="1">IFERROR(__xludf.DUMMYFUNCTION("""COMPUTED_VALUE"""),53.97)</f>
        <v>53.97</v>
      </c>
      <c r="AD416" s="3">
        <f ca="1">IFERROR(__xludf.DUMMYFUNCTION("""COMPUTED_VALUE"""),9.74)</f>
        <v>9.74</v>
      </c>
      <c r="AE416" s="3">
        <f ca="1">IFERROR(__xludf.DUMMYFUNCTION("""COMPUTED_VALUE"""),13.35)</f>
        <v>13.35</v>
      </c>
      <c r="AF416" s="3">
        <f ca="1">IFERROR(__xludf.DUMMYFUNCTION("""COMPUTED_VALUE"""),2.86)</f>
        <v>2.86</v>
      </c>
      <c r="AG416" s="3">
        <f ca="1">IFERROR(__xludf.DUMMYFUNCTION("""COMPUTED_VALUE"""),25.58)</f>
        <v>25.58</v>
      </c>
    </row>
    <row r="417" spans="1:33" ht="12.75" x14ac:dyDescent="0.2">
      <c r="A417" s="4">
        <f ca="1">IFERROR(__xludf.DUMMYFUNCTION("""COMPUTED_VALUE"""),45166.6666666666)</f>
        <v>45166.666666666599</v>
      </c>
      <c r="B417" s="3">
        <f ca="1">IFERROR(__xludf.DUMMYFUNCTION("""COMPUTED_VALUE"""),170.09)</f>
        <v>170.09</v>
      </c>
      <c r="C417" s="3">
        <f ca="1">IFERROR(__xludf.DUMMYFUNCTION("""COMPUTED_VALUE"""),430.37)</f>
        <v>430.37</v>
      </c>
      <c r="D417" s="3">
        <f ca="1">IFERROR(__xludf.DUMMYFUNCTION("""COMPUTED_VALUE"""),111.47)</f>
        <v>111.47</v>
      </c>
      <c r="E417" s="3">
        <f ca="1">IFERROR(__xludf.DUMMYFUNCTION("""COMPUTED_VALUE"""),163.95)</f>
        <v>163.95</v>
      </c>
      <c r="F417" s="3">
        <f ca="1">IFERROR(__xludf.DUMMYFUNCTION("""COMPUTED_VALUE"""),51.2)</f>
        <v>51.2</v>
      </c>
      <c r="G417" s="3">
        <f ca="1">IFERROR(__xludf.DUMMYFUNCTION("""COMPUTED_VALUE"""),26.13)</f>
        <v>26.13</v>
      </c>
      <c r="H417" s="3">
        <f ca="1">IFERROR(__xludf.DUMMYFUNCTION("""COMPUTED_VALUE"""),25.65)</f>
        <v>25.65</v>
      </c>
      <c r="I417" s="3">
        <f ca="1">IFERROR(__xludf.DUMMYFUNCTION("""COMPUTED_VALUE"""),133.72)</f>
        <v>133.72</v>
      </c>
      <c r="J417" s="3">
        <f ca="1">IFERROR(__xludf.DUMMYFUNCTION("""COMPUTED_VALUE"""),244.72)</f>
        <v>244.72</v>
      </c>
      <c r="K417" s="3">
        <f ca="1">IFERROR(__xludf.DUMMYFUNCTION("""COMPUTED_VALUE"""),128.1)</f>
        <v>128.1</v>
      </c>
      <c r="L417" s="3">
        <f ca="1">IFERROR(__xludf.DUMMYFUNCTION("""COMPUTED_VALUE"""),78.93)</f>
        <v>78.930000000000007</v>
      </c>
      <c r="M417" s="3">
        <f ca="1">IFERROR(__xludf.DUMMYFUNCTION("""COMPUTED_VALUE"""),60.86)</f>
        <v>60.86</v>
      </c>
      <c r="N417" s="3">
        <f ca="1">IFERROR(__xludf.DUMMYFUNCTION("""COMPUTED_VALUE"""),63.14)</f>
        <v>63.14</v>
      </c>
      <c r="O417" s="3">
        <f ca="1">IFERROR(__xludf.DUMMYFUNCTION("""COMPUTED_VALUE"""),44.08)</f>
        <v>44.08</v>
      </c>
      <c r="P417" s="3">
        <f ca="1">IFERROR(__xludf.DUMMYFUNCTION("""COMPUTED_VALUE"""),88.18)</f>
        <v>88.18</v>
      </c>
      <c r="Q417" s="3">
        <f ca="1">IFERROR(__xludf.DUMMYFUNCTION("""COMPUTED_VALUE"""),123.45)</f>
        <v>123.45</v>
      </c>
      <c r="R417" s="3">
        <f ca="1">IFERROR(__xludf.DUMMYFUNCTION("""COMPUTED_VALUE"""),81.39)</f>
        <v>81.39</v>
      </c>
      <c r="S417" s="3">
        <f ca="1">IFERROR(__xludf.DUMMYFUNCTION("""COMPUTED_VALUE"""),50.93)</f>
        <v>50.93</v>
      </c>
      <c r="T417" s="3">
        <f ca="1">IFERROR(__xludf.DUMMYFUNCTION("""COMPUTED_VALUE"""),24.37)</f>
        <v>24.37</v>
      </c>
      <c r="U417" s="3">
        <f ca="1">IFERROR(__xludf.DUMMYFUNCTION("""COMPUTED_VALUE"""),72.41)</f>
        <v>72.41</v>
      </c>
      <c r="V417" s="3">
        <f ca="1">IFERROR(__xludf.DUMMYFUNCTION("""COMPUTED_VALUE"""),56.48)</f>
        <v>56.48</v>
      </c>
      <c r="W417" s="3">
        <f ca="1">IFERROR(__xludf.DUMMYFUNCTION("""COMPUTED_VALUE"""),34.18)</f>
        <v>34.18</v>
      </c>
      <c r="X417" s="3">
        <f ca="1">IFERROR(__xludf.DUMMYFUNCTION("""COMPUTED_VALUE"""),82.74)</f>
        <v>82.74</v>
      </c>
      <c r="Y417" s="3">
        <f ca="1">IFERROR(__xludf.DUMMYFUNCTION("""COMPUTED_VALUE"""),38.66)</f>
        <v>38.659999999999997</v>
      </c>
      <c r="Z417" s="3">
        <f ca="1">IFERROR(__xludf.DUMMYFUNCTION("""COMPUTED_VALUE"""),76.13)</f>
        <v>76.13</v>
      </c>
      <c r="AA417" s="3">
        <f ca="1">IFERROR(__xludf.DUMMYFUNCTION("""COMPUTED_VALUE"""),36.74)</f>
        <v>36.74</v>
      </c>
      <c r="AB417" s="3">
        <f ca="1">IFERROR(__xludf.DUMMYFUNCTION("""COMPUTED_VALUE"""),44.26)</f>
        <v>44.26</v>
      </c>
      <c r="AC417" s="3">
        <f ca="1">IFERROR(__xludf.DUMMYFUNCTION("""COMPUTED_VALUE"""),53.82)</f>
        <v>53.82</v>
      </c>
      <c r="AD417" s="3">
        <f ca="1">IFERROR(__xludf.DUMMYFUNCTION("""COMPUTED_VALUE"""),9.74)</f>
        <v>9.74</v>
      </c>
      <c r="AE417" s="3">
        <f ca="1">IFERROR(__xludf.DUMMYFUNCTION("""COMPUTED_VALUE"""),13.36)</f>
        <v>13.36</v>
      </c>
      <c r="AF417" s="3">
        <f ca="1">IFERROR(__xludf.DUMMYFUNCTION("""COMPUTED_VALUE"""),2.86)</f>
        <v>2.86</v>
      </c>
      <c r="AG417" s="3">
        <f ca="1">IFERROR(__xludf.DUMMYFUNCTION("""COMPUTED_VALUE"""),25.69)</f>
        <v>25.69</v>
      </c>
    </row>
    <row r="418" spans="1:33" ht="12.75" x14ac:dyDescent="0.2">
      <c r="A418" s="4">
        <f ca="1">IFERROR(__xludf.DUMMYFUNCTION("""COMPUTED_VALUE"""),45167.6666666666)</f>
        <v>45167.666666666599</v>
      </c>
      <c r="B418" s="3">
        <f ca="1">IFERROR(__xludf.DUMMYFUNCTION("""COMPUTED_VALUE"""),173.5)</f>
        <v>173.5</v>
      </c>
      <c r="C418" s="3">
        <f ca="1">IFERROR(__xludf.DUMMYFUNCTION("""COMPUTED_VALUE"""),439.04)</f>
        <v>439.04</v>
      </c>
      <c r="D418" s="3">
        <f ca="1">IFERROR(__xludf.DUMMYFUNCTION("""COMPUTED_VALUE"""),111.78)</f>
        <v>111.78</v>
      </c>
      <c r="E418" s="3">
        <f ca="1">IFERROR(__xludf.DUMMYFUNCTION("""COMPUTED_VALUE"""),168.26)</f>
        <v>168.26</v>
      </c>
      <c r="F418" s="3">
        <f ca="1">IFERROR(__xludf.DUMMYFUNCTION("""COMPUTED_VALUE"""),51.57)</f>
        <v>51.57</v>
      </c>
      <c r="G418" s="3">
        <f ca="1">IFERROR(__xludf.DUMMYFUNCTION("""COMPUTED_VALUE"""),26.61)</f>
        <v>26.61</v>
      </c>
      <c r="H418" s="3">
        <f ca="1">IFERROR(__xludf.DUMMYFUNCTION("""COMPUTED_VALUE"""),26.04)</f>
        <v>26.04</v>
      </c>
      <c r="I418" s="3">
        <f ca="1">IFERROR(__xludf.DUMMYFUNCTION("""COMPUTED_VALUE"""),134.92)</f>
        <v>134.91999999999999</v>
      </c>
      <c r="J418" s="3">
        <f ca="1">IFERROR(__xludf.DUMMYFUNCTION("""COMPUTED_VALUE"""),246.94)</f>
        <v>246.94</v>
      </c>
      <c r="K418" s="3">
        <f ca="1">IFERROR(__xludf.DUMMYFUNCTION("""COMPUTED_VALUE"""),129.47)</f>
        <v>129.47</v>
      </c>
      <c r="L418" s="3">
        <f ca="1">IFERROR(__xludf.DUMMYFUNCTION("""COMPUTED_VALUE"""),79.29)</f>
        <v>79.290000000000006</v>
      </c>
      <c r="M418" s="3">
        <f ca="1">IFERROR(__xludf.DUMMYFUNCTION("""COMPUTED_VALUE"""),61.66)</f>
        <v>61.66</v>
      </c>
      <c r="N418" s="3">
        <f ca="1">IFERROR(__xludf.DUMMYFUNCTION("""COMPUTED_VALUE"""),63.66)</f>
        <v>63.66</v>
      </c>
      <c r="O418" s="3">
        <f ca="1">IFERROR(__xludf.DUMMYFUNCTION("""COMPUTED_VALUE"""),44.96)</f>
        <v>44.96</v>
      </c>
      <c r="P418" s="3">
        <f ca="1">IFERROR(__xludf.DUMMYFUNCTION("""COMPUTED_VALUE"""),88.42)</f>
        <v>88.42</v>
      </c>
      <c r="Q418" s="3">
        <f ca="1">IFERROR(__xludf.DUMMYFUNCTION("""COMPUTED_VALUE"""),123.83)</f>
        <v>123.83</v>
      </c>
      <c r="R418" s="3">
        <f ca="1">IFERROR(__xludf.DUMMYFUNCTION("""COMPUTED_VALUE"""),82.74)</f>
        <v>82.74</v>
      </c>
      <c r="S418" s="3">
        <f ca="1">IFERROR(__xludf.DUMMYFUNCTION("""COMPUTED_VALUE"""),52.13)</f>
        <v>52.13</v>
      </c>
      <c r="T418" s="3">
        <f ca="1">IFERROR(__xludf.DUMMYFUNCTION("""COMPUTED_VALUE"""),24.46)</f>
        <v>24.46</v>
      </c>
      <c r="U418" s="3">
        <f ca="1">IFERROR(__xludf.DUMMYFUNCTION("""COMPUTED_VALUE"""),73.32)</f>
        <v>73.319999999999993</v>
      </c>
      <c r="V418" s="3">
        <f ca="1">IFERROR(__xludf.DUMMYFUNCTION("""COMPUTED_VALUE"""),58.72)</f>
        <v>58.72</v>
      </c>
      <c r="W418" s="3">
        <f ca="1">IFERROR(__xludf.DUMMYFUNCTION("""COMPUTED_VALUE"""),34.49)</f>
        <v>34.49</v>
      </c>
      <c r="X418" s="3">
        <f ca="1">IFERROR(__xludf.DUMMYFUNCTION("""COMPUTED_VALUE"""),83.59)</f>
        <v>83.59</v>
      </c>
      <c r="Y418" s="3">
        <f ca="1">IFERROR(__xludf.DUMMYFUNCTION("""COMPUTED_VALUE"""),39.13)</f>
        <v>39.130000000000003</v>
      </c>
      <c r="Z418" s="3">
        <f ca="1">IFERROR(__xludf.DUMMYFUNCTION("""COMPUTED_VALUE"""),76.96)</f>
        <v>76.959999999999994</v>
      </c>
      <c r="AA418" s="3">
        <f ca="1">IFERROR(__xludf.DUMMYFUNCTION("""COMPUTED_VALUE"""),37.16)</f>
        <v>37.159999999999997</v>
      </c>
      <c r="AB418" s="3">
        <f ca="1">IFERROR(__xludf.DUMMYFUNCTION("""COMPUTED_VALUE"""),44.68)</f>
        <v>44.68</v>
      </c>
      <c r="AC418" s="3">
        <f ca="1">IFERROR(__xludf.DUMMYFUNCTION("""COMPUTED_VALUE"""),54.23)</f>
        <v>54.23</v>
      </c>
      <c r="AD418" s="3">
        <f ca="1">IFERROR(__xludf.DUMMYFUNCTION("""COMPUTED_VALUE"""),10.46)</f>
        <v>10.46</v>
      </c>
      <c r="AE418" s="3">
        <f ca="1">IFERROR(__xludf.DUMMYFUNCTION("""COMPUTED_VALUE"""),14.33)</f>
        <v>14.33</v>
      </c>
      <c r="AF418" s="3">
        <f ca="1">IFERROR(__xludf.DUMMYFUNCTION("""COMPUTED_VALUE"""),2.89)</f>
        <v>2.89</v>
      </c>
      <c r="AG418" s="3">
        <f ca="1">IFERROR(__xludf.DUMMYFUNCTION("""COMPUTED_VALUE"""),29.7)</f>
        <v>29.7</v>
      </c>
    </row>
    <row r="419" spans="1:33" ht="12.75" x14ac:dyDescent="0.2">
      <c r="A419" s="4">
        <f ca="1">IFERROR(__xludf.DUMMYFUNCTION("""COMPUTED_VALUE"""),45168.6666666666)</f>
        <v>45168.666666666599</v>
      </c>
      <c r="B419" s="3">
        <f ca="1">IFERROR(__xludf.DUMMYFUNCTION("""COMPUTED_VALUE"""),174.81)</f>
        <v>174.81</v>
      </c>
      <c r="C419" s="3">
        <f ca="1">IFERROR(__xludf.DUMMYFUNCTION("""COMPUTED_VALUE"""),442.66)</f>
        <v>442.66</v>
      </c>
      <c r="D419" s="3">
        <f ca="1">IFERROR(__xludf.DUMMYFUNCTION("""COMPUTED_VALUE"""),112.19)</f>
        <v>112.19</v>
      </c>
      <c r="E419" s="3">
        <f ca="1">IFERROR(__xludf.DUMMYFUNCTION("""COMPUTED_VALUE"""),169.05)</f>
        <v>169.05</v>
      </c>
      <c r="F419" s="3">
        <f ca="1">IFERROR(__xludf.DUMMYFUNCTION("""COMPUTED_VALUE"""),51.99)</f>
        <v>51.99</v>
      </c>
      <c r="G419" s="3">
        <f ca="1">IFERROR(__xludf.DUMMYFUNCTION("""COMPUTED_VALUE"""),26.83)</f>
        <v>26.83</v>
      </c>
      <c r="H419" s="3">
        <f ca="1">IFERROR(__xludf.DUMMYFUNCTION("""COMPUTED_VALUE"""),26.23)</f>
        <v>26.23</v>
      </c>
      <c r="I419" s="3">
        <f ca="1">IFERROR(__xludf.DUMMYFUNCTION("""COMPUTED_VALUE"""),134.82)</f>
        <v>134.82</v>
      </c>
      <c r="J419" s="3">
        <f ca="1">IFERROR(__xludf.DUMMYFUNCTION("""COMPUTED_VALUE"""),247.06)</f>
        <v>247.06</v>
      </c>
      <c r="K419" s="3">
        <f ca="1">IFERROR(__xludf.DUMMYFUNCTION("""COMPUTED_VALUE"""),129.85)</f>
        <v>129.85</v>
      </c>
      <c r="L419" s="3">
        <f ca="1">IFERROR(__xludf.DUMMYFUNCTION("""COMPUTED_VALUE"""),79.68)</f>
        <v>79.680000000000007</v>
      </c>
      <c r="M419" s="3">
        <f ca="1">IFERROR(__xludf.DUMMYFUNCTION("""COMPUTED_VALUE"""),62.04)</f>
        <v>62.04</v>
      </c>
      <c r="N419" s="3">
        <f ca="1">IFERROR(__xludf.DUMMYFUNCTION("""COMPUTED_VALUE"""),63.7)</f>
        <v>63.7</v>
      </c>
      <c r="O419" s="3">
        <f ca="1">IFERROR(__xludf.DUMMYFUNCTION("""COMPUTED_VALUE"""),45.36)</f>
        <v>45.36</v>
      </c>
      <c r="P419" s="3">
        <f ca="1">IFERROR(__xludf.DUMMYFUNCTION("""COMPUTED_VALUE"""),88.86)</f>
        <v>88.86</v>
      </c>
      <c r="Q419" s="3">
        <f ca="1">IFERROR(__xludf.DUMMYFUNCTION("""COMPUTED_VALUE"""),124.48)</f>
        <v>124.48</v>
      </c>
      <c r="R419" s="3">
        <f ca="1">IFERROR(__xludf.DUMMYFUNCTION("""COMPUTED_VALUE"""),82.93)</f>
        <v>82.93</v>
      </c>
      <c r="S419" s="3">
        <f ca="1">IFERROR(__xludf.DUMMYFUNCTION("""COMPUTED_VALUE"""),51.98)</f>
        <v>51.98</v>
      </c>
      <c r="T419" s="3">
        <f ca="1">IFERROR(__xludf.DUMMYFUNCTION("""COMPUTED_VALUE"""),24.49)</f>
        <v>24.49</v>
      </c>
      <c r="U419" s="3">
        <f ca="1">IFERROR(__xludf.DUMMYFUNCTION("""COMPUTED_VALUE"""),73.66)</f>
        <v>73.66</v>
      </c>
      <c r="V419" s="3">
        <f ca="1">IFERROR(__xludf.DUMMYFUNCTION("""COMPUTED_VALUE"""),58.28)</f>
        <v>58.28</v>
      </c>
      <c r="W419" s="3">
        <f ca="1">IFERROR(__xludf.DUMMYFUNCTION("""COMPUTED_VALUE"""),34.51)</f>
        <v>34.51</v>
      </c>
      <c r="X419" s="3">
        <f ca="1">IFERROR(__xludf.DUMMYFUNCTION("""COMPUTED_VALUE"""),83.66)</f>
        <v>83.66</v>
      </c>
      <c r="Y419" s="3">
        <f ca="1">IFERROR(__xludf.DUMMYFUNCTION("""COMPUTED_VALUE"""),38.94)</f>
        <v>38.94</v>
      </c>
      <c r="Z419" s="3">
        <f ca="1">IFERROR(__xludf.DUMMYFUNCTION("""COMPUTED_VALUE"""),77.03)</f>
        <v>77.03</v>
      </c>
      <c r="AA419" s="3">
        <f ca="1">IFERROR(__xludf.DUMMYFUNCTION("""COMPUTED_VALUE"""),37.29)</f>
        <v>37.29</v>
      </c>
      <c r="AB419" s="3">
        <f ca="1">IFERROR(__xludf.DUMMYFUNCTION("""COMPUTED_VALUE"""),44.35)</f>
        <v>44.35</v>
      </c>
      <c r="AC419" s="3">
        <f ca="1">IFERROR(__xludf.DUMMYFUNCTION("""COMPUTED_VALUE"""),53.79)</f>
        <v>53.79</v>
      </c>
      <c r="AD419" s="3">
        <f ca="1">IFERROR(__xludf.DUMMYFUNCTION("""COMPUTED_VALUE"""),10.18)</f>
        <v>10.18</v>
      </c>
      <c r="AE419" s="3">
        <f ca="1">IFERROR(__xludf.DUMMYFUNCTION("""COMPUTED_VALUE"""),13.95)</f>
        <v>13.95</v>
      </c>
      <c r="AF419" s="3">
        <f ca="1">IFERROR(__xludf.DUMMYFUNCTION("""COMPUTED_VALUE"""),3.24)</f>
        <v>3.24</v>
      </c>
      <c r="AG419" s="3">
        <f ca="1">IFERROR(__xludf.DUMMYFUNCTION("""COMPUTED_VALUE"""),29.42)</f>
        <v>29.42</v>
      </c>
    </row>
    <row r="420" spans="1:33" ht="12.75" x14ac:dyDescent="0.2">
      <c r="A420" s="4">
        <f ca="1">IFERROR(__xludf.DUMMYFUNCTION("""COMPUTED_VALUE"""),45169.6666666666)</f>
        <v>45169.666666666599</v>
      </c>
      <c r="B420" s="3">
        <f ca="1">IFERROR(__xludf.DUMMYFUNCTION("""COMPUTED_VALUE"""),175.66)</f>
        <v>175.66</v>
      </c>
      <c r="C420" s="3">
        <f ca="1">IFERROR(__xludf.DUMMYFUNCTION("""COMPUTED_VALUE"""),444.88)</f>
        <v>444.88</v>
      </c>
      <c r="D420" s="3">
        <f ca="1">IFERROR(__xludf.DUMMYFUNCTION("""COMPUTED_VALUE"""),111.09)</f>
        <v>111.09</v>
      </c>
      <c r="E420" s="3">
        <f ca="1">IFERROR(__xludf.DUMMYFUNCTION("""COMPUTED_VALUE"""),170.22)</f>
        <v>170.22</v>
      </c>
      <c r="F420" s="3">
        <f ca="1">IFERROR(__xludf.DUMMYFUNCTION("""COMPUTED_VALUE"""),52.83)</f>
        <v>52.83</v>
      </c>
      <c r="G420" s="3">
        <f ca="1">IFERROR(__xludf.DUMMYFUNCTION("""COMPUTED_VALUE"""),26.73)</f>
        <v>26.73</v>
      </c>
      <c r="H420" s="3">
        <f ca="1">IFERROR(__xludf.DUMMYFUNCTION("""COMPUTED_VALUE"""),26.18)</f>
        <v>26.18</v>
      </c>
      <c r="I420" s="3">
        <f ca="1">IFERROR(__xludf.DUMMYFUNCTION("""COMPUTED_VALUE"""),133.21)</f>
        <v>133.21</v>
      </c>
      <c r="J420" s="3">
        <f ca="1">IFERROR(__xludf.DUMMYFUNCTION("""COMPUTED_VALUE"""),244.44)</f>
        <v>244.44</v>
      </c>
      <c r="K420" s="3">
        <f ca="1">IFERROR(__xludf.DUMMYFUNCTION("""COMPUTED_VALUE"""),128.71)</f>
        <v>128.71</v>
      </c>
      <c r="L420" s="3">
        <f ca="1">IFERROR(__xludf.DUMMYFUNCTION("""COMPUTED_VALUE"""),79.2)</f>
        <v>79.2</v>
      </c>
      <c r="M420" s="3">
        <f ca="1">IFERROR(__xludf.DUMMYFUNCTION("""COMPUTED_VALUE"""),61.56)</f>
        <v>61.56</v>
      </c>
      <c r="N420" s="3">
        <f ca="1">IFERROR(__xludf.DUMMYFUNCTION("""COMPUTED_VALUE"""),63.07)</f>
        <v>63.07</v>
      </c>
      <c r="O420" s="3">
        <f ca="1">IFERROR(__xludf.DUMMYFUNCTION("""COMPUTED_VALUE"""),44.92)</f>
        <v>44.92</v>
      </c>
      <c r="P420" s="3">
        <f ca="1">IFERROR(__xludf.DUMMYFUNCTION("""COMPUTED_VALUE"""),88.92)</f>
        <v>88.92</v>
      </c>
      <c r="Q420" s="3">
        <f ca="1">IFERROR(__xludf.DUMMYFUNCTION("""COMPUTED_VALUE"""),124.63)</f>
        <v>124.63</v>
      </c>
      <c r="R420" s="3">
        <f ca="1">IFERROR(__xludf.DUMMYFUNCTION("""COMPUTED_VALUE"""),82.89)</f>
        <v>82.89</v>
      </c>
      <c r="S420" s="3">
        <f ca="1">IFERROR(__xludf.DUMMYFUNCTION("""COMPUTED_VALUE"""),52.06)</f>
        <v>52.06</v>
      </c>
      <c r="T420" s="3">
        <f ca="1">IFERROR(__xludf.DUMMYFUNCTION("""COMPUTED_VALUE"""),24.59)</f>
        <v>24.59</v>
      </c>
      <c r="U420" s="3">
        <f ca="1">IFERROR(__xludf.DUMMYFUNCTION("""COMPUTED_VALUE"""),75.06)</f>
        <v>75.06</v>
      </c>
      <c r="V420" s="3">
        <f ca="1">IFERROR(__xludf.DUMMYFUNCTION("""COMPUTED_VALUE"""),58.23)</f>
        <v>58.23</v>
      </c>
      <c r="W420" s="3">
        <f ca="1">IFERROR(__xludf.DUMMYFUNCTION("""COMPUTED_VALUE"""),34.38)</f>
        <v>34.380000000000003</v>
      </c>
      <c r="X420" s="3">
        <f ca="1">IFERROR(__xludf.DUMMYFUNCTION("""COMPUTED_VALUE"""),83.5)</f>
        <v>83.5</v>
      </c>
      <c r="Y420" s="3">
        <f ca="1">IFERROR(__xludf.DUMMYFUNCTION("""COMPUTED_VALUE"""),39.06)</f>
        <v>39.06</v>
      </c>
      <c r="Z420" s="3">
        <f ca="1">IFERROR(__xludf.DUMMYFUNCTION("""COMPUTED_VALUE"""),76.86)</f>
        <v>76.86</v>
      </c>
      <c r="AA420" s="3">
        <f ca="1">IFERROR(__xludf.DUMMYFUNCTION("""COMPUTED_VALUE"""),37.02)</f>
        <v>37.020000000000003</v>
      </c>
      <c r="AB420" s="3">
        <f ca="1">IFERROR(__xludf.DUMMYFUNCTION("""COMPUTED_VALUE"""),44.56)</f>
        <v>44.56</v>
      </c>
      <c r="AC420" s="3">
        <f ca="1">IFERROR(__xludf.DUMMYFUNCTION("""COMPUTED_VALUE"""),53.5)</f>
        <v>53.5</v>
      </c>
      <c r="AD420" s="3">
        <f ca="1">IFERROR(__xludf.DUMMYFUNCTION("""COMPUTED_VALUE"""),9.8)</f>
        <v>9.8000000000000007</v>
      </c>
      <c r="AE420" s="3">
        <f ca="1">IFERROR(__xludf.DUMMYFUNCTION("""COMPUTED_VALUE"""),13.44)</f>
        <v>13.44</v>
      </c>
      <c r="AF420" s="3">
        <f ca="1">IFERROR(__xludf.DUMMYFUNCTION("""COMPUTED_VALUE"""),3.21)</f>
        <v>3.21</v>
      </c>
      <c r="AG420" s="3">
        <f ca="1">IFERROR(__xludf.DUMMYFUNCTION("""COMPUTED_VALUE"""),27.61)</f>
        <v>27.61</v>
      </c>
    </row>
    <row r="421" spans="1:33" ht="12.75" x14ac:dyDescent="0.2">
      <c r="A421" s="4">
        <f ca="1">IFERROR(__xludf.DUMMYFUNCTION("""COMPUTED_VALUE"""),45170.6666666666)</f>
        <v>45170.666666666599</v>
      </c>
      <c r="B421" s="3">
        <f ca="1">IFERROR(__xludf.DUMMYFUNCTION("""COMPUTED_VALUE"""),176.2)</f>
        <v>176.2</v>
      </c>
      <c r="C421" s="3">
        <f ca="1">IFERROR(__xludf.DUMMYFUNCTION("""COMPUTED_VALUE"""),446.67)</f>
        <v>446.67</v>
      </c>
      <c r="D421" s="3">
        <f ca="1">IFERROR(__xludf.DUMMYFUNCTION("""COMPUTED_VALUE"""),109.81)</f>
        <v>109.81</v>
      </c>
      <c r="E421" s="3">
        <f ca="1">IFERROR(__xludf.DUMMYFUNCTION("""COMPUTED_VALUE"""),170.67)</f>
        <v>170.67</v>
      </c>
      <c r="F421" s="3">
        <f ca="1">IFERROR(__xludf.DUMMYFUNCTION("""COMPUTED_VALUE"""),53.21)</f>
        <v>53.21</v>
      </c>
      <c r="G421" s="3">
        <f ca="1">IFERROR(__xludf.DUMMYFUNCTION("""COMPUTED_VALUE"""),26.73)</f>
        <v>26.73</v>
      </c>
      <c r="H421" s="3">
        <f ca="1">IFERROR(__xludf.DUMMYFUNCTION("""COMPUTED_VALUE"""),26.36)</f>
        <v>26.36</v>
      </c>
      <c r="I421" s="3">
        <f ca="1">IFERROR(__xludf.DUMMYFUNCTION("""COMPUTED_VALUE"""),133.57)</f>
        <v>133.57</v>
      </c>
      <c r="J421" s="3">
        <f ca="1">IFERROR(__xludf.DUMMYFUNCTION("""COMPUTED_VALUE"""),245.26)</f>
        <v>245.26</v>
      </c>
      <c r="K421" s="3">
        <f ca="1">IFERROR(__xludf.DUMMYFUNCTION("""COMPUTED_VALUE"""),130.01)</f>
        <v>130.01</v>
      </c>
      <c r="L421" s="3">
        <f ca="1">IFERROR(__xludf.DUMMYFUNCTION("""COMPUTED_VALUE"""),81.13)</f>
        <v>81.13</v>
      </c>
      <c r="M421" s="3">
        <f ca="1">IFERROR(__xludf.DUMMYFUNCTION("""COMPUTED_VALUE"""),61.97)</f>
        <v>61.97</v>
      </c>
      <c r="N421" s="3">
        <f ca="1">IFERROR(__xludf.DUMMYFUNCTION("""COMPUTED_VALUE"""),63.25)</f>
        <v>63.25</v>
      </c>
      <c r="O421" s="3">
        <f ca="1">IFERROR(__xludf.DUMMYFUNCTION("""COMPUTED_VALUE"""),45.56)</f>
        <v>45.56</v>
      </c>
      <c r="P421" s="3">
        <f ca="1">IFERROR(__xludf.DUMMYFUNCTION("""COMPUTED_VALUE"""),90.74)</f>
        <v>90.74</v>
      </c>
      <c r="Q421" s="3">
        <f ca="1">IFERROR(__xludf.DUMMYFUNCTION("""COMPUTED_VALUE"""),127.21)</f>
        <v>127.21</v>
      </c>
      <c r="R421" s="3">
        <f ca="1">IFERROR(__xludf.DUMMYFUNCTION("""COMPUTED_VALUE"""),83.82)</f>
        <v>83.82</v>
      </c>
      <c r="S421" s="3">
        <f ca="1">IFERROR(__xludf.DUMMYFUNCTION("""COMPUTED_VALUE"""),53.17)</f>
        <v>53.17</v>
      </c>
      <c r="T421" s="3">
        <f ca="1">IFERROR(__xludf.DUMMYFUNCTION("""COMPUTED_VALUE"""),24.88)</f>
        <v>24.88</v>
      </c>
      <c r="U421" s="3">
        <f ca="1">IFERROR(__xludf.DUMMYFUNCTION("""COMPUTED_VALUE"""),76.92)</f>
        <v>76.92</v>
      </c>
      <c r="V421" s="3">
        <f ca="1">IFERROR(__xludf.DUMMYFUNCTION("""COMPUTED_VALUE"""),58.41)</f>
        <v>58.41</v>
      </c>
      <c r="W421" s="3">
        <f ca="1">IFERROR(__xludf.DUMMYFUNCTION("""COMPUTED_VALUE"""),34.69)</f>
        <v>34.69</v>
      </c>
      <c r="X421" s="3">
        <f ca="1">IFERROR(__xludf.DUMMYFUNCTION("""COMPUTED_VALUE"""),84.22)</f>
        <v>84.22</v>
      </c>
      <c r="Y421" s="3">
        <f ca="1">IFERROR(__xludf.DUMMYFUNCTION("""COMPUTED_VALUE"""),39.84)</f>
        <v>39.840000000000003</v>
      </c>
      <c r="Z421" s="3">
        <f ca="1">IFERROR(__xludf.DUMMYFUNCTION("""COMPUTED_VALUE"""),77.44)</f>
        <v>77.44</v>
      </c>
      <c r="AA421" s="3">
        <f ca="1">IFERROR(__xludf.DUMMYFUNCTION("""COMPUTED_VALUE"""),37)</f>
        <v>37</v>
      </c>
      <c r="AB421" s="3">
        <f ca="1">IFERROR(__xludf.DUMMYFUNCTION("""COMPUTED_VALUE"""),45.62)</f>
        <v>45.62</v>
      </c>
      <c r="AC421" s="3">
        <f ca="1">IFERROR(__xludf.DUMMYFUNCTION("""COMPUTED_VALUE"""),53.34)</f>
        <v>53.34</v>
      </c>
      <c r="AD421" s="3">
        <f ca="1">IFERROR(__xludf.DUMMYFUNCTION("""COMPUTED_VALUE"""),9.59)</f>
        <v>9.59</v>
      </c>
      <c r="AE421" s="3">
        <f ca="1">IFERROR(__xludf.DUMMYFUNCTION("""COMPUTED_VALUE"""),13.17)</f>
        <v>13.17</v>
      </c>
      <c r="AF421" s="3">
        <f ca="1">IFERROR(__xludf.DUMMYFUNCTION("""COMPUTED_VALUE"""),3.07)</f>
        <v>3.07</v>
      </c>
      <c r="AG421" s="3">
        <f ca="1">IFERROR(__xludf.DUMMYFUNCTION("""COMPUTED_VALUE"""),26.83)</f>
        <v>26.83</v>
      </c>
    </row>
    <row r="422" spans="1:33" ht="12.75" x14ac:dyDescent="0.2">
      <c r="A422" s="4">
        <f ca="1">IFERROR(__xludf.DUMMYFUNCTION("""COMPUTED_VALUE"""),45174.6666666666)</f>
        <v>45174.666666666599</v>
      </c>
      <c r="B422" s="3">
        <f ca="1">IFERROR(__xludf.DUMMYFUNCTION("""COMPUTED_VALUE"""),176.83)</f>
        <v>176.83</v>
      </c>
      <c r="C422" s="3">
        <f ca="1">IFERROR(__xludf.DUMMYFUNCTION("""COMPUTED_VALUE"""),447.43)</f>
        <v>447.43</v>
      </c>
      <c r="D422" s="3">
        <f ca="1">IFERROR(__xludf.DUMMYFUNCTION("""COMPUTED_VALUE"""),110.05)</f>
        <v>110.05</v>
      </c>
      <c r="E422" s="3">
        <f ca="1">IFERROR(__xludf.DUMMYFUNCTION("""COMPUTED_VALUE"""),170.61)</f>
        <v>170.61</v>
      </c>
      <c r="F422" s="3">
        <f ca="1">IFERROR(__xludf.DUMMYFUNCTION("""COMPUTED_VALUE"""),53.25)</f>
        <v>53.25</v>
      </c>
      <c r="G422" s="3">
        <f ca="1">IFERROR(__xludf.DUMMYFUNCTION("""COMPUTED_VALUE"""),26.58)</f>
        <v>26.58</v>
      </c>
      <c r="H422" s="3">
        <f ca="1">IFERROR(__xludf.DUMMYFUNCTION("""COMPUTED_VALUE"""),26.04)</f>
        <v>26.04</v>
      </c>
      <c r="I422" s="3">
        <f ca="1">IFERROR(__xludf.DUMMYFUNCTION("""COMPUTED_VALUE"""),132.19)</f>
        <v>132.19</v>
      </c>
      <c r="J422" s="3">
        <f ca="1">IFERROR(__xludf.DUMMYFUNCTION("""COMPUTED_VALUE"""),242.83)</f>
        <v>242.83</v>
      </c>
      <c r="K422" s="3">
        <f ca="1">IFERROR(__xludf.DUMMYFUNCTION("""COMPUTED_VALUE"""),128.14)</f>
        <v>128.13999999999999</v>
      </c>
      <c r="L422" s="3">
        <f ca="1">IFERROR(__xludf.DUMMYFUNCTION("""COMPUTED_VALUE"""),79.65)</f>
        <v>79.650000000000006</v>
      </c>
      <c r="M422" s="3">
        <f ca="1">IFERROR(__xludf.DUMMYFUNCTION("""COMPUTED_VALUE"""),60.78)</f>
        <v>60.78</v>
      </c>
      <c r="N422" s="3">
        <f ca="1">IFERROR(__xludf.DUMMYFUNCTION("""COMPUTED_VALUE"""),62.62)</f>
        <v>62.62</v>
      </c>
      <c r="O422" s="3">
        <f ca="1">IFERROR(__xludf.DUMMYFUNCTION("""COMPUTED_VALUE"""),44.66)</f>
        <v>44.66</v>
      </c>
      <c r="P422" s="3">
        <f ca="1">IFERROR(__xludf.DUMMYFUNCTION("""COMPUTED_VALUE"""),91.22)</f>
        <v>91.22</v>
      </c>
      <c r="Q422" s="3">
        <f ca="1">IFERROR(__xludf.DUMMYFUNCTION("""COMPUTED_VALUE"""),127.74)</f>
        <v>127.74</v>
      </c>
      <c r="R422" s="3">
        <f ca="1">IFERROR(__xludf.DUMMYFUNCTION("""COMPUTED_VALUE"""),82.27)</f>
        <v>82.27</v>
      </c>
      <c r="S422" s="3">
        <f ca="1">IFERROR(__xludf.DUMMYFUNCTION("""COMPUTED_VALUE"""),52.47)</f>
        <v>52.47</v>
      </c>
      <c r="T422" s="3">
        <f ca="1">IFERROR(__xludf.DUMMYFUNCTION("""COMPUTED_VALUE"""),25)</f>
        <v>25</v>
      </c>
      <c r="U422" s="3">
        <f ca="1">IFERROR(__xludf.DUMMYFUNCTION("""COMPUTED_VALUE"""),77.76)</f>
        <v>77.760000000000005</v>
      </c>
      <c r="V422" s="3">
        <f ca="1">IFERROR(__xludf.DUMMYFUNCTION("""COMPUTED_VALUE"""),58.02)</f>
        <v>58.02</v>
      </c>
      <c r="W422" s="3">
        <f ca="1">IFERROR(__xludf.DUMMYFUNCTION("""COMPUTED_VALUE"""),34.34)</f>
        <v>34.340000000000003</v>
      </c>
      <c r="X422" s="3">
        <f ca="1">IFERROR(__xludf.DUMMYFUNCTION("""COMPUTED_VALUE"""),83.34)</f>
        <v>83.34</v>
      </c>
      <c r="Y422" s="3">
        <f ca="1">IFERROR(__xludf.DUMMYFUNCTION("""COMPUTED_VALUE"""),39.11)</f>
        <v>39.11</v>
      </c>
      <c r="Z422" s="3">
        <f ca="1">IFERROR(__xludf.DUMMYFUNCTION("""COMPUTED_VALUE"""),76.69)</f>
        <v>76.69</v>
      </c>
      <c r="AA422" s="3">
        <f ca="1">IFERROR(__xludf.DUMMYFUNCTION("""COMPUTED_VALUE"""),36.63)</f>
        <v>36.630000000000003</v>
      </c>
      <c r="AB422" s="3">
        <f ca="1">IFERROR(__xludf.DUMMYFUNCTION("""COMPUTED_VALUE"""),44.59)</f>
        <v>44.59</v>
      </c>
      <c r="AC422" s="3">
        <f ca="1">IFERROR(__xludf.DUMMYFUNCTION("""COMPUTED_VALUE"""),53.6)</f>
        <v>53.6</v>
      </c>
      <c r="AD422" s="3">
        <f ca="1">IFERROR(__xludf.DUMMYFUNCTION("""COMPUTED_VALUE"""),9.62)</f>
        <v>9.6199999999999992</v>
      </c>
      <c r="AE422" s="3">
        <f ca="1">IFERROR(__xludf.DUMMYFUNCTION("""COMPUTED_VALUE"""),13.18)</f>
        <v>13.18</v>
      </c>
      <c r="AF422" s="3">
        <f ca="1">IFERROR(__xludf.DUMMYFUNCTION("""COMPUTED_VALUE"""),3.01)</f>
        <v>3.01</v>
      </c>
      <c r="AG422" s="3">
        <f ca="1">IFERROR(__xludf.DUMMYFUNCTION("""COMPUTED_VALUE"""),26.33)</f>
        <v>26.33</v>
      </c>
    </row>
    <row r="423" spans="1:33" ht="12.75" x14ac:dyDescent="0.2">
      <c r="A423" s="4">
        <f ca="1">IFERROR(__xludf.DUMMYFUNCTION("""COMPUTED_VALUE"""),45175.6666666666)</f>
        <v>45175.666666666599</v>
      </c>
      <c r="B423" s="3">
        <f ca="1">IFERROR(__xludf.DUMMYFUNCTION("""COMPUTED_VALUE"""),174.96)</f>
        <v>174.96</v>
      </c>
      <c r="C423" s="3">
        <f ca="1">IFERROR(__xludf.DUMMYFUNCTION("""COMPUTED_VALUE"""),442.31)</f>
        <v>442.31</v>
      </c>
      <c r="D423" s="3">
        <f ca="1">IFERROR(__xludf.DUMMYFUNCTION("""COMPUTED_VALUE"""),110.83)</f>
        <v>110.83</v>
      </c>
      <c r="E423" s="3">
        <f ca="1">IFERROR(__xludf.DUMMYFUNCTION("""COMPUTED_VALUE"""),169.38)</f>
        <v>169.38</v>
      </c>
      <c r="F423" s="3">
        <f ca="1">IFERROR(__xludf.DUMMYFUNCTION("""COMPUTED_VALUE"""),53.05)</f>
        <v>53.05</v>
      </c>
      <c r="G423" s="3">
        <f ca="1">IFERROR(__xludf.DUMMYFUNCTION("""COMPUTED_VALUE"""),26.46)</f>
        <v>26.46</v>
      </c>
      <c r="H423" s="3">
        <f ca="1">IFERROR(__xludf.DUMMYFUNCTION("""COMPUTED_VALUE"""),25.93)</f>
        <v>25.93</v>
      </c>
      <c r="I423" s="3">
        <f ca="1">IFERROR(__xludf.DUMMYFUNCTION("""COMPUTED_VALUE"""),131.47)</f>
        <v>131.47</v>
      </c>
      <c r="J423" s="3">
        <f ca="1">IFERROR(__xludf.DUMMYFUNCTION("""COMPUTED_VALUE"""),241.46)</f>
        <v>241.46</v>
      </c>
      <c r="K423" s="3">
        <f ca="1">IFERROR(__xludf.DUMMYFUNCTION("""COMPUTED_VALUE"""),127.31)</f>
        <v>127.31</v>
      </c>
      <c r="L423" s="3">
        <f ca="1">IFERROR(__xludf.DUMMYFUNCTION("""COMPUTED_VALUE"""),79.89)</f>
        <v>79.89</v>
      </c>
      <c r="M423" s="3">
        <f ca="1">IFERROR(__xludf.DUMMYFUNCTION("""COMPUTED_VALUE"""),60.61)</f>
        <v>60.61</v>
      </c>
      <c r="N423" s="3">
        <f ca="1">IFERROR(__xludf.DUMMYFUNCTION("""COMPUTED_VALUE"""),62.32)</f>
        <v>62.32</v>
      </c>
      <c r="O423" s="3">
        <f ca="1">IFERROR(__xludf.DUMMYFUNCTION("""COMPUTED_VALUE"""),44.68)</f>
        <v>44.68</v>
      </c>
      <c r="P423" s="3">
        <f ca="1">IFERROR(__xludf.DUMMYFUNCTION("""COMPUTED_VALUE"""),91.26)</f>
        <v>91.26</v>
      </c>
      <c r="Q423" s="3">
        <f ca="1">IFERROR(__xludf.DUMMYFUNCTION("""COMPUTED_VALUE"""),127.72)</f>
        <v>127.72</v>
      </c>
      <c r="R423" s="3">
        <f ca="1">IFERROR(__xludf.DUMMYFUNCTION("""COMPUTED_VALUE"""),82.09)</f>
        <v>82.09</v>
      </c>
      <c r="S423" s="3">
        <f ca="1">IFERROR(__xludf.DUMMYFUNCTION("""COMPUTED_VALUE"""),52.09)</f>
        <v>52.09</v>
      </c>
      <c r="T423" s="3">
        <f ca="1">IFERROR(__xludf.DUMMYFUNCTION("""COMPUTED_VALUE"""),25.06)</f>
        <v>25.06</v>
      </c>
      <c r="U423" s="3">
        <f ca="1">IFERROR(__xludf.DUMMYFUNCTION("""COMPUTED_VALUE"""),78.52)</f>
        <v>78.52</v>
      </c>
      <c r="V423" s="3">
        <f ca="1">IFERROR(__xludf.DUMMYFUNCTION("""COMPUTED_VALUE"""),56.81)</f>
        <v>56.81</v>
      </c>
      <c r="W423" s="3">
        <f ca="1">IFERROR(__xludf.DUMMYFUNCTION("""COMPUTED_VALUE"""),34.32)</f>
        <v>34.32</v>
      </c>
      <c r="X423" s="3">
        <f ca="1">IFERROR(__xludf.DUMMYFUNCTION("""COMPUTED_VALUE"""),83.08)</f>
        <v>83.08</v>
      </c>
      <c r="Y423" s="3">
        <f ca="1">IFERROR(__xludf.DUMMYFUNCTION("""COMPUTED_VALUE"""),38.29)</f>
        <v>38.29</v>
      </c>
      <c r="Z423" s="3">
        <f ca="1">IFERROR(__xludf.DUMMYFUNCTION("""COMPUTED_VALUE"""),76.45)</f>
        <v>76.45</v>
      </c>
      <c r="AA423" s="3">
        <f ca="1">IFERROR(__xludf.DUMMYFUNCTION("""COMPUTED_VALUE"""),36.56)</f>
        <v>36.56</v>
      </c>
      <c r="AB423" s="3">
        <f ca="1">IFERROR(__xludf.DUMMYFUNCTION("""COMPUTED_VALUE"""),43.56)</f>
        <v>43.56</v>
      </c>
      <c r="AC423" s="3">
        <f ca="1">IFERROR(__xludf.DUMMYFUNCTION("""COMPUTED_VALUE"""),53.78)</f>
        <v>53.78</v>
      </c>
      <c r="AD423" s="3">
        <f ca="1">IFERROR(__xludf.DUMMYFUNCTION("""COMPUTED_VALUE"""),9.62)</f>
        <v>9.6199999999999992</v>
      </c>
      <c r="AE423" s="3">
        <f ca="1">IFERROR(__xludf.DUMMYFUNCTION("""COMPUTED_VALUE"""),13.18)</f>
        <v>13.18</v>
      </c>
      <c r="AF423" s="3">
        <f ca="1">IFERROR(__xludf.DUMMYFUNCTION("""COMPUTED_VALUE"""),3)</f>
        <v>3</v>
      </c>
      <c r="AG423" s="3">
        <f ca="1">IFERROR(__xludf.DUMMYFUNCTION("""COMPUTED_VALUE"""),26.5)</f>
        <v>26.5</v>
      </c>
    </row>
    <row r="424" spans="1:33" ht="12.75" x14ac:dyDescent="0.2">
      <c r="A424" s="4">
        <f ca="1">IFERROR(__xludf.DUMMYFUNCTION("""COMPUTED_VALUE"""),45176.6666666666)</f>
        <v>45176.666666666599</v>
      </c>
      <c r="B424" s="3">
        <f ca="1">IFERROR(__xludf.DUMMYFUNCTION("""COMPUTED_VALUE"""),172.43)</f>
        <v>172.43</v>
      </c>
      <c r="C424" s="3">
        <f ca="1">IFERROR(__xludf.DUMMYFUNCTION("""COMPUTED_VALUE"""),435.69)</f>
        <v>435.69</v>
      </c>
      <c r="D424" s="3">
        <f ca="1">IFERROR(__xludf.DUMMYFUNCTION("""COMPUTED_VALUE"""),108.91)</f>
        <v>108.91</v>
      </c>
      <c r="E424" s="3">
        <f ca="1">IFERROR(__xludf.DUMMYFUNCTION("""COMPUTED_VALUE"""),165.5)</f>
        <v>165.5</v>
      </c>
      <c r="F424" s="3">
        <f ca="1">IFERROR(__xludf.DUMMYFUNCTION("""COMPUTED_VALUE"""),52.73)</f>
        <v>52.73</v>
      </c>
      <c r="G424" s="3">
        <f ca="1">IFERROR(__xludf.DUMMYFUNCTION("""COMPUTED_VALUE"""),26.15)</f>
        <v>26.15</v>
      </c>
      <c r="H424" s="3">
        <f ca="1">IFERROR(__xludf.DUMMYFUNCTION("""COMPUTED_VALUE"""),25.6)</f>
        <v>25.6</v>
      </c>
      <c r="I424" s="3">
        <f ca="1">IFERROR(__xludf.DUMMYFUNCTION("""COMPUTED_VALUE"""),132.06)</f>
        <v>132.06</v>
      </c>
      <c r="J424" s="3">
        <f ca="1">IFERROR(__xludf.DUMMYFUNCTION("""COMPUTED_VALUE"""),242.13)</f>
        <v>242.13</v>
      </c>
      <c r="K424" s="3">
        <f ca="1">IFERROR(__xludf.DUMMYFUNCTION("""COMPUTED_VALUE"""),126.88)</f>
        <v>126.88</v>
      </c>
      <c r="L424" s="3">
        <f ca="1">IFERROR(__xludf.DUMMYFUNCTION("""COMPUTED_VALUE"""),78.76)</f>
        <v>78.760000000000005</v>
      </c>
      <c r="M424" s="3">
        <f ca="1">IFERROR(__xludf.DUMMYFUNCTION("""COMPUTED_VALUE"""),60.25)</f>
        <v>60.25</v>
      </c>
      <c r="N424" s="3">
        <f ca="1">IFERROR(__xludf.DUMMYFUNCTION("""COMPUTED_VALUE"""),62.49)</f>
        <v>62.49</v>
      </c>
      <c r="O424" s="3">
        <f ca="1">IFERROR(__xludf.DUMMYFUNCTION("""COMPUTED_VALUE"""),44.12)</f>
        <v>44.12</v>
      </c>
      <c r="P424" s="3">
        <f ca="1">IFERROR(__xludf.DUMMYFUNCTION("""COMPUTED_VALUE"""),91.17)</f>
        <v>91.17</v>
      </c>
      <c r="Q424" s="3">
        <f ca="1">IFERROR(__xludf.DUMMYFUNCTION("""COMPUTED_VALUE"""),127.53)</f>
        <v>127.53</v>
      </c>
      <c r="R424" s="3">
        <f ca="1">IFERROR(__xludf.DUMMYFUNCTION("""COMPUTED_VALUE"""),81.72)</f>
        <v>81.72</v>
      </c>
      <c r="S424" s="3">
        <f ca="1">IFERROR(__xludf.DUMMYFUNCTION("""COMPUTED_VALUE"""),51.69)</f>
        <v>51.69</v>
      </c>
      <c r="T424" s="3">
        <f ca="1">IFERROR(__xludf.DUMMYFUNCTION("""COMPUTED_VALUE"""),25.01)</f>
        <v>25.01</v>
      </c>
      <c r="U424" s="3">
        <f ca="1">IFERROR(__xludf.DUMMYFUNCTION("""COMPUTED_VALUE"""),77.95)</f>
        <v>77.95</v>
      </c>
      <c r="V424" s="3">
        <f ca="1">IFERROR(__xludf.DUMMYFUNCTION("""COMPUTED_VALUE"""),55.56)</f>
        <v>55.56</v>
      </c>
      <c r="W424" s="3">
        <f ca="1">IFERROR(__xludf.DUMMYFUNCTION("""COMPUTED_VALUE"""),34.23)</f>
        <v>34.229999999999997</v>
      </c>
      <c r="X424" s="3">
        <f ca="1">IFERROR(__xludf.DUMMYFUNCTION("""COMPUTED_VALUE"""),82.92)</f>
        <v>82.92</v>
      </c>
      <c r="Y424" s="3">
        <f ca="1">IFERROR(__xludf.DUMMYFUNCTION("""COMPUTED_VALUE"""),37.82)</f>
        <v>37.82</v>
      </c>
      <c r="Z424" s="3">
        <f ca="1">IFERROR(__xludf.DUMMYFUNCTION("""COMPUTED_VALUE"""),76.38)</f>
        <v>76.38</v>
      </c>
      <c r="AA424" s="3">
        <f ca="1">IFERROR(__xludf.DUMMYFUNCTION("""COMPUTED_VALUE"""),36.86)</f>
        <v>36.86</v>
      </c>
      <c r="AB424" s="3">
        <f ca="1">IFERROR(__xludf.DUMMYFUNCTION("""COMPUTED_VALUE"""),42.97)</f>
        <v>42.97</v>
      </c>
      <c r="AC424" s="3">
        <f ca="1">IFERROR(__xludf.DUMMYFUNCTION("""COMPUTED_VALUE"""),54.21)</f>
        <v>54.21</v>
      </c>
      <c r="AD424" s="3">
        <f ca="1">IFERROR(__xludf.DUMMYFUNCTION("""COMPUTED_VALUE"""),9.7)</f>
        <v>9.6999999999999993</v>
      </c>
      <c r="AE424" s="3">
        <f ca="1">IFERROR(__xludf.DUMMYFUNCTION("""COMPUTED_VALUE"""),13.3)</f>
        <v>13.3</v>
      </c>
      <c r="AF424" s="3">
        <f ca="1">IFERROR(__xludf.DUMMYFUNCTION("""COMPUTED_VALUE"""),2.99)</f>
        <v>2.99</v>
      </c>
      <c r="AG424" s="3">
        <f ca="1">IFERROR(__xludf.DUMMYFUNCTION("""COMPUTED_VALUE"""),26.65)</f>
        <v>26.65</v>
      </c>
    </row>
    <row r="425" spans="1:33" ht="12.75" x14ac:dyDescent="0.2">
      <c r="A425" s="4">
        <f ca="1">IFERROR(__xludf.DUMMYFUNCTION("""COMPUTED_VALUE"""),45177.6666666666)</f>
        <v>45177.666666666599</v>
      </c>
      <c r="B425" s="3">
        <f ca="1">IFERROR(__xludf.DUMMYFUNCTION("""COMPUTED_VALUE"""),172.79)</f>
        <v>172.79</v>
      </c>
      <c r="C425" s="3">
        <f ca="1">IFERROR(__xludf.DUMMYFUNCTION("""COMPUTED_VALUE"""),436.25)</f>
        <v>436.25</v>
      </c>
      <c r="D425" s="3">
        <f ca="1">IFERROR(__xludf.DUMMYFUNCTION("""COMPUTED_VALUE"""),109.24)</f>
        <v>109.24</v>
      </c>
      <c r="E425" s="3">
        <f ca="1">IFERROR(__xludf.DUMMYFUNCTION("""COMPUTED_VALUE"""),164.64)</f>
        <v>164.64</v>
      </c>
      <c r="F425" s="3">
        <f ca="1">IFERROR(__xludf.DUMMYFUNCTION("""COMPUTED_VALUE"""),52.71)</f>
        <v>52.71</v>
      </c>
      <c r="G425" s="3">
        <f ca="1">IFERROR(__xludf.DUMMYFUNCTION("""COMPUTED_VALUE"""),25.87)</f>
        <v>25.87</v>
      </c>
      <c r="H425" s="3">
        <f ca="1">IFERROR(__xludf.DUMMYFUNCTION("""COMPUTED_VALUE"""),25.51)</f>
        <v>25.51</v>
      </c>
      <c r="I425" s="3">
        <f ca="1">IFERROR(__xludf.DUMMYFUNCTION("""COMPUTED_VALUE"""),132.06)</f>
        <v>132.06</v>
      </c>
      <c r="J425" s="3">
        <f ca="1">IFERROR(__xludf.DUMMYFUNCTION("""COMPUTED_VALUE"""),241.9)</f>
        <v>241.9</v>
      </c>
      <c r="K425" s="3">
        <f ca="1">IFERROR(__xludf.DUMMYFUNCTION("""COMPUTED_VALUE"""),126.85)</f>
        <v>126.85</v>
      </c>
      <c r="L425" s="3">
        <f ca="1">IFERROR(__xludf.DUMMYFUNCTION("""COMPUTED_VALUE"""),78.65)</f>
        <v>78.650000000000006</v>
      </c>
      <c r="M425" s="3">
        <f ca="1">IFERROR(__xludf.DUMMYFUNCTION("""COMPUTED_VALUE"""),59.91)</f>
        <v>59.91</v>
      </c>
      <c r="N425" s="3">
        <f ca="1">IFERROR(__xludf.DUMMYFUNCTION("""COMPUTED_VALUE"""),62.39)</f>
        <v>62.39</v>
      </c>
      <c r="O425" s="3">
        <f ca="1">IFERROR(__xludf.DUMMYFUNCTION("""COMPUTED_VALUE"""),43.6)</f>
        <v>43.6</v>
      </c>
      <c r="P425" s="3">
        <f ca="1">IFERROR(__xludf.DUMMYFUNCTION("""COMPUTED_VALUE"""),92.05)</f>
        <v>92.05</v>
      </c>
      <c r="Q425" s="3">
        <f ca="1">IFERROR(__xludf.DUMMYFUNCTION("""COMPUTED_VALUE"""),128.85)</f>
        <v>128.85</v>
      </c>
      <c r="R425" s="3">
        <f ca="1">IFERROR(__xludf.DUMMYFUNCTION("""COMPUTED_VALUE"""),81.8)</f>
        <v>81.8</v>
      </c>
      <c r="S425" s="3">
        <f ca="1">IFERROR(__xludf.DUMMYFUNCTION("""COMPUTED_VALUE"""),51.42)</f>
        <v>51.42</v>
      </c>
      <c r="T425" s="3">
        <f ca="1">IFERROR(__xludf.DUMMYFUNCTION("""COMPUTED_VALUE"""),25.06)</f>
        <v>25.06</v>
      </c>
      <c r="U425" s="3">
        <f ca="1">IFERROR(__xludf.DUMMYFUNCTION("""COMPUTED_VALUE"""),78.3)</f>
        <v>78.3</v>
      </c>
      <c r="V425" s="3">
        <f ca="1">IFERROR(__xludf.DUMMYFUNCTION("""COMPUTED_VALUE"""),55.57)</f>
        <v>55.57</v>
      </c>
      <c r="W425" s="3">
        <f ca="1">IFERROR(__xludf.DUMMYFUNCTION("""COMPUTED_VALUE"""),34.3)</f>
        <v>34.299999999999997</v>
      </c>
      <c r="X425" s="3">
        <f ca="1">IFERROR(__xludf.DUMMYFUNCTION("""COMPUTED_VALUE"""),83.24)</f>
        <v>83.24</v>
      </c>
      <c r="Y425" s="3">
        <f ca="1">IFERROR(__xludf.DUMMYFUNCTION("""COMPUTED_VALUE"""),38.17)</f>
        <v>38.17</v>
      </c>
      <c r="Z425" s="3">
        <f ca="1">IFERROR(__xludf.DUMMYFUNCTION("""COMPUTED_VALUE"""),76.67)</f>
        <v>76.67</v>
      </c>
      <c r="AA425" s="3">
        <f ca="1">IFERROR(__xludf.DUMMYFUNCTION("""COMPUTED_VALUE"""),36.62)</f>
        <v>36.619999999999997</v>
      </c>
      <c r="AB425" s="3">
        <f ca="1">IFERROR(__xludf.DUMMYFUNCTION("""COMPUTED_VALUE"""),43.36)</f>
        <v>43.36</v>
      </c>
      <c r="AC425" s="3">
        <f ca="1">IFERROR(__xludf.DUMMYFUNCTION("""COMPUTED_VALUE"""),54.1)</f>
        <v>54.1</v>
      </c>
      <c r="AD425" s="3">
        <f ca="1">IFERROR(__xludf.DUMMYFUNCTION("""COMPUTED_VALUE"""),9.72)</f>
        <v>9.7200000000000006</v>
      </c>
      <c r="AE425" s="3">
        <f ca="1">IFERROR(__xludf.DUMMYFUNCTION("""COMPUTED_VALUE"""),13.33)</f>
        <v>13.33</v>
      </c>
      <c r="AF425" s="3">
        <f ca="1">IFERROR(__xludf.DUMMYFUNCTION("""COMPUTED_VALUE"""),3.01)</f>
        <v>3.01</v>
      </c>
      <c r="AG425" s="3">
        <f ca="1">IFERROR(__xludf.DUMMYFUNCTION("""COMPUTED_VALUE"""),25.95)</f>
        <v>25.95</v>
      </c>
    </row>
    <row r="426" spans="1:33" ht="12.75" x14ac:dyDescent="0.2">
      <c r="A426" s="4">
        <f ca="1">IFERROR(__xludf.DUMMYFUNCTION("""COMPUTED_VALUE"""),45180.6666666666)</f>
        <v>45180.666666666599</v>
      </c>
      <c r="B426" s="3">
        <f ca="1">IFERROR(__xludf.DUMMYFUNCTION("""COMPUTED_VALUE"""),173.69)</f>
        <v>173.69</v>
      </c>
      <c r="C426" s="3">
        <f ca="1">IFERROR(__xludf.DUMMYFUNCTION("""COMPUTED_VALUE"""),438.32)</f>
        <v>438.32</v>
      </c>
      <c r="D426" s="3">
        <f ca="1">IFERROR(__xludf.DUMMYFUNCTION("""COMPUTED_VALUE"""),110.05)</f>
        <v>110.05</v>
      </c>
      <c r="E426" s="3">
        <f ca="1">IFERROR(__xludf.DUMMYFUNCTION("""COMPUTED_VALUE"""),164.55)</f>
        <v>164.55</v>
      </c>
      <c r="F426" s="3">
        <f ca="1">IFERROR(__xludf.DUMMYFUNCTION("""COMPUTED_VALUE"""),53.25)</f>
        <v>53.25</v>
      </c>
      <c r="G426" s="3">
        <f ca="1">IFERROR(__xludf.DUMMYFUNCTION("""COMPUTED_VALUE"""),25.96)</f>
        <v>25.96</v>
      </c>
      <c r="H426" s="3">
        <f ca="1">IFERROR(__xludf.DUMMYFUNCTION("""COMPUTED_VALUE"""),25.51)</f>
        <v>25.51</v>
      </c>
      <c r="I426" s="3">
        <f ca="1">IFERROR(__xludf.DUMMYFUNCTION("""COMPUTED_VALUE"""),132.97)</f>
        <v>132.97</v>
      </c>
      <c r="J426" s="3">
        <f ca="1">IFERROR(__xludf.DUMMYFUNCTION("""COMPUTED_VALUE"""),243.78)</f>
        <v>243.78</v>
      </c>
      <c r="K426" s="3">
        <f ca="1">IFERROR(__xludf.DUMMYFUNCTION("""COMPUTED_VALUE"""),127.68)</f>
        <v>127.68</v>
      </c>
      <c r="L426" s="3">
        <f ca="1">IFERROR(__xludf.DUMMYFUNCTION("""COMPUTED_VALUE"""),78.83)</f>
        <v>78.83</v>
      </c>
      <c r="M426" s="3">
        <f ca="1">IFERROR(__xludf.DUMMYFUNCTION("""COMPUTED_VALUE"""),60.39)</f>
        <v>60.39</v>
      </c>
      <c r="N426" s="3">
        <f ca="1">IFERROR(__xludf.DUMMYFUNCTION("""COMPUTED_VALUE"""),62.83)</f>
        <v>62.83</v>
      </c>
      <c r="O426" s="3">
        <f ca="1">IFERROR(__xludf.DUMMYFUNCTION("""COMPUTED_VALUE"""),43.92)</f>
        <v>43.92</v>
      </c>
      <c r="P426" s="3">
        <f ca="1">IFERROR(__xludf.DUMMYFUNCTION("""COMPUTED_VALUE"""),90.84)</f>
        <v>90.84</v>
      </c>
      <c r="Q426" s="3">
        <f ca="1">IFERROR(__xludf.DUMMYFUNCTION("""COMPUTED_VALUE"""),127.11)</f>
        <v>127.11</v>
      </c>
      <c r="R426" s="3">
        <f ca="1">IFERROR(__xludf.DUMMYFUNCTION("""COMPUTED_VALUE"""),82.15)</f>
        <v>82.15</v>
      </c>
      <c r="S426" s="3">
        <f ca="1">IFERROR(__xludf.DUMMYFUNCTION("""COMPUTED_VALUE"""),51.54)</f>
        <v>51.54</v>
      </c>
      <c r="T426" s="3">
        <f ca="1">IFERROR(__xludf.DUMMYFUNCTION("""COMPUTED_VALUE"""),25.21)</f>
        <v>25.21</v>
      </c>
      <c r="U426" s="3">
        <f ca="1">IFERROR(__xludf.DUMMYFUNCTION("""COMPUTED_VALUE"""),78.37)</f>
        <v>78.37</v>
      </c>
      <c r="V426" s="3">
        <f ca="1">IFERROR(__xludf.DUMMYFUNCTION("""COMPUTED_VALUE"""),55.73)</f>
        <v>55.73</v>
      </c>
      <c r="W426" s="3">
        <f ca="1">IFERROR(__xludf.DUMMYFUNCTION("""COMPUTED_VALUE"""),34.46)</f>
        <v>34.46</v>
      </c>
      <c r="X426" s="3">
        <f ca="1">IFERROR(__xludf.DUMMYFUNCTION("""COMPUTED_VALUE"""),83.51)</f>
        <v>83.51</v>
      </c>
      <c r="Y426" s="3">
        <f ca="1">IFERROR(__xludf.DUMMYFUNCTION("""COMPUTED_VALUE"""),38.12)</f>
        <v>38.119999999999997</v>
      </c>
      <c r="Z426" s="3">
        <f ca="1">IFERROR(__xludf.DUMMYFUNCTION("""COMPUTED_VALUE"""),76.98)</f>
        <v>76.98</v>
      </c>
      <c r="AA426" s="3">
        <f ca="1">IFERROR(__xludf.DUMMYFUNCTION("""COMPUTED_VALUE"""),36.64)</f>
        <v>36.64</v>
      </c>
      <c r="AB426" s="3">
        <f ca="1">IFERROR(__xludf.DUMMYFUNCTION("""COMPUTED_VALUE"""),43.28)</f>
        <v>43.28</v>
      </c>
      <c r="AC426" s="3">
        <f ca="1">IFERROR(__xludf.DUMMYFUNCTION("""COMPUTED_VALUE"""),54.59)</f>
        <v>54.59</v>
      </c>
      <c r="AD426" s="3">
        <f ca="1">IFERROR(__xludf.DUMMYFUNCTION("""COMPUTED_VALUE"""),9.35)</f>
        <v>9.35</v>
      </c>
      <c r="AE426" s="3">
        <f ca="1">IFERROR(__xludf.DUMMYFUNCTION("""COMPUTED_VALUE"""),12.82)</f>
        <v>12.82</v>
      </c>
      <c r="AF426" s="3">
        <f ca="1">IFERROR(__xludf.DUMMYFUNCTION("""COMPUTED_VALUE"""),3.08)</f>
        <v>3.08</v>
      </c>
      <c r="AG426" s="3">
        <f ca="1">IFERROR(__xludf.DUMMYFUNCTION("""COMPUTED_VALUE"""),24.84)</f>
        <v>24.84</v>
      </c>
    </row>
    <row r="427" spans="1:33" ht="12.75" x14ac:dyDescent="0.2">
      <c r="A427" s="4">
        <f ca="1">IFERROR(__xludf.DUMMYFUNCTION("""COMPUTED_VALUE"""),45181.6666666666)</f>
        <v>45181.666666666599</v>
      </c>
      <c r="B427" s="3">
        <f ca="1">IFERROR(__xludf.DUMMYFUNCTION("""COMPUTED_VALUE"""),170.54)</f>
        <v>170.54</v>
      </c>
      <c r="C427" s="3">
        <f ca="1">IFERROR(__xludf.DUMMYFUNCTION("""COMPUTED_VALUE"""),430.64)</f>
        <v>430.64</v>
      </c>
      <c r="D427" s="3">
        <f ca="1">IFERROR(__xludf.DUMMYFUNCTION("""COMPUTED_VALUE"""),108.03)</f>
        <v>108.03</v>
      </c>
      <c r="E427" s="3">
        <f ca="1">IFERROR(__xludf.DUMMYFUNCTION("""COMPUTED_VALUE"""),163.15)</f>
        <v>163.15</v>
      </c>
      <c r="F427" s="3">
        <f ca="1">IFERROR(__xludf.DUMMYFUNCTION("""COMPUTED_VALUE"""),52.73)</f>
        <v>52.73</v>
      </c>
      <c r="G427" s="3">
        <f ca="1">IFERROR(__xludf.DUMMYFUNCTION("""COMPUTED_VALUE"""),25.79)</f>
        <v>25.79</v>
      </c>
      <c r="H427" s="3">
        <f ca="1">IFERROR(__xludf.DUMMYFUNCTION("""COMPUTED_VALUE"""),25.42)</f>
        <v>25.42</v>
      </c>
      <c r="I427" s="3">
        <f ca="1">IFERROR(__xludf.DUMMYFUNCTION("""COMPUTED_VALUE"""),132.8)</f>
        <v>132.80000000000001</v>
      </c>
      <c r="J427" s="3">
        <f ca="1">IFERROR(__xludf.DUMMYFUNCTION("""COMPUTED_VALUE"""),243.13)</f>
        <v>243.13</v>
      </c>
      <c r="K427" s="3">
        <f ca="1">IFERROR(__xludf.DUMMYFUNCTION("""COMPUTED_VALUE"""),127.48)</f>
        <v>127.48</v>
      </c>
      <c r="L427" s="3">
        <f ca="1">IFERROR(__xludf.DUMMYFUNCTION("""COMPUTED_VALUE"""),79.13)</f>
        <v>79.13</v>
      </c>
      <c r="M427" s="3">
        <f ca="1">IFERROR(__xludf.DUMMYFUNCTION("""COMPUTED_VALUE"""),60.63)</f>
        <v>60.63</v>
      </c>
      <c r="N427" s="3">
        <f ca="1">IFERROR(__xludf.DUMMYFUNCTION("""COMPUTED_VALUE"""),62.75)</f>
        <v>62.75</v>
      </c>
      <c r="O427" s="3">
        <f ca="1">IFERROR(__xludf.DUMMYFUNCTION("""COMPUTED_VALUE"""),43.96)</f>
        <v>43.96</v>
      </c>
      <c r="P427" s="3">
        <f ca="1">IFERROR(__xludf.DUMMYFUNCTION("""COMPUTED_VALUE"""),92.98)</f>
        <v>92.98</v>
      </c>
      <c r="Q427" s="3">
        <f ca="1">IFERROR(__xludf.DUMMYFUNCTION("""COMPUTED_VALUE"""),130.05)</f>
        <v>130.05000000000001</v>
      </c>
      <c r="R427" s="3">
        <f ca="1">IFERROR(__xludf.DUMMYFUNCTION("""COMPUTED_VALUE"""),81.96)</f>
        <v>81.96</v>
      </c>
      <c r="S427" s="3">
        <f ca="1">IFERROR(__xludf.DUMMYFUNCTION("""COMPUTED_VALUE"""),51.73)</f>
        <v>51.73</v>
      </c>
      <c r="T427" s="3">
        <f ca="1">IFERROR(__xludf.DUMMYFUNCTION("""COMPUTED_VALUE"""),25.3)</f>
        <v>25.3</v>
      </c>
      <c r="U427" s="3">
        <f ca="1">IFERROR(__xludf.DUMMYFUNCTION("""COMPUTED_VALUE"""),79.7)</f>
        <v>79.7</v>
      </c>
      <c r="V427" s="3">
        <f ca="1">IFERROR(__xludf.DUMMYFUNCTION("""COMPUTED_VALUE"""),56.79)</f>
        <v>56.79</v>
      </c>
      <c r="W427" s="3">
        <f ca="1">IFERROR(__xludf.DUMMYFUNCTION("""COMPUTED_VALUE"""),34.69)</f>
        <v>34.69</v>
      </c>
      <c r="X427" s="3">
        <f ca="1">IFERROR(__xludf.DUMMYFUNCTION("""COMPUTED_VALUE"""),84.12)</f>
        <v>84.12</v>
      </c>
      <c r="Y427" s="3">
        <f ca="1">IFERROR(__xludf.DUMMYFUNCTION("""COMPUTED_VALUE"""),38.51)</f>
        <v>38.51</v>
      </c>
      <c r="Z427" s="3">
        <f ca="1">IFERROR(__xludf.DUMMYFUNCTION("""COMPUTED_VALUE"""),77.79)</f>
        <v>77.790000000000006</v>
      </c>
      <c r="AA427" s="3">
        <f ca="1">IFERROR(__xludf.DUMMYFUNCTION("""COMPUTED_VALUE"""),36.64)</f>
        <v>36.64</v>
      </c>
      <c r="AB427" s="3">
        <f ca="1">IFERROR(__xludf.DUMMYFUNCTION("""COMPUTED_VALUE"""),43.64)</f>
        <v>43.64</v>
      </c>
      <c r="AC427" s="3">
        <f ca="1">IFERROR(__xludf.DUMMYFUNCTION("""COMPUTED_VALUE"""),54.32)</f>
        <v>54.32</v>
      </c>
      <c r="AD427" s="3">
        <f ca="1">IFERROR(__xludf.DUMMYFUNCTION("""COMPUTED_VALUE"""),9.77)</f>
        <v>9.77</v>
      </c>
      <c r="AE427" s="3">
        <f ca="1">IFERROR(__xludf.DUMMYFUNCTION("""COMPUTED_VALUE"""),13.38)</f>
        <v>13.38</v>
      </c>
      <c r="AF427" s="3">
        <f ca="1">IFERROR(__xludf.DUMMYFUNCTION("""COMPUTED_VALUE"""),2.97)</f>
        <v>2.97</v>
      </c>
      <c r="AG427" s="3">
        <f ca="1">IFERROR(__xludf.DUMMYFUNCTION("""COMPUTED_VALUE"""),25.39)</f>
        <v>25.39</v>
      </c>
    </row>
    <row r="428" spans="1:33" ht="12.75" x14ac:dyDescent="0.2">
      <c r="A428" s="4">
        <f ca="1">IFERROR(__xludf.DUMMYFUNCTION("""COMPUTED_VALUE"""),45182.6666666666)</f>
        <v>45182.666666666599</v>
      </c>
      <c r="B428" s="3">
        <f ca="1">IFERROR(__xludf.DUMMYFUNCTION("""COMPUTED_VALUE"""),170.97)</f>
        <v>170.97</v>
      </c>
      <c r="C428" s="3">
        <f ca="1">IFERROR(__xludf.DUMMYFUNCTION("""COMPUTED_VALUE"""),431.22)</f>
        <v>431.22</v>
      </c>
      <c r="D428" s="3">
        <f ca="1">IFERROR(__xludf.DUMMYFUNCTION("""COMPUTED_VALUE"""),108.44)</f>
        <v>108.44</v>
      </c>
      <c r="E428" s="3">
        <f ca="1">IFERROR(__xludf.DUMMYFUNCTION("""COMPUTED_VALUE"""),163.99)</f>
        <v>163.99</v>
      </c>
      <c r="F428" s="3">
        <f ca="1">IFERROR(__xludf.DUMMYFUNCTION("""COMPUTED_VALUE"""),52.56)</f>
        <v>52.56</v>
      </c>
      <c r="G428" s="3">
        <f ca="1">IFERROR(__xludf.DUMMYFUNCTION("""COMPUTED_VALUE"""),25.63)</f>
        <v>25.63</v>
      </c>
      <c r="H428" s="3">
        <f ca="1">IFERROR(__xludf.DUMMYFUNCTION("""COMPUTED_VALUE"""),25.29)</f>
        <v>25.29</v>
      </c>
      <c r="I428" s="3">
        <f ca="1">IFERROR(__xludf.DUMMYFUNCTION("""COMPUTED_VALUE"""),132.82)</f>
        <v>132.82</v>
      </c>
      <c r="J428" s="3">
        <f ca="1">IFERROR(__xludf.DUMMYFUNCTION("""COMPUTED_VALUE"""),243.3)</f>
        <v>243.3</v>
      </c>
      <c r="K428" s="3">
        <f ca="1">IFERROR(__xludf.DUMMYFUNCTION("""COMPUTED_VALUE"""),127.1)</f>
        <v>127.1</v>
      </c>
      <c r="L428" s="3">
        <f ca="1">IFERROR(__xludf.DUMMYFUNCTION("""COMPUTED_VALUE"""),78.29)</f>
        <v>78.290000000000006</v>
      </c>
      <c r="M428" s="3">
        <f ca="1">IFERROR(__xludf.DUMMYFUNCTION("""COMPUTED_VALUE"""),60.37)</f>
        <v>60.37</v>
      </c>
      <c r="N428" s="3">
        <f ca="1">IFERROR(__xludf.DUMMYFUNCTION("""COMPUTED_VALUE"""),62.74)</f>
        <v>62.74</v>
      </c>
      <c r="O428" s="3">
        <f ca="1">IFERROR(__xludf.DUMMYFUNCTION("""COMPUTED_VALUE"""),44.36)</f>
        <v>44.36</v>
      </c>
      <c r="P428" s="3">
        <f ca="1">IFERROR(__xludf.DUMMYFUNCTION("""COMPUTED_VALUE"""),92.28)</f>
        <v>92.28</v>
      </c>
      <c r="Q428" s="3">
        <f ca="1">IFERROR(__xludf.DUMMYFUNCTION("""COMPUTED_VALUE"""),129)</f>
        <v>129</v>
      </c>
      <c r="R428" s="3">
        <f ca="1">IFERROR(__xludf.DUMMYFUNCTION("""COMPUTED_VALUE"""),81.48)</f>
        <v>81.48</v>
      </c>
      <c r="S428" s="3">
        <f ca="1">IFERROR(__xludf.DUMMYFUNCTION("""COMPUTED_VALUE"""),52.12)</f>
        <v>52.12</v>
      </c>
      <c r="T428" s="3">
        <f ca="1">IFERROR(__xludf.DUMMYFUNCTION("""COMPUTED_VALUE"""),25.38)</f>
        <v>25.38</v>
      </c>
      <c r="U428" s="3">
        <f ca="1">IFERROR(__xludf.DUMMYFUNCTION("""COMPUTED_VALUE"""),79.68)</f>
        <v>79.680000000000007</v>
      </c>
      <c r="V428" s="3">
        <f ca="1">IFERROR(__xludf.DUMMYFUNCTION("""COMPUTED_VALUE"""),55.62)</f>
        <v>55.62</v>
      </c>
      <c r="W428" s="3">
        <f ca="1">IFERROR(__xludf.DUMMYFUNCTION("""COMPUTED_VALUE"""),34.69)</f>
        <v>34.69</v>
      </c>
      <c r="X428" s="3">
        <f ca="1">IFERROR(__xludf.DUMMYFUNCTION("""COMPUTED_VALUE"""),83.96)</f>
        <v>83.96</v>
      </c>
      <c r="Y428" s="3">
        <f ca="1">IFERROR(__xludf.DUMMYFUNCTION("""COMPUTED_VALUE"""),38.08)</f>
        <v>38.08</v>
      </c>
      <c r="Z428" s="3">
        <f ca="1">IFERROR(__xludf.DUMMYFUNCTION("""COMPUTED_VALUE"""),77.57)</f>
        <v>77.569999999999993</v>
      </c>
      <c r="AA428" s="3">
        <f ca="1">IFERROR(__xludf.DUMMYFUNCTION("""COMPUTED_VALUE"""),36.27)</f>
        <v>36.270000000000003</v>
      </c>
      <c r="AB428" s="3">
        <f ca="1">IFERROR(__xludf.DUMMYFUNCTION("""COMPUTED_VALUE"""),43.11)</f>
        <v>43.11</v>
      </c>
      <c r="AC428" s="3">
        <f ca="1">IFERROR(__xludf.DUMMYFUNCTION("""COMPUTED_VALUE"""),54.42)</f>
        <v>54.42</v>
      </c>
      <c r="AD428" s="3">
        <f ca="1">IFERROR(__xludf.DUMMYFUNCTION("""COMPUTED_VALUE"""),9.8)</f>
        <v>9.8000000000000007</v>
      </c>
      <c r="AE428" s="3">
        <f ca="1">IFERROR(__xludf.DUMMYFUNCTION("""COMPUTED_VALUE"""),13.43)</f>
        <v>13.43</v>
      </c>
      <c r="AF428" s="3">
        <f ca="1">IFERROR(__xludf.DUMMYFUNCTION("""COMPUTED_VALUE"""),2.92)</f>
        <v>2.92</v>
      </c>
      <c r="AG428" s="3">
        <f ca="1">IFERROR(__xludf.DUMMYFUNCTION("""COMPUTED_VALUE"""),24.73)</f>
        <v>24.73</v>
      </c>
    </row>
    <row r="429" spans="1:33" ht="12.75" x14ac:dyDescent="0.2">
      <c r="A429" s="4">
        <f ca="1">IFERROR(__xludf.DUMMYFUNCTION("""COMPUTED_VALUE"""),45183.6666666666)</f>
        <v>45183.666666666599</v>
      </c>
      <c r="B429" s="3">
        <f ca="1">IFERROR(__xludf.DUMMYFUNCTION("""COMPUTED_VALUE"""),172.21)</f>
        <v>172.21</v>
      </c>
      <c r="C429" s="3">
        <f ca="1">IFERROR(__xludf.DUMMYFUNCTION("""COMPUTED_VALUE"""),434.24)</f>
        <v>434.24</v>
      </c>
      <c r="D429" s="3">
        <f ca="1">IFERROR(__xludf.DUMMYFUNCTION("""COMPUTED_VALUE"""),108.31)</f>
        <v>108.31</v>
      </c>
      <c r="E429" s="3">
        <f ca="1">IFERROR(__xludf.DUMMYFUNCTION("""COMPUTED_VALUE"""),165.16)</f>
        <v>165.16</v>
      </c>
      <c r="F429" s="3">
        <f ca="1">IFERROR(__xludf.DUMMYFUNCTION("""COMPUTED_VALUE"""),52.73)</f>
        <v>52.73</v>
      </c>
      <c r="G429" s="3">
        <f ca="1">IFERROR(__xludf.DUMMYFUNCTION("""COMPUTED_VALUE"""),25.79)</f>
        <v>25.79</v>
      </c>
      <c r="H429" s="3">
        <f ca="1">IFERROR(__xludf.DUMMYFUNCTION("""COMPUTED_VALUE"""),25.41)</f>
        <v>25.41</v>
      </c>
      <c r="I429" s="3">
        <f ca="1">IFERROR(__xludf.DUMMYFUNCTION("""COMPUTED_VALUE"""),133.24)</f>
        <v>133.24</v>
      </c>
      <c r="J429" s="3">
        <f ca="1">IFERROR(__xludf.DUMMYFUNCTION("""COMPUTED_VALUE"""),243.62)</f>
        <v>243.62</v>
      </c>
      <c r="K429" s="3">
        <f ca="1">IFERROR(__xludf.DUMMYFUNCTION("""COMPUTED_VALUE"""),127.58)</f>
        <v>127.58</v>
      </c>
      <c r="L429" s="3">
        <f ca="1">IFERROR(__xludf.DUMMYFUNCTION("""COMPUTED_VALUE"""),78.21)</f>
        <v>78.209999999999994</v>
      </c>
      <c r="M429" s="3">
        <f ca="1">IFERROR(__xludf.DUMMYFUNCTION("""COMPUTED_VALUE"""),60.35)</f>
        <v>60.35</v>
      </c>
      <c r="N429" s="3">
        <f ca="1">IFERROR(__xludf.DUMMYFUNCTION("""COMPUTED_VALUE"""),62.85)</f>
        <v>62.85</v>
      </c>
      <c r="O429" s="3">
        <f ca="1">IFERROR(__xludf.DUMMYFUNCTION("""COMPUTED_VALUE"""),44.12)</f>
        <v>44.12</v>
      </c>
      <c r="P429" s="3">
        <f ca="1">IFERROR(__xludf.DUMMYFUNCTION("""COMPUTED_VALUE"""),93.36)</f>
        <v>93.36</v>
      </c>
      <c r="Q429" s="3">
        <f ca="1">IFERROR(__xludf.DUMMYFUNCTION("""COMPUTED_VALUE"""),130.52)</f>
        <v>130.52000000000001</v>
      </c>
      <c r="R429" s="3">
        <f ca="1">IFERROR(__xludf.DUMMYFUNCTION("""COMPUTED_VALUE"""),82.63)</f>
        <v>82.63</v>
      </c>
      <c r="S429" s="3">
        <f ca="1">IFERROR(__xludf.DUMMYFUNCTION("""COMPUTED_VALUE"""),53.9)</f>
        <v>53.9</v>
      </c>
      <c r="T429" s="3">
        <f ca="1">IFERROR(__xludf.DUMMYFUNCTION("""COMPUTED_VALUE"""),25.59)</f>
        <v>25.59</v>
      </c>
      <c r="U429" s="3">
        <f ca="1">IFERROR(__xludf.DUMMYFUNCTION("""COMPUTED_VALUE"""),81.12)</f>
        <v>81.12</v>
      </c>
      <c r="V429" s="3">
        <f ca="1">IFERROR(__xludf.DUMMYFUNCTION("""COMPUTED_VALUE"""),57.1)</f>
        <v>57.1</v>
      </c>
      <c r="W429" s="3">
        <f ca="1">IFERROR(__xludf.DUMMYFUNCTION("""COMPUTED_VALUE"""),35.01)</f>
        <v>35.01</v>
      </c>
      <c r="X429" s="3">
        <f ca="1">IFERROR(__xludf.DUMMYFUNCTION("""COMPUTED_VALUE"""),84.82)</f>
        <v>84.82</v>
      </c>
      <c r="Y429" s="3">
        <f ca="1">IFERROR(__xludf.DUMMYFUNCTION("""COMPUTED_VALUE"""),38.69)</f>
        <v>38.69</v>
      </c>
      <c r="Z429" s="3">
        <f ca="1">IFERROR(__xludf.DUMMYFUNCTION("""COMPUTED_VALUE"""),78.59)</f>
        <v>78.59</v>
      </c>
      <c r="AA429" s="3">
        <f ca="1">IFERROR(__xludf.DUMMYFUNCTION("""COMPUTED_VALUE"""),36.93)</f>
        <v>36.93</v>
      </c>
      <c r="AB429" s="3">
        <f ca="1">IFERROR(__xludf.DUMMYFUNCTION("""COMPUTED_VALUE"""),43.96)</f>
        <v>43.96</v>
      </c>
      <c r="AC429" s="3">
        <f ca="1">IFERROR(__xludf.DUMMYFUNCTION("""COMPUTED_VALUE"""),54.25)</f>
        <v>54.25</v>
      </c>
      <c r="AD429" s="3">
        <f ca="1">IFERROR(__xludf.DUMMYFUNCTION("""COMPUTED_VALUE"""),10.01)</f>
        <v>10.01</v>
      </c>
      <c r="AE429" s="3">
        <f ca="1">IFERROR(__xludf.DUMMYFUNCTION("""COMPUTED_VALUE"""),13.7)</f>
        <v>13.7</v>
      </c>
      <c r="AF429" s="3">
        <f ca="1">IFERROR(__xludf.DUMMYFUNCTION("""COMPUTED_VALUE"""),2.91)</f>
        <v>2.91</v>
      </c>
      <c r="AG429" s="3">
        <f ca="1">IFERROR(__xludf.DUMMYFUNCTION("""COMPUTED_VALUE"""),25.89)</f>
        <v>25.89</v>
      </c>
    </row>
    <row r="430" spans="1:33" ht="12.75" x14ac:dyDescent="0.2">
      <c r="A430" s="4">
        <f ca="1">IFERROR(__xludf.DUMMYFUNCTION("""COMPUTED_VALUE"""),45184.6666666666)</f>
        <v>45184.666666666599</v>
      </c>
      <c r="B430" s="3">
        <f ca="1">IFERROR(__xludf.DUMMYFUNCTION("""COMPUTED_VALUE"""),168.9)</f>
        <v>168.9</v>
      </c>
      <c r="C430" s="3">
        <f ca="1">IFERROR(__xludf.DUMMYFUNCTION("""COMPUTED_VALUE"""),426.34)</f>
        <v>426.34</v>
      </c>
      <c r="D430" s="3">
        <f ca="1">IFERROR(__xludf.DUMMYFUNCTION("""COMPUTED_VALUE"""),106.47)</f>
        <v>106.47</v>
      </c>
      <c r="E430" s="3">
        <f ca="1">IFERROR(__xludf.DUMMYFUNCTION("""COMPUTED_VALUE"""),160.4)</f>
        <v>160.4</v>
      </c>
      <c r="F430" s="3">
        <f ca="1">IFERROR(__xludf.DUMMYFUNCTION("""COMPUTED_VALUE"""),52)</f>
        <v>52</v>
      </c>
      <c r="G430" s="3">
        <f ca="1">IFERROR(__xludf.DUMMYFUNCTION("""COMPUTED_VALUE"""),25.42)</f>
        <v>25.42</v>
      </c>
      <c r="H430" s="3">
        <f ca="1">IFERROR(__xludf.DUMMYFUNCTION("""COMPUTED_VALUE"""),25.19)</f>
        <v>25.19</v>
      </c>
      <c r="I430" s="3">
        <f ca="1">IFERROR(__xludf.DUMMYFUNCTION("""COMPUTED_VALUE"""),132.19)</f>
        <v>132.19</v>
      </c>
      <c r="J430" s="3">
        <f ca="1">IFERROR(__xludf.DUMMYFUNCTION("""COMPUTED_VALUE"""),241.88)</f>
        <v>241.88</v>
      </c>
      <c r="K430" s="3">
        <f ca="1">IFERROR(__xludf.DUMMYFUNCTION("""COMPUTED_VALUE"""),126.61)</f>
        <v>126.61</v>
      </c>
      <c r="L430" s="3">
        <f ca="1">IFERROR(__xludf.DUMMYFUNCTION("""COMPUTED_VALUE"""),77.11)</f>
        <v>77.11</v>
      </c>
      <c r="M430" s="3">
        <f ca="1">IFERROR(__xludf.DUMMYFUNCTION("""COMPUTED_VALUE"""),59.08)</f>
        <v>59.08</v>
      </c>
      <c r="N430" s="3">
        <f ca="1">IFERROR(__xludf.DUMMYFUNCTION("""COMPUTED_VALUE"""),62.16)</f>
        <v>62.16</v>
      </c>
      <c r="O430" s="3">
        <f ca="1">IFERROR(__xludf.DUMMYFUNCTION("""COMPUTED_VALUE"""),43.56)</f>
        <v>43.56</v>
      </c>
      <c r="P430" s="3">
        <f ca="1">IFERROR(__xludf.DUMMYFUNCTION("""COMPUTED_VALUE"""),92.01)</f>
        <v>92.01</v>
      </c>
      <c r="Q430" s="3">
        <f ca="1">IFERROR(__xludf.DUMMYFUNCTION("""COMPUTED_VALUE"""),128.89)</f>
        <v>128.88999999999999</v>
      </c>
      <c r="R430" s="3">
        <f ca="1">IFERROR(__xludf.DUMMYFUNCTION("""COMPUTED_VALUE"""),81.71)</f>
        <v>81.709999999999994</v>
      </c>
      <c r="S430" s="3">
        <f ca="1">IFERROR(__xludf.DUMMYFUNCTION("""COMPUTED_VALUE"""),53.33)</f>
        <v>53.33</v>
      </c>
      <c r="T430" s="3">
        <f ca="1">IFERROR(__xludf.DUMMYFUNCTION("""COMPUTED_VALUE"""),25.53)</f>
        <v>25.53</v>
      </c>
      <c r="U430" s="3">
        <f ca="1">IFERROR(__xludf.DUMMYFUNCTION("""COMPUTED_VALUE"""),81.29)</f>
        <v>81.290000000000006</v>
      </c>
      <c r="V430" s="3">
        <f ca="1">IFERROR(__xludf.DUMMYFUNCTION("""COMPUTED_VALUE"""),55.92)</f>
        <v>55.92</v>
      </c>
      <c r="W430" s="3">
        <f ca="1">IFERROR(__xludf.DUMMYFUNCTION("""COMPUTED_VALUE"""),34.83)</f>
        <v>34.83</v>
      </c>
      <c r="X430" s="3">
        <f ca="1">IFERROR(__xludf.DUMMYFUNCTION("""COMPUTED_VALUE"""),84.4)</f>
        <v>84.4</v>
      </c>
      <c r="Y430" s="3">
        <f ca="1">IFERROR(__xludf.DUMMYFUNCTION("""COMPUTED_VALUE"""),38.55)</f>
        <v>38.549999999999997</v>
      </c>
      <c r="Z430" s="3">
        <f ca="1">IFERROR(__xludf.DUMMYFUNCTION("""COMPUTED_VALUE"""),78.14)</f>
        <v>78.14</v>
      </c>
      <c r="AA430" s="3">
        <f ca="1">IFERROR(__xludf.DUMMYFUNCTION("""COMPUTED_VALUE"""),36.79)</f>
        <v>36.79</v>
      </c>
      <c r="AB430" s="3">
        <f ca="1">IFERROR(__xludf.DUMMYFUNCTION("""COMPUTED_VALUE"""),43.71)</f>
        <v>43.71</v>
      </c>
      <c r="AC430" s="3">
        <f ca="1">IFERROR(__xludf.DUMMYFUNCTION("""COMPUTED_VALUE"""),53.84)</f>
        <v>53.84</v>
      </c>
      <c r="AD430" s="3">
        <f ca="1">IFERROR(__xludf.DUMMYFUNCTION("""COMPUTED_VALUE"""),9.9)</f>
        <v>9.9</v>
      </c>
      <c r="AE430" s="3">
        <f ca="1">IFERROR(__xludf.DUMMYFUNCTION("""COMPUTED_VALUE"""),13.57)</f>
        <v>13.57</v>
      </c>
      <c r="AF430" s="3">
        <f ca="1">IFERROR(__xludf.DUMMYFUNCTION("""COMPUTED_VALUE"""),2.89)</f>
        <v>2.89</v>
      </c>
      <c r="AG430" s="3">
        <f ca="1">IFERROR(__xludf.DUMMYFUNCTION("""COMPUTED_VALUE"""),25.38)</f>
        <v>25.38</v>
      </c>
    </row>
    <row r="431" spans="1:33" ht="12.75" x14ac:dyDescent="0.2">
      <c r="A431" s="4">
        <f ca="1">IFERROR(__xludf.DUMMYFUNCTION("""COMPUTED_VALUE"""),45187.6666666666)</f>
        <v>45187.666666666599</v>
      </c>
      <c r="B431" s="3">
        <f ca="1">IFERROR(__xludf.DUMMYFUNCTION("""COMPUTED_VALUE"""),169.35)</f>
        <v>169.35</v>
      </c>
      <c r="C431" s="3">
        <f ca="1">IFERROR(__xludf.DUMMYFUNCTION("""COMPUTED_VALUE"""),428.07)</f>
        <v>428.07</v>
      </c>
      <c r="D431" s="3">
        <f ca="1">IFERROR(__xludf.DUMMYFUNCTION("""COMPUTED_VALUE"""),104.65)</f>
        <v>104.65</v>
      </c>
      <c r="E431" s="3">
        <f ca="1">IFERROR(__xludf.DUMMYFUNCTION("""COMPUTED_VALUE"""),160.94)</f>
        <v>160.94</v>
      </c>
      <c r="F431" s="3">
        <f ca="1">IFERROR(__xludf.DUMMYFUNCTION("""COMPUTED_VALUE"""),51.97)</f>
        <v>51.97</v>
      </c>
      <c r="G431" s="3">
        <f ca="1">IFERROR(__xludf.DUMMYFUNCTION("""COMPUTED_VALUE"""),25.51)</f>
        <v>25.51</v>
      </c>
      <c r="H431" s="3">
        <f ca="1">IFERROR(__xludf.DUMMYFUNCTION("""COMPUTED_VALUE"""),25.04)</f>
        <v>25.04</v>
      </c>
      <c r="I431" s="3">
        <f ca="1">IFERROR(__xludf.DUMMYFUNCTION("""COMPUTED_VALUE"""),131.45)</f>
        <v>131.44999999999999</v>
      </c>
      <c r="J431" s="3">
        <f ca="1">IFERROR(__xludf.DUMMYFUNCTION("""COMPUTED_VALUE"""),241.05)</f>
        <v>241.05</v>
      </c>
      <c r="K431" s="3">
        <f ca="1">IFERROR(__xludf.DUMMYFUNCTION("""COMPUTED_VALUE"""),125.25)</f>
        <v>125.25</v>
      </c>
      <c r="L431" s="3">
        <f ca="1">IFERROR(__xludf.DUMMYFUNCTION("""COMPUTED_VALUE"""),75.95)</f>
        <v>75.95</v>
      </c>
      <c r="M431" s="3">
        <f ca="1">IFERROR(__xludf.DUMMYFUNCTION("""COMPUTED_VALUE"""),58.39)</f>
        <v>58.39</v>
      </c>
      <c r="N431" s="3">
        <f ca="1">IFERROR(__xludf.DUMMYFUNCTION("""COMPUTED_VALUE"""),61.94)</f>
        <v>61.94</v>
      </c>
      <c r="O431" s="3">
        <f ca="1">IFERROR(__xludf.DUMMYFUNCTION("""COMPUTED_VALUE"""),42.48)</f>
        <v>42.48</v>
      </c>
      <c r="P431" s="3">
        <f ca="1">IFERROR(__xludf.DUMMYFUNCTION("""COMPUTED_VALUE"""),92.11)</f>
        <v>92.11</v>
      </c>
      <c r="Q431" s="3">
        <f ca="1">IFERROR(__xludf.DUMMYFUNCTION("""COMPUTED_VALUE"""),129.63)</f>
        <v>129.63</v>
      </c>
      <c r="R431" s="3">
        <f ca="1">IFERROR(__xludf.DUMMYFUNCTION("""COMPUTED_VALUE"""),80.98)</f>
        <v>80.98</v>
      </c>
      <c r="S431" s="3">
        <f ca="1">IFERROR(__xludf.DUMMYFUNCTION("""COMPUTED_VALUE"""),52.75)</f>
        <v>52.75</v>
      </c>
      <c r="T431" s="3">
        <f ca="1">IFERROR(__xludf.DUMMYFUNCTION("""COMPUTED_VALUE"""),25.52)</f>
        <v>25.52</v>
      </c>
      <c r="U431" s="3">
        <f ca="1">IFERROR(__xludf.DUMMYFUNCTION("""COMPUTED_VALUE"""),81.45)</f>
        <v>81.45</v>
      </c>
      <c r="V431" s="3">
        <f ca="1">IFERROR(__xludf.DUMMYFUNCTION("""COMPUTED_VALUE"""),54.24)</f>
        <v>54.24</v>
      </c>
      <c r="W431" s="3">
        <f ca="1">IFERROR(__xludf.DUMMYFUNCTION("""COMPUTED_VALUE"""),34.77)</f>
        <v>34.770000000000003</v>
      </c>
      <c r="X431" s="3">
        <f ca="1">IFERROR(__xludf.DUMMYFUNCTION("""COMPUTED_VALUE"""),84.48)</f>
        <v>84.48</v>
      </c>
      <c r="Y431" s="3">
        <f ca="1">IFERROR(__xludf.DUMMYFUNCTION("""COMPUTED_VALUE"""),37.75)</f>
        <v>37.75</v>
      </c>
      <c r="Z431" s="3">
        <f ca="1">IFERROR(__xludf.DUMMYFUNCTION("""COMPUTED_VALUE"""),78.34)</f>
        <v>78.34</v>
      </c>
      <c r="AA431" s="3">
        <f ca="1">IFERROR(__xludf.DUMMYFUNCTION("""COMPUTED_VALUE"""),36.18)</f>
        <v>36.18</v>
      </c>
      <c r="AB431" s="3">
        <f ca="1">IFERROR(__xludf.DUMMYFUNCTION("""COMPUTED_VALUE"""),42.51)</f>
        <v>42.51</v>
      </c>
      <c r="AC431" s="3">
        <f ca="1">IFERROR(__xludf.DUMMYFUNCTION("""COMPUTED_VALUE"""),52.9)</f>
        <v>52.9</v>
      </c>
      <c r="AD431" s="3">
        <f ca="1">IFERROR(__xludf.DUMMYFUNCTION("""COMPUTED_VALUE"""),10.05)</f>
        <v>10.050000000000001</v>
      </c>
      <c r="AE431" s="3">
        <f ca="1">IFERROR(__xludf.DUMMYFUNCTION("""COMPUTED_VALUE"""),13.77)</f>
        <v>13.77</v>
      </c>
      <c r="AF431" s="3">
        <f ca="1">IFERROR(__xludf.DUMMYFUNCTION("""COMPUTED_VALUE"""),2.95)</f>
        <v>2.95</v>
      </c>
      <c r="AG431" s="3">
        <f ca="1">IFERROR(__xludf.DUMMYFUNCTION("""COMPUTED_VALUE"""),25.41)</f>
        <v>25.41</v>
      </c>
    </row>
    <row r="432" spans="1:33" ht="12.75" x14ac:dyDescent="0.2">
      <c r="A432" s="4">
        <f ca="1">IFERROR(__xludf.DUMMYFUNCTION("""COMPUTED_VALUE"""),45188.6666666666)</f>
        <v>45188.666666666599</v>
      </c>
      <c r="B432" s="3">
        <f ca="1">IFERROR(__xludf.DUMMYFUNCTION("""COMPUTED_VALUE"""),169.26)</f>
        <v>169.26</v>
      </c>
      <c r="C432" s="3">
        <f ca="1">IFERROR(__xludf.DUMMYFUNCTION("""COMPUTED_VALUE"""),427.31)</f>
        <v>427.31</v>
      </c>
      <c r="D432" s="3">
        <f ca="1">IFERROR(__xludf.DUMMYFUNCTION("""COMPUTED_VALUE"""),104.87)</f>
        <v>104.87</v>
      </c>
      <c r="E432" s="3">
        <f ca="1">IFERROR(__xludf.DUMMYFUNCTION("""COMPUTED_VALUE"""),159.59)</f>
        <v>159.59</v>
      </c>
      <c r="F432" s="3">
        <f ca="1">IFERROR(__xludf.DUMMYFUNCTION("""COMPUTED_VALUE"""),51.81)</f>
        <v>51.81</v>
      </c>
      <c r="G432" s="3">
        <f ca="1">IFERROR(__xludf.DUMMYFUNCTION("""COMPUTED_VALUE"""),25.37)</f>
        <v>25.37</v>
      </c>
      <c r="H432" s="3">
        <f ca="1">IFERROR(__xludf.DUMMYFUNCTION("""COMPUTED_VALUE"""),25.01)</f>
        <v>25.01</v>
      </c>
      <c r="I432" s="3">
        <f ca="1">IFERROR(__xludf.DUMMYFUNCTION("""COMPUTED_VALUE"""),131.56)</f>
        <v>131.56</v>
      </c>
      <c r="J432" s="3">
        <f ca="1">IFERROR(__xludf.DUMMYFUNCTION("""COMPUTED_VALUE"""),241.2)</f>
        <v>241.2</v>
      </c>
      <c r="K432" s="3">
        <f ca="1">IFERROR(__xludf.DUMMYFUNCTION("""COMPUTED_VALUE"""),125.71)</f>
        <v>125.71</v>
      </c>
      <c r="L432" s="3">
        <f ca="1">IFERROR(__xludf.DUMMYFUNCTION("""COMPUTED_VALUE"""),75.99)</f>
        <v>75.989999999999995</v>
      </c>
      <c r="M432" s="3">
        <f ca="1">IFERROR(__xludf.DUMMYFUNCTION("""COMPUTED_VALUE"""),58.79)</f>
        <v>58.79</v>
      </c>
      <c r="N432" s="3">
        <f ca="1">IFERROR(__xludf.DUMMYFUNCTION("""COMPUTED_VALUE"""),62.02)</f>
        <v>62.02</v>
      </c>
      <c r="O432" s="3">
        <f ca="1">IFERROR(__xludf.DUMMYFUNCTION("""COMPUTED_VALUE"""),42.32)</f>
        <v>42.32</v>
      </c>
      <c r="P432" s="3">
        <f ca="1">IFERROR(__xludf.DUMMYFUNCTION("""COMPUTED_VALUE"""),91.25)</f>
        <v>91.25</v>
      </c>
      <c r="Q432" s="3">
        <f ca="1">IFERROR(__xludf.DUMMYFUNCTION("""COMPUTED_VALUE"""),128.45)</f>
        <v>128.44999999999999</v>
      </c>
      <c r="R432" s="3">
        <f ca="1">IFERROR(__xludf.DUMMYFUNCTION("""COMPUTED_VALUE"""),80.91)</f>
        <v>80.91</v>
      </c>
      <c r="S432" s="3">
        <f ca="1">IFERROR(__xludf.DUMMYFUNCTION("""COMPUTED_VALUE"""),52.39)</f>
        <v>52.39</v>
      </c>
      <c r="T432" s="3">
        <f ca="1">IFERROR(__xludf.DUMMYFUNCTION("""COMPUTED_VALUE"""),25.54)</f>
        <v>25.54</v>
      </c>
      <c r="U432" s="3">
        <f ca="1">IFERROR(__xludf.DUMMYFUNCTION("""COMPUTED_VALUE"""),81.5)</f>
        <v>81.5</v>
      </c>
      <c r="V432" s="3">
        <f ca="1">IFERROR(__xludf.DUMMYFUNCTION("""COMPUTED_VALUE"""),54.6)</f>
        <v>54.6</v>
      </c>
      <c r="W432" s="3">
        <f ca="1">IFERROR(__xludf.DUMMYFUNCTION("""COMPUTED_VALUE"""),34.73)</f>
        <v>34.729999999999997</v>
      </c>
      <c r="X432" s="3">
        <f ca="1">IFERROR(__xludf.DUMMYFUNCTION("""COMPUTED_VALUE"""),84.35)</f>
        <v>84.35</v>
      </c>
      <c r="Y432" s="3">
        <f ca="1">IFERROR(__xludf.DUMMYFUNCTION("""COMPUTED_VALUE"""),37.6)</f>
        <v>37.6</v>
      </c>
      <c r="Z432" s="3">
        <f ca="1">IFERROR(__xludf.DUMMYFUNCTION("""COMPUTED_VALUE"""),78.33)</f>
        <v>78.33</v>
      </c>
      <c r="AA432" s="3">
        <f ca="1">IFERROR(__xludf.DUMMYFUNCTION("""COMPUTED_VALUE"""),35.99)</f>
        <v>35.99</v>
      </c>
      <c r="AB432" s="3">
        <f ca="1">IFERROR(__xludf.DUMMYFUNCTION("""COMPUTED_VALUE"""),42.41)</f>
        <v>42.41</v>
      </c>
      <c r="AC432" s="3">
        <f ca="1">IFERROR(__xludf.DUMMYFUNCTION("""COMPUTED_VALUE"""),52.49)</f>
        <v>52.49</v>
      </c>
      <c r="AD432" s="3">
        <f ca="1">IFERROR(__xludf.DUMMYFUNCTION("""COMPUTED_VALUE"""),10.2)</f>
        <v>10.199999999999999</v>
      </c>
      <c r="AE432" s="3">
        <f ca="1">IFERROR(__xludf.DUMMYFUNCTION("""COMPUTED_VALUE"""),13.99)</f>
        <v>13.99</v>
      </c>
      <c r="AF432" s="3">
        <f ca="1">IFERROR(__xludf.DUMMYFUNCTION("""COMPUTED_VALUE"""),2.93)</f>
        <v>2.93</v>
      </c>
      <c r="AG432" s="3">
        <f ca="1">IFERROR(__xludf.DUMMYFUNCTION("""COMPUTED_VALUE"""),24.83)</f>
        <v>24.83</v>
      </c>
    </row>
    <row r="433" spans="1:33" ht="12.75" x14ac:dyDescent="0.2">
      <c r="A433" s="4">
        <f ca="1">IFERROR(__xludf.DUMMYFUNCTION("""COMPUTED_VALUE"""),45189.6666666666)</f>
        <v>45189.666666666599</v>
      </c>
      <c r="B433" s="3">
        <f ca="1">IFERROR(__xludf.DUMMYFUNCTION("""COMPUTED_VALUE"""),166.6)</f>
        <v>166.6</v>
      </c>
      <c r="C433" s="3">
        <f ca="1">IFERROR(__xludf.DUMMYFUNCTION("""COMPUTED_VALUE"""),421.02)</f>
        <v>421.02</v>
      </c>
      <c r="D433" s="3">
        <f ca="1">IFERROR(__xludf.DUMMYFUNCTION("""COMPUTED_VALUE"""),105.31)</f>
        <v>105.31</v>
      </c>
      <c r="E433" s="3">
        <f ca="1">IFERROR(__xludf.DUMMYFUNCTION("""COMPUTED_VALUE"""),156.97)</f>
        <v>156.97</v>
      </c>
      <c r="F433" s="3">
        <f ca="1">IFERROR(__xludf.DUMMYFUNCTION("""COMPUTED_VALUE"""),51.9)</f>
        <v>51.9</v>
      </c>
      <c r="G433" s="3">
        <f ca="1">IFERROR(__xludf.DUMMYFUNCTION("""COMPUTED_VALUE"""),25.09)</f>
        <v>25.09</v>
      </c>
      <c r="H433" s="3">
        <f ca="1">IFERROR(__xludf.DUMMYFUNCTION("""COMPUTED_VALUE"""),24.89)</f>
        <v>24.89</v>
      </c>
      <c r="I433" s="3">
        <f ca="1">IFERROR(__xludf.DUMMYFUNCTION("""COMPUTED_VALUE"""),131.57)</f>
        <v>131.57</v>
      </c>
      <c r="J433" s="3">
        <f ca="1">IFERROR(__xludf.DUMMYFUNCTION("""COMPUTED_VALUE"""),240.98)</f>
        <v>240.98</v>
      </c>
      <c r="K433" s="3">
        <f ca="1">IFERROR(__xludf.DUMMYFUNCTION("""COMPUTED_VALUE"""),124.63)</f>
        <v>124.63</v>
      </c>
      <c r="L433" s="3">
        <f ca="1">IFERROR(__xludf.DUMMYFUNCTION("""COMPUTED_VALUE"""),74.34)</f>
        <v>74.34</v>
      </c>
      <c r="M433" s="3">
        <f ca="1">IFERROR(__xludf.DUMMYFUNCTION("""COMPUTED_VALUE"""),58.48)</f>
        <v>58.48</v>
      </c>
      <c r="N433" s="3">
        <f ca="1">IFERROR(__xludf.DUMMYFUNCTION("""COMPUTED_VALUE"""),61.95)</f>
        <v>61.95</v>
      </c>
      <c r="O433" s="3">
        <f ca="1">IFERROR(__xludf.DUMMYFUNCTION("""COMPUTED_VALUE"""),41.92)</f>
        <v>41.92</v>
      </c>
      <c r="P433" s="3">
        <f ca="1">IFERROR(__xludf.DUMMYFUNCTION("""COMPUTED_VALUE"""),90.4)</f>
        <v>90.4</v>
      </c>
      <c r="Q433" s="3">
        <f ca="1">IFERROR(__xludf.DUMMYFUNCTION("""COMPUTED_VALUE"""),127.29)</f>
        <v>127.29</v>
      </c>
      <c r="R433" s="3">
        <f ca="1">IFERROR(__xludf.DUMMYFUNCTION("""COMPUTED_VALUE"""),80.06)</f>
        <v>80.06</v>
      </c>
      <c r="S433" s="3">
        <f ca="1">IFERROR(__xludf.DUMMYFUNCTION("""COMPUTED_VALUE"""),52.12)</f>
        <v>52.12</v>
      </c>
      <c r="T433" s="3">
        <f ca="1">IFERROR(__xludf.DUMMYFUNCTION("""COMPUTED_VALUE"""),25.33)</f>
        <v>25.33</v>
      </c>
      <c r="U433" s="3">
        <f ca="1">IFERROR(__xludf.DUMMYFUNCTION("""COMPUTED_VALUE"""),80.14)</f>
        <v>80.14</v>
      </c>
      <c r="V433" s="3">
        <f ca="1">IFERROR(__xludf.DUMMYFUNCTION("""COMPUTED_VALUE"""),54.54)</f>
        <v>54.54</v>
      </c>
      <c r="W433" s="3">
        <f ca="1">IFERROR(__xludf.DUMMYFUNCTION("""COMPUTED_VALUE"""),34.49)</f>
        <v>34.49</v>
      </c>
      <c r="X433" s="3">
        <f ca="1">IFERROR(__xludf.DUMMYFUNCTION("""COMPUTED_VALUE"""),83.78)</f>
        <v>83.78</v>
      </c>
      <c r="Y433" s="3">
        <f ca="1">IFERROR(__xludf.DUMMYFUNCTION("""COMPUTED_VALUE"""),37.28)</f>
        <v>37.28</v>
      </c>
      <c r="Z433" s="3">
        <f ca="1">IFERROR(__xludf.DUMMYFUNCTION("""COMPUTED_VALUE"""),77.81)</f>
        <v>77.81</v>
      </c>
      <c r="AA433" s="3">
        <f ca="1">IFERROR(__xludf.DUMMYFUNCTION("""COMPUTED_VALUE"""),36.06)</f>
        <v>36.06</v>
      </c>
      <c r="AB433" s="3">
        <f ca="1">IFERROR(__xludf.DUMMYFUNCTION("""COMPUTED_VALUE"""),42.04)</f>
        <v>42.04</v>
      </c>
      <c r="AC433" s="3">
        <f ca="1">IFERROR(__xludf.DUMMYFUNCTION("""COMPUTED_VALUE"""),52.59)</f>
        <v>52.59</v>
      </c>
      <c r="AD433" s="3">
        <f ca="1">IFERROR(__xludf.DUMMYFUNCTION("""COMPUTED_VALUE"""),10.01)</f>
        <v>10.01</v>
      </c>
      <c r="AE433" s="3">
        <f ca="1">IFERROR(__xludf.DUMMYFUNCTION("""COMPUTED_VALUE"""),13.83)</f>
        <v>13.83</v>
      </c>
      <c r="AF433" s="3">
        <f ca="1">IFERROR(__xludf.DUMMYFUNCTION("""COMPUTED_VALUE"""),2.9)</f>
        <v>2.9</v>
      </c>
      <c r="AG433" s="3">
        <f ca="1">IFERROR(__xludf.DUMMYFUNCTION("""COMPUTED_VALUE"""),24.23)</f>
        <v>24.23</v>
      </c>
    </row>
    <row r="434" spans="1:33" ht="12.75" x14ac:dyDescent="0.2">
      <c r="A434" s="4">
        <f ca="1">IFERROR(__xludf.DUMMYFUNCTION("""COMPUTED_VALUE"""),45190.6666666666)</f>
        <v>45190.666666666599</v>
      </c>
      <c r="B434" s="3">
        <f ca="1">IFERROR(__xludf.DUMMYFUNCTION("""COMPUTED_VALUE"""),164.06)</f>
        <v>164.06</v>
      </c>
      <c r="C434" s="3">
        <f ca="1">IFERROR(__xludf.DUMMYFUNCTION("""COMPUTED_VALUE"""),414.04)</f>
        <v>414.04</v>
      </c>
      <c r="D434" s="3">
        <f ca="1">IFERROR(__xludf.DUMMYFUNCTION("""COMPUTED_VALUE"""),103.39)</f>
        <v>103.39</v>
      </c>
      <c r="E434" s="3">
        <f ca="1">IFERROR(__xludf.DUMMYFUNCTION("""COMPUTED_VALUE"""),154.07)</f>
        <v>154.07</v>
      </c>
      <c r="F434" s="3">
        <f ca="1">IFERROR(__xludf.DUMMYFUNCTION("""COMPUTED_VALUE"""),51.32)</f>
        <v>51.32</v>
      </c>
      <c r="G434" s="3">
        <f ca="1">IFERROR(__xludf.DUMMYFUNCTION("""COMPUTED_VALUE"""),24.46)</f>
        <v>24.46</v>
      </c>
      <c r="H434" s="3">
        <f ca="1">IFERROR(__xludf.DUMMYFUNCTION("""COMPUTED_VALUE"""),24.56)</f>
        <v>24.56</v>
      </c>
      <c r="I434" s="3">
        <f ca="1">IFERROR(__xludf.DUMMYFUNCTION("""COMPUTED_VALUE"""),130.42)</f>
        <v>130.41999999999999</v>
      </c>
      <c r="J434" s="3">
        <f ca="1">IFERROR(__xludf.DUMMYFUNCTION("""COMPUTED_VALUE"""),238.53)</f>
        <v>238.53</v>
      </c>
      <c r="K434" s="3">
        <f ca="1">IFERROR(__xludf.DUMMYFUNCTION("""COMPUTED_VALUE"""),123.05)</f>
        <v>123.05</v>
      </c>
      <c r="L434" s="3">
        <f ca="1">IFERROR(__xludf.DUMMYFUNCTION("""COMPUTED_VALUE"""),73.7)</f>
        <v>73.7</v>
      </c>
      <c r="M434" s="3">
        <f ca="1">IFERROR(__xludf.DUMMYFUNCTION("""COMPUTED_VALUE"""),57.82)</f>
        <v>57.82</v>
      </c>
      <c r="N434" s="3">
        <f ca="1">IFERROR(__xludf.DUMMYFUNCTION("""COMPUTED_VALUE"""),61.34)</f>
        <v>61.34</v>
      </c>
      <c r="O434" s="3">
        <f ca="1">IFERROR(__xludf.DUMMYFUNCTION("""COMPUTED_VALUE"""),41.24)</f>
        <v>41.24</v>
      </c>
      <c r="P434" s="3">
        <f ca="1">IFERROR(__xludf.DUMMYFUNCTION("""COMPUTED_VALUE"""),89.16)</f>
        <v>89.16</v>
      </c>
      <c r="Q434" s="3">
        <f ca="1">IFERROR(__xludf.DUMMYFUNCTION("""COMPUTED_VALUE"""),125.45)</f>
        <v>125.45</v>
      </c>
      <c r="R434" s="3">
        <f ca="1">IFERROR(__xludf.DUMMYFUNCTION("""COMPUTED_VALUE"""),78.45)</f>
        <v>78.45</v>
      </c>
      <c r="S434" s="3">
        <f ca="1">IFERROR(__xludf.DUMMYFUNCTION("""COMPUTED_VALUE"""),51.06)</f>
        <v>51.06</v>
      </c>
      <c r="T434" s="3">
        <f ca="1">IFERROR(__xludf.DUMMYFUNCTION("""COMPUTED_VALUE"""),25.25)</f>
        <v>25.25</v>
      </c>
      <c r="U434" s="3">
        <f ca="1">IFERROR(__xludf.DUMMYFUNCTION("""COMPUTED_VALUE"""),80.41)</f>
        <v>80.41</v>
      </c>
      <c r="V434" s="3">
        <f ca="1">IFERROR(__xludf.DUMMYFUNCTION("""COMPUTED_VALUE"""),53.59)</f>
        <v>53.59</v>
      </c>
      <c r="W434" s="3">
        <f ca="1">IFERROR(__xludf.DUMMYFUNCTION("""COMPUTED_VALUE"""),33.92)</f>
        <v>33.92</v>
      </c>
      <c r="X434" s="3">
        <f ca="1">IFERROR(__xludf.DUMMYFUNCTION("""COMPUTED_VALUE"""),82.37)</f>
        <v>82.37</v>
      </c>
      <c r="Y434" s="3">
        <f ca="1">IFERROR(__xludf.DUMMYFUNCTION("""COMPUTED_VALUE"""),36.74)</f>
        <v>36.74</v>
      </c>
      <c r="Z434" s="3">
        <f ca="1">IFERROR(__xludf.DUMMYFUNCTION("""COMPUTED_VALUE"""),76.58)</f>
        <v>76.58</v>
      </c>
      <c r="AA434" s="3">
        <f ca="1">IFERROR(__xludf.DUMMYFUNCTION("""COMPUTED_VALUE"""),34.81)</f>
        <v>34.81</v>
      </c>
      <c r="AB434" s="3">
        <f ca="1">IFERROR(__xludf.DUMMYFUNCTION("""COMPUTED_VALUE"""),41.43)</f>
        <v>41.43</v>
      </c>
      <c r="AC434" s="3">
        <f ca="1">IFERROR(__xludf.DUMMYFUNCTION("""COMPUTED_VALUE"""),51.51)</f>
        <v>51.51</v>
      </c>
      <c r="AD434" s="3">
        <f ca="1">IFERROR(__xludf.DUMMYFUNCTION("""COMPUTED_VALUE"""),9.88)</f>
        <v>9.8800000000000008</v>
      </c>
      <c r="AE434" s="3">
        <f ca="1">IFERROR(__xludf.DUMMYFUNCTION("""COMPUTED_VALUE"""),13.67)</f>
        <v>13.67</v>
      </c>
      <c r="AF434" s="3">
        <f ca="1">IFERROR(__xludf.DUMMYFUNCTION("""COMPUTED_VALUE"""),2.85)</f>
        <v>2.85</v>
      </c>
      <c r="AG434" s="3">
        <f ca="1">IFERROR(__xludf.DUMMYFUNCTION("""COMPUTED_VALUE"""),23.4)</f>
        <v>23.4</v>
      </c>
    </row>
    <row r="435" spans="1:33" ht="12.75" x14ac:dyDescent="0.2">
      <c r="A435" s="4">
        <f ca="1">IFERROR(__xludf.DUMMYFUNCTION("""COMPUTED_VALUE"""),45191.6666666666)</f>
        <v>45191.666666666599</v>
      </c>
      <c r="B435" s="3">
        <f ca="1">IFERROR(__xludf.DUMMYFUNCTION("""COMPUTED_VALUE"""),164.41)</f>
        <v>164.41</v>
      </c>
      <c r="C435" s="3">
        <f ca="1">IFERROR(__xludf.DUMMYFUNCTION("""COMPUTED_VALUE"""),415.19)</f>
        <v>415.19</v>
      </c>
      <c r="D435" s="3">
        <f ca="1">IFERROR(__xludf.DUMMYFUNCTION("""COMPUTED_VALUE"""),103.76)</f>
        <v>103.76</v>
      </c>
      <c r="E435" s="3">
        <f ca="1">IFERROR(__xludf.DUMMYFUNCTION("""COMPUTED_VALUE"""),155.35)</f>
        <v>155.35</v>
      </c>
      <c r="F435" s="3">
        <f ca="1">IFERROR(__xludf.DUMMYFUNCTION("""COMPUTED_VALUE"""),51.33)</f>
        <v>51.33</v>
      </c>
      <c r="G435" s="3">
        <f ca="1">IFERROR(__xludf.DUMMYFUNCTION("""COMPUTED_VALUE"""),24.57)</f>
        <v>24.57</v>
      </c>
      <c r="H435" s="3">
        <f ca="1">IFERROR(__xludf.DUMMYFUNCTION("""COMPUTED_VALUE"""),24.5)</f>
        <v>24.5</v>
      </c>
      <c r="I435" s="3">
        <f ca="1">IFERROR(__xludf.DUMMYFUNCTION("""COMPUTED_VALUE"""),130.15)</f>
        <v>130.15</v>
      </c>
      <c r="J435" s="3">
        <f ca="1">IFERROR(__xludf.DUMMYFUNCTION("""COMPUTED_VALUE"""),238.05)</f>
        <v>238.05</v>
      </c>
      <c r="K435" s="3">
        <f ca="1">IFERROR(__xludf.DUMMYFUNCTION("""COMPUTED_VALUE"""),122.56)</f>
        <v>122.56</v>
      </c>
      <c r="L435" s="3">
        <f ca="1">IFERROR(__xludf.DUMMYFUNCTION("""COMPUTED_VALUE"""),72.96)</f>
        <v>72.959999999999994</v>
      </c>
      <c r="M435" s="3">
        <f ca="1">IFERROR(__xludf.DUMMYFUNCTION("""COMPUTED_VALUE"""),57.49)</f>
        <v>57.49</v>
      </c>
      <c r="N435" s="3">
        <f ca="1">IFERROR(__xludf.DUMMYFUNCTION("""COMPUTED_VALUE"""),61.14)</f>
        <v>61.14</v>
      </c>
      <c r="O435" s="3">
        <f ca="1">IFERROR(__xludf.DUMMYFUNCTION("""COMPUTED_VALUE"""),40.72)</f>
        <v>40.72</v>
      </c>
      <c r="P435" s="3">
        <f ca="1">IFERROR(__xludf.DUMMYFUNCTION("""COMPUTED_VALUE"""),89.31)</f>
        <v>89.31</v>
      </c>
      <c r="Q435" s="3">
        <f ca="1">IFERROR(__xludf.DUMMYFUNCTION("""COMPUTED_VALUE"""),125.72)</f>
        <v>125.72</v>
      </c>
      <c r="R435" s="3">
        <f ca="1">IFERROR(__xludf.DUMMYFUNCTION("""COMPUTED_VALUE"""),78.37)</f>
        <v>78.37</v>
      </c>
      <c r="S435" s="3">
        <f ca="1">IFERROR(__xludf.DUMMYFUNCTION("""COMPUTED_VALUE"""),51.55)</f>
        <v>51.55</v>
      </c>
      <c r="T435" s="3">
        <f ca="1">IFERROR(__xludf.DUMMYFUNCTION("""COMPUTED_VALUE"""),25.27)</f>
        <v>25.27</v>
      </c>
      <c r="U435" s="3">
        <f ca="1">IFERROR(__xludf.DUMMYFUNCTION("""COMPUTED_VALUE"""),80.63)</f>
        <v>80.63</v>
      </c>
      <c r="V435" s="3">
        <f ca="1">IFERROR(__xludf.DUMMYFUNCTION("""COMPUTED_VALUE"""),52.82)</f>
        <v>52.82</v>
      </c>
      <c r="W435" s="3">
        <f ca="1">IFERROR(__xludf.DUMMYFUNCTION("""COMPUTED_VALUE"""),33.66)</f>
        <v>33.659999999999997</v>
      </c>
      <c r="X435" s="3">
        <f ca="1">IFERROR(__xludf.DUMMYFUNCTION("""COMPUTED_VALUE"""),81.89)</f>
        <v>81.89</v>
      </c>
      <c r="Y435" s="3">
        <f ca="1">IFERROR(__xludf.DUMMYFUNCTION("""COMPUTED_VALUE"""),36.55)</f>
        <v>36.549999999999997</v>
      </c>
      <c r="Z435" s="3">
        <f ca="1">IFERROR(__xludf.DUMMYFUNCTION("""COMPUTED_VALUE"""),76.07)</f>
        <v>76.069999999999993</v>
      </c>
      <c r="AA435" s="3">
        <f ca="1">IFERROR(__xludf.DUMMYFUNCTION("""COMPUTED_VALUE"""),34.57)</f>
        <v>34.57</v>
      </c>
      <c r="AB435" s="3">
        <f ca="1">IFERROR(__xludf.DUMMYFUNCTION("""COMPUTED_VALUE"""),41.16)</f>
        <v>41.16</v>
      </c>
      <c r="AC435" s="3">
        <f ca="1">IFERROR(__xludf.DUMMYFUNCTION("""COMPUTED_VALUE"""),51.47)</f>
        <v>51.47</v>
      </c>
      <c r="AD435" s="3">
        <f ca="1">IFERROR(__xludf.DUMMYFUNCTION("""COMPUTED_VALUE"""),9.85)</f>
        <v>9.85</v>
      </c>
      <c r="AE435" s="3">
        <f ca="1">IFERROR(__xludf.DUMMYFUNCTION("""COMPUTED_VALUE"""),13.62)</f>
        <v>13.62</v>
      </c>
      <c r="AF435" s="3">
        <f ca="1">IFERROR(__xludf.DUMMYFUNCTION("""COMPUTED_VALUE"""),2.79)</f>
        <v>2.79</v>
      </c>
      <c r="AG435" s="3">
        <f ca="1">IFERROR(__xludf.DUMMYFUNCTION("""COMPUTED_VALUE"""),22.63)</f>
        <v>22.63</v>
      </c>
    </row>
    <row r="436" spans="1:33" ht="12.75" x14ac:dyDescent="0.2">
      <c r="A436" s="4">
        <f ca="1">IFERROR(__xludf.DUMMYFUNCTION("""COMPUTED_VALUE"""),45194.6666666666)</f>
        <v>45194.666666666599</v>
      </c>
      <c r="B436" s="3">
        <f ca="1">IFERROR(__xludf.DUMMYFUNCTION("""COMPUTED_VALUE"""),164.94)</f>
        <v>164.94</v>
      </c>
      <c r="C436" s="3">
        <f ca="1">IFERROR(__xludf.DUMMYFUNCTION("""COMPUTED_VALUE"""),416.84)</f>
        <v>416.84</v>
      </c>
      <c r="D436" s="3">
        <f ca="1">IFERROR(__xludf.DUMMYFUNCTION("""COMPUTED_VALUE"""),104.74)</f>
        <v>104.74</v>
      </c>
      <c r="E436" s="3">
        <f ca="1">IFERROR(__xludf.DUMMYFUNCTION("""COMPUTED_VALUE"""),156.49)</f>
        <v>156.49</v>
      </c>
      <c r="F436" s="3">
        <f ca="1">IFERROR(__xludf.DUMMYFUNCTION("""COMPUTED_VALUE"""),51.16)</f>
        <v>51.16</v>
      </c>
      <c r="G436" s="3">
        <f ca="1">IFERROR(__xludf.DUMMYFUNCTION("""COMPUTED_VALUE"""),24.62)</f>
        <v>24.62</v>
      </c>
      <c r="H436" s="3">
        <f ca="1">IFERROR(__xludf.DUMMYFUNCTION("""COMPUTED_VALUE"""),24.54)</f>
        <v>24.54</v>
      </c>
      <c r="I436" s="3">
        <f ca="1">IFERROR(__xludf.DUMMYFUNCTION("""COMPUTED_VALUE"""),130.86)</f>
        <v>130.86000000000001</v>
      </c>
      <c r="J436" s="3">
        <f ca="1">IFERROR(__xludf.DUMMYFUNCTION("""COMPUTED_VALUE"""),239.12)</f>
        <v>239.12</v>
      </c>
      <c r="K436" s="3">
        <f ca="1">IFERROR(__xludf.DUMMYFUNCTION("""COMPUTED_VALUE"""),122.27)</f>
        <v>122.27</v>
      </c>
      <c r="L436" s="3">
        <f ca="1">IFERROR(__xludf.DUMMYFUNCTION("""COMPUTED_VALUE"""),71.88)</f>
        <v>71.88</v>
      </c>
      <c r="M436" s="3">
        <f ca="1">IFERROR(__xludf.DUMMYFUNCTION("""COMPUTED_VALUE"""),57.42)</f>
        <v>57.42</v>
      </c>
      <c r="N436" s="3">
        <f ca="1">IFERROR(__xludf.DUMMYFUNCTION("""COMPUTED_VALUE"""),61.47)</f>
        <v>61.47</v>
      </c>
      <c r="O436" s="3">
        <f ca="1">IFERROR(__xludf.DUMMYFUNCTION("""COMPUTED_VALUE"""),40.28)</f>
        <v>40.28</v>
      </c>
      <c r="P436" s="3">
        <f ca="1">IFERROR(__xludf.DUMMYFUNCTION("""COMPUTED_VALUE"""),90.43)</f>
        <v>90.43</v>
      </c>
      <c r="Q436" s="3">
        <f ca="1">IFERROR(__xludf.DUMMYFUNCTION("""COMPUTED_VALUE"""),127.48)</f>
        <v>127.48</v>
      </c>
      <c r="R436" s="3">
        <f ca="1">IFERROR(__xludf.DUMMYFUNCTION("""COMPUTED_VALUE"""),78.99)</f>
        <v>78.989999999999995</v>
      </c>
      <c r="S436" s="3">
        <f ca="1">IFERROR(__xludf.DUMMYFUNCTION("""COMPUTED_VALUE"""),52.03)</f>
        <v>52.03</v>
      </c>
      <c r="T436" s="3">
        <f ca="1">IFERROR(__xludf.DUMMYFUNCTION("""COMPUTED_VALUE"""),25.15)</f>
        <v>25.15</v>
      </c>
      <c r="U436" s="3">
        <f ca="1">IFERROR(__xludf.DUMMYFUNCTION("""COMPUTED_VALUE"""),80.39)</f>
        <v>80.39</v>
      </c>
      <c r="V436" s="3">
        <f ca="1">IFERROR(__xludf.DUMMYFUNCTION("""COMPUTED_VALUE"""),52.57)</f>
        <v>52.57</v>
      </c>
      <c r="W436" s="3">
        <f ca="1">IFERROR(__xludf.DUMMYFUNCTION("""COMPUTED_VALUE"""),33.74)</f>
        <v>33.74</v>
      </c>
      <c r="X436" s="3">
        <f ca="1">IFERROR(__xludf.DUMMYFUNCTION("""COMPUTED_VALUE"""),82.05)</f>
        <v>82.05</v>
      </c>
      <c r="Y436" s="3">
        <f ca="1">IFERROR(__xludf.DUMMYFUNCTION("""COMPUTED_VALUE"""),36.99)</f>
        <v>36.99</v>
      </c>
      <c r="Z436" s="3">
        <f ca="1">IFERROR(__xludf.DUMMYFUNCTION("""COMPUTED_VALUE"""),76.3)</f>
        <v>76.3</v>
      </c>
      <c r="AA436" s="3">
        <f ca="1">IFERROR(__xludf.DUMMYFUNCTION("""COMPUTED_VALUE"""),34.51)</f>
        <v>34.51</v>
      </c>
      <c r="AB436" s="3">
        <f ca="1">IFERROR(__xludf.DUMMYFUNCTION("""COMPUTED_VALUE"""),41.75)</f>
        <v>41.75</v>
      </c>
      <c r="AC436" s="3">
        <f ca="1">IFERROR(__xludf.DUMMYFUNCTION("""COMPUTED_VALUE"""),51.87)</f>
        <v>51.87</v>
      </c>
      <c r="AD436" s="3">
        <f ca="1">IFERROR(__xludf.DUMMYFUNCTION("""COMPUTED_VALUE"""),9.79)</f>
        <v>9.7899999999999991</v>
      </c>
      <c r="AE436" s="3">
        <f ca="1">IFERROR(__xludf.DUMMYFUNCTION("""COMPUTED_VALUE"""),13.52)</f>
        <v>13.52</v>
      </c>
      <c r="AF436" s="3">
        <f ca="1">IFERROR(__xludf.DUMMYFUNCTION("""COMPUTED_VALUE"""),2.75)</f>
        <v>2.75</v>
      </c>
      <c r="AG436" s="3">
        <f ca="1">IFERROR(__xludf.DUMMYFUNCTION("""COMPUTED_VALUE"""),22.63)</f>
        <v>22.63</v>
      </c>
    </row>
    <row r="437" spans="1:33" ht="12.75" x14ac:dyDescent="0.2">
      <c r="A437" s="4">
        <f ca="1">IFERROR(__xludf.DUMMYFUNCTION("""COMPUTED_VALUE"""),45195.6666666666)</f>
        <v>45195.666666666599</v>
      </c>
      <c r="B437" s="3">
        <f ca="1">IFERROR(__xludf.DUMMYFUNCTION("""COMPUTED_VALUE"""),161.97)</f>
        <v>161.97</v>
      </c>
      <c r="C437" s="3">
        <f ca="1">IFERROR(__xludf.DUMMYFUNCTION("""COMPUTED_VALUE"""),409.4)</f>
        <v>409.4</v>
      </c>
      <c r="D437" s="3">
        <f ca="1">IFERROR(__xludf.DUMMYFUNCTION("""COMPUTED_VALUE"""),104.92)</f>
        <v>104.92</v>
      </c>
      <c r="E437" s="3">
        <f ca="1">IFERROR(__xludf.DUMMYFUNCTION("""COMPUTED_VALUE"""),153.1)</f>
        <v>153.1</v>
      </c>
      <c r="F437" s="3">
        <f ca="1">IFERROR(__xludf.DUMMYFUNCTION("""COMPUTED_VALUE"""),50.62)</f>
        <v>50.62</v>
      </c>
      <c r="G437" s="3">
        <f ca="1">IFERROR(__xludf.DUMMYFUNCTION("""COMPUTED_VALUE"""),24.12)</f>
        <v>24.12</v>
      </c>
      <c r="H437" s="3">
        <f ca="1">IFERROR(__xludf.DUMMYFUNCTION("""COMPUTED_VALUE"""),24.26)</f>
        <v>24.26</v>
      </c>
      <c r="I437" s="3">
        <f ca="1">IFERROR(__xludf.DUMMYFUNCTION("""COMPUTED_VALUE"""),129.75)</f>
        <v>129.75</v>
      </c>
      <c r="J437" s="3">
        <f ca="1">IFERROR(__xludf.DUMMYFUNCTION("""COMPUTED_VALUE"""),237.48)</f>
        <v>237.48</v>
      </c>
      <c r="K437" s="3">
        <f ca="1">IFERROR(__xludf.DUMMYFUNCTION("""COMPUTED_VALUE"""),122.54)</f>
        <v>122.54</v>
      </c>
      <c r="L437" s="3">
        <f ca="1">IFERROR(__xludf.DUMMYFUNCTION("""COMPUTED_VALUE"""),73.21)</f>
        <v>73.209999999999994</v>
      </c>
      <c r="M437" s="3">
        <f ca="1">IFERROR(__xludf.DUMMYFUNCTION("""COMPUTED_VALUE"""),57.48)</f>
        <v>57.48</v>
      </c>
      <c r="N437" s="3">
        <f ca="1">IFERROR(__xludf.DUMMYFUNCTION("""COMPUTED_VALUE"""),61.01)</f>
        <v>61.01</v>
      </c>
      <c r="O437" s="3">
        <f ca="1">IFERROR(__xludf.DUMMYFUNCTION("""COMPUTED_VALUE"""),40.32)</f>
        <v>40.32</v>
      </c>
      <c r="P437" s="3">
        <f ca="1">IFERROR(__xludf.DUMMYFUNCTION("""COMPUTED_VALUE"""),89.91)</f>
        <v>89.91</v>
      </c>
      <c r="Q437" s="3">
        <f ca="1">IFERROR(__xludf.DUMMYFUNCTION("""COMPUTED_VALUE"""),126.78)</f>
        <v>126.78</v>
      </c>
      <c r="R437" s="3">
        <f ca="1">IFERROR(__xludf.DUMMYFUNCTION("""COMPUTED_VALUE"""),77.85)</f>
        <v>77.849999999999994</v>
      </c>
      <c r="S437" s="3">
        <f ca="1">IFERROR(__xludf.DUMMYFUNCTION("""COMPUTED_VALUE"""),51.04)</f>
        <v>51.04</v>
      </c>
      <c r="T437" s="3">
        <f ca="1">IFERROR(__xludf.DUMMYFUNCTION("""COMPUTED_VALUE"""),25.12)</f>
        <v>25.12</v>
      </c>
      <c r="U437" s="3">
        <f ca="1">IFERROR(__xludf.DUMMYFUNCTION("""COMPUTED_VALUE"""),80.88)</f>
        <v>80.88</v>
      </c>
      <c r="V437" s="3">
        <f ca="1">IFERROR(__xludf.DUMMYFUNCTION("""COMPUTED_VALUE"""),51.74)</f>
        <v>51.74</v>
      </c>
      <c r="W437" s="3">
        <f ca="1">IFERROR(__xludf.DUMMYFUNCTION("""COMPUTED_VALUE"""),33.29)</f>
        <v>33.29</v>
      </c>
      <c r="X437" s="3">
        <f ca="1">IFERROR(__xludf.DUMMYFUNCTION("""COMPUTED_VALUE"""),80.9)</f>
        <v>80.900000000000006</v>
      </c>
      <c r="Y437" s="3">
        <f ca="1">IFERROR(__xludf.DUMMYFUNCTION("""COMPUTED_VALUE"""),36.37)</f>
        <v>36.369999999999997</v>
      </c>
      <c r="Z437" s="3">
        <f ca="1">IFERROR(__xludf.DUMMYFUNCTION("""COMPUTED_VALUE"""),74.85)</f>
        <v>74.849999999999994</v>
      </c>
      <c r="AA437" s="3">
        <f ca="1">IFERROR(__xludf.DUMMYFUNCTION("""COMPUTED_VALUE"""),33.9)</f>
        <v>33.9</v>
      </c>
      <c r="AB437" s="3">
        <f ca="1">IFERROR(__xludf.DUMMYFUNCTION("""COMPUTED_VALUE"""),41.1)</f>
        <v>41.1</v>
      </c>
      <c r="AC437" s="3">
        <f ca="1">IFERROR(__xludf.DUMMYFUNCTION("""COMPUTED_VALUE"""),51.55)</f>
        <v>51.55</v>
      </c>
      <c r="AD437" s="3">
        <f ca="1">IFERROR(__xludf.DUMMYFUNCTION("""COMPUTED_VALUE"""),9.75)</f>
        <v>9.75</v>
      </c>
      <c r="AE437" s="3">
        <f ca="1">IFERROR(__xludf.DUMMYFUNCTION("""COMPUTED_VALUE"""),13.47)</f>
        <v>13.47</v>
      </c>
      <c r="AF437" s="3">
        <f ca="1">IFERROR(__xludf.DUMMYFUNCTION("""COMPUTED_VALUE"""),2.64)</f>
        <v>2.64</v>
      </c>
      <c r="AG437" s="3">
        <f ca="1">IFERROR(__xludf.DUMMYFUNCTION("""COMPUTED_VALUE"""),22.22)</f>
        <v>22.22</v>
      </c>
    </row>
    <row r="438" spans="1:33" ht="12.75" x14ac:dyDescent="0.2">
      <c r="A438" s="4">
        <f ca="1">IFERROR(__xludf.DUMMYFUNCTION("""COMPUTED_VALUE"""),45196.6666666666)</f>
        <v>45196.666666666599</v>
      </c>
      <c r="B438" s="3">
        <f ca="1">IFERROR(__xludf.DUMMYFUNCTION("""COMPUTED_VALUE"""),162.22)</f>
        <v>162.22</v>
      </c>
      <c r="C438" s="3">
        <f ca="1">IFERROR(__xludf.DUMMYFUNCTION("""COMPUTED_VALUE"""),410.66)</f>
        <v>410.66</v>
      </c>
      <c r="D438" s="3">
        <f ca="1">IFERROR(__xludf.DUMMYFUNCTION("""COMPUTED_VALUE"""),106.21)</f>
        <v>106.21</v>
      </c>
      <c r="E438" s="3">
        <f ca="1">IFERROR(__xludf.DUMMYFUNCTION("""COMPUTED_VALUE"""),154.45)</f>
        <v>154.44999999999999</v>
      </c>
      <c r="F438" s="3">
        <f ca="1">IFERROR(__xludf.DUMMYFUNCTION("""COMPUTED_VALUE"""),51.07)</f>
        <v>51.07</v>
      </c>
      <c r="G438" s="3">
        <f ca="1">IFERROR(__xludf.DUMMYFUNCTION("""COMPUTED_VALUE"""),24.41)</f>
        <v>24.41</v>
      </c>
      <c r="H438" s="3">
        <f ca="1">IFERROR(__xludf.DUMMYFUNCTION("""COMPUTED_VALUE"""),24.38)</f>
        <v>24.38</v>
      </c>
      <c r="I438" s="3">
        <f ca="1">IFERROR(__xludf.DUMMYFUNCTION("""COMPUTED_VALUE"""),129.1)</f>
        <v>129.1</v>
      </c>
      <c r="J438" s="3">
        <f ca="1">IFERROR(__xludf.DUMMYFUNCTION("""COMPUTED_VALUE"""),236.52)</f>
        <v>236.52</v>
      </c>
      <c r="K438" s="3">
        <f ca="1">IFERROR(__xludf.DUMMYFUNCTION("""COMPUTED_VALUE"""),123.11)</f>
        <v>123.11</v>
      </c>
      <c r="L438" s="3">
        <f ca="1">IFERROR(__xludf.DUMMYFUNCTION("""COMPUTED_VALUE"""),73.99)</f>
        <v>73.989999999999995</v>
      </c>
      <c r="M438" s="3">
        <f ca="1">IFERROR(__xludf.DUMMYFUNCTION("""COMPUTED_VALUE"""),58.05)</f>
        <v>58.05</v>
      </c>
      <c r="N438" s="3">
        <f ca="1">IFERROR(__xludf.DUMMYFUNCTION("""COMPUTED_VALUE"""),60.81)</f>
        <v>60.81</v>
      </c>
      <c r="O438" s="3">
        <f ca="1">IFERROR(__xludf.DUMMYFUNCTION("""COMPUTED_VALUE"""),40.92)</f>
        <v>40.92</v>
      </c>
      <c r="P438" s="3">
        <f ca="1">IFERROR(__xludf.DUMMYFUNCTION("""COMPUTED_VALUE"""),92.15)</f>
        <v>92.15</v>
      </c>
      <c r="Q438" s="3">
        <f ca="1">IFERROR(__xludf.DUMMYFUNCTION("""COMPUTED_VALUE"""),130.03)</f>
        <v>130.03</v>
      </c>
      <c r="R438" s="3">
        <f ca="1">IFERROR(__xludf.DUMMYFUNCTION("""COMPUTED_VALUE"""),77.84)</f>
        <v>77.84</v>
      </c>
      <c r="S438" s="3">
        <f ca="1">IFERROR(__xludf.DUMMYFUNCTION("""COMPUTED_VALUE"""),51.63)</f>
        <v>51.63</v>
      </c>
      <c r="T438" s="3">
        <f ca="1">IFERROR(__xludf.DUMMYFUNCTION("""COMPUTED_VALUE"""),25.26)</f>
        <v>25.26</v>
      </c>
      <c r="U438" s="3">
        <f ca="1">IFERROR(__xludf.DUMMYFUNCTION("""COMPUTED_VALUE"""),82.9)</f>
        <v>82.9</v>
      </c>
      <c r="V438" s="3">
        <f ca="1">IFERROR(__xludf.DUMMYFUNCTION("""COMPUTED_VALUE"""),51.68)</f>
        <v>51.68</v>
      </c>
      <c r="W438" s="3">
        <f ca="1">IFERROR(__xludf.DUMMYFUNCTION("""COMPUTED_VALUE"""),33.24)</f>
        <v>33.24</v>
      </c>
      <c r="X438" s="3">
        <f ca="1">IFERROR(__xludf.DUMMYFUNCTION("""COMPUTED_VALUE"""),80.8)</f>
        <v>80.8</v>
      </c>
      <c r="Y438" s="3">
        <f ca="1">IFERROR(__xludf.DUMMYFUNCTION("""COMPUTED_VALUE"""),36.22)</f>
        <v>36.22</v>
      </c>
      <c r="Z438" s="3">
        <f ca="1">IFERROR(__xludf.DUMMYFUNCTION("""COMPUTED_VALUE"""),74.76)</f>
        <v>74.760000000000005</v>
      </c>
      <c r="AA438" s="3">
        <f ca="1">IFERROR(__xludf.DUMMYFUNCTION("""COMPUTED_VALUE"""),33.6)</f>
        <v>33.6</v>
      </c>
      <c r="AB438" s="3">
        <f ca="1">IFERROR(__xludf.DUMMYFUNCTION("""COMPUTED_VALUE"""),40.88)</f>
        <v>40.880000000000003</v>
      </c>
      <c r="AC438" s="3">
        <f ca="1">IFERROR(__xludf.DUMMYFUNCTION("""COMPUTED_VALUE"""),51.01)</f>
        <v>51.01</v>
      </c>
      <c r="AD438" s="3">
        <f ca="1">IFERROR(__xludf.DUMMYFUNCTION("""COMPUTED_VALUE"""),9.74)</f>
        <v>9.74</v>
      </c>
      <c r="AE438" s="3">
        <f ca="1">IFERROR(__xludf.DUMMYFUNCTION("""COMPUTED_VALUE"""),13.47)</f>
        <v>13.47</v>
      </c>
      <c r="AF438" s="3">
        <f ca="1">IFERROR(__xludf.DUMMYFUNCTION("""COMPUTED_VALUE"""),2.66)</f>
        <v>2.66</v>
      </c>
      <c r="AG438" s="3">
        <f ca="1">IFERROR(__xludf.DUMMYFUNCTION("""COMPUTED_VALUE"""),22.56)</f>
        <v>22.56</v>
      </c>
    </row>
    <row r="439" spans="1:33" ht="12.75" x14ac:dyDescent="0.2">
      <c r="A439" s="4">
        <f ca="1">IFERROR(__xludf.DUMMYFUNCTION("""COMPUTED_VALUE"""),45197.6666666666)</f>
        <v>45197.666666666599</v>
      </c>
      <c r="B439" s="3">
        <f ca="1">IFERROR(__xludf.DUMMYFUNCTION("""COMPUTED_VALUE"""),163.37)</f>
        <v>163.37</v>
      </c>
      <c r="C439" s="3">
        <f ca="1">IFERROR(__xludf.DUMMYFUNCTION("""COMPUTED_VALUE"""),413.27)</f>
        <v>413.27</v>
      </c>
      <c r="D439" s="3">
        <f ca="1">IFERROR(__xludf.DUMMYFUNCTION("""COMPUTED_VALUE"""),104.23)</f>
        <v>104.23</v>
      </c>
      <c r="E439" s="3">
        <f ca="1">IFERROR(__xludf.DUMMYFUNCTION("""COMPUTED_VALUE"""),157.31)</f>
        <v>157.31</v>
      </c>
      <c r="F439" s="3">
        <f ca="1">IFERROR(__xludf.DUMMYFUNCTION("""COMPUTED_VALUE"""),51.55)</f>
        <v>51.55</v>
      </c>
      <c r="G439" s="3">
        <f ca="1">IFERROR(__xludf.DUMMYFUNCTION("""COMPUTED_VALUE"""),24.71)</f>
        <v>24.71</v>
      </c>
      <c r="H439" s="3">
        <f ca="1">IFERROR(__xludf.DUMMYFUNCTION("""COMPUTED_VALUE"""),24.61)</f>
        <v>24.61</v>
      </c>
      <c r="I439" s="3">
        <f ca="1">IFERROR(__xludf.DUMMYFUNCTION("""COMPUTED_VALUE"""),129.72)</f>
        <v>129.72</v>
      </c>
      <c r="J439" s="3">
        <f ca="1">IFERROR(__xludf.DUMMYFUNCTION("""COMPUTED_VALUE"""),236.68)</f>
        <v>236.68</v>
      </c>
      <c r="K439" s="3">
        <f ca="1">IFERROR(__xludf.DUMMYFUNCTION("""COMPUTED_VALUE"""),122.84)</f>
        <v>122.84</v>
      </c>
      <c r="L439" s="3">
        <f ca="1">IFERROR(__xludf.DUMMYFUNCTION("""COMPUTED_VALUE"""),73.77)</f>
        <v>73.77</v>
      </c>
      <c r="M439" s="3">
        <f ca="1">IFERROR(__xludf.DUMMYFUNCTION("""COMPUTED_VALUE"""),57.5)</f>
        <v>57.5</v>
      </c>
      <c r="N439" s="3">
        <f ca="1">IFERROR(__xludf.DUMMYFUNCTION("""COMPUTED_VALUE"""),61.08)</f>
        <v>61.08</v>
      </c>
      <c r="O439" s="3">
        <f ca="1">IFERROR(__xludf.DUMMYFUNCTION("""COMPUTED_VALUE"""),40.72)</f>
        <v>40.72</v>
      </c>
      <c r="P439" s="3">
        <f ca="1">IFERROR(__xludf.DUMMYFUNCTION("""COMPUTED_VALUE"""),92.25)</f>
        <v>92.25</v>
      </c>
      <c r="Q439" s="3">
        <f ca="1">IFERROR(__xludf.DUMMYFUNCTION("""COMPUTED_VALUE"""),129.3)</f>
        <v>129.30000000000001</v>
      </c>
      <c r="R439" s="3">
        <f ca="1">IFERROR(__xludf.DUMMYFUNCTION("""COMPUTED_VALUE"""),78.68)</f>
        <v>78.680000000000007</v>
      </c>
      <c r="S439" s="3">
        <f ca="1">IFERROR(__xludf.DUMMYFUNCTION("""COMPUTED_VALUE"""),52.56)</f>
        <v>52.56</v>
      </c>
      <c r="T439" s="3">
        <f ca="1">IFERROR(__xludf.DUMMYFUNCTION("""COMPUTED_VALUE"""),25.23)</f>
        <v>25.23</v>
      </c>
      <c r="U439" s="3">
        <f ca="1">IFERROR(__xludf.DUMMYFUNCTION("""COMPUTED_VALUE"""),81.57)</f>
        <v>81.569999999999993</v>
      </c>
      <c r="V439" s="3">
        <f ca="1">IFERROR(__xludf.DUMMYFUNCTION("""COMPUTED_VALUE"""),51.85)</f>
        <v>51.85</v>
      </c>
      <c r="W439" s="3">
        <f ca="1">IFERROR(__xludf.DUMMYFUNCTION("""COMPUTED_VALUE"""),33.48)</f>
        <v>33.479999999999997</v>
      </c>
      <c r="X439" s="3">
        <f ca="1">IFERROR(__xludf.DUMMYFUNCTION("""COMPUTED_VALUE"""),80.88)</f>
        <v>80.88</v>
      </c>
      <c r="Y439" s="3">
        <f ca="1">IFERROR(__xludf.DUMMYFUNCTION("""COMPUTED_VALUE"""),36.61)</f>
        <v>36.61</v>
      </c>
      <c r="Z439" s="3">
        <f ca="1">IFERROR(__xludf.DUMMYFUNCTION("""COMPUTED_VALUE"""),75.3)</f>
        <v>75.3</v>
      </c>
      <c r="AA439" s="3">
        <f ca="1">IFERROR(__xludf.DUMMYFUNCTION("""COMPUTED_VALUE"""),33.95)</f>
        <v>33.950000000000003</v>
      </c>
      <c r="AB439" s="3">
        <f ca="1">IFERROR(__xludf.DUMMYFUNCTION("""COMPUTED_VALUE"""),41.29)</f>
        <v>41.29</v>
      </c>
      <c r="AC439" s="3">
        <f ca="1">IFERROR(__xludf.DUMMYFUNCTION("""COMPUTED_VALUE"""),50)</f>
        <v>50</v>
      </c>
      <c r="AD439" s="3">
        <f ca="1">IFERROR(__xludf.DUMMYFUNCTION("""COMPUTED_VALUE"""),10.09)</f>
        <v>10.09</v>
      </c>
      <c r="AE439" s="3">
        <f ca="1">IFERROR(__xludf.DUMMYFUNCTION("""COMPUTED_VALUE"""),13.96)</f>
        <v>13.96</v>
      </c>
      <c r="AF439" s="3">
        <f ca="1">IFERROR(__xludf.DUMMYFUNCTION("""COMPUTED_VALUE"""),2.62)</f>
        <v>2.62</v>
      </c>
      <c r="AG439" s="3">
        <f ca="1">IFERROR(__xludf.DUMMYFUNCTION("""COMPUTED_VALUE"""),23.4)</f>
        <v>23.4</v>
      </c>
    </row>
    <row r="440" spans="1:33" ht="12.75" x14ac:dyDescent="0.2">
      <c r="A440" s="4">
        <f ca="1">IFERROR(__xludf.DUMMYFUNCTION("""COMPUTED_VALUE"""),45198.6666666666)</f>
        <v>45198.666666666599</v>
      </c>
      <c r="B440" s="3">
        <f ca="1">IFERROR(__xludf.DUMMYFUNCTION("""COMPUTED_VALUE"""),163.93)</f>
        <v>163.93</v>
      </c>
      <c r="C440" s="3">
        <f ca="1">IFERROR(__xludf.DUMMYFUNCTION("""COMPUTED_VALUE"""),414.9)</f>
        <v>414.9</v>
      </c>
      <c r="D440" s="3">
        <f ca="1">IFERROR(__xludf.DUMMYFUNCTION("""COMPUTED_VALUE"""),105.66)</f>
        <v>105.66</v>
      </c>
      <c r="E440" s="3">
        <f ca="1">IFERROR(__xludf.DUMMYFUNCTION("""COMPUTED_VALUE"""),157.88)</f>
        <v>157.88</v>
      </c>
      <c r="F440" s="3">
        <f ca="1">IFERROR(__xludf.DUMMYFUNCTION("""COMPUTED_VALUE"""),51.6)</f>
        <v>51.6</v>
      </c>
      <c r="G440" s="3">
        <f ca="1">IFERROR(__xludf.DUMMYFUNCTION("""COMPUTED_VALUE"""),24.72)</f>
        <v>24.72</v>
      </c>
      <c r="H440" s="3">
        <f ca="1">IFERROR(__xludf.DUMMYFUNCTION("""COMPUTED_VALUE"""),24.64)</f>
        <v>24.64</v>
      </c>
      <c r="I440" s="3">
        <f ca="1">IFERROR(__xludf.DUMMYFUNCTION("""COMPUTED_VALUE"""),128.74)</f>
        <v>128.74</v>
      </c>
      <c r="J440" s="3">
        <f ca="1">IFERROR(__xludf.DUMMYFUNCTION("""COMPUTED_VALUE"""),235.1)</f>
        <v>235.1</v>
      </c>
      <c r="K440" s="3">
        <f ca="1">IFERROR(__xludf.DUMMYFUNCTION("""COMPUTED_VALUE"""),122.29)</f>
        <v>122.29</v>
      </c>
      <c r="L440" s="3">
        <f ca="1">IFERROR(__xludf.DUMMYFUNCTION("""COMPUTED_VALUE"""),73.02)</f>
        <v>73.02</v>
      </c>
      <c r="M440" s="3">
        <f ca="1">IFERROR(__xludf.DUMMYFUNCTION("""COMPUTED_VALUE"""),57.04)</f>
        <v>57.04</v>
      </c>
      <c r="N440" s="3">
        <f ca="1">IFERROR(__xludf.DUMMYFUNCTION("""COMPUTED_VALUE"""),60.58)</f>
        <v>60.58</v>
      </c>
      <c r="O440" s="3">
        <f ca="1">IFERROR(__xludf.DUMMYFUNCTION("""COMPUTED_VALUE"""),40.68)</f>
        <v>40.68</v>
      </c>
      <c r="P440" s="3">
        <f ca="1">IFERROR(__xludf.DUMMYFUNCTION("""COMPUTED_VALUE"""),90.39)</f>
        <v>90.39</v>
      </c>
      <c r="Q440" s="3">
        <f ca="1">IFERROR(__xludf.DUMMYFUNCTION("""COMPUTED_VALUE"""),126.74)</f>
        <v>126.74</v>
      </c>
      <c r="R440" s="3">
        <f ca="1">IFERROR(__xludf.DUMMYFUNCTION("""COMPUTED_VALUE"""),78.55)</f>
        <v>78.55</v>
      </c>
      <c r="S440" s="3">
        <f ca="1">IFERROR(__xludf.DUMMYFUNCTION("""COMPUTED_VALUE"""),52.5)</f>
        <v>52.5</v>
      </c>
      <c r="T440" s="3">
        <f ca="1">IFERROR(__xludf.DUMMYFUNCTION("""COMPUTED_VALUE"""),24.96)</f>
        <v>24.96</v>
      </c>
      <c r="U440" s="3">
        <f ca="1">IFERROR(__xludf.DUMMYFUNCTION("""COMPUTED_VALUE"""),80.86)</f>
        <v>80.86</v>
      </c>
      <c r="V440" s="3">
        <f ca="1">IFERROR(__xludf.DUMMYFUNCTION("""COMPUTED_VALUE"""),51.79)</f>
        <v>51.79</v>
      </c>
      <c r="W440" s="3">
        <f ca="1">IFERROR(__xludf.DUMMYFUNCTION("""COMPUTED_VALUE"""),33.17)</f>
        <v>33.17</v>
      </c>
      <c r="X440" s="3">
        <f ca="1">IFERROR(__xludf.DUMMYFUNCTION("""COMPUTED_VALUE"""),80.32)</f>
        <v>80.319999999999993</v>
      </c>
      <c r="Y440" s="3">
        <f ca="1">IFERROR(__xludf.DUMMYFUNCTION("""COMPUTED_VALUE"""),36.85)</f>
        <v>36.85</v>
      </c>
      <c r="Z440" s="3">
        <f ca="1">IFERROR(__xludf.DUMMYFUNCTION("""COMPUTED_VALUE"""),74.76)</f>
        <v>74.760000000000005</v>
      </c>
      <c r="AA440" s="3">
        <f ca="1">IFERROR(__xludf.DUMMYFUNCTION("""COMPUTED_VALUE"""),34.07)</f>
        <v>34.07</v>
      </c>
      <c r="AB440" s="3">
        <f ca="1">IFERROR(__xludf.DUMMYFUNCTION("""COMPUTED_VALUE"""),41.77)</f>
        <v>41.77</v>
      </c>
      <c r="AC440" s="3">
        <f ca="1">IFERROR(__xludf.DUMMYFUNCTION("""COMPUTED_VALUE"""),50.37)</f>
        <v>50.37</v>
      </c>
      <c r="AD440" s="3">
        <f ca="1">IFERROR(__xludf.DUMMYFUNCTION("""COMPUTED_VALUE"""),9.98)</f>
        <v>9.98</v>
      </c>
      <c r="AE440" s="3">
        <f ca="1">IFERROR(__xludf.DUMMYFUNCTION("""COMPUTED_VALUE"""),13.81)</f>
        <v>13.81</v>
      </c>
      <c r="AF440" s="3">
        <f ca="1">IFERROR(__xludf.DUMMYFUNCTION("""COMPUTED_VALUE"""),2.67)</f>
        <v>2.67</v>
      </c>
      <c r="AG440" s="3">
        <f ca="1">IFERROR(__xludf.DUMMYFUNCTION("""COMPUTED_VALUE"""),23.3)</f>
        <v>23.3</v>
      </c>
    </row>
    <row r="441" spans="1:33" ht="12.75" x14ac:dyDescent="0.2">
      <c r="A441" s="4">
        <f ca="1">IFERROR(__xludf.DUMMYFUNCTION("""COMPUTED_VALUE"""),45201.6666666666)</f>
        <v>45201.666666666599</v>
      </c>
      <c r="B441" s="3">
        <f ca="1">IFERROR(__xludf.DUMMYFUNCTION("""COMPUTED_VALUE"""),165.69)</f>
        <v>165.69</v>
      </c>
      <c r="C441" s="3">
        <f ca="1">IFERROR(__xludf.DUMMYFUNCTION("""COMPUTED_VALUE"""),418.72)</f>
        <v>418.72</v>
      </c>
      <c r="D441" s="3">
        <f ca="1">IFERROR(__xludf.DUMMYFUNCTION("""COMPUTED_VALUE"""),105.74)</f>
        <v>105.74</v>
      </c>
      <c r="E441" s="3">
        <f ca="1">IFERROR(__xludf.DUMMYFUNCTION("""COMPUTED_VALUE"""),158.68)</f>
        <v>158.68</v>
      </c>
      <c r="F441" s="3">
        <f ca="1">IFERROR(__xludf.DUMMYFUNCTION("""COMPUTED_VALUE"""),51.78)</f>
        <v>51.78</v>
      </c>
      <c r="G441" s="3">
        <f ca="1">IFERROR(__xludf.DUMMYFUNCTION("""COMPUTED_VALUE"""),24.7)</f>
        <v>24.7</v>
      </c>
      <c r="H441" s="3">
        <f ca="1">IFERROR(__xludf.DUMMYFUNCTION("""COMPUTED_VALUE"""),24.49)</f>
        <v>24.49</v>
      </c>
      <c r="I441" s="3">
        <f ca="1">IFERROR(__xludf.DUMMYFUNCTION("""COMPUTED_VALUE"""),128.56)</f>
        <v>128.56</v>
      </c>
      <c r="J441" s="3">
        <f ca="1">IFERROR(__xludf.DUMMYFUNCTION("""COMPUTED_VALUE"""),234.28)</f>
        <v>234.28</v>
      </c>
      <c r="K441" s="3">
        <f ca="1">IFERROR(__xludf.DUMMYFUNCTION("""COMPUTED_VALUE"""),120.64)</f>
        <v>120.64</v>
      </c>
      <c r="L441" s="3">
        <f ca="1">IFERROR(__xludf.DUMMYFUNCTION("""COMPUTED_VALUE"""),70.65)</f>
        <v>70.650000000000006</v>
      </c>
      <c r="M441" s="3">
        <f ca="1">IFERROR(__xludf.DUMMYFUNCTION("""COMPUTED_VALUE"""),56.23)</f>
        <v>56.23</v>
      </c>
      <c r="N441" s="3">
        <f ca="1">IFERROR(__xludf.DUMMYFUNCTION("""COMPUTED_VALUE"""),60.38)</f>
        <v>60.38</v>
      </c>
      <c r="O441" s="3">
        <f ca="1">IFERROR(__xludf.DUMMYFUNCTION("""COMPUTED_VALUE"""),39.64)</f>
        <v>39.64</v>
      </c>
      <c r="P441" s="3">
        <f ca="1">IFERROR(__xludf.DUMMYFUNCTION("""COMPUTED_VALUE"""),88.59)</f>
        <v>88.59</v>
      </c>
      <c r="Q441" s="3">
        <f ca="1">IFERROR(__xludf.DUMMYFUNCTION("""COMPUTED_VALUE"""),124.15)</f>
        <v>124.15</v>
      </c>
      <c r="R441" s="3">
        <f ca="1">IFERROR(__xludf.DUMMYFUNCTION("""COMPUTED_VALUE"""),77.51)</f>
        <v>77.510000000000005</v>
      </c>
      <c r="S441" s="3">
        <f ca="1">IFERROR(__xludf.DUMMYFUNCTION("""COMPUTED_VALUE"""),51.08)</f>
        <v>51.08</v>
      </c>
      <c r="T441" s="3">
        <f ca="1">IFERROR(__xludf.DUMMYFUNCTION("""COMPUTED_VALUE"""),24.77)</f>
        <v>24.77</v>
      </c>
      <c r="U441" s="3">
        <f ca="1">IFERROR(__xludf.DUMMYFUNCTION("""COMPUTED_VALUE"""),79.39)</f>
        <v>79.39</v>
      </c>
      <c r="V441" s="3">
        <f ca="1">IFERROR(__xludf.DUMMYFUNCTION("""COMPUTED_VALUE"""),49.43)</f>
        <v>49.43</v>
      </c>
      <c r="W441" s="3">
        <f ca="1">IFERROR(__xludf.DUMMYFUNCTION("""COMPUTED_VALUE"""),32.89)</f>
        <v>32.89</v>
      </c>
      <c r="X441" s="3">
        <f ca="1">IFERROR(__xludf.DUMMYFUNCTION("""COMPUTED_VALUE"""),79.58)</f>
        <v>79.58</v>
      </c>
      <c r="Y441" s="3">
        <f ca="1">IFERROR(__xludf.DUMMYFUNCTION("""COMPUTED_VALUE"""),36.05)</f>
        <v>36.049999999999997</v>
      </c>
      <c r="Z441" s="3">
        <f ca="1">IFERROR(__xludf.DUMMYFUNCTION("""COMPUTED_VALUE"""),73.79)</f>
        <v>73.790000000000006</v>
      </c>
      <c r="AA441" s="3">
        <f ca="1">IFERROR(__xludf.DUMMYFUNCTION("""COMPUTED_VALUE"""),33.45)</f>
        <v>33.450000000000003</v>
      </c>
      <c r="AB441" s="3">
        <f ca="1">IFERROR(__xludf.DUMMYFUNCTION("""COMPUTED_VALUE"""),40.73)</f>
        <v>40.729999999999997</v>
      </c>
      <c r="AC441" s="3">
        <f ca="1">IFERROR(__xludf.DUMMYFUNCTION("""COMPUTED_VALUE"""),50.69)</f>
        <v>50.69</v>
      </c>
      <c r="AD441" s="3">
        <f ca="1">IFERROR(__xludf.DUMMYFUNCTION("""COMPUTED_VALUE"""),10.37)</f>
        <v>10.37</v>
      </c>
      <c r="AE441" s="3">
        <f ca="1">IFERROR(__xludf.DUMMYFUNCTION("""COMPUTED_VALUE"""),14.27)</f>
        <v>14.27</v>
      </c>
      <c r="AF441" s="3">
        <f ca="1">IFERROR(__xludf.DUMMYFUNCTION("""COMPUTED_VALUE"""),2.72)</f>
        <v>2.72</v>
      </c>
      <c r="AG441" s="3">
        <f ca="1">IFERROR(__xludf.DUMMYFUNCTION("""COMPUTED_VALUE"""),23.55)</f>
        <v>23.55</v>
      </c>
    </row>
    <row r="442" spans="1:33" ht="12.75" x14ac:dyDescent="0.2">
      <c r="A442" s="4">
        <f ca="1">IFERROR(__xludf.DUMMYFUNCTION("""COMPUTED_VALUE"""),45202.6666666666)</f>
        <v>45202.666666666599</v>
      </c>
      <c r="B442" s="3">
        <f ca="1">IFERROR(__xludf.DUMMYFUNCTION("""COMPUTED_VALUE"""),162.88)</f>
        <v>162.88</v>
      </c>
      <c r="C442" s="3">
        <f ca="1">IFERROR(__xludf.DUMMYFUNCTION("""COMPUTED_VALUE"""),410.76)</f>
        <v>410.76</v>
      </c>
      <c r="D442" s="3">
        <f ca="1">IFERROR(__xludf.DUMMYFUNCTION("""COMPUTED_VALUE"""),107.97)</f>
        <v>107.97</v>
      </c>
      <c r="E442" s="3">
        <f ca="1">IFERROR(__xludf.DUMMYFUNCTION("""COMPUTED_VALUE"""),155.4)</f>
        <v>155.4</v>
      </c>
      <c r="F442" s="3">
        <f ca="1">IFERROR(__xludf.DUMMYFUNCTION("""COMPUTED_VALUE"""),50.87)</f>
        <v>50.87</v>
      </c>
      <c r="G442" s="3">
        <f ca="1">IFERROR(__xludf.DUMMYFUNCTION("""COMPUTED_VALUE"""),24.14)</f>
        <v>24.14</v>
      </c>
      <c r="H442" s="3">
        <f ca="1">IFERROR(__xludf.DUMMYFUNCTION("""COMPUTED_VALUE"""),24.12)</f>
        <v>24.12</v>
      </c>
      <c r="I442" s="3">
        <f ca="1">IFERROR(__xludf.DUMMYFUNCTION("""COMPUTED_VALUE"""),127.42)</f>
        <v>127.42</v>
      </c>
      <c r="J442" s="3">
        <f ca="1">IFERROR(__xludf.DUMMYFUNCTION("""COMPUTED_VALUE"""),232.1)</f>
        <v>232.1</v>
      </c>
      <c r="K442" s="3">
        <f ca="1">IFERROR(__xludf.DUMMYFUNCTION("""COMPUTED_VALUE"""),119.32)</f>
        <v>119.32</v>
      </c>
      <c r="L442" s="3">
        <f ca="1">IFERROR(__xludf.DUMMYFUNCTION("""COMPUTED_VALUE"""),70.55)</f>
        <v>70.55</v>
      </c>
      <c r="M442" s="3">
        <f ca="1">IFERROR(__xludf.DUMMYFUNCTION("""COMPUTED_VALUE"""),55.62)</f>
        <v>55.62</v>
      </c>
      <c r="N442" s="3">
        <f ca="1">IFERROR(__xludf.DUMMYFUNCTION("""COMPUTED_VALUE"""),59.85)</f>
        <v>59.85</v>
      </c>
      <c r="O442" s="3">
        <f ca="1">IFERROR(__xludf.DUMMYFUNCTION("""COMPUTED_VALUE"""),39.48)</f>
        <v>39.479999999999997</v>
      </c>
      <c r="P442" s="3">
        <f ca="1">IFERROR(__xludf.DUMMYFUNCTION("""COMPUTED_VALUE"""),88.53)</f>
        <v>88.53</v>
      </c>
      <c r="Q442" s="3">
        <f ca="1">IFERROR(__xludf.DUMMYFUNCTION("""COMPUTED_VALUE"""),124.02)</f>
        <v>124.02</v>
      </c>
      <c r="R442" s="3">
        <f ca="1">IFERROR(__xludf.DUMMYFUNCTION("""COMPUTED_VALUE"""),77.3)</f>
        <v>77.3</v>
      </c>
      <c r="S442" s="3">
        <f ca="1">IFERROR(__xludf.DUMMYFUNCTION("""COMPUTED_VALUE"""),50.4)</f>
        <v>50.4</v>
      </c>
      <c r="T442" s="3">
        <f ca="1">IFERROR(__xludf.DUMMYFUNCTION("""COMPUTED_VALUE"""),24.66)</f>
        <v>24.66</v>
      </c>
      <c r="U442" s="3">
        <f ca="1">IFERROR(__xludf.DUMMYFUNCTION("""COMPUTED_VALUE"""),79.93)</f>
        <v>79.930000000000007</v>
      </c>
      <c r="V442" s="3">
        <f ca="1">IFERROR(__xludf.DUMMYFUNCTION("""COMPUTED_VALUE"""),47.59)</f>
        <v>47.59</v>
      </c>
      <c r="W442" s="3">
        <f ca="1">IFERROR(__xludf.DUMMYFUNCTION("""COMPUTED_VALUE"""),32.37)</f>
        <v>32.369999999999997</v>
      </c>
      <c r="X442" s="3">
        <f ca="1">IFERROR(__xludf.DUMMYFUNCTION("""COMPUTED_VALUE"""),78.2)</f>
        <v>78.2</v>
      </c>
      <c r="Y442" s="3">
        <f ca="1">IFERROR(__xludf.DUMMYFUNCTION("""COMPUTED_VALUE"""),35.32)</f>
        <v>35.32</v>
      </c>
      <c r="Z442" s="3">
        <f ca="1">IFERROR(__xludf.DUMMYFUNCTION("""COMPUTED_VALUE"""),72.52)</f>
        <v>72.52</v>
      </c>
      <c r="AA442" s="3">
        <f ca="1">IFERROR(__xludf.DUMMYFUNCTION("""COMPUTED_VALUE"""),32.84)</f>
        <v>32.840000000000003</v>
      </c>
      <c r="AB442" s="3">
        <f ca="1">IFERROR(__xludf.DUMMYFUNCTION("""COMPUTED_VALUE"""),39.93)</f>
        <v>39.93</v>
      </c>
      <c r="AC442" s="3">
        <f ca="1">IFERROR(__xludf.DUMMYFUNCTION("""COMPUTED_VALUE"""),51.17)</f>
        <v>51.17</v>
      </c>
      <c r="AD442" s="3">
        <f ca="1">IFERROR(__xludf.DUMMYFUNCTION("""COMPUTED_VALUE"""),10.1)</f>
        <v>10.1</v>
      </c>
      <c r="AE442" s="3">
        <f ca="1">IFERROR(__xludf.DUMMYFUNCTION("""COMPUTED_VALUE"""),13.88)</f>
        <v>13.88</v>
      </c>
      <c r="AF442" s="3">
        <f ca="1">IFERROR(__xludf.DUMMYFUNCTION("""COMPUTED_VALUE"""),2.84)</f>
        <v>2.84</v>
      </c>
      <c r="AG442" s="3">
        <f ca="1">IFERROR(__xludf.DUMMYFUNCTION("""COMPUTED_VALUE"""),21.75)</f>
        <v>21.75</v>
      </c>
    </row>
    <row r="443" spans="1:33" ht="12.75" x14ac:dyDescent="0.2">
      <c r="A443" s="4">
        <f ca="1">IFERROR(__xludf.DUMMYFUNCTION("""COMPUTED_VALUE"""),45203.6666666666)</f>
        <v>45203.666666666599</v>
      </c>
      <c r="B443" s="3">
        <f ca="1">IFERROR(__xludf.DUMMYFUNCTION("""COMPUTED_VALUE"""),164.91)</f>
        <v>164.91</v>
      </c>
      <c r="C443" s="3">
        <f ca="1">IFERROR(__xludf.DUMMYFUNCTION("""COMPUTED_VALUE"""),415.5)</f>
        <v>415.5</v>
      </c>
      <c r="D443" s="3">
        <f ca="1">IFERROR(__xludf.DUMMYFUNCTION("""COMPUTED_VALUE"""),108.57)</f>
        <v>108.57</v>
      </c>
      <c r="E443" s="3">
        <f ca="1">IFERROR(__xludf.DUMMYFUNCTION("""COMPUTED_VALUE"""),157.46)</f>
        <v>157.46</v>
      </c>
      <c r="F443" s="3">
        <f ca="1">IFERROR(__xludf.DUMMYFUNCTION("""COMPUTED_VALUE"""),50.93)</f>
        <v>50.93</v>
      </c>
      <c r="G443" s="3">
        <f ca="1">IFERROR(__xludf.DUMMYFUNCTION("""COMPUTED_VALUE"""),24.35)</f>
        <v>24.35</v>
      </c>
      <c r="H443" s="3">
        <f ca="1">IFERROR(__xludf.DUMMYFUNCTION("""COMPUTED_VALUE"""),24.26)</f>
        <v>24.26</v>
      </c>
      <c r="I443" s="3">
        <f ca="1">IFERROR(__xludf.DUMMYFUNCTION("""COMPUTED_VALUE"""),127.96)</f>
        <v>127.96</v>
      </c>
      <c r="J443" s="3">
        <f ca="1">IFERROR(__xludf.DUMMYFUNCTION("""COMPUTED_VALUE"""),232.72)</f>
        <v>232.72</v>
      </c>
      <c r="K443" s="3">
        <f ca="1">IFERROR(__xludf.DUMMYFUNCTION("""COMPUTED_VALUE"""),120.18)</f>
        <v>120.18</v>
      </c>
      <c r="L443" s="3">
        <f ca="1">IFERROR(__xludf.DUMMYFUNCTION("""COMPUTED_VALUE"""),69.88)</f>
        <v>69.88</v>
      </c>
      <c r="M443" s="3">
        <f ca="1">IFERROR(__xludf.DUMMYFUNCTION("""COMPUTED_VALUE"""),55.95)</f>
        <v>55.95</v>
      </c>
      <c r="N443" s="3">
        <f ca="1">IFERROR(__xludf.DUMMYFUNCTION("""COMPUTED_VALUE"""),60.02)</f>
        <v>60.02</v>
      </c>
      <c r="O443" s="3">
        <f ca="1">IFERROR(__xludf.DUMMYFUNCTION("""COMPUTED_VALUE"""),39.02)</f>
        <v>39.020000000000003</v>
      </c>
      <c r="P443" s="3">
        <f ca="1">IFERROR(__xludf.DUMMYFUNCTION("""COMPUTED_VALUE"""),85.75)</f>
        <v>85.75</v>
      </c>
      <c r="Q443" s="3">
        <f ca="1">IFERROR(__xludf.DUMMYFUNCTION("""COMPUTED_VALUE"""),119.82)</f>
        <v>119.82</v>
      </c>
      <c r="R443" s="3">
        <f ca="1">IFERROR(__xludf.DUMMYFUNCTION("""COMPUTED_VALUE"""),78.21)</f>
        <v>78.209999999999994</v>
      </c>
      <c r="S443" s="3">
        <f ca="1">IFERROR(__xludf.DUMMYFUNCTION("""COMPUTED_VALUE"""),49.96)</f>
        <v>49.96</v>
      </c>
      <c r="T443" s="3">
        <f ca="1">IFERROR(__xludf.DUMMYFUNCTION("""COMPUTED_VALUE"""),23.97)</f>
        <v>23.97</v>
      </c>
      <c r="U443" s="3">
        <f ca="1">IFERROR(__xludf.DUMMYFUNCTION("""COMPUTED_VALUE"""),75.59)</f>
        <v>75.59</v>
      </c>
      <c r="V443" s="3">
        <f ca="1">IFERROR(__xludf.DUMMYFUNCTION("""COMPUTED_VALUE"""),47.9)</f>
        <v>47.9</v>
      </c>
      <c r="W443" s="3">
        <f ca="1">IFERROR(__xludf.DUMMYFUNCTION("""COMPUTED_VALUE"""),32.61)</f>
        <v>32.61</v>
      </c>
      <c r="X443" s="3">
        <f ca="1">IFERROR(__xludf.DUMMYFUNCTION("""COMPUTED_VALUE"""),78.81)</f>
        <v>78.81</v>
      </c>
      <c r="Y443" s="3">
        <f ca="1">IFERROR(__xludf.DUMMYFUNCTION("""COMPUTED_VALUE"""),35.62)</f>
        <v>35.619999999999997</v>
      </c>
      <c r="Z443" s="3">
        <f ca="1">IFERROR(__xludf.DUMMYFUNCTION("""COMPUTED_VALUE"""),73.09)</f>
        <v>73.09</v>
      </c>
      <c r="AA443" s="3">
        <f ca="1">IFERROR(__xludf.DUMMYFUNCTION("""COMPUTED_VALUE"""),33.19)</f>
        <v>33.19</v>
      </c>
      <c r="AB443" s="3">
        <f ca="1">IFERROR(__xludf.DUMMYFUNCTION("""COMPUTED_VALUE"""),40.31)</f>
        <v>40.31</v>
      </c>
      <c r="AC443" s="3">
        <f ca="1">IFERROR(__xludf.DUMMYFUNCTION("""COMPUTED_VALUE"""),51.14)</f>
        <v>51.14</v>
      </c>
      <c r="AD443" s="3">
        <f ca="1">IFERROR(__xludf.DUMMYFUNCTION("""COMPUTED_VALUE"""),10.25)</f>
        <v>10.25</v>
      </c>
      <c r="AE443" s="3">
        <f ca="1">IFERROR(__xludf.DUMMYFUNCTION("""COMPUTED_VALUE"""),14.09)</f>
        <v>14.09</v>
      </c>
      <c r="AF443" s="3">
        <f ca="1">IFERROR(__xludf.DUMMYFUNCTION("""COMPUTED_VALUE"""),2.75)</f>
        <v>2.75</v>
      </c>
      <c r="AG443" s="3">
        <f ca="1">IFERROR(__xludf.DUMMYFUNCTION("""COMPUTED_VALUE"""),22.28)</f>
        <v>22.28</v>
      </c>
    </row>
    <row r="444" spans="1:33" ht="12.75" x14ac:dyDescent="0.2">
      <c r="A444" s="4">
        <f ca="1">IFERROR(__xludf.DUMMYFUNCTION("""COMPUTED_VALUE"""),45204.6666666666)</f>
        <v>45204.666666666599</v>
      </c>
      <c r="B444" s="3">
        <f ca="1">IFERROR(__xludf.DUMMYFUNCTION("""COMPUTED_VALUE"""),165.13)</f>
        <v>165.13</v>
      </c>
      <c r="C444" s="3">
        <f ca="1">IFERROR(__xludf.DUMMYFUNCTION("""COMPUTED_VALUE"""),415.86)</f>
        <v>415.86</v>
      </c>
      <c r="D444" s="3">
        <f ca="1">IFERROR(__xludf.DUMMYFUNCTION("""COMPUTED_VALUE"""),108.85)</f>
        <v>108.85</v>
      </c>
      <c r="E444" s="3">
        <f ca="1">IFERROR(__xludf.DUMMYFUNCTION("""COMPUTED_VALUE"""),156.7)</f>
        <v>156.69999999999999</v>
      </c>
      <c r="F444" s="3">
        <f ca="1">IFERROR(__xludf.DUMMYFUNCTION("""COMPUTED_VALUE"""),50.79)</f>
        <v>50.79</v>
      </c>
      <c r="G444" s="3">
        <f ca="1">IFERROR(__xludf.DUMMYFUNCTION("""COMPUTED_VALUE"""),24.43)</f>
        <v>24.43</v>
      </c>
      <c r="H444" s="3">
        <f ca="1">IFERROR(__xludf.DUMMYFUNCTION("""COMPUTED_VALUE"""),24.24)</f>
        <v>24.24</v>
      </c>
      <c r="I444" s="3">
        <f ca="1">IFERROR(__xludf.DUMMYFUNCTION("""COMPUTED_VALUE"""),128.66)</f>
        <v>128.66</v>
      </c>
      <c r="J444" s="3">
        <f ca="1">IFERROR(__xludf.DUMMYFUNCTION("""COMPUTED_VALUE"""),234.22)</f>
        <v>234.22</v>
      </c>
      <c r="K444" s="3">
        <f ca="1">IFERROR(__xludf.DUMMYFUNCTION("""COMPUTED_VALUE"""),121.78)</f>
        <v>121.78</v>
      </c>
      <c r="L444" s="3">
        <f ca="1">IFERROR(__xludf.DUMMYFUNCTION("""COMPUTED_VALUE"""),72.15)</f>
        <v>72.150000000000006</v>
      </c>
      <c r="M444" s="3">
        <f ca="1">IFERROR(__xludf.DUMMYFUNCTION("""COMPUTED_VALUE"""),56.63)</f>
        <v>56.63</v>
      </c>
      <c r="N444" s="3">
        <f ca="1">IFERROR(__xludf.DUMMYFUNCTION("""COMPUTED_VALUE"""),60.45)</f>
        <v>60.45</v>
      </c>
      <c r="O444" s="3">
        <f ca="1">IFERROR(__xludf.DUMMYFUNCTION("""COMPUTED_VALUE"""),39.72)</f>
        <v>39.72</v>
      </c>
      <c r="P444" s="3">
        <f ca="1">IFERROR(__xludf.DUMMYFUNCTION("""COMPUTED_VALUE"""),85.22)</f>
        <v>85.22</v>
      </c>
      <c r="Q444" s="3">
        <f ca="1">IFERROR(__xludf.DUMMYFUNCTION("""COMPUTED_VALUE"""),119.36)</f>
        <v>119.36</v>
      </c>
      <c r="R444" s="3">
        <f ca="1">IFERROR(__xludf.DUMMYFUNCTION("""COMPUTED_VALUE"""),77.26)</f>
        <v>77.260000000000005</v>
      </c>
      <c r="S444" s="3">
        <f ca="1">IFERROR(__xludf.DUMMYFUNCTION("""COMPUTED_VALUE"""),49.89)</f>
        <v>49.89</v>
      </c>
      <c r="T444" s="3">
        <f ca="1">IFERROR(__xludf.DUMMYFUNCTION("""COMPUTED_VALUE"""),23.83)</f>
        <v>23.83</v>
      </c>
      <c r="U444" s="3">
        <f ca="1">IFERROR(__xludf.DUMMYFUNCTION("""COMPUTED_VALUE"""),73.99)</f>
        <v>73.989999999999995</v>
      </c>
      <c r="V444" s="3">
        <f ca="1">IFERROR(__xludf.DUMMYFUNCTION("""COMPUTED_VALUE"""),46.66)</f>
        <v>46.66</v>
      </c>
      <c r="W444" s="3">
        <f ca="1">IFERROR(__xludf.DUMMYFUNCTION("""COMPUTED_VALUE"""),32.76)</f>
        <v>32.76</v>
      </c>
      <c r="X444" s="3">
        <f ca="1">IFERROR(__xludf.DUMMYFUNCTION("""COMPUTED_VALUE"""),79.27)</f>
        <v>79.27</v>
      </c>
      <c r="Y444" s="3">
        <f ca="1">IFERROR(__xludf.DUMMYFUNCTION("""COMPUTED_VALUE"""),36.18)</f>
        <v>36.18</v>
      </c>
      <c r="Z444" s="3">
        <f ca="1">IFERROR(__xludf.DUMMYFUNCTION("""COMPUTED_VALUE"""),73.52)</f>
        <v>73.52</v>
      </c>
      <c r="AA444" s="3">
        <f ca="1">IFERROR(__xludf.DUMMYFUNCTION("""COMPUTED_VALUE"""),33.43)</f>
        <v>33.43</v>
      </c>
      <c r="AB444" s="3">
        <f ca="1">IFERROR(__xludf.DUMMYFUNCTION("""COMPUTED_VALUE"""),40.98)</f>
        <v>40.98</v>
      </c>
      <c r="AC444" s="3">
        <f ca="1">IFERROR(__xludf.DUMMYFUNCTION("""COMPUTED_VALUE"""),51.66)</f>
        <v>51.66</v>
      </c>
      <c r="AD444" s="3">
        <f ca="1">IFERROR(__xludf.DUMMYFUNCTION("""COMPUTED_VALUE"""),10.18)</f>
        <v>10.18</v>
      </c>
      <c r="AE444" s="3">
        <f ca="1">IFERROR(__xludf.DUMMYFUNCTION("""COMPUTED_VALUE"""),14)</f>
        <v>14</v>
      </c>
      <c r="AF444" s="3">
        <f ca="1">IFERROR(__xludf.DUMMYFUNCTION("""COMPUTED_VALUE"""),2.59)</f>
        <v>2.59</v>
      </c>
      <c r="AG444" s="3">
        <f ca="1">IFERROR(__xludf.DUMMYFUNCTION("""COMPUTED_VALUE"""),22.08)</f>
        <v>22.08</v>
      </c>
    </row>
    <row r="445" spans="1:33" ht="12.75" x14ac:dyDescent="0.2">
      <c r="A445" s="4">
        <f ca="1">IFERROR(__xludf.DUMMYFUNCTION("""COMPUTED_VALUE"""),45205.6666666666)</f>
        <v>45205.666666666599</v>
      </c>
      <c r="B445" s="3">
        <f ca="1">IFERROR(__xludf.DUMMYFUNCTION("""COMPUTED_VALUE"""),168.22)</f>
        <v>168.22</v>
      </c>
      <c r="C445" s="3">
        <f ca="1">IFERROR(__xludf.DUMMYFUNCTION("""COMPUTED_VALUE"""),424.2)</f>
        <v>424.2</v>
      </c>
      <c r="D445" s="3">
        <f ca="1">IFERROR(__xludf.DUMMYFUNCTION("""COMPUTED_VALUE"""),110.01)</f>
        <v>110.01</v>
      </c>
      <c r="E445" s="3">
        <f ca="1">IFERROR(__xludf.DUMMYFUNCTION("""COMPUTED_VALUE"""),160.06)</f>
        <v>160.06</v>
      </c>
      <c r="F445" s="3">
        <f ca="1">IFERROR(__xludf.DUMMYFUNCTION("""COMPUTED_VALUE"""),52.01)</f>
        <v>52.01</v>
      </c>
      <c r="G445" s="3">
        <f ca="1">IFERROR(__xludf.DUMMYFUNCTION("""COMPUTED_VALUE"""),24.73)</f>
        <v>24.73</v>
      </c>
      <c r="H445" s="3">
        <f ca="1">IFERROR(__xludf.DUMMYFUNCTION("""COMPUTED_VALUE"""),24.52)</f>
        <v>24.52</v>
      </c>
      <c r="I445" s="3">
        <f ca="1">IFERROR(__xludf.DUMMYFUNCTION("""COMPUTED_VALUE"""),130.01)</f>
        <v>130.01</v>
      </c>
      <c r="J445" s="3">
        <f ca="1">IFERROR(__xludf.DUMMYFUNCTION("""COMPUTED_VALUE"""),236.57)</f>
        <v>236.57</v>
      </c>
      <c r="K445" s="3">
        <f ca="1">IFERROR(__xludf.DUMMYFUNCTION("""COMPUTED_VALUE"""),122.48)</f>
        <v>122.48</v>
      </c>
      <c r="L445" s="3">
        <f ca="1">IFERROR(__xludf.DUMMYFUNCTION("""COMPUTED_VALUE"""),72.23)</f>
        <v>72.23</v>
      </c>
      <c r="M445" s="3">
        <f ca="1">IFERROR(__xludf.DUMMYFUNCTION("""COMPUTED_VALUE"""),56.87)</f>
        <v>56.87</v>
      </c>
      <c r="N445" s="3">
        <f ca="1">IFERROR(__xludf.DUMMYFUNCTION("""COMPUTED_VALUE"""),60.98)</f>
        <v>60.98</v>
      </c>
      <c r="O445" s="3">
        <f ca="1">IFERROR(__xludf.DUMMYFUNCTION("""COMPUTED_VALUE"""),39.72)</f>
        <v>39.72</v>
      </c>
      <c r="P445" s="3">
        <f ca="1">IFERROR(__xludf.DUMMYFUNCTION("""COMPUTED_VALUE"""),85.73)</f>
        <v>85.73</v>
      </c>
      <c r="Q445" s="3">
        <f ca="1">IFERROR(__xludf.DUMMYFUNCTION("""COMPUTED_VALUE"""),120.07)</f>
        <v>120.07</v>
      </c>
      <c r="R445" s="3">
        <f ca="1">IFERROR(__xludf.DUMMYFUNCTION("""COMPUTED_VALUE"""),77.99)</f>
        <v>77.989999999999995</v>
      </c>
      <c r="S445" s="3">
        <f ca="1">IFERROR(__xludf.DUMMYFUNCTION("""COMPUTED_VALUE"""),50.81)</f>
        <v>50.81</v>
      </c>
      <c r="T445" s="3">
        <f ca="1">IFERROR(__xludf.DUMMYFUNCTION("""COMPUTED_VALUE"""),23.92)</f>
        <v>23.92</v>
      </c>
      <c r="U445" s="3">
        <f ca="1">IFERROR(__xludf.DUMMYFUNCTION("""COMPUTED_VALUE"""),74.16)</f>
        <v>74.16</v>
      </c>
      <c r="V445" s="3">
        <f ca="1">IFERROR(__xludf.DUMMYFUNCTION("""COMPUTED_VALUE"""),47.73)</f>
        <v>47.73</v>
      </c>
      <c r="W445" s="3">
        <f ca="1">IFERROR(__xludf.DUMMYFUNCTION("""COMPUTED_VALUE"""),33.04)</f>
        <v>33.04</v>
      </c>
      <c r="X445" s="3">
        <f ca="1">IFERROR(__xludf.DUMMYFUNCTION("""COMPUTED_VALUE"""),79.93)</f>
        <v>79.930000000000007</v>
      </c>
      <c r="Y445" s="3">
        <f ca="1">IFERROR(__xludf.DUMMYFUNCTION("""COMPUTED_VALUE"""),36.31)</f>
        <v>36.31</v>
      </c>
      <c r="Z445" s="3">
        <f ca="1">IFERROR(__xludf.DUMMYFUNCTION("""COMPUTED_VALUE"""),74.2)</f>
        <v>74.2</v>
      </c>
      <c r="AA445" s="3">
        <f ca="1">IFERROR(__xludf.DUMMYFUNCTION("""COMPUTED_VALUE"""),33.56)</f>
        <v>33.56</v>
      </c>
      <c r="AB445" s="3">
        <f ca="1">IFERROR(__xludf.DUMMYFUNCTION("""COMPUTED_VALUE"""),41.09)</f>
        <v>41.09</v>
      </c>
      <c r="AC445" s="3">
        <f ca="1">IFERROR(__xludf.DUMMYFUNCTION("""COMPUTED_VALUE"""),51.69)</f>
        <v>51.69</v>
      </c>
      <c r="AD445" s="3">
        <f ca="1">IFERROR(__xludf.DUMMYFUNCTION("""COMPUTED_VALUE"""),10.38)</f>
        <v>10.38</v>
      </c>
      <c r="AE445" s="3">
        <f ca="1">IFERROR(__xludf.DUMMYFUNCTION("""COMPUTED_VALUE"""),14.29)</f>
        <v>14.29</v>
      </c>
      <c r="AF445" s="3">
        <f ca="1">IFERROR(__xludf.DUMMYFUNCTION("""COMPUTED_VALUE"""),2.62)</f>
        <v>2.62</v>
      </c>
      <c r="AG445" s="3">
        <f ca="1">IFERROR(__xludf.DUMMYFUNCTION("""COMPUTED_VALUE"""),23.35)</f>
        <v>23.35</v>
      </c>
    </row>
    <row r="446" spans="1:33" ht="12.75" x14ac:dyDescent="0.2">
      <c r="A446" s="4">
        <f ca="1">IFERROR(__xludf.DUMMYFUNCTION("""COMPUTED_VALUE"""),45208.6666666666)</f>
        <v>45208.666666666599</v>
      </c>
      <c r="B446" s="3">
        <f ca="1">IFERROR(__xludf.DUMMYFUNCTION("""COMPUTED_VALUE"""),169.09)</f>
        <v>169.09</v>
      </c>
      <c r="C446" s="3">
        <f ca="1">IFERROR(__xludf.DUMMYFUNCTION("""COMPUTED_VALUE"""),426.15)</f>
        <v>426.15</v>
      </c>
      <c r="D446" s="3">
        <f ca="1">IFERROR(__xludf.DUMMYFUNCTION("""COMPUTED_VALUE"""),109.77)</f>
        <v>109.77</v>
      </c>
      <c r="E446" s="3">
        <f ca="1">IFERROR(__xludf.DUMMYFUNCTION("""COMPUTED_VALUE"""),159.66)</f>
        <v>159.66</v>
      </c>
      <c r="F446" s="3">
        <f ca="1">IFERROR(__xludf.DUMMYFUNCTION("""COMPUTED_VALUE"""),52.8)</f>
        <v>52.8</v>
      </c>
      <c r="G446" s="3">
        <f ca="1">IFERROR(__xludf.DUMMYFUNCTION("""COMPUTED_VALUE"""),24.6)</f>
        <v>24.6</v>
      </c>
      <c r="H446" s="3">
        <f ca="1">IFERROR(__xludf.DUMMYFUNCTION("""COMPUTED_VALUE"""),24.53)</f>
        <v>24.53</v>
      </c>
      <c r="I446" s="3">
        <f ca="1">IFERROR(__xludf.DUMMYFUNCTION("""COMPUTED_VALUE"""),130.46)</f>
        <v>130.46</v>
      </c>
      <c r="J446" s="3">
        <f ca="1">IFERROR(__xludf.DUMMYFUNCTION("""COMPUTED_VALUE"""),237.19)</f>
        <v>237.19</v>
      </c>
      <c r="K446" s="3">
        <f ca="1">IFERROR(__xludf.DUMMYFUNCTION("""COMPUTED_VALUE"""),122.04)</f>
        <v>122.04</v>
      </c>
      <c r="L446" s="3">
        <f ca="1">IFERROR(__xludf.DUMMYFUNCTION("""COMPUTED_VALUE"""),71.66)</f>
        <v>71.66</v>
      </c>
      <c r="M446" s="3">
        <f ca="1">IFERROR(__xludf.DUMMYFUNCTION("""COMPUTED_VALUE"""),56.65)</f>
        <v>56.65</v>
      </c>
      <c r="N446" s="3">
        <f ca="1">IFERROR(__xludf.DUMMYFUNCTION("""COMPUTED_VALUE"""),61.2)</f>
        <v>61.2</v>
      </c>
      <c r="O446" s="3">
        <f ca="1">IFERROR(__xludf.DUMMYFUNCTION("""COMPUTED_VALUE"""),39.52)</f>
        <v>39.520000000000003</v>
      </c>
      <c r="P446" s="3">
        <f ca="1">IFERROR(__xludf.DUMMYFUNCTION("""COMPUTED_VALUE"""),88.59)</f>
        <v>88.59</v>
      </c>
      <c r="Q446" s="3">
        <f ca="1">IFERROR(__xludf.DUMMYFUNCTION("""COMPUTED_VALUE"""),124.35)</f>
        <v>124.35</v>
      </c>
      <c r="R446" s="3">
        <f ca="1">IFERROR(__xludf.DUMMYFUNCTION("""COMPUTED_VALUE"""),78.09)</f>
        <v>78.09</v>
      </c>
      <c r="S446" s="3">
        <f ca="1">IFERROR(__xludf.DUMMYFUNCTION("""COMPUTED_VALUE"""),51.37)</f>
        <v>51.37</v>
      </c>
      <c r="T446" s="3">
        <f ca="1">IFERROR(__xludf.DUMMYFUNCTION("""COMPUTED_VALUE"""),24.42)</f>
        <v>24.42</v>
      </c>
      <c r="U446" s="3">
        <f ca="1">IFERROR(__xludf.DUMMYFUNCTION("""COMPUTED_VALUE"""),77.13)</f>
        <v>77.13</v>
      </c>
      <c r="V446" s="3">
        <f ca="1">IFERROR(__xludf.DUMMYFUNCTION("""COMPUTED_VALUE"""),47.09)</f>
        <v>47.09</v>
      </c>
      <c r="W446" s="3">
        <f ca="1">IFERROR(__xludf.DUMMYFUNCTION("""COMPUTED_VALUE"""),33.06)</f>
        <v>33.06</v>
      </c>
      <c r="X446" s="3">
        <f ca="1">IFERROR(__xludf.DUMMYFUNCTION("""COMPUTED_VALUE"""),79.97)</f>
        <v>79.97</v>
      </c>
      <c r="Y446" s="3">
        <f ca="1">IFERROR(__xludf.DUMMYFUNCTION("""COMPUTED_VALUE"""),36.35)</f>
        <v>36.35</v>
      </c>
      <c r="Z446" s="3">
        <f ca="1">IFERROR(__xludf.DUMMYFUNCTION("""COMPUTED_VALUE"""),74.29)</f>
        <v>74.290000000000006</v>
      </c>
      <c r="AA446" s="3">
        <f ca="1">IFERROR(__xludf.DUMMYFUNCTION("""COMPUTED_VALUE"""),34)</f>
        <v>34</v>
      </c>
      <c r="AB446" s="3">
        <f ca="1">IFERROR(__xludf.DUMMYFUNCTION("""COMPUTED_VALUE"""),41.07)</f>
        <v>41.07</v>
      </c>
      <c r="AC446" s="3">
        <f ca="1">IFERROR(__xludf.DUMMYFUNCTION("""COMPUTED_VALUE"""),51.32)</f>
        <v>51.32</v>
      </c>
      <c r="AD446" s="3">
        <f ca="1">IFERROR(__xludf.DUMMYFUNCTION("""COMPUTED_VALUE"""),10.22)</f>
        <v>10.220000000000001</v>
      </c>
      <c r="AE446" s="3">
        <f ca="1">IFERROR(__xludf.DUMMYFUNCTION("""COMPUTED_VALUE"""),14.07)</f>
        <v>14.07</v>
      </c>
      <c r="AF446" s="3">
        <f ca="1">IFERROR(__xludf.DUMMYFUNCTION("""COMPUTED_VALUE"""),2.61)</f>
        <v>2.61</v>
      </c>
      <c r="AG446" s="3">
        <f ca="1">IFERROR(__xludf.DUMMYFUNCTION("""COMPUTED_VALUE"""),23.24)</f>
        <v>23.24</v>
      </c>
    </row>
    <row r="447" spans="1:33" ht="12.75" x14ac:dyDescent="0.2">
      <c r="A447" s="4">
        <f ca="1">IFERROR(__xludf.DUMMYFUNCTION("""COMPUTED_VALUE"""),45209.6666666666)</f>
        <v>45209.666666666599</v>
      </c>
      <c r="B447" s="3">
        <f ca="1">IFERROR(__xludf.DUMMYFUNCTION("""COMPUTED_VALUE"""),169.35)</f>
        <v>169.35</v>
      </c>
      <c r="C447" s="3">
        <f ca="1">IFERROR(__xludf.DUMMYFUNCTION("""COMPUTED_VALUE"""),427.56)</f>
        <v>427.56</v>
      </c>
      <c r="D447" s="3">
        <f ca="1">IFERROR(__xludf.DUMMYFUNCTION("""COMPUTED_VALUE"""),108.05)</f>
        <v>108.05</v>
      </c>
      <c r="E447" s="3">
        <f ca="1">IFERROR(__xludf.DUMMYFUNCTION("""COMPUTED_VALUE"""),161.71)</f>
        <v>161.71</v>
      </c>
      <c r="F447" s="3">
        <f ca="1">IFERROR(__xludf.DUMMYFUNCTION("""COMPUTED_VALUE"""),53.2)</f>
        <v>53.2</v>
      </c>
      <c r="G447" s="3">
        <f ca="1">IFERROR(__xludf.DUMMYFUNCTION("""COMPUTED_VALUE"""),24.9)</f>
        <v>24.9</v>
      </c>
      <c r="H447" s="3">
        <f ca="1">IFERROR(__xludf.DUMMYFUNCTION("""COMPUTED_VALUE"""),24.78)</f>
        <v>24.78</v>
      </c>
      <c r="I447" s="3">
        <f ca="1">IFERROR(__xludf.DUMMYFUNCTION("""COMPUTED_VALUE"""),131.08)</f>
        <v>131.08000000000001</v>
      </c>
      <c r="J447" s="3">
        <f ca="1">IFERROR(__xludf.DUMMYFUNCTION("""COMPUTED_VALUE"""),238.63)</f>
        <v>238.63</v>
      </c>
      <c r="K447" s="3">
        <f ca="1">IFERROR(__xludf.DUMMYFUNCTION("""COMPUTED_VALUE"""),123.03)</f>
        <v>123.03</v>
      </c>
      <c r="L447" s="3">
        <f ca="1">IFERROR(__xludf.DUMMYFUNCTION("""COMPUTED_VALUE"""),72.1)</f>
        <v>72.099999999999994</v>
      </c>
      <c r="M447" s="3">
        <f ca="1">IFERROR(__xludf.DUMMYFUNCTION("""COMPUTED_VALUE"""),57.42)</f>
        <v>57.42</v>
      </c>
      <c r="N447" s="3">
        <f ca="1">IFERROR(__xludf.DUMMYFUNCTION("""COMPUTED_VALUE"""),61.5)</f>
        <v>61.5</v>
      </c>
      <c r="O447" s="3">
        <f ca="1">IFERROR(__xludf.DUMMYFUNCTION("""COMPUTED_VALUE"""),40.56)</f>
        <v>40.56</v>
      </c>
      <c r="P447" s="3">
        <f ca="1">IFERROR(__xludf.DUMMYFUNCTION("""COMPUTED_VALUE"""),88.7)</f>
        <v>88.7</v>
      </c>
      <c r="Q447" s="3">
        <f ca="1">IFERROR(__xludf.DUMMYFUNCTION("""COMPUTED_VALUE"""),124.36)</f>
        <v>124.36</v>
      </c>
      <c r="R447" s="3">
        <f ca="1">IFERROR(__xludf.DUMMYFUNCTION("""COMPUTED_VALUE"""),78.92)</f>
        <v>78.92</v>
      </c>
      <c r="S447" s="3">
        <f ca="1">IFERROR(__xludf.DUMMYFUNCTION("""COMPUTED_VALUE"""),52.03)</f>
        <v>52.03</v>
      </c>
      <c r="T447" s="3">
        <f ca="1">IFERROR(__xludf.DUMMYFUNCTION("""COMPUTED_VALUE"""),24.36)</f>
        <v>24.36</v>
      </c>
      <c r="U447" s="3">
        <f ca="1">IFERROR(__xludf.DUMMYFUNCTION("""COMPUTED_VALUE"""),76.71)</f>
        <v>76.709999999999994</v>
      </c>
      <c r="V447" s="3">
        <f ca="1">IFERROR(__xludf.DUMMYFUNCTION("""COMPUTED_VALUE"""),49.76)</f>
        <v>49.76</v>
      </c>
      <c r="W447" s="3">
        <f ca="1">IFERROR(__xludf.DUMMYFUNCTION("""COMPUTED_VALUE"""),33.3)</f>
        <v>33.299999999999997</v>
      </c>
      <c r="X447" s="3">
        <f ca="1">IFERROR(__xludf.DUMMYFUNCTION("""COMPUTED_VALUE"""),80.6)</f>
        <v>80.599999999999994</v>
      </c>
      <c r="Y447" s="3">
        <f ca="1">IFERROR(__xludf.DUMMYFUNCTION("""COMPUTED_VALUE"""),36.86)</f>
        <v>36.86</v>
      </c>
      <c r="Z447" s="3">
        <f ca="1">IFERROR(__xludf.DUMMYFUNCTION("""COMPUTED_VALUE"""),74.76)</f>
        <v>74.760000000000005</v>
      </c>
      <c r="AA447" s="3">
        <f ca="1">IFERROR(__xludf.DUMMYFUNCTION("""COMPUTED_VALUE"""),34.12)</f>
        <v>34.119999999999997</v>
      </c>
      <c r="AB447" s="3">
        <f ca="1">IFERROR(__xludf.DUMMYFUNCTION("""COMPUTED_VALUE"""),41.71)</f>
        <v>41.71</v>
      </c>
      <c r="AC447" s="3">
        <f ca="1">IFERROR(__xludf.DUMMYFUNCTION("""COMPUTED_VALUE"""),51.21)</f>
        <v>51.21</v>
      </c>
      <c r="AD447" s="3">
        <f ca="1">IFERROR(__xludf.DUMMYFUNCTION("""COMPUTED_VALUE"""),10.13)</f>
        <v>10.130000000000001</v>
      </c>
      <c r="AE447" s="3">
        <f ca="1">IFERROR(__xludf.DUMMYFUNCTION("""COMPUTED_VALUE"""),13.94)</f>
        <v>13.94</v>
      </c>
      <c r="AF447" s="3">
        <f ca="1">IFERROR(__xludf.DUMMYFUNCTION("""COMPUTED_VALUE"""),2.69)</f>
        <v>2.69</v>
      </c>
      <c r="AG447" s="3">
        <f ca="1">IFERROR(__xludf.DUMMYFUNCTION("""COMPUTED_VALUE"""),23.56)</f>
        <v>23.56</v>
      </c>
    </row>
    <row r="448" spans="1:33" ht="12.75" x14ac:dyDescent="0.2">
      <c r="A448" s="4">
        <f ca="1">IFERROR(__xludf.DUMMYFUNCTION("""COMPUTED_VALUE"""),45210.6666666666)</f>
        <v>45210.666666666599</v>
      </c>
      <c r="B448" s="3">
        <f ca="1">IFERROR(__xludf.DUMMYFUNCTION("""COMPUTED_VALUE"""),170.92)</f>
        <v>170.92</v>
      </c>
      <c r="C448" s="3">
        <f ca="1">IFERROR(__xludf.DUMMYFUNCTION("""COMPUTED_VALUE"""),430.95)</f>
        <v>430.95</v>
      </c>
      <c r="D448" s="3">
        <f ca="1">IFERROR(__xludf.DUMMYFUNCTION("""COMPUTED_VALUE"""),109.25)</f>
        <v>109.25</v>
      </c>
      <c r="E448" s="3">
        <f ca="1">IFERROR(__xludf.DUMMYFUNCTION("""COMPUTED_VALUE"""),162.93)</f>
        <v>162.93</v>
      </c>
      <c r="F448" s="3">
        <f ca="1">IFERROR(__xludf.DUMMYFUNCTION("""COMPUTED_VALUE"""),53.51)</f>
        <v>53.51</v>
      </c>
      <c r="G448" s="3">
        <f ca="1">IFERROR(__xludf.DUMMYFUNCTION("""COMPUTED_VALUE"""),24.76)</f>
        <v>24.76</v>
      </c>
      <c r="H448" s="3">
        <f ca="1">IFERROR(__xludf.DUMMYFUNCTION("""COMPUTED_VALUE"""),24.87)</f>
        <v>24.87</v>
      </c>
      <c r="I448" s="3">
        <f ca="1">IFERROR(__xludf.DUMMYFUNCTION("""COMPUTED_VALUE"""),130.5)</f>
        <v>130.5</v>
      </c>
      <c r="J448" s="3">
        <f ca="1">IFERROR(__xludf.DUMMYFUNCTION("""COMPUTED_VALUE"""),237.26)</f>
        <v>237.26</v>
      </c>
      <c r="K448" s="3">
        <f ca="1">IFERROR(__xludf.DUMMYFUNCTION("""COMPUTED_VALUE"""),123.63)</f>
        <v>123.63</v>
      </c>
      <c r="L448" s="3">
        <f ca="1">IFERROR(__xludf.DUMMYFUNCTION("""COMPUTED_VALUE"""),71.32)</f>
        <v>71.319999999999993</v>
      </c>
      <c r="M448" s="3">
        <f ca="1">IFERROR(__xludf.DUMMYFUNCTION("""COMPUTED_VALUE"""),57.49)</f>
        <v>57.49</v>
      </c>
      <c r="N448" s="3">
        <f ca="1">IFERROR(__xludf.DUMMYFUNCTION("""COMPUTED_VALUE"""),61.2)</f>
        <v>61.2</v>
      </c>
      <c r="O448" s="3">
        <f ca="1">IFERROR(__xludf.DUMMYFUNCTION("""COMPUTED_VALUE"""),40.28)</f>
        <v>40.28</v>
      </c>
      <c r="P448" s="3">
        <f ca="1">IFERROR(__xludf.DUMMYFUNCTION("""COMPUTED_VALUE"""),87.56)</f>
        <v>87.56</v>
      </c>
      <c r="Q448" s="3">
        <f ca="1">IFERROR(__xludf.DUMMYFUNCTION("""COMPUTED_VALUE"""),122.97)</f>
        <v>122.97</v>
      </c>
      <c r="R448" s="3">
        <f ca="1">IFERROR(__xludf.DUMMYFUNCTION("""COMPUTED_VALUE"""),79.11)</f>
        <v>79.11</v>
      </c>
      <c r="S448" s="3">
        <f ca="1">IFERROR(__xludf.DUMMYFUNCTION("""COMPUTED_VALUE"""),52.11)</f>
        <v>52.11</v>
      </c>
      <c r="T448" s="3">
        <f ca="1">IFERROR(__xludf.DUMMYFUNCTION("""COMPUTED_VALUE"""),24.22)</f>
        <v>24.22</v>
      </c>
      <c r="U448" s="3">
        <f ca="1">IFERROR(__xludf.DUMMYFUNCTION("""COMPUTED_VALUE"""),75.67)</f>
        <v>75.67</v>
      </c>
      <c r="V448" s="3">
        <f ca="1">IFERROR(__xludf.DUMMYFUNCTION("""COMPUTED_VALUE"""),50.4)</f>
        <v>50.4</v>
      </c>
      <c r="W448" s="3">
        <f ca="1">IFERROR(__xludf.DUMMYFUNCTION("""COMPUTED_VALUE"""),33.35)</f>
        <v>33.35</v>
      </c>
      <c r="X448" s="3">
        <f ca="1">IFERROR(__xludf.DUMMYFUNCTION("""COMPUTED_VALUE"""),80.73)</f>
        <v>80.73</v>
      </c>
      <c r="Y448" s="3">
        <f ca="1">IFERROR(__xludf.DUMMYFUNCTION("""COMPUTED_VALUE"""),36.98)</f>
        <v>36.979999999999997</v>
      </c>
      <c r="Z448" s="3">
        <f ca="1">IFERROR(__xludf.DUMMYFUNCTION("""COMPUTED_VALUE"""),74.95)</f>
        <v>74.95</v>
      </c>
      <c r="AA448" s="3">
        <f ca="1">IFERROR(__xludf.DUMMYFUNCTION("""COMPUTED_VALUE"""),34.81)</f>
        <v>34.81</v>
      </c>
      <c r="AB448" s="3">
        <f ca="1">IFERROR(__xludf.DUMMYFUNCTION("""COMPUTED_VALUE"""),41.74)</f>
        <v>41.74</v>
      </c>
      <c r="AC448" s="3">
        <f ca="1">IFERROR(__xludf.DUMMYFUNCTION("""COMPUTED_VALUE"""),51.76)</f>
        <v>51.76</v>
      </c>
      <c r="AD448" s="3">
        <f ca="1">IFERROR(__xludf.DUMMYFUNCTION("""COMPUTED_VALUE"""),9.89)</f>
        <v>9.89</v>
      </c>
      <c r="AE448" s="3">
        <f ca="1">IFERROR(__xludf.DUMMYFUNCTION("""COMPUTED_VALUE"""),13.61)</f>
        <v>13.61</v>
      </c>
      <c r="AF448" s="3">
        <f ca="1">IFERROR(__xludf.DUMMYFUNCTION("""COMPUTED_VALUE"""),2.71)</f>
        <v>2.71</v>
      </c>
      <c r="AG448" s="3">
        <f ca="1">IFERROR(__xludf.DUMMYFUNCTION("""COMPUTED_VALUE"""),22.7)</f>
        <v>22.7</v>
      </c>
    </row>
    <row r="449" spans="1:33" ht="12.75" x14ac:dyDescent="0.2">
      <c r="A449" s="4">
        <f ca="1">IFERROR(__xludf.DUMMYFUNCTION("""COMPUTED_VALUE"""),45211.6666666666)</f>
        <v>45211.666666666599</v>
      </c>
      <c r="B449" s="3">
        <f ca="1">IFERROR(__xludf.DUMMYFUNCTION("""COMPUTED_VALUE"""),171.08)</f>
        <v>171.08</v>
      </c>
      <c r="C449" s="3">
        <f ca="1">IFERROR(__xludf.DUMMYFUNCTION("""COMPUTED_VALUE"""),429.93)</f>
        <v>429.93</v>
      </c>
      <c r="D449" s="3">
        <f ca="1">IFERROR(__xludf.DUMMYFUNCTION("""COMPUTED_VALUE"""),108.94)</f>
        <v>108.94</v>
      </c>
      <c r="E449" s="3">
        <f ca="1">IFERROR(__xludf.DUMMYFUNCTION("""COMPUTED_VALUE"""),163.34)</f>
        <v>163.34</v>
      </c>
      <c r="F449" s="3">
        <f ca="1">IFERROR(__xludf.DUMMYFUNCTION("""COMPUTED_VALUE"""),52.98)</f>
        <v>52.98</v>
      </c>
      <c r="G449" s="3">
        <f ca="1">IFERROR(__xludf.DUMMYFUNCTION("""COMPUTED_VALUE"""),24.53)</f>
        <v>24.53</v>
      </c>
      <c r="H449" s="3">
        <f ca="1">IFERROR(__xludf.DUMMYFUNCTION("""COMPUTED_VALUE"""),24.47)</f>
        <v>24.47</v>
      </c>
      <c r="I449" s="3">
        <f ca="1">IFERROR(__xludf.DUMMYFUNCTION("""COMPUTED_VALUE"""),129.38)</f>
        <v>129.38</v>
      </c>
      <c r="J449" s="3">
        <f ca="1">IFERROR(__xludf.DUMMYFUNCTION("""COMPUTED_VALUE"""),234.62)</f>
        <v>234.62</v>
      </c>
      <c r="K449" s="3">
        <f ca="1">IFERROR(__xludf.DUMMYFUNCTION("""COMPUTED_VALUE"""),121.14)</f>
        <v>121.14</v>
      </c>
      <c r="L449" s="3">
        <f ca="1">IFERROR(__xludf.DUMMYFUNCTION("""COMPUTED_VALUE"""),68.72)</f>
        <v>68.72</v>
      </c>
      <c r="M449" s="3">
        <f ca="1">IFERROR(__xludf.DUMMYFUNCTION("""COMPUTED_VALUE"""),56.18)</f>
        <v>56.18</v>
      </c>
      <c r="N449" s="3">
        <f ca="1">IFERROR(__xludf.DUMMYFUNCTION("""COMPUTED_VALUE"""),60.51)</f>
        <v>60.51</v>
      </c>
      <c r="O449" s="3">
        <f ca="1">IFERROR(__xludf.DUMMYFUNCTION("""COMPUTED_VALUE"""),38.6)</f>
        <v>38.6</v>
      </c>
      <c r="P449" s="3">
        <f ca="1">IFERROR(__xludf.DUMMYFUNCTION("""COMPUTED_VALUE"""),87.66)</f>
        <v>87.66</v>
      </c>
      <c r="Q449" s="3">
        <f ca="1">IFERROR(__xludf.DUMMYFUNCTION("""COMPUTED_VALUE"""),123.04)</f>
        <v>123.04</v>
      </c>
      <c r="R449" s="3">
        <f ca="1">IFERROR(__xludf.DUMMYFUNCTION("""COMPUTED_VALUE"""),77.93)</f>
        <v>77.930000000000007</v>
      </c>
      <c r="S449" s="3">
        <f ca="1">IFERROR(__xludf.DUMMYFUNCTION("""COMPUTED_VALUE"""),50.44)</f>
        <v>50.44</v>
      </c>
      <c r="T449" s="3">
        <f ca="1">IFERROR(__xludf.DUMMYFUNCTION("""COMPUTED_VALUE"""),24.21)</f>
        <v>24.21</v>
      </c>
      <c r="U449" s="3">
        <f ca="1">IFERROR(__xludf.DUMMYFUNCTION("""COMPUTED_VALUE"""),75.42)</f>
        <v>75.42</v>
      </c>
      <c r="V449" s="3">
        <f ca="1">IFERROR(__xludf.DUMMYFUNCTION("""COMPUTED_VALUE"""),49)</f>
        <v>49</v>
      </c>
      <c r="W449" s="3">
        <f ca="1">IFERROR(__xludf.DUMMYFUNCTION("""COMPUTED_VALUE"""),33.14)</f>
        <v>33.14</v>
      </c>
      <c r="X449" s="3">
        <f ca="1">IFERROR(__xludf.DUMMYFUNCTION("""COMPUTED_VALUE"""),80.12)</f>
        <v>80.12</v>
      </c>
      <c r="Y449" s="3">
        <f ca="1">IFERROR(__xludf.DUMMYFUNCTION("""COMPUTED_VALUE"""),36.49)</f>
        <v>36.49</v>
      </c>
      <c r="Z449" s="3">
        <f ca="1">IFERROR(__xludf.DUMMYFUNCTION("""COMPUTED_VALUE"""),74.32)</f>
        <v>74.319999999999993</v>
      </c>
      <c r="AA449" s="3">
        <f ca="1">IFERROR(__xludf.DUMMYFUNCTION("""COMPUTED_VALUE"""),34.35)</f>
        <v>34.35</v>
      </c>
      <c r="AB449" s="3">
        <f ca="1">IFERROR(__xludf.DUMMYFUNCTION("""COMPUTED_VALUE"""),41.23)</f>
        <v>41.23</v>
      </c>
      <c r="AC449" s="3">
        <f ca="1">IFERROR(__xludf.DUMMYFUNCTION("""COMPUTED_VALUE"""),52.04)</f>
        <v>52.04</v>
      </c>
      <c r="AD449" s="3">
        <f ca="1">IFERROR(__xludf.DUMMYFUNCTION("""COMPUTED_VALUE"""),9.84)</f>
        <v>9.84</v>
      </c>
      <c r="AE449" s="3">
        <f ca="1">IFERROR(__xludf.DUMMYFUNCTION("""COMPUTED_VALUE"""),13.58)</f>
        <v>13.58</v>
      </c>
      <c r="AF449" s="3">
        <f ca="1">IFERROR(__xludf.DUMMYFUNCTION("""COMPUTED_VALUE"""),2.7)</f>
        <v>2.7</v>
      </c>
      <c r="AG449" s="3">
        <f ca="1">IFERROR(__xludf.DUMMYFUNCTION("""COMPUTED_VALUE"""),21.96)</f>
        <v>21.96</v>
      </c>
    </row>
    <row r="450" spans="1:33" ht="12.75" x14ac:dyDescent="0.2">
      <c r="A450" s="4">
        <f ca="1">IFERROR(__xludf.DUMMYFUNCTION("""COMPUTED_VALUE"""),45212.6666666666)</f>
        <v>45212.666666666599</v>
      </c>
      <c r="B450" s="3">
        <f ca="1">IFERROR(__xludf.DUMMYFUNCTION("""COMPUTED_VALUE"""),168.63)</f>
        <v>168.63</v>
      </c>
      <c r="C450" s="3">
        <f ca="1">IFERROR(__xludf.DUMMYFUNCTION("""COMPUTED_VALUE"""),423.04)</f>
        <v>423.04</v>
      </c>
      <c r="D450" s="3">
        <f ca="1">IFERROR(__xludf.DUMMYFUNCTION("""COMPUTED_VALUE"""),107.57)</f>
        <v>107.57</v>
      </c>
      <c r="E450" s="3">
        <f ca="1">IFERROR(__xludf.DUMMYFUNCTION("""COMPUTED_VALUE"""),158.9)</f>
        <v>158.9</v>
      </c>
      <c r="F450" s="3">
        <f ca="1">IFERROR(__xludf.DUMMYFUNCTION("""COMPUTED_VALUE"""),52.57)</f>
        <v>52.57</v>
      </c>
      <c r="G450" s="3">
        <f ca="1">IFERROR(__xludf.DUMMYFUNCTION("""COMPUTED_VALUE"""),24.29)</f>
        <v>24.29</v>
      </c>
      <c r="H450" s="3">
        <f ca="1">IFERROR(__xludf.DUMMYFUNCTION("""COMPUTED_VALUE"""),24.32)</f>
        <v>24.32</v>
      </c>
      <c r="I450" s="3">
        <f ca="1">IFERROR(__xludf.DUMMYFUNCTION("""COMPUTED_VALUE"""),130.19)</f>
        <v>130.19</v>
      </c>
      <c r="J450" s="3">
        <f ca="1">IFERROR(__xludf.DUMMYFUNCTION("""COMPUTED_VALUE"""),236.04)</f>
        <v>236.04</v>
      </c>
      <c r="K450" s="3">
        <f ca="1">IFERROR(__xludf.DUMMYFUNCTION("""COMPUTED_VALUE"""),121.63)</f>
        <v>121.63</v>
      </c>
      <c r="L450" s="3">
        <f ca="1">IFERROR(__xludf.DUMMYFUNCTION("""COMPUTED_VALUE"""),69.6)</f>
        <v>69.599999999999994</v>
      </c>
      <c r="M450" s="3">
        <f ca="1">IFERROR(__xludf.DUMMYFUNCTION("""COMPUTED_VALUE"""),56.48)</f>
        <v>56.48</v>
      </c>
      <c r="N450" s="3">
        <f ca="1">IFERROR(__xludf.DUMMYFUNCTION("""COMPUTED_VALUE"""),60.85)</f>
        <v>60.85</v>
      </c>
      <c r="O450" s="3">
        <f ca="1">IFERROR(__xludf.DUMMYFUNCTION("""COMPUTED_VALUE"""),38.88)</f>
        <v>38.880000000000003</v>
      </c>
      <c r="P450" s="3">
        <f ca="1">IFERROR(__xludf.DUMMYFUNCTION("""COMPUTED_VALUE"""),89.59)</f>
        <v>89.59</v>
      </c>
      <c r="Q450" s="3">
        <f ca="1">IFERROR(__xludf.DUMMYFUNCTION("""COMPUTED_VALUE"""),125.78)</f>
        <v>125.78</v>
      </c>
      <c r="R450" s="3">
        <f ca="1">IFERROR(__xludf.DUMMYFUNCTION("""COMPUTED_VALUE"""),77.64)</f>
        <v>77.64</v>
      </c>
      <c r="S450" s="3">
        <f ca="1">IFERROR(__xludf.DUMMYFUNCTION("""COMPUTED_VALUE"""),50.44)</f>
        <v>50.44</v>
      </c>
      <c r="T450" s="3">
        <f ca="1">IFERROR(__xludf.DUMMYFUNCTION("""COMPUTED_VALUE"""),24.85)</f>
        <v>24.85</v>
      </c>
      <c r="U450" s="3">
        <f ca="1">IFERROR(__xludf.DUMMYFUNCTION("""COMPUTED_VALUE"""),78.99)</f>
        <v>78.989999999999995</v>
      </c>
      <c r="V450" s="3">
        <f ca="1">IFERROR(__xludf.DUMMYFUNCTION("""COMPUTED_VALUE"""),48.33)</f>
        <v>48.33</v>
      </c>
      <c r="W450" s="3">
        <f ca="1">IFERROR(__xludf.DUMMYFUNCTION("""COMPUTED_VALUE"""),33.21)</f>
        <v>33.21</v>
      </c>
      <c r="X450" s="3">
        <f ca="1">IFERROR(__xludf.DUMMYFUNCTION("""COMPUTED_VALUE"""),80.1)</f>
        <v>80.099999999999994</v>
      </c>
      <c r="Y450" s="3">
        <f ca="1">IFERROR(__xludf.DUMMYFUNCTION("""COMPUTED_VALUE"""),35.98)</f>
        <v>35.979999999999997</v>
      </c>
      <c r="Z450" s="3">
        <f ca="1">IFERROR(__xludf.DUMMYFUNCTION("""COMPUTED_VALUE"""),74.47)</f>
        <v>74.47</v>
      </c>
      <c r="AA450" s="3">
        <f ca="1">IFERROR(__xludf.DUMMYFUNCTION("""COMPUTED_VALUE"""),34.34)</f>
        <v>34.340000000000003</v>
      </c>
      <c r="AB450" s="3">
        <f ca="1">IFERROR(__xludf.DUMMYFUNCTION("""COMPUTED_VALUE"""),40.42)</f>
        <v>40.42</v>
      </c>
      <c r="AC450" s="3">
        <f ca="1">IFERROR(__xludf.DUMMYFUNCTION("""COMPUTED_VALUE"""),51.03)</f>
        <v>51.03</v>
      </c>
      <c r="AD450" s="3">
        <f ca="1">IFERROR(__xludf.DUMMYFUNCTION("""COMPUTED_VALUE"""),9.89)</f>
        <v>9.89</v>
      </c>
      <c r="AE450" s="3">
        <f ca="1">IFERROR(__xludf.DUMMYFUNCTION("""COMPUTED_VALUE"""),13.62)</f>
        <v>13.62</v>
      </c>
      <c r="AF450" s="3">
        <f ca="1">IFERROR(__xludf.DUMMYFUNCTION("""COMPUTED_VALUE"""),2.64)</f>
        <v>2.64</v>
      </c>
      <c r="AG450" s="3">
        <f ca="1">IFERROR(__xludf.DUMMYFUNCTION("""COMPUTED_VALUE"""),21.73)</f>
        <v>21.73</v>
      </c>
    </row>
    <row r="451" spans="1:33" ht="12.75" x14ac:dyDescent="0.2">
      <c r="A451" s="4">
        <f ca="1">IFERROR(__xludf.DUMMYFUNCTION("""COMPUTED_VALUE"""),45215.6666666666)</f>
        <v>45215.666666666599</v>
      </c>
      <c r="B451" s="3">
        <f ca="1">IFERROR(__xludf.DUMMYFUNCTION("""COMPUTED_VALUE"""),170.25)</f>
        <v>170.25</v>
      </c>
      <c r="C451" s="3">
        <f ca="1">IFERROR(__xludf.DUMMYFUNCTION("""COMPUTED_VALUE"""),427.9)</f>
        <v>427.9</v>
      </c>
      <c r="D451" s="3">
        <f ca="1">IFERROR(__xludf.DUMMYFUNCTION("""COMPUTED_VALUE"""),106.93)</f>
        <v>106.93</v>
      </c>
      <c r="E451" s="3">
        <f ca="1">IFERROR(__xludf.DUMMYFUNCTION("""COMPUTED_VALUE"""),161.15)</f>
        <v>161.15</v>
      </c>
      <c r="F451" s="3">
        <f ca="1">IFERROR(__xludf.DUMMYFUNCTION("""COMPUTED_VALUE"""),53.5)</f>
        <v>53.5</v>
      </c>
      <c r="G451" s="3">
        <f ca="1">IFERROR(__xludf.DUMMYFUNCTION("""COMPUTED_VALUE"""),24.5)</f>
        <v>24.5</v>
      </c>
      <c r="H451" s="3">
        <f ca="1">IFERROR(__xludf.DUMMYFUNCTION("""COMPUTED_VALUE"""),24.64)</f>
        <v>24.64</v>
      </c>
      <c r="I451" s="3">
        <f ca="1">IFERROR(__xludf.DUMMYFUNCTION("""COMPUTED_VALUE"""),131.17)</f>
        <v>131.16999999999999</v>
      </c>
      <c r="J451" s="3">
        <f ca="1">IFERROR(__xludf.DUMMYFUNCTION("""COMPUTED_VALUE"""),237.88)</f>
        <v>237.88</v>
      </c>
      <c r="K451" s="3">
        <f ca="1">IFERROR(__xludf.DUMMYFUNCTION("""COMPUTED_VALUE"""),122.3)</f>
        <v>122.3</v>
      </c>
      <c r="L451" s="3">
        <f ca="1">IFERROR(__xludf.DUMMYFUNCTION("""COMPUTED_VALUE"""),70.21)</f>
        <v>70.209999999999994</v>
      </c>
      <c r="M451" s="3">
        <f ca="1">IFERROR(__xludf.DUMMYFUNCTION("""COMPUTED_VALUE"""),57.06)</f>
        <v>57.06</v>
      </c>
      <c r="N451" s="3">
        <f ca="1">IFERROR(__xludf.DUMMYFUNCTION("""COMPUTED_VALUE"""),61.33)</f>
        <v>61.33</v>
      </c>
      <c r="O451" s="3">
        <f ca="1">IFERROR(__xludf.DUMMYFUNCTION("""COMPUTED_VALUE"""),39.12)</f>
        <v>39.119999999999997</v>
      </c>
      <c r="P451" s="3">
        <f ca="1">IFERROR(__xludf.DUMMYFUNCTION("""COMPUTED_VALUE"""),90.19)</f>
        <v>90.19</v>
      </c>
      <c r="Q451" s="3">
        <f ca="1">IFERROR(__xludf.DUMMYFUNCTION("""COMPUTED_VALUE"""),126.41)</f>
        <v>126.41</v>
      </c>
      <c r="R451" s="3">
        <f ca="1">IFERROR(__xludf.DUMMYFUNCTION("""COMPUTED_VALUE"""),78.4)</f>
        <v>78.400000000000006</v>
      </c>
      <c r="S451" s="3">
        <f ca="1">IFERROR(__xludf.DUMMYFUNCTION("""COMPUTED_VALUE"""),50.92)</f>
        <v>50.92</v>
      </c>
      <c r="T451" s="3">
        <f ca="1">IFERROR(__xludf.DUMMYFUNCTION("""COMPUTED_VALUE"""),24.77)</f>
        <v>24.77</v>
      </c>
      <c r="U451" s="3">
        <f ca="1">IFERROR(__xludf.DUMMYFUNCTION("""COMPUTED_VALUE"""),78.39)</f>
        <v>78.39</v>
      </c>
      <c r="V451" s="3">
        <f ca="1">IFERROR(__xludf.DUMMYFUNCTION("""COMPUTED_VALUE"""),48.97)</f>
        <v>48.97</v>
      </c>
      <c r="W451" s="3">
        <f ca="1">IFERROR(__xludf.DUMMYFUNCTION("""COMPUTED_VALUE"""),33.56)</f>
        <v>33.56</v>
      </c>
      <c r="X451" s="3">
        <f ca="1">IFERROR(__xludf.DUMMYFUNCTION("""COMPUTED_VALUE"""),81.03)</f>
        <v>81.03</v>
      </c>
      <c r="Y451" s="3">
        <f ca="1">IFERROR(__xludf.DUMMYFUNCTION("""COMPUTED_VALUE"""),36.81)</f>
        <v>36.81</v>
      </c>
      <c r="Z451" s="3">
        <f ca="1">IFERROR(__xludf.DUMMYFUNCTION("""COMPUTED_VALUE"""),75.28)</f>
        <v>75.28</v>
      </c>
      <c r="AA451" s="3">
        <f ca="1">IFERROR(__xludf.DUMMYFUNCTION("""COMPUTED_VALUE"""),34.69)</f>
        <v>34.69</v>
      </c>
      <c r="AB451" s="3">
        <f ca="1">IFERROR(__xludf.DUMMYFUNCTION("""COMPUTED_VALUE"""),41.45)</f>
        <v>41.45</v>
      </c>
      <c r="AC451" s="3">
        <f ca="1">IFERROR(__xludf.DUMMYFUNCTION("""COMPUTED_VALUE"""),50.42)</f>
        <v>50.42</v>
      </c>
      <c r="AD451" s="3">
        <f ca="1">IFERROR(__xludf.DUMMYFUNCTION("""COMPUTED_VALUE"""),10.5)</f>
        <v>10.5</v>
      </c>
      <c r="AE451" s="3">
        <f ca="1">IFERROR(__xludf.DUMMYFUNCTION("""COMPUTED_VALUE"""),14.52)</f>
        <v>14.52</v>
      </c>
      <c r="AF451" s="3">
        <f ca="1">IFERROR(__xludf.DUMMYFUNCTION("""COMPUTED_VALUE"""),2.62)</f>
        <v>2.62</v>
      </c>
      <c r="AG451" s="3">
        <f ca="1">IFERROR(__xludf.DUMMYFUNCTION("""COMPUTED_VALUE"""),22.95)</f>
        <v>22.95</v>
      </c>
    </row>
    <row r="452" spans="1:33" ht="12.75" x14ac:dyDescent="0.2">
      <c r="A452" s="4">
        <f ca="1">IFERROR(__xludf.DUMMYFUNCTION("""COMPUTED_VALUE"""),45216.6666666666)</f>
        <v>45216.666666666599</v>
      </c>
      <c r="B452" s="3">
        <f ca="1">IFERROR(__xludf.DUMMYFUNCTION("""COMPUTED_VALUE"""),169.46)</f>
        <v>169.46</v>
      </c>
      <c r="C452" s="3">
        <f ca="1">IFERROR(__xludf.DUMMYFUNCTION("""COMPUTED_VALUE"""),426.07)</f>
        <v>426.07</v>
      </c>
      <c r="D452" s="3">
        <f ca="1">IFERROR(__xludf.DUMMYFUNCTION("""COMPUTED_VALUE"""),105.03)</f>
        <v>105.03</v>
      </c>
      <c r="E452" s="3">
        <f ca="1">IFERROR(__xludf.DUMMYFUNCTION("""COMPUTED_VALUE"""),159.97)</f>
        <v>159.97</v>
      </c>
      <c r="F452" s="3">
        <f ca="1">IFERROR(__xludf.DUMMYFUNCTION("""COMPUTED_VALUE"""),53.59)</f>
        <v>53.59</v>
      </c>
      <c r="G452" s="3">
        <f ca="1">IFERROR(__xludf.DUMMYFUNCTION("""COMPUTED_VALUE"""),24.48)</f>
        <v>24.48</v>
      </c>
      <c r="H452" s="3">
        <f ca="1">IFERROR(__xludf.DUMMYFUNCTION("""COMPUTED_VALUE"""),24.7)</f>
        <v>24.7</v>
      </c>
      <c r="I452" s="3">
        <f ca="1">IFERROR(__xludf.DUMMYFUNCTION("""COMPUTED_VALUE"""),130.99)</f>
        <v>130.99</v>
      </c>
      <c r="J452" s="3">
        <f ca="1">IFERROR(__xludf.DUMMYFUNCTION("""COMPUTED_VALUE"""),237.87)</f>
        <v>237.87</v>
      </c>
      <c r="K452" s="3">
        <f ca="1">IFERROR(__xludf.DUMMYFUNCTION("""COMPUTED_VALUE"""),122.14)</f>
        <v>122.14</v>
      </c>
      <c r="L452" s="3">
        <f ca="1">IFERROR(__xludf.DUMMYFUNCTION("""COMPUTED_VALUE"""),70.3)</f>
        <v>70.3</v>
      </c>
      <c r="M452" s="3">
        <f ca="1">IFERROR(__xludf.DUMMYFUNCTION("""COMPUTED_VALUE"""),57.44)</f>
        <v>57.44</v>
      </c>
      <c r="N452" s="3">
        <f ca="1">IFERROR(__xludf.DUMMYFUNCTION("""COMPUTED_VALUE"""),61.38)</f>
        <v>61.38</v>
      </c>
      <c r="O452" s="3">
        <f ca="1">IFERROR(__xludf.DUMMYFUNCTION("""COMPUTED_VALUE"""),39.16)</f>
        <v>39.159999999999997</v>
      </c>
      <c r="P452" s="3">
        <f ca="1">IFERROR(__xludf.DUMMYFUNCTION("""COMPUTED_VALUE"""),91.13)</f>
        <v>91.13</v>
      </c>
      <c r="Q452" s="3">
        <f ca="1">IFERROR(__xludf.DUMMYFUNCTION("""COMPUTED_VALUE"""),127.77)</f>
        <v>127.77</v>
      </c>
      <c r="R452" s="3">
        <f ca="1">IFERROR(__xludf.DUMMYFUNCTION("""COMPUTED_VALUE"""),79.17)</f>
        <v>79.17</v>
      </c>
      <c r="S452" s="3">
        <f ca="1">IFERROR(__xludf.DUMMYFUNCTION("""COMPUTED_VALUE"""),51.99)</f>
        <v>51.99</v>
      </c>
      <c r="T452" s="3">
        <f ca="1">IFERROR(__xludf.DUMMYFUNCTION("""COMPUTED_VALUE"""),24.84)</f>
        <v>24.84</v>
      </c>
      <c r="U452" s="3">
        <f ca="1">IFERROR(__xludf.DUMMYFUNCTION("""COMPUTED_VALUE"""),78.8)</f>
        <v>78.8</v>
      </c>
      <c r="V452" s="3">
        <f ca="1">IFERROR(__xludf.DUMMYFUNCTION("""COMPUTED_VALUE"""),49.68)</f>
        <v>49.68</v>
      </c>
      <c r="W452" s="3">
        <f ca="1">IFERROR(__xludf.DUMMYFUNCTION("""COMPUTED_VALUE"""),33.72)</f>
        <v>33.72</v>
      </c>
      <c r="X452" s="3">
        <f ca="1">IFERROR(__xludf.DUMMYFUNCTION("""COMPUTED_VALUE"""),81.68)</f>
        <v>81.680000000000007</v>
      </c>
      <c r="Y452" s="3">
        <f ca="1">IFERROR(__xludf.DUMMYFUNCTION("""COMPUTED_VALUE"""),37.53)</f>
        <v>37.53</v>
      </c>
      <c r="Z452" s="3">
        <f ca="1">IFERROR(__xludf.DUMMYFUNCTION("""COMPUTED_VALUE"""),75.77)</f>
        <v>75.77</v>
      </c>
      <c r="AA452" s="3">
        <f ca="1">IFERROR(__xludf.DUMMYFUNCTION("""COMPUTED_VALUE"""),34.51)</f>
        <v>34.51</v>
      </c>
      <c r="AB452" s="3">
        <f ca="1">IFERROR(__xludf.DUMMYFUNCTION("""COMPUTED_VALUE"""),42.33)</f>
        <v>42.33</v>
      </c>
      <c r="AC452" s="3">
        <f ca="1">IFERROR(__xludf.DUMMYFUNCTION("""COMPUTED_VALUE"""),49.6)</f>
        <v>49.6</v>
      </c>
      <c r="AD452" s="3">
        <f ca="1">IFERROR(__xludf.DUMMYFUNCTION("""COMPUTED_VALUE"""),10.53)</f>
        <v>10.53</v>
      </c>
      <c r="AE452" s="3">
        <f ca="1">IFERROR(__xludf.DUMMYFUNCTION("""COMPUTED_VALUE"""),14.54)</f>
        <v>14.54</v>
      </c>
      <c r="AF452" s="3">
        <f ca="1">IFERROR(__xludf.DUMMYFUNCTION("""COMPUTED_VALUE"""),2.59)</f>
        <v>2.59</v>
      </c>
      <c r="AG452" s="3">
        <f ca="1">IFERROR(__xludf.DUMMYFUNCTION("""COMPUTED_VALUE"""),23.43)</f>
        <v>23.43</v>
      </c>
    </row>
    <row r="453" spans="1:33" ht="12.75" x14ac:dyDescent="0.2">
      <c r="A453" s="4">
        <f ca="1">IFERROR(__xludf.DUMMYFUNCTION("""COMPUTED_VALUE"""),45217.6666666666)</f>
        <v>45217.666666666599</v>
      </c>
      <c r="B453" s="3">
        <f ca="1">IFERROR(__xludf.DUMMYFUNCTION("""COMPUTED_VALUE"""),167.72)</f>
        <v>167.72</v>
      </c>
      <c r="C453" s="3">
        <f ca="1">IFERROR(__xludf.DUMMYFUNCTION("""COMPUTED_VALUE"""),420.23)</f>
        <v>420.23</v>
      </c>
      <c r="D453" s="3">
        <f ca="1">IFERROR(__xludf.DUMMYFUNCTION("""COMPUTED_VALUE"""),105.24)</f>
        <v>105.24</v>
      </c>
      <c r="E453" s="3">
        <f ca="1">IFERROR(__xludf.DUMMYFUNCTION("""COMPUTED_VALUE"""),157.09)</f>
        <v>157.09</v>
      </c>
      <c r="F453" s="3">
        <f ca="1">IFERROR(__xludf.DUMMYFUNCTION("""COMPUTED_VALUE"""),53.11)</f>
        <v>53.11</v>
      </c>
      <c r="G453" s="3">
        <f ca="1">IFERROR(__xludf.DUMMYFUNCTION("""COMPUTED_VALUE"""),23.71)</f>
        <v>23.71</v>
      </c>
      <c r="H453" s="3">
        <f ca="1">IFERROR(__xludf.DUMMYFUNCTION("""COMPUTED_VALUE"""),24.25)</f>
        <v>24.25</v>
      </c>
      <c r="I453" s="3">
        <f ca="1">IFERROR(__xludf.DUMMYFUNCTION("""COMPUTED_VALUE"""),129.85)</f>
        <v>129.85</v>
      </c>
      <c r="J453" s="3">
        <f ca="1">IFERROR(__xludf.DUMMYFUNCTION("""COMPUTED_VALUE"""),235.44)</f>
        <v>235.44</v>
      </c>
      <c r="K453" s="3">
        <f ca="1">IFERROR(__xludf.DUMMYFUNCTION("""COMPUTED_VALUE"""),119.57)</f>
        <v>119.57</v>
      </c>
      <c r="L453" s="3">
        <f ca="1">IFERROR(__xludf.DUMMYFUNCTION("""COMPUTED_VALUE"""),68.49)</f>
        <v>68.489999999999995</v>
      </c>
      <c r="M453" s="3">
        <f ca="1">IFERROR(__xludf.DUMMYFUNCTION("""COMPUTED_VALUE"""),56.35)</f>
        <v>56.35</v>
      </c>
      <c r="N453" s="3">
        <f ca="1">IFERROR(__xludf.DUMMYFUNCTION("""COMPUTED_VALUE"""),60.75)</f>
        <v>60.75</v>
      </c>
      <c r="O453" s="3">
        <f ca="1">IFERROR(__xludf.DUMMYFUNCTION("""COMPUTED_VALUE"""),37.68)</f>
        <v>37.68</v>
      </c>
      <c r="P453" s="3">
        <f ca="1">IFERROR(__xludf.DUMMYFUNCTION("""COMPUTED_VALUE"""),91.96)</f>
        <v>91.96</v>
      </c>
      <c r="Q453" s="3">
        <f ca="1">IFERROR(__xludf.DUMMYFUNCTION("""COMPUTED_VALUE"""),128.78)</f>
        <v>128.78</v>
      </c>
      <c r="R453" s="3">
        <f ca="1">IFERROR(__xludf.DUMMYFUNCTION("""COMPUTED_VALUE"""),77.12)</f>
        <v>77.12</v>
      </c>
      <c r="S453" s="3">
        <f ca="1">IFERROR(__xludf.DUMMYFUNCTION("""COMPUTED_VALUE"""),50.64)</f>
        <v>50.64</v>
      </c>
      <c r="T453" s="3">
        <f ca="1">IFERROR(__xludf.DUMMYFUNCTION("""COMPUTED_VALUE"""),25.06)</f>
        <v>25.06</v>
      </c>
      <c r="U453" s="3">
        <f ca="1">IFERROR(__xludf.DUMMYFUNCTION("""COMPUTED_VALUE"""),79.84)</f>
        <v>79.84</v>
      </c>
      <c r="V453" s="3">
        <f ca="1">IFERROR(__xludf.DUMMYFUNCTION("""COMPUTED_VALUE"""),48.23)</f>
        <v>48.23</v>
      </c>
      <c r="W453" s="3">
        <f ca="1">IFERROR(__xludf.DUMMYFUNCTION("""COMPUTED_VALUE"""),33.14)</f>
        <v>33.14</v>
      </c>
      <c r="X453" s="3">
        <f ca="1">IFERROR(__xludf.DUMMYFUNCTION("""COMPUTED_VALUE"""),80.19)</f>
        <v>80.19</v>
      </c>
      <c r="Y453" s="3">
        <f ca="1">IFERROR(__xludf.DUMMYFUNCTION("""COMPUTED_VALUE"""),36.58)</f>
        <v>36.58</v>
      </c>
      <c r="Z453" s="3">
        <f ca="1">IFERROR(__xludf.DUMMYFUNCTION("""COMPUTED_VALUE"""),74.45)</f>
        <v>74.45</v>
      </c>
      <c r="AA453" s="3">
        <f ca="1">IFERROR(__xludf.DUMMYFUNCTION("""COMPUTED_VALUE"""),33.75)</f>
        <v>33.75</v>
      </c>
      <c r="AB453" s="3">
        <f ca="1">IFERROR(__xludf.DUMMYFUNCTION("""COMPUTED_VALUE"""),41.18)</f>
        <v>41.18</v>
      </c>
      <c r="AC453" s="3">
        <f ca="1">IFERROR(__xludf.DUMMYFUNCTION("""COMPUTED_VALUE"""),49.3)</f>
        <v>49.3</v>
      </c>
      <c r="AD453" s="3">
        <f ca="1">IFERROR(__xludf.DUMMYFUNCTION("""COMPUTED_VALUE"""),10.42)</f>
        <v>10.42</v>
      </c>
      <c r="AE453" s="3">
        <f ca="1">IFERROR(__xludf.DUMMYFUNCTION("""COMPUTED_VALUE"""),14.38)</f>
        <v>14.38</v>
      </c>
      <c r="AF453" s="3">
        <f ca="1">IFERROR(__xludf.DUMMYFUNCTION("""COMPUTED_VALUE"""),2.64)</f>
        <v>2.64</v>
      </c>
      <c r="AG453" s="3">
        <f ca="1">IFERROR(__xludf.DUMMYFUNCTION("""COMPUTED_VALUE"""),21.97)</f>
        <v>21.97</v>
      </c>
    </row>
    <row r="454" spans="1:33" ht="12.75" x14ac:dyDescent="0.2">
      <c r="A454" s="4">
        <f ca="1">IFERROR(__xludf.DUMMYFUNCTION("""COMPUTED_VALUE"""),45218.6666666666)</f>
        <v>45218.666666666599</v>
      </c>
      <c r="B454" s="3">
        <f ca="1">IFERROR(__xludf.DUMMYFUNCTION("""COMPUTED_VALUE"""),166.76)</f>
        <v>166.76</v>
      </c>
      <c r="C454" s="3">
        <f ca="1">IFERROR(__xludf.DUMMYFUNCTION("""COMPUTED_VALUE"""),417.24)</f>
        <v>417.24</v>
      </c>
      <c r="D454" s="3">
        <f ca="1">IFERROR(__xludf.DUMMYFUNCTION("""COMPUTED_VALUE"""),106.19)</f>
        <v>106.19</v>
      </c>
      <c r="E454" s="3">
        <f ca="1">IFERROR(__xludf.DUMMYFUNCTION("""COMPUTED_VALUE"""),154.67)</f>
        <v>154.66999999999999</v>
      </c>
      <c r="F454" s="3">
        <f ca="1">IFERROR(__xludf.DUMMYFUNCTION("""COMPUTED_VALUE"""),52.59)</f>
        <v>52.59</v>
      </c>
      <c r="G454" s="3">
        <f ca="1">IFERROR(__xludf.DUMMYFUNCTION("""COMPUTED_VALUE"""),23.52)</f>
        <v>23.52</v>
      </c>
      <c r="H454" s="3">
        <f ca="1">IFERROR(__xludf.DUMMYFUNCTION("""COMPUTED_VALUE"""),23.87)</f>
        <v>23.87</v>
      </c>
      <c r="I454" s="3">
        <f ca="1">IFERROR(__xludf.DUMMYFUNCTION("""COMPUTED_VALUE"""),128.57)</f>
        <v>128.57</v>
      </c>
      <c r="J454" s="3">
        <f ca="1">IFERROR(__xludf.DUMMYFUNCTION("""COMPUTED_VALUE"""),233)</f>
        <v>233</v>
      </c>
      <c r="K454" s="3">
        <f ca="1">IFERROR(__xludf.DUMMYFUNCTION("""COMPUTED_VALUE"""),117.61)</f>
        <v>117.61</v>
      </c>
      <c r="L454" s="3">
        <f ca="1">IFERROR(__xludf.DUMMYFUNCTION("""COMPUTED_VALUE"""),67.09)</f>
        <v>67.09</v>
      </c>
      <c r="M454" s="3">
        <f ca="1">IFERROR(__xludf.DUMMYFUNCTION("""COMPUTED_VALUE"""),55.55)</f>
        <v>55.55</v>
      </c>
      <c r="N454" s="3">
        <f ca="1">IFERROR(__xludf.DUMMYFUNCTION("""COMPUTED_VALUE"""),60.12)</f>
        <v>60.12</v>
      </c>
      <c r="O454" s="3">
        <f ca="1">IFERROR(__xludf.DUMMYFUNCTION("""COMPUTED_VALUE"""),36.88)</f>
        <v>36.880000000000003</v>
      </c>
      <c r="P454" s="3">
        <f ca="1">IFERROR(__xludf.DUMMYFUNCTION("""COMPUTED_VALUE"""),91.8)</f>
        <v>91.8</v>
      </c>
      <c r="Q454" s="3">
        <f ca="1">IFERROR(__xludf.DUMMYFUNCTION("""COMPUTED_VALUE"""),128.68)</f>
        <v>128.68</v>
      </c>
      <c r="R454" s="3">
        <f ca="1">IFERROR(__xludf.DUMMYFUNCTION("""COMPUTED_VALUE"""),76.22)</f>
        <v>76.22</v>
      </c>
      <c r="S454" s="3">
        <f ca="1">IFERROR(__xludf.DUMMYFUNCTION("""COMPUTED_VALUE"""),49.66)</f>
        <v>49.66</v>
      </c>
      <c r="T454" s="3">
        <f ca="1">IFERROR(__xludf.DUMMYFUNCTION("""COMPUTED_VALUE"""),25.32)</f>
        <v>25.32</v>
      </c>
      <c r="U454" s="3">
        <f ca="1">IFERROR(__xludf.DUMMYFUNCTION("""COMPUTED_VALUE"""),81.68)</f>
        <v>81.680000000000007</v>
      </c>
      <c r="V454" s="3">
        <f ca="1">IFERROR(__xludf.DUMMYFUNCTION("""COMPUTED_VALUE"""),46.75)</f>
        <v>46.75</v>
      </c>
      <c r="W454" s="3">
        <f ca="1">IFERROR(__xludf.DUMMYFUNCTION("""COMPUTED_VALUE"""),32.7)</f>
        <v>32.700000000000003</v>
      </c>
      <c r="X454" s="3">
        <f ca="1">IFERROR(__xludf.DUMMYFUNCTION("""COMPUTED_VALUE"""),79.05)</f>
        <v>79.05</v>
      </c>
      <c r="Y454" s="3">
        <f ca="1">IFERROR(__xludf.DUMMYFUNCTION("""COMPUTED_VALUE"""),36.14)</f>
        <v>36.14</v>
      </c>
      <c r="Z454" s="3">
        <f ca="1">IFERROR(__xludf.DUMMYFUNCTION("""COMPUTED_VALUE"""),73.46)</f>
        <v>73.459999999999994</v>
      </c>
      <c r="AA454" s="3">
        <f ca="1">IFERROR(__xludf.DUMMYFUNCTION("""COMPUTED_VALUE"""),32.92)</f>
        <v>32.92</v>
      </c>
      <c r="AB454" s="3">
        <f ca="1">IFERROR(__xludf.DUMMYFUNCTION("""COMPUTED_VALUE"""),40.73)</f>
        <v>40.729999999999997</v>
      </c>
      <c r="AC454" s="3">
        <f ca="1">IFERROR(__xludf.DUMMYFUNCTION("""COMPUTED_VALUE"""),49.51)</f>
        <v>49.51</v>
      </c>
      <c r="AD454" s="3">
        <f ca="1">IFERROR(__xludf.DUMMYFUNCTION("""COMPUTED_VALUE"""),10.6)</f>
        <v>10.6</v>
      </c>
      <c r="AE454" s="3">
        <f ca="1">IFERROR(__xludf.DUMMYFUNCTION("""COMPUTED_VALUE"""),14.69)</f>
        <v>14.69</v>
      </c>
      <c r="AF454" s="3">
        <f ca="1">IFERROR(__xludf.DUMMYFUNCTION("""COMPUTED_VALUE"""),2.69)</f>
        <v>2.69</v>
      </c>
      <c r="AG454" s="3">
        <f ca="1">IFERROR(__xludf.DUMMYFUNCTION("""COMPUTED_VALUE"""),21.9)</f>
        <v>21.9</v>
      </c>
    </row>
    <row r="455" spans="1:33" ht="12.75" x14ac:dyDescent="0.2">
      <c r="A455" s="4">
        <f ca="1">IFERROR(__xludf.DUMMYFUNCTION("""COMPUTED_VALUE"""),45219.6666666666)</f>
        <v>45219.666666666599</v>
      </c>
      <c r="B455" s="3">
        <f ca="1">IFERROR(__xludf.DUMMYFUNCTION("""COMPUTED_VALUE"""),163.94)</f>
        <v>163.94</v>
      </c>
      <c r="C455" s="3">
        <f ca="1">IFERROR(__xludf.DUMMYFUNCTION("""COMPUTED_VALUE"""),409.88)</f>
        <v>409.88</v>
      </c>
      <c r="D455" s="3">
        <f ca="1">IFERROR(__xludf.DUMMYFUNCTION("""COMPUTED_VALUE"""),103.33)</f>
        <v>103.33</v>
      </c>
      <c r="E455" s="3">
        <f ca="1">IFERROR(__xludf.DUMMYFUNCTION("""COMPUTED_VALUE"""),152.43)</f>
        <v>152.43</v>
      </c>
      <c r="F455" s="3">
        <f ca="1">IFERROR(__xludf.DUMMYFUNCTION("""COMPUTED_VALUE"""),51.4)</f>
        <v>51.4</v>
      </c>
      <c r="G455" s="3">
        <f ca="1">IFERROR(__xludf.DUMMYFUNCTION("""COMPUTED_VALUE"""),23.05)</f>
        <v>23.05</v>
      </c>
      <c r="H455" s="3">
        <f ca="1">IFERROR(__xludf.DUMMYFUNCTION("""COMPUTED_VALUE"""),23.55)</f>
        <v>23.55</v>
      </c>
      <c r="I455" s="3">
        <f ca="1">IFERROR(__xludf.DUMMYFUNCTION("""COMPUTED_VALUE"""),128.06)</f>
        <v>128.06</v>
      </c>
      <c r="J455" s="3">
        <f ca="1">IFERROR(__xludf.DUMMYFUNCTION("""COMPUTED_VALUE"""),232.1)</f>
        <v>232.1</v>
      </c>
      <c r="K455" s="3">
        <f ca="1">IFERROR(__xludf.DUMMYFUNCTION("""COMPUTED_VALUE"""),117.17)</f>
        <v>117.17</v>
      </c>
      <c r="L455" s="3">
        <f ca="1">IFERROR(__xludf.DUMMYFUNCTION("""COMPUTED_VALUE"""),66.92)</f>
        <v>66.92</v>
      </c>
      <c r="M455" s="3">
        <f ca="1">IFERROR(__xludf.DUMMYFUNCTION("""COMPUTED_VALUE"""),55.4)</f>
        <v>55.4</v>
      </c>
      <c r="N455" s="3">
        <f ca="1">IFERROR(__xludf.DUMMYFUNCTION("""COMPUTED_VALUE"""),59.88)</f>
        <v>59.88</v>
      </c>
      <c r="O455" s="3">
        <f ca="1">IFERROR(__xludf.DUMMYFUNCTION("""COMPUTED_VALUE"""),36.68)</f>
        <v>36.68</v>
      </c>
      <c r="P455" s="3">
        <f ca="1">IFERROR(__xludf.DUMMYFUNCTION("""COMPUTED_VALUE"""),90.26)</f>
        <v>90.26</v>
      </c>
      <c r="Q455" s="3">
        <f ca="1">IFERROR(__xludf.DUMMYFUNCTION("""COMPUTED_VALUE"""),126.44)</f>
        <v>126.44</v>
      </c>
      <c r="R455" s="3">
        <f ca="1">IFERROR(__xludf.DUMMYFUNCTION("""COMPUTED_VALUE"""),75.3)</f>
        <v>75.3</v>
      </c>
      <c r="S455" s="3">
        <f ca="1">IFERROR(__xludf.DUMMYFUNCTION("""COMPUTED_VALUE"""),48.89)</f>
        <v>48.89</v>
      </c>
      <c r="T455" s="3">
        <f ca="1">IFERROR(__xludf.DUMMYFUNCTION("""COMPUTED_VALUE"""),25.13)</f>
        <v>25.13</v>
      </c>
      <c r="U455" s="3">
        <f ca="1">IFERROR(__xludf.DUMMYFUNCTION("""COMPUTED_VALUE"""),80.7)</f>
        <v>80.7</v>
      </c>
      <c r="V455" s="3">
        <f ca="1">IFERROR(__xludf.DUMMYFUNCTION("""COMPUTED_VALUE"""),43.92)</f>
        <v>43.92</v>
      </c>
      <c r="W455" s="3">
        <f ca="1">IFERROR(__xludf.DUMMYFUNCTION("""COMPUTED_VALUE"""),32.2)</f>
        <v>32.200000000000003</v>
      </c>
      <c r="X455" s="3">
        <f ca="1">IFERROR(__xludf.DUMMYFUNCTION("""COMPUTED_VALUE"""),77.83)</f>
        <v>77.83</v>
      </c>
      <c r="Y455" s="3">
        <f ca="1">IFERROR(__xludf.DUMMYFUNCTION("""COMPUTED_VALUE"""),34.87)</f>
        <v>34.869999999999997</v>
      </c>
      <c r="Z455" s="3">
        <f ca="1">IFERROR(__xludf.DUMMYFUNCTION("""COMPUTED_VALUE"""),72.24)</f>
        <v>72.239999999999995</v>
      </c>
      <c r="AA455" s="3">
        <f ca="1">IFERROR(__xludf.DUMMYFUNCTION("""COMPUTED_VALUE"""),32.75)</f>
        <v>32.75</v>
      </c>
      <c r="AB455" s="3">
        <f ca="1">IFERROR(__xludf.DUMMYFUNCTION("""COMPUTED_VALUE"""),39.1)</f>
        <v>39.1</v>
      </c>
      <c r="AC455" s="3">
        <f ca="1">IFERROR(__xludf.DUMMYFUNCTION("""COMPUTED_VALUE"""),49.26)</f>
        <v>49.26</v>
      </c>
      <c r="AD455" s="3">
        <f ca="1">IFERROR(__xludf.DUMMYFUNCTION("""COMPUTED_VALUE"""),10.91)</f>
        <v>10.91</v>
      </c>
      <c r="AE455" s="3">
        <f ca="1">IFERROR(__xludf.DUMMYFUNCTION("""COMPUTED_VALUE"""),15.09)</f>
        <v>15.09</v>
      </c>
      <c r="AF455" s="3">
        <f ca="1">IFERROR(__xludf.DUMMYFUNCTION("""COMPUTED_VALUE"""),2.56)</f>
        <v>2.56</v>
      </c>
      <c r="AG455" s="3">
        <f ca="1">IFERROR(__xludf.DUMMYFUNCTION("""COMPUTED_VALUE"""),21.98)</f>
        <v>21.98</v>
      </c>
    </row>
    <row r="456" spans="1:33" ht="12.75" x14ac:dyDescent="0.2">
      <c r="A456" s="4">
        <f ca="1">IFERROR(__xludf.DUMMYFUNCTION("""COMPUTED_VALUE"""),45222.6666666666)</f>
        <v>45222.666666666599</v>
      </c>
      <c r="B456" s="3">
        <f ca="1">IFERROR(__xludf.DUMMYFUNCTION("""COMPUTED_VALUE"""),164.13)</f>
        <v>164.13</v>
      </c>
      <c r="C456" s="3">
        <f ca="1">IFERROR(__xludf.DUMMYFUNCTION("""COMPUTED_VALUE"""),409.95)</f>
        <v>409.95</v>
      </c>
      <c r="D456" s="3">
        <f ca="1">IFERROR(__xludf.DUMMYFUNCTION("""COMPUTED_VALUE"""),101.31)</f>
        <v>101.31</v>
      </c>
      <c r="E456" s="3">
        <f ca="1">IFERROR(__xludf.DUMMYFUNCTION("""COMPUTED_VALUE"""),151.56)</f>
        <v>151.56</v>
      </c>
      <c r="F456" s="3">
        <f ca="1">IFERROR(__xludf.DUMMYFUNCTION("""COMPUTED_VALUE"""),50.96)</f>
        <v>50.96</v>
      </c>
      <c r="G456" s="3">
        <f ca="1">IFERROR(__xludf.DUMMYFUNCTION("""COMPUTED_VALUE"""),23.15)</f>
        <v>23.15</v>
      </c>
      <c r="H456" s="3">
        <f ca="1">IFERROR(__xludf.DUMMYFUNCTION("""COMPUTED_VALUE"""),23.4)</f>
        <v>23.4</v>
      </c>
      <c r="I456" s="3">
        <f ca="1">IFERROR(__xludf.DUMMYFUNCTION("""COMPUTED_VALUE"""),127.26)</f>
        <v>127.26</v>
      </c>
      <c r="J456" s="3">
        <f ca="1">IFERROR(__xludf.DUMMYFUNCTION("""COMPUTED_VALUE"""),230.48)</f>
        <v>230.48</v>
      </c>
      <c r="K456" s="3">
        <f ca="1">IFERROR(__xludf.DUMMYFUNCTION("""COMPUTED_VALUE"""),116.02)</f>
        <v>116.02</v>
      </c>
      <c r="L456" s="3">
        <f ca="1">IFERROR(__xludf.DUMMYFUNCTION("""COMPUTED_VALUE"""),65.46)</f>
        <v>65.459999999999994</v>
      </c>
      <c r="M456" s="3">
        <f ca="1">IFERROR(__xludf.DUMMYFUNCTION("""COMPUTED_VALUE"""),54.7)</f>
        <v>54.7</v>
      </c>
      <c r="N456" s="3">
        <f ca="1">IFERROR(__xludf.DUMMYFUNCTION("""COMPUTED_VALUE"""),59.46)</f>
        <v>59.46</v>
      </c>
      <c r="O456" s="3">
        <f ca="1">IFERROR(__xludf.DUMMYFUNCTION("""COMPUTED_VALUE"""),36.64)</f>
        <v>36.64</v>
      </c>
      <c r="P456" s="3">
        <f ca="1">IFERROR(__xludf.DUMMYFUNCTION("""COMPUTED_VALUE"""),88.8)</f>
        <v>88.8</v>
      </c>
      <c r="Q456" s="3">
        <f ca="1">IFERROR(__xludf.DUMMYFUNCTION("""COMPUTED_VALUE"""),124.4)</f>
        <v>124.4</v>
      </c>
      <c r="R456" s="3">
        <f ca="1">IFERROR(__xludf.DUMMYFUNCTION("""COMPUTED_VALUE"""),74.46)</f>
        <v>74.459999999999994</v>
      </c>
      <c r="S456" s="3">
        <f ca="1">IFERROR(__xludf.DUMMYFUNCTION("""COMPUTED_VALUE"""),48.56)</f>
        <v>48.56</v>
      </c>
      <c r="T456" s="3">
        <f ca="1">IFERROR(__xludf.DUMMYFUNCTION("""COMPUTED_VALUE"""),24.97)</f>
        <v>24.97</v>
      </c>
      <c r="U456" s="3">
        <f ca="1">IFERROR(__xludf.DUMMYFUNCTION("""COMPUTED_VALUE"""),78.89)</f>
        <v>78.89</v>
      </c>
      <c r="V456" s="3">
        <f ca="1">IFERROR(__xludf.DUMMYFUNCTION("""COMPUTED_VALUE"""),43.68)</f>
        <v>43.68</v>
      </c>
      <c r="W456" s="3">
        <f ca="1">IFERROR(__xludf.DUMMYFUNCTION("""COMPUTED_VALUE"""),32)</f>
        <v>32</v>
      </c>
      <c r="X456" s="3">
        <f ca="1">IFERROR(__xludf.DUMMYFUNCTION("""COMPUTED_VALUE"""),77.22)</f>
        <v>77.22</v>
      </c>
      <c r="Y456" s="3">
        <f ca="1">IFERROR(__xludf.DUMMYFUNCTION("""COMPUTED_VALUE"""),34.75)</f>
        <v>34.75</v>
      </c>
      <c r="Z456" s="3">
        <f ca="1">IFERROR(__xludf.DUMMYFUNCTION("""COMPUTED_VALUE"""),71.71)</f>
        <v>71.709999999999994</v>
      </c>
      <c r="AA456" s="3">
        <f ca="1">IFERROR(__xludf.DUMMYFUNCTION("""COMPUTED_VALUE"""),32.47)</f>
        <v>32.47</v>
      </c>
      <c r="AB456" s="3">
        <f ca="1">IFERROR(__xludf.DUMMYFUNCTION("""COMPUTED_VALUE"""),38.95)</f>
        <v>38.950000000000003</v>
      </c>
      <c r="AC456" s="3">
        <f ca="1">IFERROR(__xludf.DUMMYFUNCTION("""COMPUTED_VALUE"""),49.24)</f>
        <v>49.24</v>
      </c>
      <c r="AD456" s="3">
        <f ca="1">IFERROR(__xludf.DUMMYFUNCTION("""COMPUTED_VALUE"""),11.57)</f>
        <v>11.57</v>
      </c>
      <c r="AE456" s="3">
        <f ca="1">IFERROR(__xludf.DUMMYFUNCTION("""COMPUTED_VALUE"""),16.01)</f>
        <v>16.010000000000002</v>
      </c>
      <c r="AF456" s="3">
        <f ca="1">IFERROR(__xludf.DUMMYFUNCTION("""COMPUTED_VALUE"""),2.6)</f>
        <v>2.6</v>
      </c>
      <c r="AG456" s="3">
        <f ca="1">IFERROR(__xludf.DUMMYFUNCTION("""COMPUTED_VALUE"""),23.4)</f>
        <v>23.4</v>
      </c>
    </row>
    <row r="457" spans="1:33" ht="12.75" x14ac:dyDescent="0.2">
      <c r="A457" s="4">
        <f ca="1">IFERROR(__xludf.DUMMYFUNCTION("""COMPUTED_VALUE"""),45223.6666666666)</f>
        <v>45223.666666666599</v>
      </c>
      <c r="B457" s="3">
        <f ca="1">IFERROR(__xludf.DUMMYFUNCTION("""COMPUTED_VALUE"""),165.26)</f>
        <v>165.26</v>
      </c>
      <c r="C457" s="3">
        <f ca="1">IFERROR(__xludf.DUMMYFUNCTION("""COMPUTED_VALUE"""),413.59)</f>
        <v>413.59</v>
      </c>
      <c r="D457" s="3">
        <f ca="1">IFERROR(__xludf.DUMMYFUNCTION("""COMPUTED_VALUE"""),101.95)</f>
        <v>101.95</v>
      </c>
      <c r="E457" s="3">
        <f ca="1">IFERROR(__xludf.DUMMYFUNCTION("""COMPUTED_VALUE"""),153.62)</f>
        <v>153.62</v>
      </c>
      <c r="F457" s="3">
        <f ca="1">IFERROR(__xludf.DUMMYFUNCTION("""COMPUTED_VALUE"""),51.54)</f>
        <v>51.54</v>
      </c>
      <c r="G457" s="3">
        <f ca="1">IFERROR(__xludf.DUMMYFUNCTION("""COMPUTED_VALUE"""),23.33)</f>
        <v>23.33</v>
      </c>
      <c r="H457" s="3">
        <f ca="1">IFERROR(__xludf.DUMMYFUNCTION("""COMPUTED_VALUE"""),23.66)</f>
        <v>23.66</v>
      </c>
      <c r="I457" s="3">
        <f ca="1">IFERROR(__xludf.DUMMYFUNCTION("""COMPUTED_VALUE"""),127.65)</f>
        <v>127.65</v>
      </c>
      <c r="J457" s="3">
        <f ca="1">IFERROR(__xludf.DUMMYFUNCTION("""COMPUTED_VALUE"""),231.53)</f>
        <v>231.53</v>
      </c>
      <c r="K457" s="3">
        <f ca="1">IFERROR(__xludf.DUMMYFUNCTION("""COMPUTED_VALUE"""),117.35)</f>
        <v>117.35</v>
      </c>
      <c r="L457" s="3">
        <f ca="1">IFERROR(__xludf.DUMMYFUNCTION("""COMPUTED_VALUE"""),67.09)</f>
        <v>67.09</v>
      </c>
      <c r="M457" s="3">
        <f ca="1">IFERROR(__xludf.DUMMYFUNCTION("""COMPUTED_VALUE"""),55.35)</f>
        <v>55.35</v>
      </c>
      <c r="N457" s="3">
        <f ca="1">IFERROR(__xludf.DUMMYFUNCTION("""COMPUTED_VALUE"""),59.72)</f>
        <v>59.72</v>
      </c>
      <c r="O457" s="3">
        <f ca="1">IFERROR(__xludf.DUMMYFUNCTION("""COMPUTED_VALUE"""),37.24)</f>
        <v>37.24</v>
      </c>
      <c r="P457" s="3">
        <f ca="1">IFERROR(__xludf.DUMMYFUNCTION("""COMPUTED_VALUE"""),87.55)</f>
        <v>87.55</v>
      </c>
      <c r="Q457" s="3">
        <f ca="1">IFERROR(__xludf.DUMMYFUNCTION("""COMPUTED_VALUE"""),122.87)</f>
        <v>122.87</v>
      </c>
      <c r="R457" s="3">
        <f ca="1">IFERROR(__xludf.DUMMYFUNCTION("""COMPUTED_VALUE"""),75.34)</f>
        <v>75.34</v>
      </c>
      <c r="S457" s="3">
        <f ca="1">IFERROR(__xludf.DUMMYFUNCTION("""COMPUTED_VALUE"""),49.27)</f>
        <v>49.27</v>
      </c>
      <c r="T457" s="3">
        <f ca="1">IFERROR(__xludf.DUMMYFUNCTION("""COMPUTED_VALUE"""),24.7)</f>
        <v>24.7</v>
      </c>
      <c r="U457" s="3">
        <f ca="1">IFERROR(__xludf.DUMMYFUNCTION("""COMPUTED_VALUE"""),76.93)</f>
        <v>76.930000000000007</v>
      </c>
      <c r="V457" s="3">
        <f ca="1">IFERROR(__xludf.DUMMYFUNCTION("""COMPUTED_VALUE"""),44.26)</f>
        <v>44.26</v>
      </c>
      <c r="W457" s="3">
        <f ca="1">IFERROR(__xludf.DUMMYFUNCTION("""COMPUTED_VALUE"""),32.22)</f>
        <v>32.22</v>
      </c>
      <c r="X457" s="3">
        <f ca="1">IFERROR(__xludf.DUMMYFUNCTION("""COMPUTED_VALUE"""),77.73)</f>
        <v>77.73</v>
      </c>
      <c r="Y457" s="3">
        <f ca="1">IFERROR(__xludf.DUMMYFUNCTION("""COMPUTED_VALUE"""),34.67)</f>
        <v>34.67</v>
      </c>
      <c r="Z457" s="3">
        <f ca="1">IFERROR(__xludf.DUMMYFUNCTION("""COMPUTED_VALUE"""),72.08)</f>
        <v>72.08</v>
      </c>
      <c r="AA457" s="3">
        <f ca="1">IFERROR(__xludf.DUMMYFUNCTION("""COMPUTED_VALUE"""),32.88)</f>
        <v>32.880000000000003</v>
      </c>
      <c r="AB457" s="3">
        <f ca="1">IFERROR(__xludf.DUMMYFUNCTION("""COMPUTED_VALUE"""),38.71)</f>
        <v>38.71</v>
      </c>
      <c r="AC457" s="3">
        <f ca="1">IFERROR(__xludf.DUMMYFUNCTION("""COMPUTED_VALUE"""),48.34)</f>
        <v>48.34</v>
      </c>
      <c r="AD457" s="3">
        <f ca="1">IFERROR(__xludf.DUMMYFUNCTION("""COMPUTED_VALUE"""),12.42)</f>
        <v>12.42</v>
      </c>
      <c r="AE457" s="3">
        <f ca="1">IFERROR(__xludf.DUMMYFUNCTION("""COMPUTED_VALUE"""),17.18)</f>
        <v>17.18</v>
      </c>
      <c r="AF457" s="3">
        <f ca="1">IFERROR(__xludf.DUMMYFUNCTION("""COMPUTED_VALUE"""),2.66)</f>
        <v>2.66</v>
      </c>
      <c r="AG457" s="3">
        <f ca="1">IFERROR(__xludf.DUMMYFUNCTION("""COMPUTED_VALUE"""),25.42)</f>
        <v>25.42</v>
      </c>
    </row>
    <row r="458" spans="1:33" ht="12.75" x14ac:dyDescent="0.2">
      <c r="A458" s="4">
        <f ca="1">IFERROR(__xludf.DUMMYFUNCTION("""COMPUTED_VALUE"""),45224.6666666666)</f>
        <v>45224.666666666599</v>
      </c>
      <c r="B458" s="3">
        <f ca="1">IFERROR(__xludf.DUMMYFUNCTION("""COMPUTED_VALUE"""),163.31)</f>
        <v>163.31</v>
      </c>
      <c r="C458" s="3">
        <f ca="1">IFERROR(__xludf.DUMMYFUNCTION("""COMPUTED_VALUE"""),406.76)</f>
        <v>406.76</v>
      </c>
      <c r="D458" s="3">
        <f ca="1">IFERROR(__xludf.DUMMYFUNCTION("""COMPUTED_VALUE"""),103.1)</f>
        <v>103.1</v>
      </c>
      <c r="E458" s="3">
        <f ca="1">IFERROR(__xludf.DUMMYFUNCTION("""COMPUTED_VALUE"""),147.41)</f>
        <v>147.41</v>
      </c>
      <c r="F458" s="3">
        <f ca="1">IFERROR(__xludf.DUMMYFUNCTION("""COMPUTED_VALUE"""),50.46)</f>
        <v>50.46</v>
      </c>
      <c r="G458" s="3">
        <f ca="1">IFERROR(__xludf.DUMMYFUNCTION("""COMPUTED_VALUE"""),22.74)</f>
        <v>22.74</v>
      </c>
      <c r="H458" s="3">
        <f ca="1">IFERROR(__xludf.DUMMYFUNCTION("""COMPUTED_VALUE"""),23.19)</f>
        <v>23.19</v>
      </c>
      <c r="I458" s="3">
        <f ca="1">IFERROR(__xludf.DUMMYFUNCTION("""COMPUTED_VALUE"""),126.51)</f>
        <v>126.51</v>
      </c>
      <c r="J458" s="3">
        <f ca="1">IFERROR(__xludf.DUMMYFUNCTION("""COMPUTED_VALUE"""),229.08)</f>
        <v>229.08</v>
      </c>
      <c r="K458" s="3">
        <f ca="1">IFERROR(__xludf.DUMMYFUNCTION("""COMPUTED_VALUE"""),115.11)</f>
        <v>115.11</v>
      </c>
      <c r="L458" s="3">
        <f ca="1">IFERROR(__xludf.DUMMYFUNCTION("""COMPUTED_VALUE"""),65.5)</f>
        <v>65.5</v>
      </c>
      <c r="M458" s="3">
        <f ca="1">IFERROR(__xludf.DUMMYFUNCTION("""COMPUTED_VALUE"""),53.92)</f>
        <v>53.92</v>
      </c>
      <c r="N458" s="3">
        <f ca="1">IFERROR(__xludf.DUMMYFUNCTION("""COMPUTED_VALUE"""),59.09)</f>
        <v>59.09</v>
      </c>
      <c r="O458" s="3">
        <f ca="1">IFERROR(__xludf.DUMMYFUNCTION("""COMPUTED_VALUE"""),35.96)</f>
        <v>35.96</v>
      </c>
      <c r="P458" s="3">
        <f ca="1">IFERROR(__xludf.DUMMYFUNCTION("""COMPUTED_VALUE"""),87.39)</f>
        <v>87.39</v>
      </c>
      <c r="Q458" s="3">
        <f ca="1">IFERROR(__xludf.DUMMYFUNCTION("""COMPUTED_VALUE"""),122.56)</f>
        <v>122.56</v>
      </c>
      <c r="R458" s="3">
        <f ca="1">IFERROR(__xludf.DUMMYFUNCTION("""COMPUTED_VALUE"""),74.46)</f>
        <v>74.459999999999994</v>
      </c>
      <c r="S458" s="3">
        <f ca="1">IFERROR(__xludf.DUMMYFUNCTION("""COMPUTED_VALUE"""),48.94)</f>
        <v>48.94</v>
      </c>
      <c r="T458" s="3">
        <f ca="1">IFERROR(__xludf.DUMMYFUNCTION("""COMPUTED_VALUE"""),24.88)</f>
        <v>24.88</v>
      </c>
      <c r="U458" s="3">
        <f ca="1">IFERROR(__xludf.DUMMYFUNCTION("""COMPUTED_VALUE"""),78.46)</f>
        <v>78.459999999999994</v>
      </c>
      <c r="V458" s="3">
        <f ca="1">IFERROR(__xludf.DUMMYFUNCTION("""COMPUTED_VALUE"""),42.64)</f>
        <v>42.64</v>
      </c>
      <c r="W458" s="3">
        <f ca="1">IFERROR(__xludf.DUMMYFUNCTION("""COMPUTED_VALUE"""),32.1)</f>
        <v>32.1</v>
      </c>
      <c r="X458" s="3">
        <f ca="1">IFERROR(__xludf.DUMMYFUNCTION("""COMPUTED_VALUE"""),77.4)</f>
        <v>77.400000000000006</v>
      </c>
      <c r="Y458" s="3">
        <f ca="1">IFERROR(__xludf.DUMMYFUNCTION("""COMPUTED_VALUE"""),34.5)</f>
        <v>34.5</v>
      </c>
      <c r="Z458" s="3">
        <f ca="1">IFERROR(__xludf.DUMMYFUNCTION("""COMPUTED_VALUE"""),71.76)</f>
        <v>71.760000000000005</v>
      </c>
      <c r="AA458" s="3">
        <f ca="1">IFERROR(__xludf.DUMMYFUNCTION("""COMPUTED_VALUE"""),32.19)</f>
        <v>32.19</v>
      </c>
      <c r="AB458" s="3">
        <f ca="1">IFERROR(__xludf.DUMMYFUNCTION("""COMPUTED_VALUE"""),38.57)</f>
        <v>38.57</v>
      </c>
      <c r="AC458" s="3">
        <f ca="1">IFERROR(__xludf.DUMMYFUNCTION("""COMPUTED_VALUE"""),49.17)</f>
        <v>49.17</v>
      </c>
      <c r="AD458" s="3">
        <f ca="1">IFERROR(__xludf.DUMMYFUNCTION("""COMPUTED_VALUE"""),12.79)</f>
        <v>12.79</v>
      </c>
      <c r="AE458" s="3">
        <f ca="1">IFERROR(__xludf.DUMMYFUNCTION("""COMPUTED_VALUE"""),17.74)</f>
        <v>17.739999999999998</v>
      </c>
      <c r="AF458" s="3">
        <f ca="1">IFERROR(__xludf.DUMMYFUNCTION("""COMPUTED_VALUE"""),2.91)</f>
        <v>2.91</v>
      </c>
      <c r="AG458" s="3">
        <f ca="1">IFERROR(__xludf.DUMMYFUNCTION("""COMPUTED_VALUE"""),24.97)</f>
        <v>24.97</v>
      </c>
    </row>
    <row r="459" spans="1:33" ht="12.75" x14ac:dyDescent="0.2">
      <c r="A459" s="4">
        <f ca="1">IFERROR(__xludf.DUMMYFUNCTION("""COMPUTED_VALUE"""),45225.6666666666)</f>
        <v>45225.666666666599</v>
      </c>
      <c r="B459" s="3">
        <f ca="1">IFERROR(__xludf.DUMMYFUNCTION("""COMPUTED_VALUE"""),160.19)</f>
        <v>160.19</v>
      </c>
      <c r="C459" s="3">
        <f ca="1">IFERROR(__xludf.DUMMYFUNCTION("""COMPUTED_VALUE"""),399.56)</f>
        <v>399.56</v>
      </c>
      <c r="D459" s="3">
        <f ca="1">IFERROR(__xludf.DUMMYFUNCTION("""COMPUTED_VALUE"""),103.72)</f>
        <v>103.72</v>
      </c>
      <c r="E459" s="3">
        <f ca="1">IFERROR(__xludf.DUMMYFUNCTION("""COMPUTED_VALUE"""),146.53)</f>
        <v>146.53</v>
      </c>
      <c r="F459" s="3">
        <f ca="1">IFERROR(__xludf.DUMMYFUNCTION("""COMPUTED_VALUE"""),50.18)</f>
        <v>50.18</v>
      </c>
      <c r="G459" s="3">
        <f ca="1">IFERROR(__xludf.DUMMYFUNCTION("""COMPUTED_VALUE"""),22.41)</f>
        <v>22.41</v>
      </c>
      <c r="H459" s="3">
        <f ca="1">IFERROR(__xludf.DUMMYFUNCTION("""COMPUTED_VALUE"""),23.04)</f>
        <v>23.04</v>
      </c>
      <c r="I459" s="3">
        <f ca="1">IFERROR(__xludf.DUMMYFUNCTION("""COMPUTED_VALUE"""),125.26)</f>
        <v>125.26</v>
      </c>
      <c r="J459" s="3">
        <f ca="1">IFERROR(__xludf.DUMMYFUNCTION("""COMPUTED_VALUE"""),227.02)</f>
        <v>227.02</v>
      </c>
      <c r="K459" s="3">
        <f ca="1">IFERROR(__xludf.DUMMYFUNCTION("""COMPUTED_VALUE"""),115.05)</f>
        <v>115.05</v>
      </c>
      <c r="L459" s="3">
        <f ca="1">IFERROR(__xludf.DUMMYFUNCTION("""COMPUTED_VALUE"""),66.18)</f>
        <v>66.180000000000007</v>
      </c>
      <c r="M459" s="3">
        <f ca="1">IFERROR(__xludf.DUMMYFUNCTION("""COMPUTED_VALUE"""),54.18)</f>
        <v>54.18</v>
      </c>
      <c r="N459" s="3">
        <f ca="1">IFERROR(__xludf.DUMMYFUNCTION("""COMPUTED_VALUE"""),58.5)</f>
        <v>58.5</v>
      </c>
      <c r="O459" s="3">
        <f ca="1">IFERROR(__xludf.DUMMYFUNCTION("""COMPUTED_VALUE"""),36.08)</f>
        <v>36.08</v>
      </c>
      <c r="P459" s="3">
        <f ca="1">IFERROR(__xludf.DUMMYFUNCTION("""COMPUTED_VALUE"""),86.71)</f>
        <v>86.71</v>
      </c>
      <c r="Q459" s="3">
        <f ca="1">IFERROR(__xludf.DUMMYFUNCTION("""COMPUTED_VALUE"""),121.66)</f>
        <v>121.66</v>
      </c>
      <c r="R459" s="3">
        <f ca="1">IFERROR(__xludf.DUMMYFUNCTION("""COMPUTED_VALUE"""),74.98)</f>
        <v>74.98</v>
      </c>
      <c r="S459" s="3">
        <f ca="1">IFERROR(__xludf.DUMMYFUNCTION("""COMPUTED_VALUE"""),48.99)</f>
        <v>48.99</v>
      </c>
      <c r="T459" s="3">
        <f ca="1">IFERROR(__xludf.DUMMYFUNCTION("""COMPUTED_VALUE"""),24.67)</f>
        <v>24.67</v>
      </c>
      <c r="U459" s="3">
        <f ca="1">IFERROR(__xludf.DUMMYFUNCTION("""COMPUTED_VALUE"""),76.89)</f>
        <v>76.89</v>
      </c>
      <c r="V459" s="3">
        <f ca="1">IFERROR(__xludf.DUMMYFUNCTION("""COMPUTED_VALUE"""),43.05)</f>
        <v>43.05</v>
      </c>
      <c r="W459" s="3">
        <f ca="1">IFERROR(__xludf.DUMMYFUNCTION("""COMPUTED_VALUE"""),32.03)</f>
        <v>32.03</v>
      </c>
      <c r="X459" s="3">
        <f ca="1">IFERROR(__xludf.DUMMYFUNCTION("""COMPUTED_VALUE"""),77.44)</f>
        <v>77.44</v>
      </c>
      <c r="Y459" s="3">
        <f ca="1">IFERROR(__xludf.DUMMYFUNCTION("""COMPUTED_VALUE"""),35.41)</f>
        <v>35.409999999999997</v>
      </c>
      <c r="Z459" s="3">
        <f ca="1">IFERROR(__xludf.DUMMYFUNCTION("""COMPUTED_VALUE"""),72.21)</f>
        <v>72.209999999999994</v>
      </c>
      <c r="AA459" s="3">
        <f ca="1">IFERROR(__xludf.DUMMYFUNCTION("""COMPUTED_VALUE"""),32.87)</f>
        <v>32.869999999999997</v>
      </c>
      <c r="AB459" s="3">
        <f ca="1">IFERROR(__xludf.DUMMYFUNCTION("""COMPUTED_VALUE"""),39.72)</f>
        <v>39.72</v>
      </c>
      <c r="AC459" s="3">
        <f ca="1">IFERROR(__xludf.DUMMYFUNCTION("""COMPUTED_VALUE"""),49.67)</f>
        <v>49.67</v>
      </c>
      <c r="AD459" s="3">
        <f ca="1">IFERROR(__xludf.DUMMYFUNCTION("""COMPUTED_VALUE"""),12.5)</f>
        <v>12.5</v>
      </c>
      <c r="AE459" s="3">
        <f ca="1">IFERROR(__xludf.DUMMYFUNCTION("""COMPUTED_VALUE"""),17.28)</f>
        <v>17.28</v>
      </c>
      <c r="AF459" s="3">
        <f ca="1">IFERROR(__xludf.DUMMYFUNCTION("""COMPUTED_VALUE"""),2.91)</f>
        <v>2.91</v>
      </c>
      <c r="AG459" s="3">
        <f ca="1">IFERROR(__xludf.DUMMYFUNCTION("""COMPUTED_VALUE"""),23.8)</f>
        <v>23.8</v>
      </c>
    </row>
    <row r="460" spans="1:33" ht="12.75" x14ac:dyDescent="0.2">
      <c r="A460" s="4">
        <f ca="1">IFERROR(__xludf.DUMMYFUNCTION("""COMPUTED_VALUE"""),45226.6666666666)</f>
        <v>45226.666666666599</v>
      </c>
      <c r="B460" s="3">
        <f ca="1">IFERROR(__xludf.DUMMYFUNCTION("""COMPUTED_VALUE"""),161.12)</f>
        <v>161.12</v>
      </c>
      <c r="C460" s="3">
        <f ca="1">IFERROR(__xludf.DUMMYFUNCTION("""COMPUTED_VALUE"""),401.22)</f>
        <v>401.22</v>
      </c>
      <c r="D460" s="3">
        <f ca="1">IFERROR(__xludf.DUMMYFUNCTION("""COMPUTED_VALUE"""),105.62)</f>
        <v>105.62</v>
      </c>
      <c r="E460" s="3">
        <f ca="1">IFERROR(__xludf.DUMMYFUNCTION("""COMPUTED_VALUE"""),148.11)</f>
        <v>148.11000000000001</v>
      </c>
      <c r="F460" s="3">
        <f ca="1">IFERROR(__xludf.DUMMYFUNCTION("""COMPUTED_VALUE"""),49.87)</f>
        <v>49.87</v>
      </c>
      <c r="G460" s="3">
        <f ca="1">IFERROR(__xludf.DUMMYFUNCTION("""COMPUTED_VALUE"""),22.34)</f>
        <v>22.34</v>
      </c>
      <c r="H460" s="3">
        <f ca="1">IFERROR(__xludf.DUMMYFUNCTION("""COMPUTED_VALUE"""),22.71)</f>
        <v>22.71</v>
      </c>
      <c r="I460" s="3">
        <f ca="1">IFERROR(__xludf.DUMMYFUNCTION("""COMPUTED_VALUE"""),123.14)</f>
        <v>123.14</v>
      </c>
      <c r="J460" s="3">
        <f ca="1">IFERROR(__xludf.DUMMYFUNCTION("""COMPUTED_VALUE"""),223.1)</f>
        <v>223.1</v>
      </c>
      <c r="K460" s="3">
        <f ca="1">IFERROR(__xludf.DUMMYFUNCTION("""COMPUTED_VALUE"""),112.41)</f>
        <v>112.41</v>
      </c>
      <c r="L460" s="3">
        <f ca="1">IFERROR(__xludf.DUMMYFUNCTION("""COMPUTED_VALUE"""),64.12)</f>
        <v>64.12</v>
      </c>
      <c r="M460" s="3">
        <f ca="1">IFERROR(__xludf.DUMMYFUNCTION("""COMPUTED_VALUE"""),52.52)</f>
        <v>52.52</v>
      </c>
      <c r="N460" s="3">
        <f ca="1">IFERROR(__xludf.DUMMYFUNCTION("""COMPUTED_VALUE"""),57.52)</f>
        <v>57.52</v>
      </c>
      <c r="O460" s="3">
        <f ca="1">IFERROR(__xludf.DUMMYFUNCTION("""COMPUTED_VALUE"""),35.08)</f>
        <v>35.08</v>
      </c>
      <c r="P460" s="3">
        <f ca="1">IFERROR(__xludf.DUMMYFUNCTION("""COMPUTED_VALUE"""),84.63)</f>
        <v>84.63</v>
      </c>
      <c r="Q460" s="3">
        <f ca="1">IFERROR(__xludf.DUMMYFUNCTION("""COMPUTED_VALUE"""),119.15)</f>
        <v>119.15</v>
      </c>
      <c r="R460" s="3">
        <f ca="1">IFERROR(__xludf.DUMMYFUNCTION("""COMPUTED_VALUE"""),74.95)</f>
        <v>74.95</v>
      </c>
      <c r="S460" s="3">
        <f ca="1">IFERROR(__xludf.DUMMYFUNCTION("""COMPUTED_VALUE"""),49.38)</f>
        <v>49.38</v>
      </c>
      <c r="T460" s="3">
        <f ca="1">IFERROR(__xludf.DUMMYFUNCTION("""COMPUTED_VALUE"""),25)</f>
        <v>25</v>
      </c>
      <c r="U460" s="3">
        <f ca="1">IFERROR(__xludf.DUMMYFUNCTION("""COMPUTED_VALUE"""),78.36)</f>
        <v>78.36</v>
      </c>
      <c r="V460" s="3">
        <f ca="1">IFERROR(__xludf.DUMMYFUNCTION("""COMPUTED_VALUE"""),40.95)</f>
        <v>40.950000000000003</v>
      </c>
      <c r="W460" s="3">
        <f ca="1">IFERROR(__xludf.DUMMYFUNCTION("""COMPUTED_VALUE"""),31.45)</f>
        <v>31.45</v>
      </c>
      <c r="X460" s="3">
        <f ca="1">IFERROR(__xludf.DUMMYFUNCTION("""COMPUTED_VALUE"""),75.97)</f>
        <v>75.97</v>
      </c>
      <c r="Y460" s="3">
        <f ca="1">IFERROR(__xludf.DUMMYFUNCTION("""COMPUTED_VALUE"""),34.67)</f>
        <v>34.67</v>
      </c>
      <c r="Z460" s="3">
        <f ca="1">IFERROR(__xludf.DUMMYFUNCTION("""COMPUTED_VALUE"""),70.7)</f>
        <v>70.7</v>
      </c>
      <c r="AA460" s="3">
        <f ca="1">IFERROR(__xludf.DUMMYFUNCTION("""COMPUTED_VALUE"""),32.35)</f>
        <v>32.35</v>
      </c>
      <c r="AB460" s="3">
        <f ca="1">IFERROR(__xludf.DUMMYFUNCTION("""COMPUTED_VALUE"""),38.87)</f>
        <v>38.869999999999997</v>
      </c>
      <c r="AC460" s="3">
        <f ca="1">IFERROR(__xludf.DUMMYFUNCTION("""COMPUTED_VALUE"""),49.92)</f>
        <v>49.92</v>
      </c>
      <c r="AD460" s="3">
        <f ca="1">IFERROR(__xludf.DUMMYFUNCTION("""COMPUTED_VALUE"""),12.36)</f>
        <v>12.36</v>
      </c>
      <c r="AE460" s="3">
        <f ca="1">IFERROR(__xludf.DUMMYFUNCTION("""COMPUTED_VALUE"""),17.11)</f>
        <v>17.11</v>
      </c>
      <c r="AF460" s="3">
        <f ca="1">IFERROR(__xludf.DUMMYFUNCTION("""COMPUTED_VALUE"""),2.91)</f>
        <v>2.91</v>
      </c>
      <c r="AG460" s="3">
        <f ca="1">IFERROR(__xludf.DUMMYFUNCTION("""COMPUTED_VALUE"""),23.3)</f>
        <v>23.3</v>
      </c>
    </row>
    <row r="461" spans="1:33" ht="12.75" x14ac:dyDescent="0.2">
      <c r="A461" s="4">
        <f ca="1">IFERROR(__xludf.DUMMYFUNCTION("""COMPUTED_VALUE"""),45229.6666666666)</f>
        <v>45229.666666666599</v>
      </c>
      <c r="B461" s="3">
        <f ca="1">IFERROR(__xludf.DUMMYFUNCTION("""COMPUTED_VALUE"""),162.85)</f>
        <v>162.85</v>
      </c>
      <c r="C461" s="3">
        <f ca="1">IFERROR(__xludf.DUMMYFUNCTION("""COMPUTED_VALUE"""),404.75)</f>
        <v>404.75</v>
      </c>
      <c r="D461" s="3">
        <f ca="1">IFERROR(__xludf.DUMMYFUNCTION("""COMPUTED_VALUE"""),107.26)</f>
        <v>107.26</v>
      </c>
      <c r="E461" s="3">
        <f ca="1">IFERROR(__xludf.DUMMYFUNCTION("""COMPUTED_VALUE"""),146.13)</f>
        <v>146.13</v>
      </c>
      <c r="F461" s="3">
        <f ca="1">IFERROR(__xludf.DUMMYFUNCTION("""COMPUTED_VALUE"""),50.15)</f>
        <v>50.15</v>
      </c>
      <c r="G461" s="3">
        <f ca="1">IFERROR(__xludf.DUMMYFUNCTION("""COMPUTED_VALUE"""),22.53)</f>
        <v>22.53</v>
      </c>
      <c r="H461" s="3">
        <f ca="1">IFERROR(__xludf.DUMMYFUNCTION("""COMPUTED_VALUE"""),22.85)</f>
        <v>22.85</v>
      </c>
      <c r="I461" s="3">
        <f ca="1">IFERROR(__xludf.DUMMYFUNCTION("""COMPUTED_VALUE"""),123.83)</f>
        <v>123.83</v>
      </c>
      <c r="J461" s="3">
        <f ca="1">IFERROR(__xludf.DUMMYFUNCTION("""COMPUTED_VALUE"""),224.27)</f>
        <v>224.27</v>
      </c>
      <c r="K461" s="3">
        <f ca="1">IFERROR(__xludf.DUMMYFUNCTION("""COMPUTED_VALUE"""),113.03)</f>
        <v>113.03</v>
      </c>
      <c r="L461" s="3">
        <f ca="1">IFERROR(__xludf.DUMMYFUNCTION("""COMPUTED_VALUE"""),65.19)</f>
        <v>65.19</v>
      </c>
      <c r="M461" s="3">
        <f ca="1">IFERROR(__xludf.DUMMYFUNCTION("""COMPUTED_VALUE"""),52.95)</f>
        <v>52.95</v>
      </c>
      <c r="N461" s="3">
        <f ca="1">IFERROR(__xludf.DUMMYFUNCTION("""COMPUTED_VALUE"""),57.84)</f>
        <v>57.84</v>
      </c>
      <c r="O461" s="3">
        <f ca="1">IFERROR(__xludf.DUMMYFUNCTION("""COMPUTED_VALUE"""),35.52)</f>
        <v>35.520000000000003</v>
      </c>
      <c r="P461" s="3">
        <f ca="1">IFERROR(__xludf.DUMMYFUNCTION("""COMPUTED_VALUE"""),84.91)</f>
        <v>84.91</v>
      </c>
      <c r="Q461" s="3">
        <f ca="1">IFERROR(__xludf.DUMMYFUNCTION("""COMPUTED_VALUE"""),119.49)</f>
        <v>119.49</v>
      </c>
      <c r="R461" s="3">
        <f ca="1">IFERROR(__xludf.DUMMYFUNCTION("""COMPUTED_VALUE"""),75.72)</f>
        <v>75.72</v>
      </c>
      <c r="S461" s="3">
        <f ca="1">IFERROR(__xludf.DUMMYFUNCTION("""COMPUTED_VALUE"""),49.78)</f>
        <v>49.78</v>
      </c>
      <c r="T461" s="3">
        <f ca="1">IFERROR(__xludf.DUMMYFUNCTION("""COMPUTED_VALUE"""),24.6)</f>
        <v>24.6</v>
      </c>
      <c r="U461" s="3">
        <f ca="1">IFERROR(__xludf.DUMMYFUNCTION("""COMPUTED_VALUE"""),76.05)</f>
        <v>76.05</v>
      </c>
      <c r="V461" s="3">
        <f ca="1">IFERROR(__xludf.DUMMYFUNCTION("""COMPUTED_VALUE"""),41.35)</f>
        <v>41.35</v>
      </c>
      <c r="W461" s="3">
        <f ca="1">IFERROR(__xludf.DUMMYFUNCTION("""COMPUTED_VALUE"""),32.01)</f>
        <v>32.01</v>
      </c>
      <c r="X461" s="3">
        <f ca="1">IFERROR(__xludf.DUMMYFUNCTION("""COMPUTED_VALUE"""),77.17)</f>
        <v>77.17</v>
      </c>
      <c r="Y461" s="3">
        <f ca="1">IFERROR(__xludf.DUMMYFUNCTION("""COMPUTED_VALUE"""),35.12)</f>
        <v>35.119999999999997</v>
      </c>
      <c r="Z461" s="3">
        <f ca="1">IFERROR(__xludf.DUMMYFUNCTION("""COMPUTED_VALUE"""),71.86)</f>
        <v>71.86</v>
      </c>
      <c r="AA461" s="3">
        <f ca="1">IFERROR(__xludf.DUMMYFUNCTION("""COMPUTED_VALUE"""),32.45)</f>
        <v>32.450000000000003</v>
      </c>
      <c r="AB461" s="3">
        <f ca="1">IFERROR(__xludf.DUMMYFUNCTION("""COMPUTED_VALUE"""),39.45)</f>
        <v>39.450000000000003</v>
      </c>
      <c r="AC461" s="3">
        <f ca="1">IFERROR(__xludf.DUMMYFUNCTION("""COMPUTED_VALUE"""),51.36)</f>
        <v>51.36</v>
      </c>
      <c r="AD461" s="3">
        <f ca="1">IFERROR(__xludf.DUMMYFUNCTION("""COMPUTED_VALUE"""),12.6)</f>
        <v>12.6</v>
      </c>
      <c r="AE461" s="3">
        <f ca="1">IFERROR(__xludf.DUMMYFUNCTION("""COMPUTED_VALUE"""),17.53)</f>
        <v>17.53</v>
      </c>
      <c r="AF461" s="3">
        <f ca="1">IFERROR(__xludf.DUMMYFUNCTION("""COMPUTED_VALUE"""),2.82)</f>
        <v>2.82</v>
      </c>
      <c r="AG461" s="3">
        <f ca="1">IFERROR(__xludf.DUMMYFUNCTION("""COMPUTED_VALUE"""),23.53)</f>
        <v>23.53</v>
      </c>
    </row>
    <row r="462" spans="1:33" ht="12.75" x14ac:dyDescent="0.2">
      <c r="A462" s="4">
        <f ca="1">IFERROR(__xludf.DUMMYFUNCTION("""COMPUTED_VALUE"""),45230.6666666666)</f>
        <v>45230.666666666599</v>
      </c>
      <c r="B462" s="3">
        <f ca="1">IFERROR(__xludf.DUMMYFUNCTION("""COMPUTED_VALUE"""),164.01)</f>
        <v>164.01</v>
      </c>
      <c r="C462" s="3">
        <f ca="1">IFERROR(__xludf.DUMMYFUNCTION("""COMPUTED_VALUE"""),407.8)</f>
        <v>407.8</v>
      </c>
      <c r="D462" s="3">
        <f ca="1">IFERROR(__xludf.DUMMYFUNCTION("""COMPUTED_VALUE"""),108.63)</f>
        <v>108.63</v>
      </c>
      <c r="E462" s="3">
        <f ca="1">IFERROR(__xludf.DUMMYFUNCTION("""COMPUTED_VALUE"""),147.46)</f>
        <v>147.46</v>
      </c>
      <c r="F462" s="3">
        <f ca="1">IFERROR(__xludf.DUMMYFUNCTION("""COMPUTED_VALUE"""),50.96)</f>
        <v>50.96</v>
      </c>
      <c r="G462" s="3">
        <f ca="1">IFERROR(__xludf.DUMMYFUNCTION("""COMPUTED_VALUE"""),22.77)</f>
        <v>22.77</v>
      </c>
      <c r="H462" s="3">
        <f ca="1">IFERROR(__xludf.DUMMYFUNCTION("""COMPUTED_VALUE"""),22.98)</f>
        <v>22.98</v>
      </c>
      <c r="I462" s="3">
        <f ca="1">IFERROR(__xludf.DUMMYFUNCTION("""COMPUTED_VALUE"""),124.54)</f>
        <v>124.54</v>
      </c>
      <c r="J462" s="3">
        <f ca="1">IFERROR(__xludf.DUMMYFUNCTION("""COMPUTED_VALUE"""),225.8)</f>
        <v>225.8</v>
      </c>
      <c r="K462" s="3">
        <f ca="1">IFERROR(__xludf.DUMMYFUNCTION("""COMPUTED_VALUE"""),113.68)</f>
        <v>113.68</v>
      </c>
      <c r="L462" s="3">
        <f ca="1">IFERROR(__xludf.DUMMYFUNCTION("""COMPUTED_VALUE"""),66.23)</f>
        <v>66.23</v>
      </c>
      <c r="M462" s="3">
        <f ca="1">IFERROR(__xludf.DUMMYFUNCTION("""COMPUTED_VALUE"""),53.59)</f>
        <v>53.59</v>
      </c>
      <c r="N462" s="3">
        <f ca="1">IFERROR(__xludf.DUMMYFUNCTION("""COMPUTED_VALUE"""),58.24)</f>
        <v>58.24</v>
      </c>
      <c r="O462" s="3">
        <f ca="1">IFERROR(__xludf.DUMMYFUNCTION("""COMPUTED_VALUE"""),35.4)</f>
        <v>35.4</v>
      </c>
      <c r="P462" s="3">
        <f ca="1">IFERROR(__xludf.DUMMYFUNCTION("""COMPUTED_VALUE"""),85.19)</f>
        <v>85.19</v>
      </c>
      <c r="Q462" s="3">
        <f ca="1">IFERROR(__xludf.DUMMYFUNCTION("""COMPUTED_VALUE"""),119.94)</f>
        <v>119.94</v>
      </c>
      <c r="R462" s="3">
        <f ca="1">IFERROR(__xludf.DUMMYFUNCTION("""COMPUTED_VALUE"""),76.06)</f>
        <v>76.06</v>
      </c>
      <c r="S462" s="3">
        <f ca="1">IFERROR(__xludf.DUMMYFUNCTION("""COMPUTED_VALUE"""),49.46)</f>
        <v>49.46</v>
      </c>
      <c r="T462" s="3">
        <f ca="1">IFERROR(__xludf.DUMMYFUNCTION("""COMPUTED_VALUE"""),24.51)</f>
        <v>24.51</v>
      </c>
      <c r="U462" s="3">
        <f ca="1">IFERROR(__xludf.DUMMYFUNCTION("""COMPUTED_VALUE"""),75.02)</f>
        <v>75.02</v>
      </c>
      <c r="V462" s="3">
        <f ca="1">IFERROR(__xludf.DUMMYFUNCTION("""COMPUTED_VALUE"""),41.98)</f>
        <v>41.98</v>
      </c>
      <c r="W462" s="3">
        <f ca="1">IFERROR(__xludf.DUMMYFUNCTION("""COMPUTED_VALUE"""),32.36)</f>
        <v>32.36</v>
      </c>
      <c r="X462" s="3">
        <f ca="1">IFERROR(__xludf.DUMMYFUNCTION("""COMPUTED_VALUE"""),77.99)</f>
        <v>77.989999999999995</v>
      </c>
      <c r="Y462" s="3">
        <f ca="1">IFERROR(__xludf.DUMMYFUNCTION("""COMPUTED_VALUE"""),35.32)</f>
        <v>35.32</v>
      </c>
      <c r="Z462" s="3">
        <f ca="1">IFERROR(__xludf.DUMMYFUNCTION("""COMPUTED_VALUE"""),72.57)</f>
        <v>72.569999999999993</v>
      </c>
      <c r="AA462" s="3">
        <f ca="1">IFERROR(__xludf.DUMMYFUNCTION("""COMPUTED_VALUE"""),33.1)</f>
        <v>33.1</v>
      </c>
      <c r="AB462" s="3">
        <f ca="1">IFERROR(__xludf.DUMMYFUNCTION("""COMPUTED_VALUE"""),39.67)</f>
        <v>39.67</v>
      </c>
      <c r="AC462" s="3">
        <f ca="1">IFERROR(__xludf.DUMMYFUNCTION("""COMPUTED_VALUE"""),52.2)</f>
        <v>52.2</v>
      </c>
      <c r="AD462" s="3">
        <f ca="1">IFERROR(__xludf.DUMMYFUNCTION("""COMPUTED_VALUE"""),12.66)</f>
        <v>12.66</v>
      </c>
      <c r="AE462" s="3">
        <f ca="1">IFERROR(__xludf.DUMMYFUNCTION("""COMPUTED_VALUE"""),17.59)</f>
        <v>17.59</v>
      </c>
      <c r="AF462" s="3">
        <f ca="1">IFERROR(__xludf.DUMMYFUNCTION("""COMPUTED_VALUE"""),2.84)</f>
        <v>2.84</v>
      </c>
      <c r="AG462" s="3">
        <f ca="1">IFERROR(__xludf.DUMMYFUNCTION("""COMPUTED_VALUE"""),23.6)</f>
        <v>23.6</v>
      </c>
    </row>
    <row r="463" spans="1:33" ht="12.75" x14ac:dyDescent="0.2">
      <c r="A463" s="4">
        <f ca="1">IFERROR(__xludf.DUMMYFUNCTION("""COMPUTED_VALUE"""),45231.6666666666)</f>
        <v>45231.666666666599</v>
      </c>
      <c r="B463" s="3">
        <f ca="1">IFERROR(__xludf.DUMMYFUNCTION("""COMPUTED_VALUE"""),167.18)</f>
        <v>167.18</v>
      </c>
      <c r="C463" s="3">
        <f ca="1">IFERROR(__xludf.DUMMYFUNCTION("""COMPUTED_VALUE"""),414.49)</f>
        <v>414.49</v>
      </c>
      <c r="D463" s="3">
        <f ca="1">IFERROR(__xludf.DUMMYFUNCTION("""COMPUTED_VALUE"""),109.19)</f>
        <v>109.19</v>
      </c>
      <c r="E463" s="3">
        <f ca="1">IFERROR(__xludf.DUMMYFUNCTION("""COMPUTED_VALUE"""),150.93)</f>
        <v>150.93</v>
      </c>
      <c r="F463" s="3">
        <f ca="1">IFERROR(__xludf.DUMMYFUNCTION("""COMPUTED_VALUE"""),51.16)</f>
        <v>51.16</v>
      </c>
      <c r="G463" s="3">
        <f ca="1">IFERROR(__xludf.DUMMYFUNCTION("""COMPUTED_VALUE"""),23.1)</f>
        <v>23.1</v>
      </c>
      <c r="H463" s="3">
        <f ca="1">IFERROR(__xludf.DUMMYFUNCTION("""COMPUTED_VALUE"""),23)</f>
        <v>23</v>
      </c>
      <c r="I463" s="3">
        <f ca="1">IFERROR(__xludf.DUMMYFUNCTION("""COMPUTED_VALUE"""),124.8)</f>
        <v>124.8</v>
      </c>
      <c r="J463" s="3">
        <f ca="1">IFERROR(__xludf.DUMMYFUNCTION("""COMPUTED_VALUE"""),226.31)</f>
        <v>226.31</v>
      </c>
      <c r="K463" s="3">
        <f ca="1">IFERROR(__xludf.DUMMYFUNCTION("""COMPUTED_VALUE"""),115.21)</f>
        <v>115.21</v>
      </c>
      <c r="L463" s="3">
        <f ca="1">IFERROR(__xludf.DUMMYFUNCTION("""COMPUTED_VALUE"""),67.6)</f>
        <v>67.599999999999994</v>
      </c>
      <c r="M463" s="3">
        <f ca="1">IFERROR(__xludf.DUMMYFUNCTION("""COMPUTED_VALUE"""),53.96)</f>
        <v>53.96</v>
      </c>
      <c r="N463" s="3">
        <f ca="1">IFERROR(__xludf.DUMMYFUNCTION("""COMPUTED_VALUE"""),58.36)</f>
        <v>58.36</v>
      </c>
      <c r="O463" s="3">
        <f ca="1">IFERROR(__xludf.DUMMYFUNCTION("""COMPUTED_VALUE"""),36.16)</f>
        <v>36.159999999999997</v>
      </c>
      <c r="P463" s="3">
        <f ca="1">IFERROR(__xludf.DUMMYFUNCTION("""COMPUTED_VALUE"""),84.99)</f>
        <v>84.99</v>
      </c>
      <c r="Q463" s="3">
        <f ca="1">IFERROR(__xludf.DUMMYFUNCTION("""COMPUTED_VALUE"""),119.68)</f>
        <v>119.68</v>
      </c>
      <c r="R463" s="3">
        <f ca="1">IFERROR(__xludf.DUMMYFUNCTION("""COMPUTED_VALUE"""),76.1)</f>
        <v>76.099999999999994</v>
      </c>
      <c r="S463" s="3">
        <f ca="1">IFERROR(__xludf.DUMMYFUNCTION("""COMPUTED_VALUE"""),49.66)</f>
        <v>49.66</v>
      </c>
      <c r="T463" s="3">
        <f ca="1">IFERROR(__xludf.DUMMYFUNCTION("""COMPUTED_VALUE"""),24.55)</f>
        <v>24.55</v>
      </c>
      <c r="U463" s="3">
        <f ca="1">IFERROR(__xludf.DUMMYFUNCTION("""COMPUTED_VALUE"""),74.75)</f>
        <v>74.75</v>
      </c>
      <c r="V463" s="3">
        <f ca="1">IFERROR(__xludf.DUMMYFUNCTION("""COMPUTED_VALUE"""),41.52)</f>
        <v>41.52</v>
      </c>
      <c r="W463" s="3">
        <f ca="1">IFERROR(__xludf.DUMMYFUNCTION("""COMPUTED_VALUE"""),32.57)</f>
        <v>32.57</v>
      </c>
      <c r="X463" s="3">
        <f ca="1">IFERROR(__xludf.DUMMYFUNCTION("""COMPUTED_VALUE"""),78.5)</f>
        <v>78.5</v>
      </c>
      <c r="Y463" s="3">
        <f ca="1">IFERROR(__xludf.DUMMYFUNCTION("""COMPUTED_VALUE"""),35.49)</f>
        <v>35.49</v>
      </c>
      <c r="Z463" s="3">
        <f ca="1">IFERROR(__xludf.DUMMYFUNCTION("""COMPUTED_VALUE"""),73.08)</f>
        <v>73.08</v>
      </c>
      <c r="AA463" s="3">
        <f ca="1">IFERROR(__xludf.DUMMYFUNCTION("""COMPUTED_VALUE"""),33.27)</f>
        <v>33.270000000000003</v>
      </c>
      <c r="AB463" s="3">
        <f ca="1">IFERROR(__xludf.DUMMYFUNCTION("""COMPUTED_VALUE"""),39.83)</f>
        <v>39.83</v>
      </c>
      <c r="AC463" s="3">
        <f ca="1">IFERROR(__xludf.DUMMYFUNCTION("""COMPUTED_VALUE"""),51.94)</f>
        <v>51.94</v>
      </c>
      <c r="AD463" s="3">
        <f ca="1">IFERROR(__xludf.DUMMYFUNCTION("""COMPUTED_VALUE"""),12.77)</f>
        <v>12.77</v>
      </c>
      <c r="AE463" s="3">
        <f ca="1">IFERROR(__xludf.DUMMYFUNCTION("""COMPUTED_VALUE"""),17.53)</f>
        <v>17.53</v>
      </c>
      <c r="AF463" s="3">
        <f ca="1">IFERROR(__xludf.DUMMYFUNCTION("""COMPUTED_VALUE"""),2.8)</f>
        <v>2.8</v>
      </c>
      <c r="AG463" s="3">
        <f ca="1">IFERROR(__xludf.DUMMYFUNCTION("""COMPUTED_VALUE"""),24.09)</f>
        <v>24.09</v>
      </c>
    </row>
    <row r="464" spans="1:33" ht="12.75" x14ac:dyDescent="0.2">
      <c r="A464" s="4">
        <f ca="1">IFERROR(__xludf.DUMMYFUNCTION("""COMPUTED_VALUE"""),45232.6666666666)</f>
        <v>45232.666666666599</v>
      </c>
      <c r="B464" s="3">
        <f ca="1">IFERROR(__xludf.DUMMYFUNCTION("""COMPUTED_VALUE"""),170.01)</f>
        <v>170.01</v>
      </c>
      <c r="C464" s="3">
        <f ca="1">IFERROR(__xludf.DUMMYFUNCTION("""COMPUTED_VALUE"""),421.88)</f>
        <v>421.88</v>
      </c>
      <c r="D464" s="3">
        <f ca="1">IFERROR(__xludf.DUMMYFUNCTION("""COMPUTED_VALUE"""),110.59)</f>
        <v>110.59</v>
      </c>
      <c r="E464" s="3">
        <f ca="1">IFERROR(__xludf.DUMMYFUNCTION("""COMPUTED_VALUE"""),154.36)</f>
        <v>154.36000000000001</v>
      </c>
      <c r="F464" s="3">
        <f ca="1">IFERROR(__xludf.DUMMYFUNCTION("""COMPUTED_VALUE"""),51.62)</f>
        <v>51.62</v>
      </c>
      <c r="G464" s="3">
        <f ca="1">IFERROR(__xludf.DUMMYFUNCTION("""COMPUTED_VALUE"""),23.85)</f>
        <v>23.85</v>
      </c>
      <c r="H464" s="3">
        <f ca="1">IFERROR(__xludf.DUMMYFUNCTION("""COMPUTED_VALUE"""),23.32)</f>
        <v>23.32</v>
      </c>
      <c r="I464" s="3">
        <f ca="1">IFERROR(__xludf.DUMMYFUNCTION("""COMPUTED_VALUE"""),126.78)</f>
        <v>126.78</v>
      </c>
      <c r="J464" s="3">
        <f ca="1">IFERROR(__xludf.DUMMYFUNCTION("""COMPUTED_VALUE"""),229.8)</f>
        <v>229.8</v>
      </c>
      <c r="K464" s="3">
        <f ca="1">IFERROR(__xludf.DUMMYFUNCTION("""COMPUTED_VALUE"""),116.82)</f>
        <v>116.82</v>
      </c>
      <c r="L464" s="3">
        <f ca="1">IFERROR(__xludf.DUMMYFUNCTION("""COMPUTED_VALUE"""),68.26)</f>
        <v>68.260000000000005</v>
      </c>
      <c r="M464" s="3">
        <f ca="1">IFERROR(__xludf.DUMMYFUNCTION("""COMPUTED_VALUE"""),54.49)</f>
        <v>54.49</v>
      </c>
      <c r="N464" s="3">
        <f ca="1">IFERROR(__xludf.DUMMYFUNCTION("""COMPUTED_VALUE"""),59.26)</f>
        <v>59.26</v>
      </c>
      <c r="O464" s="3">
        <f ca="1">IFERROR(__xludf.DUMMYFUNCTION("""COMPUTED_VALUE"""),36.92)</f>
        <v>36.92</v>
      </c>
      <c r="P464" s="3">
        <f ca="1">IFERROR(__xludf.DUMMYFUNCTION("""COMPUTED_VALUE"""),87.56)</f>
        <v>87.56</v>
      </c>
      <c r="Q464" s="3">
        <f ca="1">IFERROR(__xludf.DUMMYFUNCTION("""COMPUTED_VALUE"""),123.3)</f>
        <v>123.3</v>
      </c>
      <c r="R464" s="3">
        <f ca="1">IFERROR(__xludf.DUMMYFUNCTION("""COMPUTED_VALUE"""),77.57)</f>
        <v>77.569999999999993</v>
      </c>
      <c r="S464" s="3">
        <f ca="1">IFERROR(__xludf.DUMMYFUNCTION("""COMPUTED_VALUE"""),50.68)</f>
        <v>50.68</v>
      </c>
      <c r="T464" s="3">
        <f ca="1">IFERROR(__xludf.DUMMYFUNCTION("""COMPUTED_VALUE"""),24.81)</f>
        <v>24.81</v>
      </c>
      <c r="U464" s="3">
        <f ca="1">IFERROR(__xludf.DUMMYFUNCTION("""COMPUTED_VALUE"""),76.18)</f>
        <v>76.180000000000007</v>
      </c>
      <c r="V464" s="3">
        <f ca="1">IFERROR(__xludf.DUMMYFUNCTION("""COMPUTED_VALUE"""),43.04)</f>
        <v>43.04</v>
      </c>
      <c r="W464" s="3">
        <f ca="1">IFERROR(__xludf.DUMMYFUNCTION("""COMPUTED_VALUE"""),33.34)</f>
        <v>33.340000000000003</v>
      </c>
      <c r="X464" s="3">
        <f ca="1">IFERROR(__xludf.DUMMYFUNCTION("""COMPUTED_VALUE"""),80.48)</f>
        <v>80.48</v>
      </c>
      <c r="Y464" s="3">
        <f ca="1">IFERROR(__xludf.DUMMYFUNCTION("""COMPUTED_VALUE"""),37.25)</f>
        <v>37.25</v>
      </c>
      <c r="Z464" s="3">
        <f ca="1">IFERROR(__xludf.DUMMYFUNCTION("""COMPUTED_VALUE"""),74.84)</f>
        <v>74.84</v>
      </c>
      <c r="AA464" s="3">
        <f ca="1">IFERROR(__xludf.DUMMYFUNCTION("""COMPUTED_VALUE"""),34.3)</f>
        <v>34.299999999999997</v>
      </c>
      <c r="AB464" s="3">
        <f ca="1">IFERROR(__xludf.DUMMYFUNCTION("""COMPUTED_VALUE"""),42.09)</f>
        <v>42.09</v>
      </c>
      <c r="AC464" s="3">
        <f ca="1">IFERROR(__xludf.DUMMYFUNCTION("""COMPUTED_VALUE"""),51.92)</f>
        <v>51.92</v>
      </c>
      <c r="AD464" s="3">
        <f ca="1">IFERROR(__xludf.DUMMYFUNCTION("""COMPUTED_VALUE"""),12.74)</f>
        <v>12.74</v>
      </c>
      <c r="AE464" s="3">
        <f ca="1">IFERROR(__xludf.DUMMYFUNCTION("""COMPUTED_VALUE"""),17.69)</f>
        <v>17.690000000000001</v>
      </c>
      <c r="AF464" s="3">
        <f ca="1">IFERROR(__xludf.DUMMYFUNCTION("""COMPUTED_VALUE"""),2.84)</f>
        <v>2.84</v>
      </c>
      <c r="AG464" s="3">
        <f ca="1">IFERROR(__xludf.DUMMYFUNCTION("""COMPUTED_VALUE"""),26.11)</f>
        <v>26.11</v>
      </c>
    </row>
    <row r="465" spans="1:33" ht="12.75" x14ac:dyDescent="0.2">
      <c r="A465" s="4">
        <f ca="1">IFERROR(__xludf.DUMMYFUNCTION("""COMPUTED_VALUE"""),45233.6666666666)</f>
        <v>45233.666666666599</v>
      </c>
      <c r="B465" s="3">
        <f ca="1">IFERROR(__xludf.DUMMYFUNCTION("""COMPUTED_VALUE"""),171.76)</f>
        <v>171.76</v>
      </c>
      <c r="C465" s="3">
        <f ca="1">IFERROR(__xludf.DUMMYFUNCTION("""COMPUTED_VALUE"""),427.88)</f>
        <v>427.88</v>
      </c>
      <c r="D465" s="3">
        <f ca="1">IFERROR(__xludf.DUMMYFUNCTION("""COMPUTED_VALUE"""),111.14)</f>
        <v>111.14</v>
      </c>
      <c r="E465" s="3">
        <f ca="1">IFERROR(__xludf.DUMMYFUNCTION("""COMPUTED_VALUE"""),158.42)</f>
        <v>158.41999999999999</v>
      </c>
      <c r="F465" s="3">
        <f ca="1">IFERROR(__xludf.DUMMYFUNCTION("""COMPUTED_VALUE"""),52.41)</f>
        <v>52.41</v>
      </c>
      <c r="G465" s="3">
        <f ca="1">IFERROR(__xludf.DUMMYFUNCTION("""COMPUTED_VALUE"""),24.45)</f>
        <v>24.45</v>
      </c>
      <c r="H465" s="3">
        <f ca="1">IFERROR(__xludf.DUMMYFUNCTION("""COMPUTED_VALUE"""),23.88)</f>
        <v>23.88</v>
      </c>
      <c r="I465" s="3">
        <f ca="1">IFERROR(__xludf.DUMMYFUNCTION("""COMPUTED_VALUE"""),127.41)</f>
        <v>127.41</v>
      </c>
      <c r="J465" s="3">
        <f ca="1">IFERROR(__xludf.DUMMYFUNCTION("""COMPUTED_VALUE"""),231.46)</f>
        <v>231.46</v>
      </c>
      <c r="K465" s="3">
        <f ca="1">IFERROR(__xludf.DUMMYFUNCTION("""COMPUTED_VALUE"""),119.79)</f>
        <v>119.79</v>
      </c>
      <c r="L465" s="3">
        <f ca="1">IFERROR(__xludf.DUMMYFUNCTION("""COMPUTED_VALUE"""),71.46)</f>
        <v>71.459999999999994</v>
      </c>
      <c r="M465" s="3">
        <f ca="1">IFERROR(__xludf.DUMMYFUNCTION("""COMPUTED_VALUE"""),56.21)</f>
        <v>56.21</v>
      </c>
      <c r="N465" s="3">
        <f ca="1">IFERROR(__xludf.DUMMYFUNCTION("""COMPUTED_VALUE"""),59.74)</f>
        <v>59.74</v>
      </c>
      <c r="O465" s="3">
        <f ca="1">IFERROR(__xludf.DUMMYFUNCTION("""COMPUTED_VALUE"""),39.2)</f>
        <v>39.200000000000003</v>
      </c>
      <c r="P465" s="3">
        <f ca="1">IFERROR(__xludf.DUMMYFUNCTION("""COMPUTED_VALUE"""),86.68)</f>
        <v>86.68</v>
      </c>
      <c r="Q465" s="3">
        <f ca="1">IFERROR(__xludf.DUMMYFUNCTION("""COMPUTED_VALUE"""),122.19)</f>
        <v>122.19</v>
      </c>
      <c r="R465" s="3">
        <f ca="1">IFERROR(__xludf.DUMMYFUNCTION("""COMPUTED_VALUE"""),78.79)</f>
        <v>78.790000000000006</v>
      </c>
      <c r="S465" s="3">
        <f ca="1">IFERROR(__xludf.DUMMYFUNCTION("""COMPUTED_VALUE"""),51.2)</f>
        <v>51.2</v>
      </c>
      <c r="T465" s="3">
        <f ca="1">IFERROR(__xludf.DUMMYFUNCTION("""COMPUTED_VALUE"""),24.68)</f>
        <v>24.68</v>
      </c>
      <c r="U465" s="3">
        <f ca="1">IFERROR(__xludf.DUMMYFUNCTION("""COMPUTED_VALUE"""),74.85)</f>
        <v>74.849999999999994</v>
      </c>
      <c r="V465" s="3">
        <f ca="1">IFERROR(__xludf.DUMMYFUNCTION("""COMPUTED_VALUE"""),44.7)</f>
        <v>44.7</v>
      </c>
      <c r="W465" s="3">
        <f ca="1">IFERROR(__xludf.DUMMYFUNCTION("""COMPUTED_VALUE"""),33.78)</f>
        <v>33.78</v>
      </c>
      <c r="X465" s="3">
        <f ca="1">IFERROR(__xludf.DUMMYFUNCTION("""COMPUTED_VALUE"""),81.77)</f>
        <v>81.77</v>
      </c>
      <c r="Y465" s="3">
        <f ca="1">IFERROR(__xludf.DUMMYFUNCTION("""COMPUTED_VALUE"""),38.45)</f>
        <v>38.450000000000003</v>
      </c>
      <c r="Z465" s="3">
        <f ca="1">IFERROR(__xludf.DUMMYFUNCTION("""COMPUTED_VALUE"""),75.99)</f>
        <v>75.989999999999995</v>
      </c>
      <c r="AA465" s="3">
        <f ca="1">IFERROR(__xludf.DUMMYFUNCTION("""COMPUTED_VALUE"""),35.11)</f>
        <v>35.11</v>
      </c>
      <c r="AB465" s="3">
        <f ca="1">IFERROR(__xludf.DUMMYFUNCTION("""COMPUTED_VALUE"""),43.62)</f>
        <v>43.62</v>
      </c>
      <c r="AC465" s="3">
        <f ca="1">IFERROR(__xludf.DUMMYFUNCTION("""COMPUTED_VALUE"""),51.92)</f>
        <v>51.92</v>
      </c>
      <c r="AD465" s="3">
        <f ca="1">IFERROR(__xludf.DUMMYFUNCTION("""COMPUTED_VALUE"""),12.64)</f>
        <v>12.64</v>
      </c>
      <c r="AE465" s="3">
        <f ca="1">IFERROR(__xludf.DUMMYFUNCTION("""COMPUTED_VALUE"""),17.43)</f>
        <v>17.43</v>
      </c>
      <c r="AF465" s="3">
        <f ca="1">IFERROR(__xludf.DUMMYFUNCTION("""COMPUTED_VALUE"""),2.94)</f>
        <v>2.94</v>
      </c>
      <c r="AG465" s="3">
        <f ca="1">IFERROR(__xludf.DUMMYFUNCTION("""COMPUTED_VALUE"""),26.33)</f>
        <v>26.33</v>
      </c>
    </row>
    <row r="466" spans="1:33" ht="12.75" x14ac:dyDescent="0.2">
      <c r="A466" s="4">
        <f ca="1">IFERROR(__xludf.DUMMYFUNCTION("""COMPUTED_VALUE"""),45236.6666666666)</f>
        <v>45236.666666666599</v>
      </c>
      <c r="B466" s="3">
        <f ca="1">IFERROR(__xludf.DUMMYFUNCTION("""COMPUTED_VALUE"""),172.89)</f>
        <v>172.89</v>
      </c>
      <c r="C466" s="3">
        <f ca="1">IFERROR(__xludf.DUMMYFUNCTION("""COMPUTED_VALUE"""),429.82)</f>
        <v>429.82</v>
      </c>
      <c r="D466" s="3">
        <f ca="1">IFERROR(__xludf.DUMMYFUNCTION("""COMPUTED_VALUE"""),110.53)</f>
        <v>110.53</v>
      </c>
      <c r="E466" s="3">
        <f ca="1">IFERROR(__xludf.DUMMYFUNCTION("""COMPUTED_VALUE"""),158.13)</f>
        <v>158.13</v>
      </c>
      <c r="F466" s="3">
        <f ca="1">IFERROR(__xludf.DUMMYFUNCTION("""COMPUTED_VALUE"""),52.11)</f>
        <v>52.11</v>
      </c>
      <c r="G466" s="3">
        <f ca="1">IFERROR(__xludf.DUMMYFUNCTION("""COMPUTED_VALUE"""),24.43)</f>
        <v>24.43</v>
      </c>
      <c r="H466" s="3">
        <f ca="1">IFERROR(__xludf.DUMMYFUNCTION("""COMPUTED_VALUE"""),23.66)</f>
        <v>23.66</v>
      </c>
      <c r="I466" s="3">
        <f ca="1">IFERROR(__xludf.DUMMYFUNCTION("""COMPUTED_VALUE"""),128.26)</f>
        <v>128.26</v>
      </c>
      <c r="J466" s="3">
        <f ca="1">IFERROR(__xludf.DUMMYFUNCTION("""COMPUTED_VALUE"""),232.55)</f>
        <v>232.55</v>
      </c>
      <c r="K466" s="3">
        <f ca="1">IFERROR(__xludf.DUMMYFUNCTION("""COMPUTED_VALUE"""),119.41)</f>
        <v>119.41</v>
      </c>
      <c r="L466" s="3">
        <f ca="1">IFERROR(__xludf.DUMMYFUNCTION("""COMPUTED_VALUE"""),69.88)</f>
        <v>69.88</v>
      </c>
      <c r="M466" s="3">
        <f ca="1">IFERROR(__xludf.DUMMYFUNCTION("""COMPUTED_VALUE"""),55.67)</f>
        <v>55.67</v>
      </c>
      <c r="N466" s="3">
        <f ca="1">IFERROR(__xludf.DUMMYFUNCTION("""COMPUTED_VALUE"""),59.95)</f>
        <v>59.95</v>
      </c>
      <c r="O466" s="3">
        <f ca="1">IFERROR(__xludf.DUMMYFUNCTION("""COMPUTED_VALUE"""),38.76)</f>
        <v>38.76</v>
      </c>
      <c r="P466" s="3">
        <f ca="1">IFERROR(__xludf.DUMMYFUNCTION("""COMPUTED_VALUE"""),85.7)</f>
        <v>85.7</v>
      </c>
      <c r="Q466" s="3">
        <f ca="1">IFERROR(__xludf.DUMMYFUNCTION("""COMPUTED_VALUE"""),120.48)</f>
        <v>120.48</v>
      </c>
      <c r="R466" s="3">
        <f ca="1">IFERROR(__xludf.DUMMYFUNCTION("""COMPUTED_VALUE"""),78.4)</f>
        <v>78.400000000000006</v>
      </c>
      <c r="S466" s="3">
        <f ca="1">IFERROR(__xludf.DUMMYFUNCTION("""COMPUTED_VALUE"""),50.75)</f>
        <v>50.75</v>
      </c>
      <c r="T466" s="3">
        <f ca="1">IFERROR(__xludf.DUMMYFUNCTION("""COMPUTED_VALUE"""),24.78)</f>
        <v>24.78</v>
      </c>
      <c r="U466" s="3">
        <f ca="1">IFERROR(__xludf.DUMMYFUNCTION("""COMPUTED_VALUE"""),74.91)</f>
        <v>74.91</v>
      </c>
      <c r="V466" s="3">
        <f ca="1">IFERROR(__xludf.DUMMYFUNCTION("""COMPUTED_VALUE"""),43.88)</f>
        <v>43.88</v>
      </c>
      <c r="W466" s="3">
        <f ca="1">IFERROR(__xludf.DUMMYFUNCTION("""COMPUTED_VALUE"""),33.68)</f>
        <v>33.68</v>
      </c>
      <c r="X466" s="3">
        <f ca="1">IFERROR(__xludf.DUMMYFUNCTION("""COMPUTED_VALUE"""),81.45)</f>
        <v>81.45</v>
      </c>
      <c r="Y466" s="3">
        <f ca="1">IFERROR(__xludf.DUMMYFUNCTION("""COMPUTED_VALUE"""),37.91)</f>
        <v>37.909999999999997</v>
      </c>
      <c r="Z466" s="3">
        <f ca="1">IFERROR(__xludf.DUMMYFUNCTION("""COMPUTED_VALUE"""),75.62)</f>
        <v>75.62</v>
      </c>
      <c r="AA466" s="3">
        <f ca="1">IFERROR(__xludf.DUMMYFUNCTION("""COMPUTED_VALUE"""),34.63)</f>
        <v>34.630000000000003</v>
      </c>
      <c r="AB466" s="3">
        <f ca="1">IFERROR(__xludf.DUMMYFUNCTION("""COMPUTED_VALUE"""),43)</f>
        <v>43</v>
      </c>
      <c r="AC466" s="3">
        <f ca="1">IFERROR(__xludf.DUMMYFUNCTION("""COMPUTED_VALUE"""),51.63)</f>
        <v>51.63</v>
      </c>
      <c r="AD466" s="3">
        <f ca="1">IFERROR(__xludf.DUMMYFUNCTION("""COMPUTED_VALUE"""),13.03)</f>
        <v>13.03</v>
      </c>
      <c r="AE466" s="3">
        <f ca="1">IFERROR(__xludf.DUMMYFUNCTION("""COMPUTED_VALUE"""),17.71)</f>
        <v>17.71</v>
      </c>
      <c r="AF466" s="3">
        <f ca="1">IFERROR(__xludf.DUMMYFUNCTION("""COMPUTED_VALUE"""),3)</f>
        <v>3</v>
      </c>
      <c r="AG466" s="3">
        <f ca="1">IFERROR(__xludf.DUMMYFUNCTION("""COMPUTED_VALUE"""),25.8)</f>
        <v>25.8</v>
      </c>
    </row>
    <row r="467" spans="1:33" ht="12.75" x14ac:dyDescent="0.2">
      <c r="A467" s="4">
        <f ca="1">IFERROR(__xludf.DUMMYFUNCTION("""COMPUTED_VALUE"""),45237.6666666666)</f>
        <v>45237.666666666599</v>
      </c>
      <c r="B467" s="3">
        <f ca="1">IFERROR(__xludf.DUMMYFUNCTION("""COMPUTED_VALUE"""),174.78)</f>
        <v>174.78</v>
      </c>
      <c r="C467" s="3">
        <f ca="1">IFERROR(__xludf.DUMMYFUNCTION("""COMPUTED_VALUE"""),435.03)</f>
        <v>435.03</v>
      </c>
      <c r="D467" s="3">
        <f ca="1">IFERROR(__xludf.DUMMYFUNCTION("""COMPUTED_VALUE"""),113.37)</f>
        <v>113.37</v>
      </c>
      <c r="E467" s="3">
        <f ca="1">IFERROR(__xludf.DUMMYFUNCTION("""COMPUTED_VALUE"""),159.13)</f>
        <v>159.13</v>
      </c>
      <c r="F467" s="3">
        <f ca="1">IFERROR(__xludf.DUMMYFUNCTION("""COMPUTED_VALUE"""),52.71)</f>
        <v>52.71</v>
      </c>
      <c r="G467" s="3">
        <f ca="1">IFERROR(__xludf.DUMMYFUNCTION("""COMPUTED_VALUE"""),24.39)</f>
        <v>24.39</v>
      </c>
      <c r="H467" s="3">
        <f ca="1">IFERROR(__xludf.DUMMYFUNCTION("""COMPUTED_VALUE"""),23.86)</f>
        <v>23.86</v>
      </c>
      <c r="I467" s="3">
        <f ca="1">IFERROR(__xludf.DUMMYFUNCTION("""COMPUTED_VALUE"""),128.35)</f>
        <v>128.35</v>
      </c>
      <c r="J467" s="3">
        <f ca="1">IFERROR(__xludf.DUMMYFUNCTION("""COMPUTED_VALUE"""),232.97)</f>
        <v>232.97</v>
      </c>
      <c r="K467" s="3">
        <f ca="1">IFERROR(__xludf.DUMMYFUNCTION("""COMPUTED_VALUE"""),120.3)</f>
        <v>120.3</v>
      </c>
      <c r="L467" s="3">
        <f ca="1">IFERROR(__xludf.DUMMYFUNCTION("""COMPUTED_VALUE"""),71.52)</f>
        <v>71.52</v>
      </c>
      <c r="M467" s="3">
        <f ca="1">IFERROR(__xludf.DUMMYFUNCTION("""COMPUTED_VALUE"""),56.42)</f>
        <v>56.42</v>
      </c>
      <c r="N467" s="3">
        <f ca="1">IFERROR(__xludf.DUMMYFUNCTION("""COMPUTED_VALUE"""),60.11)</f>
        <v>60.11</v>
      </c>
      <c r="O467" s="3">
        <f ca="1">IFERROR(__xludf.DUMMYFUNCTION("""COMPUTED_VALUE"""),40.2)</f>
        <v>40.200000000000003</v>
      </c>
      <c r="P467" s="3">
        <f ca="1">IFERROR(__xludf.DUMMYFUNCTION("""COMPUTED_VALUE"""),83.8)</f>
        <v>83.8</v>
      </c>
      <c r="Q467" s="3">
        <f ca="1">IFERROR(__xludf.DUMMYFUNCTION("""COMPUTED_VALUE"""),117.56)</f>
        <v>117.56</v>
      </c>
      <c r="R467" s="3">
        <f ca="1">IFERROR(__xludf.DUMMYFUNCTION("""COMPUTED_VALUE"""),76.88)</f>
        <v>76.88</v>
      </c>
      <c r="S467" s="3">
        <f ca="1">IFERROR(__xludf.DUMMYFUNCTION("""COMPUTED_VALUE"""),49.77)</f>
        <v>49.77</v>
      </c>
      <c r="T467" s="3">
        <f ca="1">IFERROR(__xludf.DUMMYFUNCTION("""COMPUTED_VALUE"""),24.25)</f>
        <v>24.25</v>
      </c>
      <c r="U467" s="3">
        <f ca="1">IFERROR(__xludf.DUMMYFUNCTION("""COMPUTED_VALUE"""),71.8)</f>
        <v>71.8</v>
      </c>
      <c r="V467" s="3">
        <f ca="1">IFERROR(__xludf.DUMMYFUNCTION("""COMPUTED_VALUE"""),43.91)</f>
        <v>43.91</v>
      </c>
      <c r="W467" s="3">
        <f ca="1">IFERROR(__xludf.DUMMYFUNCTION("""COMPUTED_VALUE"""),33.63)</f>
        <v>33.630000000000003</v>
      </c>
      <c r="X467" s="3">
        <f ca="1">IFERROR(__xludf.DUMMYFUNCTION("""COMPUTED_VALUE"""),81.33)</f>
        <v>81.33</v>
      </c>
      <c r="Y467" s="3">
        <f ca="1">IFERROR(__xludf.DUMMYFUNCTION("""COMPUTED_VALUE"""),37.59)</f>
        <v>37.590000000000003</v>
      </c>
      <c r="Z467" s="3">
        <f ca="1">IFERROR(__xludf.DUMMYFUNCTION("""COMPUTED_VALUE"""),75.49)</f>
        <v>75.489999999999995</v>
      </c>
      <c r="AA467" s="3">
        <f ca="1">IFERROR(__xludf.DUMMYFUNCTION("""COMPUTED_VALUE"""),34.34)</f>
        <v>34.340000000000003</v>
      </c>
      <c r="AB467" s="3">
        <f ca="1">IFERROR(__xludf.DUMMYFUNCTION("""COMPUTED_VALUE"""),42.58)</f>
        <v>42.58</v>
      </c>
      <c r="AC467" s="3">
        <f ca="1">IFERROR(__xludf.DUMMYFUNCTION("""COMPUTED_VALUE"""),52.23)</f>
        <v>52.23</v>
      </c>
      <c r="AD467" s="3">
        <f ca="1">IFERROR(__xludf.DUMMYFUNCTION("""COMPUTED_VALUE"""),13.21)</f>
        <v>13.21</v>
      </c>
      <c r="AE467" s="3">
        <f ca="1">IFERROR(__xludf.DUMMYFUNCTION("""COMPUTED_VALUE"""),18.14)</f>
        <v>18.14</v>
      </c>
      <c r="AF467" s="3">
        <f ca="1">IFERROR(__xludf.DUMMYFUNCTION("""COMPUTED_VALUE"""),3.07)</f>
        <v>3.07</v>
      </c>
      <c r="AG467" s="3">
        <f ca="1">IFERROR(__xludf.DUMMYFUNCTION("""COMPUTED_VALUE"""),26.09)</f>
        <v>26.09</v>
      </c>
    </row>
    <row r="468" spans="1:33" ht="12.75" x14ac:dyDescent="0.2">
      <c r="A468" s="4">
        <f ca="1">IFERROR(__xludf.DUMMYFUNCTION("""COMPUTED_VALUE"""),45238.6666666666)</f>
        <v>45238.666666666599</v>
      </c>
      <c r="B468" s="3">
        <f ca="1">IFERROR(__xludf.DUMMYFUNCTION("""COMPUTED_VALUE"""),175.77)</f>
        <v>175.77</v>
      </c>
      <c r="C468" s="3">
        <f ca="1">IFERROR(__xludf.DUMMYFUNCTION("""COMPUTED_VALUE"""),436.84)</f>
        <v>436.84</v>
      </c>
      <c r="D468" s="3">
        <f ca="1">IFERROR(__xludf.DUMMYFUNCTION("""COMPUTED_VALUE"""),112.9)</f>
        <v>112.9</v>
      </c>
      <c r="E468" s="3">
        <f ca="1">IFERROR(__xludf.DUMMYFUNCTION("""COMPUTED_VALUE"""),159.29)</f>
        <v>159.29</v>
      </c>
      <c r="F468" s="3">
        <f ca="1">IFERROR(__xludf.DUMMYFUNCTION("""COMPUTED_VALUE"""),52.8)</f>
        <v>52.8</v>
      </c>
      <c r="G468" s="3">
        <f ca="1">IFERROR(__xludf.DUMMYFUNCTION("""COMPUTED_VALUE"""),24.31)</f>
        <v>24.31</v>
      </c>
      <c r="H468" s="3">
        <f ca="1">IFERROR(__xludf.DUMMYFUNCTION("""COMPUTED_VALUE"""),23.79)</f>
        <v>23.79</v>
      </c>
      <c r="I468" s="3">
        <f ca="1">IFERROR(__xludf.DUMMYFUNCTION("""COMPUTED_VALUE"""),128.17)</f>
        <v>128.16999999999999</v>
      </c>
      <c r="J468" s="3">
        <f ca="1">IFERROR(__xludf.DUMMYFUNCTION("""COMPUTED_VALUE"""),232.12)</f>
        <v>232.12</v>
      </c>
      <c r="K468" s="3">
        <f ca="1">IFERROR(__xludf.DUMMYFUNCTION("""COMPUTED_VALUE"""),118.48)</f>
        <v>118.48</v>
      </c>
      <c r="L468" s="3">
        <f ca="1">IFERROR(__xludf.DUMMYFUNCTION("""COMPUTED_VALUE"""),69.43)</f>
        <v>69.430000000000007</v>
      </c>
      <c r="M468" s="3">
        <f ca="1">IFERROR(__xludf.DUMMYFUNCTION("""COMPUTED_VALUE"""),55.31)</f>
        <v>55.31</v>
      </c>
      <c r="N468" s="3">
        <f ca="1">IFERROR(__xludf.DUMMYFUNCTION("""COMPUTED_VALUE"""),59.9)</f>
        <v>59.9</v>
      </c>
      <c r="O468" s="3">
        <f ca="1">IFERROR(__xludf.DUMMYFUNCTION("""COMPUTED_VALUE"""),38.8)</f>
        <v>38.799999999999997</v>
      </c>
      <c r="P468" s="3">
        <f ca="1">IFERROR(__xludf.DUMMYFUNCTION("""COMPUTED_VALUE"""),82.75)</f>
        <v>82.75</v>
      </c>
      <c r="Q468" s="3">
        <f ca="1">IFERROR(__xludf.DUMMYFUNCTION("""COMPUTED_VALUE"""),116.14)</f>
        <v>116.14</v>
      </c>
      <c r="R468" s="3">
        <f ca="1">IFERROR(__xludf.DUMMYFUNCTION("""COMPUTED_VALUE"""),77.12)</f>
        <v>77.12</v>
      </c>
      <c r="S468" s="3">
        <f ca="1">IFERROR(__xludf.DUMMYFUNCTION("""COMPUTED_VALUE"""),49.44)</f>
        <v>49.44</v>
      </c>
      <c r="T468" s="3">
        <f ca="1">IFERROR(__xludf.DUMMYFUNCTION("""COMPUTED_VALUE"""),23.98)</f>
        <v>23.98</v>
      </c>
      <c r="U468" s="3">
        <f ca="1">IFERROR(__xludf.DUMMYFUNCTION("""COMPUTED_VALUE"""),70.19)</f>
        <v>70.19</v>
      </c>
      <c r="V468" s="3">
        <f ca="1">IFERROR(__xludf.DUMMYFUNCTION("""COMPUTED_VALUE"""),42.54)</f>
        <v>42.54</v>
      </c>
      <c r="W468" s="3">
        <f ca="1">IFERROR(__xludf.DUMMYFUNCTION("""COMPUTED_VALUE"""),33.67)</f>
        <v>33.67</v>
      </c>
      <c r="X468" s="3">
        <f ca="1">IFERROR(__xludf.DUMMYFUNCTION("""COMPUTED_VALUE"""),81.36)</f>
        <v>81.36</v>
      </c>
      <c r="Y468" s="3">
        <f ca="1">IFERROR(__xludf.DUMMYFUNCTION("""COMPUTED_VALUE"""),37.21)</f>
        <v>37.21</v>
      </c>
      <c r="Z468" s="3">
        <f ca="1">IFERROR(__xludf.DUMMYFUNCTION("""COMPUTED_VALUE"""),75.49)</f>
        <v>75.489999999999995</v>
      </c>
      <c r="AA468" s="3">
        <f ca="1">IFERROR(__xludf.DUMMYFUNCTION("""COMPUTED_VALUE"""),34.54)</f>
        <v>34.54</v>
      </c>
      <c r="AB468" s="3">
        <f ca="1">IFERROR(__xludf.DUMMYFUNCTION("""COMPUTED_VALUE"""),42.02)</f>
        <v>42.02</v>
      </c>
      <c r="AC468" s="3">
        <f ca="1">IFERROR(__xludf.DUMMYFUNCTION("""COMPUTED_VALUE"""),52.16)</f>
        <v>52.16</v>
      </c>
      <c r="AD468" s="3">
        <f ca="1">IFERROR(__xludf.DUMMYFUNCTION("""COMPUTED_VALUE"""),13.12)</f>
        <v>13.12</v>
      </c>
      <c r="AE468" s="3">
        <f ca="1">IFERROR(__xludf.DUMMYFUNCTION("""COMPUTED_VALUE"""),18.01)</f>
        <v>18.010000000000002</v>
      </c>
      <c r="AF468" s="3">
        <f ca="1">IFERROR(__xludf.DUMMYFUNCTION("""COMPUTED_VALUE"""),3.03)</f>
        <v>3.03</v>
      </c>
      <c r="AG468" s="3">
        <f ca="1">IFERROR(__xludf.DUMMYFUNCTION("""COMPUTED_VALUE"""),24.84)</f>
        <v>24.84</v>
      </c>
    </row>
    <row r="469" spans="1:33" ht="12.75" x14ac:dyDescent="0.2">
      <c r="A469" s="4">
        <f ca="1">IFERROR(__xludf.DUMMYFUNCTION("""COMPUTED_VALUE"""),45239.6666666666)</f>
        <v>45239.666666666599</v>
      </c>
      <c r="B469" s="3">
        <f ca="1">IFERROR(__xludf.DUMMYFUNCTION("""COMPUTED_VALUE"""),174.95)</f>
        <v>174.95</v>
      </c>
      <c r="C469" s="3">
        <f ca="1">IFERROR(__xludf.DUMMYFUNCTION("""COMPUTED_VALUE"""),434.22)</f>
        <v>434.22</v>
      </c>
      <c r="D469" s="3">
        <f ca="1">IFERROR(__xludf.DUMMYFUNCTION("""COMPUTED_VALUE"""),115.32)</f>
        <v>115.32</v>
      </c>
      <c r="E469" s="3">
        <f ca="1">IFERROR(__xludf.DUMMYFUNCTION("""COMPUTED_VALUE"""),158.53)</f>
        <v>158.53</v>
      </c>
      <c r="F469" s="3">
        <f ca="1">IFERROR(__xludf.DUMMYFUNCTION("""COMPUTED_VALUE"""),52.58)</f>
        <v>52.58</v>
      </c>
      <c r="G469" s="3">
        <f ca="1">IFERROR(__xludf.DUMMYFUNCTION("""COMPUTED_VALUE"""),24.19)</f>
        <v>24.19</v>
      </c>
      <c r="H469" s="3">
        <f ca="1">IFERROR(__xludf.DUMMYFUNCTION("""COMPUTED_VALUE"""),23.54)</f>
        <v>23.54</v>
      </c>
      <c r="I469" s="3">
        <f ca="1">IFERROR(__xludf.DUMMYFUNCTION("""COMPUTED_VALUE"""),125.52)</f>
        <v>125.52</v>
      </c>
      <c r="J469" s="3">
        <f ca="1">IFERROR(__xludf.DUMMYFUNCTION("""COMPUTED_VALUE"""),227.07)</f>
        <v>227.07</v>
      </c>
      <c r="K469" s="3">
        <f ca="1">IFERROR(__xludf.DUMMYFUNCTION("""COMPUTED_VALUE"""),114.98)</f>
        <v>114.98</v>
      </c>
      <c r="L469" s="3">
        <f ca="1">IFERROR(__xludf.DUMMYFUNCTION("""COMPUTED_VALUE"""),66.59)</f>
        <v>66.59</v>
      </c>
      <c r="M469" s="3">
        <f ca="1">IFERROR(__xludf.DUMMYFUNCTION("""COMPUTED_VALUE"""),53.55)</f>
        <v>53.55</v>
      </c>
      <c r="N469" s="3">
        <f ca="1">IFERROR(__xludf.DUMMYFUNCTION("""COMPUTED_VALUE"""),58.59)</f>
        <v>58.59</v>
      </c>
      <c r="O469" s="3">
        <f ca="1">IFERROR(__xludf.DUMMYFUNCTION("""COMPUTED_VALUE"""),37.6)</f>
        <v>37.6</v>
      </c>
      <c r="P469" s="3">
        <f ca="1">IFERROR(__xludf.DUMMYFUNCTION("""COMPUTED_VALUE"""),82.5)</f>
        <v>82.5</v>
      </c>
      <c r="Q469" s="3">
        <f ca="1">IFERROR(__xludf.DUMMYFUNCTION("""COMPUTED_VALUE"""),115.88)</f>
        <v>115.88</v>
      </c>
      <c r="R469" s="3">
        <f ca="1">IFERROR(__xludf.DUMMYFUNCTION("""COMPUTED_VALUE"""),76.46)</f>
        <v>76.459999999999994</v>
      </c>
      <c r="S469" s="3">
        <f ca="1">IFERROR(__xludf.DUMMYFUNCTION("""COMPUTED_VALUE"""),49.06)</f>
        <v>49.06</v>
      </c>
      <c r="T469" s="3">
        <f ca="1">IFERROR(__xludf.DUMMYFUNCTION("""COMPUTED_VALUE"""),23.92)</f>
        <v>23.92</v>
      </c>
      <c r="U469" s="3">
        <f ca="1">IFERROR(__xludf.DUMMYFUNCTION("""COMPUTED_VALUE"""),70.25)</f>
        <v>70.25</v>
      </c>
      <c r="V469" s="3">
        <f ca="1">IFERROR(__xludf.DUMMYFUNCTION("""COMPUTED_VALUE"""),41.56)</f>
        <v>41.56</v>
      </c>
      <c r="W469" s="3">
        <f ca="1">IFERROR(__xludf.DUMMYFUNCTION("""COMPUTED_VALUE"""),33.53)</f>
        <v>33.53</v>
      </c>
      <c r="X469" s="3">
        <f ca="1">IFERROR(__xludf.DUMMYFUNCTION("""COMPUTED_VALUE"""),80.93)</f>
        <v>80.930000000000007</v>
      </c>
      <c r="Y469" s="3">
        <f ca="1">IFERROR(__xludf.DUMMYFUNCTION("""COMPUTED_VALUE"""),36.66)</f>
        <v>36.659999999999997</v>
      </c>
      <c r="Z469" s="3">
        <f ca="1">IFERROR(__xludf.DUMMYFUNCTION("""COMPUTED_VALUE"""),75.24)</f>
        <v>75.239999999999995</v>
      </c>
      <c r="AA469" s="3">
        <f ca="1">IFERROR(__xludf.DUMMYFUNCTION("""COMPUTED_VALUE"""),34.01)</f>
        <v>34.01</v>
      </c>
      <c r="AB469" s="3">
        <f ca="1">IFERROR(__xludf.DUMMYFUNCTION("""COMPUTED_VALUE"""),41.14)</f>
        <v>41.14</v>
      </c>
      <c r="AC469" s="3">
        <f ca="1">IFERROR(__xludf.DUMMYFUNCTION("""COMPUTED_VALUE"""),53.45)</f>
        <v>53.45</v>
      </c>
      <c r="AD469" s="3">
        <f ca="1">IFERROR(__xludf.DUMMYFUNCTION("""COMPUTED_VALUE"""),13.78)</f>
        <v>13.78</v>
      </c>
      <c r="AE469" s="3">
        <f ca="1">IFERROR(__xludf.DUMMYFUNCTION("""COMPUTED_VALUE"""),18.45)</f>
        <v>18.45</v>
      </c>
      <c r="AF469" s="3">
        <f ca="1">IFERROR(__xludf.DUMMYFUNCTION("""COMPUTED_VALUE"""),3.04)</f>
        <v>3.04</v>
      </c>
      <c r="AG469" s="3">
        <f ca="1">IFERROR(__xludf.DUMMYFUNCTION("""COMPUTED_VALUE"""),25.07)</f>
        <v>25.07</v>
      </c>
    </row>
    <row r="470" spans="1:33" ht="12.75" x14ac:dyDescent="0.2">
      <c r="A470" s="4">
        <f ca="1">IFERROR(__xludf.DUMMYFUNCTION("""COMPUTED_VALUE"""),45240.6666666666)</f>
        <v>45240.666666666599</v>
      </c>
      <c r="B470" s="3">
        <f ca="1">IFERROR(__xludf.DUMMYFUNCTION("""COMPUTED_VALUE"""),179.52)</f>
        <v>179.52</v>
      </c>
      <c r="C470" s="3">
        <f ca="1">IFERROR(__xludf.DUMMYFUNCTION("""COMPUTED_VALUE"""),445.69)</f>
        <v>445.69</v>
      </c>
      <c r="D470" s="3">
        <f ca="1">IFERROR(__xludf.DUMMYFUNCTION("""COMPUTED_VALUE"""),115.4)</f>
        <v>115.4</v>
      </c>
      <c r="E470" s="3">
        <f ca="1">IFERROR(__xludf.DUMMYFUNCTION("""COMPUTED_VALUE"""),164.92)</f>
        <v>164.92</v>
      </c>
      <c r="F470" s="3">
        <f ca="1">IFERROR(__xludf.DUMMYFUNCTION("""COMPUTED_VALUE"""),53.39)</f>
        <v>53.39</v>
      </c>
      <c r="G470" s="3">
        <f ca="1">IFERROR(__xludf.DUMMYFUNCTION("""COMPUTED_VALUE"""),24.57)</f>
        <v>24.57</v>
      </c>
      <c r="H470" s="3">
        <f ca="1">IFERROR(__xludf.DUMMYFUNCTION("""COMPUTED_VALUE"""),23.83)</f>
        <v>23.83</v>
      </c>
      <c r="I470" s="3">
        <f ca="1">IFERROR(__xludf.DUMMYFUNCTION("""COMPUTED_VALUE"""),126.27)</f>
        <v>126.27</v>
      </c>
      <c r="J470" s="3">
        <f ca="1">IFERROR(__xludf.DUMMYFUNCTION("""COMPUTED_VALUE"""),228.28)</f>
        <v>228.28</v>
      </c>
      <c r="K470" s="3">
        <f ca="1">IFERROR(__xludf.DUMMYFUNCTION("""COMPUTED_VALUE"""),115.53)</f>
        <v>115.53</v>
      </c>
      <c r="L470" s="3">
        <f ca="1">IFERROR(__xludf.DUMMYFUNCTION("""COMPUTED_VALUE"""),66.95)</f>
        <v>66.95</v>
      </c>
      <c r="M470" s="3">
        <f ca="1">IFERROR(__xludf.DUMMYFUNCTION("""COMPUTED_VALUE"""),53.92)</f>
        <v>53.92</v>
      </c>
      <c r="N470" s="3">
        <f ca="1">IFERROR(__xludf.DUMMYFUNCTION("""COMPUTED_VALUE"""),58.87)</f>
        <v>58.87</v>
      </c>
      <c r="O470" s="3">
        <f ca="1">IFERROR(__xludf.DUMMYFUNCTION("""COMPUTED_VALUE"""),37.68)</f>
        <v>37.68</v>
      </c>
      <c r="P470" s="3">
        <f ca="1">IFERROR(__xludf.DUMMYFUNCTION("""COMPUTED_VALUE"""),83.41)</f>
        <v>83.41</v>
      </c>
      <c r="Q470" s="3">
        <f ca="1">IFERROR(__xludf.DUMMYFUNCTION("""COMPUTED_VALUE"""),117.03)</f>
        <v>117.03</v>
      </c>
      <c r="R470" s="3">
        <f ca="1">IFERROR(__xludf.DUMMYFUNCTION("""COMPUTED_VALUE"""),77.36)</f>
        <v>77.36</v>
      </c>
      <c r="S470" s="3">
        <f ca="1">IFERROR(__xludf.DUMMYFUNCTION("""COMPUTED_VALUE"""),49.34)</f>
        <v>49.34</v>
      </c>
      <c r="T470" s="3">
        <f ca="1">IFERROR(__xludf.DUMMYFUNCTION("""COMPUTED_VALUE"""),24.04)</f>
        <v>24.04</v>
      </c>
      <c r="U470" s="3">
        <f ca="1">IFERROR(__xludf.DUMMYFUNCTION("""COMPUTED_VALUE"""),71.79)</f>
        <v>71.790000000000006</v>
      </c>
      <c r="V470" s="3">
        <f ca="1">IFERROR(__xludf.DUMMYFUNCTION("""COMPUTED_VALUE"""),41.4)</f>
        <v>41.4</v>
      </c>
      <c r="W470" s="3">
        <f ca="1">IFERROR(__xludf.DUMMYFUNCTION("""COMPUTED_VALUE"""),33.91)</f>
        <v>33.909999999999997</v>
      </c>
      <c r="X470" s="3">
        <f ca="1">IFERROR(__xludf.DUMMYFUNCTION("""COMPUTED_VALUE"""),81.85)</f>
        <v>81.849999999999994</v>
      </c>
      <c r="Y470" s="3">
        <f ca="1">IFERROR(__xludf.DUMMYFUNCTION("""COMPUTED_VALUE"""),36.97)</f>
        <v>36.97</v>
      </c>
      <c r="Z470" s="3">
        <f ca="1">IFERROR(__xludf.DUMMYFUNCTION("""COMPUTED_VALUE"""),76.11)</f>
        <v>76.11</v>
      </c>
      <c r="AA470" s="3">
        <f ca="1">IFERROR(__xludf.DUMMYFUNCTION("""COMPUTED_VALUE"""),34.39)</f>
        <v>34.39</v>
      </c>
      <c r="AB470" s="3">
        <f ca="1">IFERROR(__xludf.DUMMYFUNCTION("""COMPUTED_VALUE"""),41.37)</f>
        <v>41.37</v>
      </c>
      <c r="AC470" s="3">
        <f ca="1">IFERROR(__xludf.DUMMYFUNCTION("""COMPUTED_VALUE"""),53.86)</f>
        <v>53.86</v>
      </c>
      <c r="AD470" s="3">
        <f ca="1">IFERROR(__xludf.DUMMYFUNCTION("""COMPUTED_VALUE"""),14.13)</f>
        <v>14.13</v>
      </c>
      <c r="AE470" s="3">
        <f ca="1">IFERROR(__xludf.DUMMYFUNCTION("""COMPUTED_VALUE"""),18.85)</f>
        <v>18.850000000000001</v>
      </c>
      <c r="AF470" s="3">
        <f ca="1">IFERROR(__xludf.DUMMYFUNCTION("""COMPUTED_VALUE"""),3.05)</f>
        <v>3.05</v>
      </c>
      <c r="AG470" s="3">
        <f ca="1">IFERROR(__xludf.DUMMYFUNCTION("""COMPUTED_VALUE"""),25.01)</f>
        <v>25.01</v>
      </c>
    </row>
    <row r="471" spans="1:33" ht="12.75" x14ac:dyDescent="0.2">
      <c r="A471" s="4">
        <f ca="1">IFERROR(__xludf.DUMMYFUNCTION("""COMPUTED_VALUE"""),45243.6666666666)</f>
        <v>45243.666666666599</v>
      </c>
      <c r="B471" s="3">
        <f ca="1">IFERROR(__xludf.DUMMYFUNCTION("""COMPUTED_VALUE"""),178.47)</f>
        <v>178.47</v>
      </c>
      <c r="C471" s="3">
        <f ca="1">IFERROR(__xludf.DUMMYFUNCTION("""COMPUTED_VALUE"""),443.46)</f>
        <v>443.46</v>
      </c>
      <c r="D471" s="3">
        <f ca="1">IFERROR(__xludf.DUMMYFUNCTION("""COMPUTED_VALUE"""),116.17)</f>
        <v>116.17</v>
      </c>
      <c r="E471" s="3">
        <f ca="1">IFERROR(__xludf.DUMMYFUNCTION("""COMPUTED_VALUE"""),163.32)</f>
        <v>163.32</v>
      </c>
      <c r="F471" s="3">
        <f ca="1">IFERROR(__xludf.DUMMYFUNCTION("""COMPUTED_VALUE"""),53.57)</f>
        <v>53.57</v>
      </c>
      <c r="G471" s="3">
        <f ca="1">IFERROR(__xludf.DUMMYFUNCTION("""COMPUTED_VALUE"""),24.61)</f>
        <v>24.61</v>
      </c>
      <c r="H471" s="3">
        <f ca="1">IFERROR(__xludf.DUMMYFUNCTION("""COMPUTED_VALUE"""),23.79)</f>
        <v>23.79</v>
      </c>
      <c r="I471" s="3">
        <f ca="1">IFERROR(__xludf.DUMMYFUNCTION("""COMPUTED_VALUE"""),127)</f>
        <v>127</v>
      </c>
      <c r="J471" s="3">
        <f ca="1">IFERROR(__xludf.DUMMYFUNCTION("""COMPUTED_VALUE"""),229.78)</f>
        <v>229.78</v>
      </c>
      <c r="K471" s="3">
        <f ca="1">IFERROR(__xludf.DUMMYFUNCTION("""COMPUTED_VALUE"""),115.42)</f>
        <v>115.42</v>
      </c>
      <c r="L471" s="3">
        <f ca="1">IFERROR(__xludf.DUMMYFUNCTION("""COMPUTED_VALUE"""),67.28)</f>
        <v>67.28</v>
      </c>
      <c r="M471" s="3">
        <f ca="1">IFERROR(__xludf.DUMMYFUNCTION("""COMPUTED_VALUE"""),54.02)</f>
        <v>54.02</v>
      </c>
      <c r="N471" s="3">
        <f ca="1">IFERROR(__xludf.DUMMYFUNCTION("""COMPUTED_VALUE"""),59.26)</f>
        <v>59.26</v>
      </c>
      <c r="O471" s="3">
        <f ca="1">IFERROR(__xludf.DUMMYFUNCTION("""COMPUTED_VALUE"""),37.36)</f>
        <v>37.36</v>
      </c>
      <c r="P471" s="3">
        <f ca="1">IFERROR(__xludf.DUMMYFUNCTION("""COMPUTED_VALUE"""),84.01)</f>
        <v>84.01</v>
      </c>
      <c r="Q471" s="3">
        <f ca="1">IFERROR(__xludf.DUMMYFUNCTION("""COMPUTED_VALUE"""),117.91)</f>
        <v>117.91</v>
      </c>
      <c r="R471" s="3">
        <f ca="1">IFERROR(__xludf.DUMMYFUNCTION("""COMPUTED_VALUE"""),77.25)</f>
        <v>77.25</v>
      </c>
      <c r="S471" s="3">
        <f ca="1">IFERROR(__xludf.DUMMYFUNCTION("""COMPUTED_VALUE"""),49.3)</f>
        <v>49.3</v>
      </c>
      <c r="T471" s="3">
        <f ca="1">IFERROR(__xludf.DUMMYFUNCTION("""COMPUTED_VALUE"""),24.39)</f>
        <v>24.39</v>
      </c>
      <c r="U471" s="3">
        <f ca="1">IFERROR(__xludf.DUMMYFUNCTION("""COMPUTED_VALUE"""),72.92)</f>
        <v>72.92</v>
      </c>
      <c r="V471" s="3">
        <f ca="1">IFERROR(__xludf.DUMMYFUNCTION("""COMPUTED_VALUE"""),41.71)</f>
        <v>41.71</v>
      </c>
      <c r="W471" s="3">
        <f ca="1">IFERROR(__xludf.DUMMYFUNCTION("""COMPUTED_VALUE"""),33.86)</f>
        <v>33.86</v>
      </c>
      <c r="X471" s="3">
        <f ca="1">IFERROR(__xludf.DUMMYFUNCTION("""COMPUTED_VALUE"""),81.7)</f>
        <v>81.7</v>
      </c>
      <c r="Y471" s="3">
        <f ca="1">IFERROR(__xludf.DUMMYFUNCTION("""COMPUTED_VALUE"""),36.98)</f>
        <v>36.979999999999997</v>
      </c>
      <c r="Z471" s="3">
        <f ca="1">IFERROR(__xludf.DUMMYFUNCTION("""COMPUTED_VALUE"""),75.96)</f>
        <v>75.959999999999994</v>
      </c>
      <c r="AA471" s="3">
        <f ca="1">IFERROR(__xludf.DUMMYFUNCTION("""COMPUTED_VALUE"""),34.1)</f>
        <v>34.1</v>
      </c>
      <c r="AB471" s="3">
        <f ca="1">IFERROR(__xludf.DUMMYFUNCTION("""COMPUTED_VALUE"""),41.44)</f>
        <v>41.44</v>
      </c>
      <c r="AC471" s="3">
        <f ca="1">IFERROR(__xludf.DUMMYFUNCTION("""COMPUTED_VALUE"""),53.92)</f>
        <v>53.92</v>
      </c>
      <c r="AD471" s="3">
        <f ca="1">IFERROR(__xludf.DUMMYFUNCTION("""COMPUTED_VALUE"""),14)</f>
        <v>14</v>
      </c>
      <c r="AE471" s="3">
        <f ca="1">IFERROR(__xludf.DUMMYFUNCTION("""COMPUTED_VALUE"""),18.54)</f>
        <v>18.54</v>
      </c>
      <c r="AF471" s="3">
        <f ca="1">IFERROR(__xludf.DUMMYFUNCTION("""COMPUTED_VALUE"""),3.07)</f>
        <v>3.07</v>
      </c>
      <c r="AG471" s="3">
        <f ca="1">IFERROR(__xludf.DUMMYFUNCTION("""COMPUTED_VALUE"""),24.1)</f>
        <v>24.1</v>
      </c>
    </row>
    <row r="472" spans="1:33" ht="12.75" x14ac:dyDescent="0.2">
      <c r="A472" s="4">
        <f ca="1">IFERROR(__xludf.DUMMYFUNCTION("""COMPUTED_VALUE"""),45244.6666666666)</f>
        <v>45244.666666666599</v>
      </c>
      <c r="B472" s="3">
        <f ca="1">IFERROR(__xludf.DUMMYFUNCTION("""COMPUTED_VALUE"""),182.04)</f>
        <v>182.04</v>
      </c>
      <c r="C472" s="3">
        <f ca="1">IFERROR(__xludf.DUMMYFUNCTION("""COMPUTED_VALUE"""),454.19)</f>
        <v>454.19</v>
      </c>
      <c r="D472" s="3">
        <f ca="1">IFERROR(__xludf.DUMMYFUNCTION("""COMPUTED_VALUE"""),115.97)</f>
        <v>115.97</v>
      </c>
      <c r="E472" s="3">
        <f ca="1">IFERROR(__xludf.DUMMYFUNCTION("""COMPUTED_VALUE"""),169.36)</f>
        <v>169.36</v>
      </c>
      <c r="F472" s="3">
        <f ca="1">IFERROR(__xludf.DUMMYFUNCTION("""COMPUTED_VALUE"""),54.96)</f>
        <v>54.96</v>
      </c>
      <c r="G472" s="3">
        <f ca="1">IFERROR(__xludf.DUMMYFUNCTION("""COMPUTED_VALUE"""),25.53)</f>
        <v>25.53</v>
      </c>
      <c r="H472" s="3">
        <f ca="1">IFERROR(__xludf.DUMMYFUNCTION("""COMPUTED_VALUE"""),24.55)</f>
        <v>24.55</v>
      </c>
      <c r="I472" s="3">
        <f ca="1">IFERROR(__xludf.DUMMYFUNCTION("""COMPUTED_VALUE"""),127.86)</f>
        <v>127.86</v>
      </c>
      <c r="J472" s="3">
        <f ca="1">IFERROR(__xludf.DUMMYFUNCTION("""COMPUTED_VALUE"""),232.41)</f>
        <v>232.41</v>
      </c>
      <c r="K472" s="3">
        <f ca="1">IFERROR(__xludf.DUMMYFUNCTION("""COMPUTED_VALUE"""),117.91)</f>
        <v>117.91</v>
      </c>
      <c r="L472" s="3">
        <f ca="1">IFERROR(__xludf.DUMMYFUNCTION("""COMPUTED_VALUE"""),70.91)</f>
        <v>70.91</v>
      </c>
      <c r="M472" s="3">
        <f ca="1">IFERROR(__xludf.DUMMYFUNCTION("""COMPUTED_VALUE"""),55.75)</f>
        <v>55.75</v>
      </c>
      <c r="N472" s="3">
        <f ca="1">IFERROR(__xludf.DUMMYFUNCTION("""COMPUTED_VALUE"""),59.95)</f>
        <v>59.95</v>
      </c>
      <c r="O472" s="3">
        <f ca="1">IFERROR(__xludf.DUMMYFUNCTION("""COMPUTED_VALUE"""),39.71)</f>
        <v>39.71</v>
      </c>
      <c r="P472" s="3">
        <f ca="1">IFERROR(__xludf.DUMMYFUNCTION("""COMPUTED_VALUE"""),84.76)</f>
        <v>84.76</v>
      </c>
      <c r="Q472" s="3">
        <f ca="1">IFERROR(__xludf.DUMMYFUNCTION("""COMPUTED_VALUE"""),119.08)</f>
        <v>119.08</v>
      </c>
      <c r="R472" s="3">
        <f ca="1">IFERROR(__xludf.DUMMYFUNCTION("""COMPUTED_VALUE"""),79.53)</f>
        <v>79.53</v>
      </c>
      <c r="S472" s="3">
        <f ca="1">IFERROR(__xludf.DUMMYFUNCTION("""COMPUTED_VALUE"""),51.8)</f>
        <v>51.8</v>
      </c>
      <c r="T472" s="3">
        <f ca="1">IFERROR(__xludf.DUMMYFUNCTION("""COMPUTED_VALUE"""),24.35)</f>
        <v>24.35</v>
      </c>
      <c r="U472" s="3">
        <f ca="1">IFERROR(__xludf.DUMMYFUNCTION("""COMPUTED_VALUE"""),72.69)</f>
        <v>72.69</v>
      </c>
      <c r="V472" s="3">
        <f ca="1">IFERROR(__xludf.DUMMYFUNCTION("""COMPUTED_VALUE"""),46.03)</f>
        <v>46.03</v>
      </c>
      <c r="W472" s="3">
        <f ca="1">IFERROR(__xludf.DUMMYFUNCTION("""COMPUTED_VALUE"""),34.5)</f>
        <v>34.5</v>
      </c>
      <c r="X472" s="3">
        <f ca="1">IFERROR(__xludf.DUMMYFUNCTION("""COMPUTED_VALUE"""),83.67)</f>
        <v>83.67</v>
      </c>
      <c r="Y472" s="3">
        <f ca="1">IFERROR(__xludf.DUMMYFUNCTION("""COMPUTED_VALUE"""),39.29)</f>
        <v>39.29</v>
      </c>
      <c r="Z472" s="3">
        <f ca="1">IFERROR(__xludf.DUMMYFUNCTION("""COMPUTED_VALUE"""),77.71)</f>
        <v>77.709999999999994</v>
      </c>
      <c r="AA472" s="3">
        <f ca="1">IFERROR(__xludf.DUMMYFUNCTION("""COMPUTED_VALUE"""),35.94)</f>
        <v>35.94</v>
      </c>
      <c r="AB472" s="3">
        <f ca="1">IFERROR(__xludf.DUMMYFUNCTION("""COMPUTED_VALUE"""),44.49)</f>
        <v>44.49</v>
      </c>
      <c r="AC472" s="3">
        <f ca="1">IFERROR(__xludf.DUMMYFUNCTION("""COMPUTED_VALUE"""),54.32)</f>
        <v>54.32</v>
      </c>
      <c r="AD472" s="3">
        <f ca="1">IFERROR(__xludf.DUMMYFUNCTION("""COMPUTED_VALUE"""),13.32)</f>
        <v>13.32</v>
      </c>
      <c r="AE472" s="3">
        <f ca="1">IFERROR(__xludf.DUMMYFUNCTION("""COMPUTED_VALUE"""),17.74)</f>
        <v>17.739999999999998</v>
      </c>
      <c r="AF472" s="3">
        <f ca="1">IFERROR(__xludf.DUMMYFUNCTION("""COMPUTED_VALUE"""),3)</f>
        <v>3</v>
      </c>
      <c r="AG472" s="3">
        <f ca="1">IFERROR(__xludf.DUMMYFUNCTION("""COMPUTED_VALUE"""),24.41)</f>
        <v>24.41</v>
      </c>
    </row>
    <row r="473" spans="1:33" ht="12.75" x14ac:dyDescent="0.2">
      <c r="A473" s="4">
        <f ca="1">IFERROR(__xludf.DUMMYFUNCTION("""COMPUTED_VALUE"""),45245.6666666666)</f>
        <v>45245.666666666599</v>
      </c>
      <c r="B473" s="3">
        <f ca="1">IFERROR(__xludf.DUMMYFUNCTION("""COMPUTED_VALUE"""),182.27)</f>
        <v>182.27</v>
      </c>
      <c r="C473" s="3">
        <f ca="1">IFERROR(__xludf.DUMMYFUNCTION("""COMPUTED_VALUE"""),454.78)</f>
        <v>454.78</v>
      </c>
      <c r="D473" s="3">
        <f ca="1">IFERROR(__xludf.DUMMYFUNCTION("""COMPUTED_VALUE"""),117.62)</f>
        <v>117.62</v>
      </c>
      <c r="E473" s="3">
        <f ca="1">IFERROR(__xludf.DUMMYFUNCTION("""COMPUTED_VALUE"""),170.59)</f>
        <v>170.59</v>
      </c>
      <c r="F473" s="3">
        <f ca="1">IFERROR(__xludf.DUMMYFUNCTION("""COMPUTED_VALUE"""),54.62)</f>
        <v>54.62</v>
      </c>
      <c r="G473" s="3">
        <f ca="1">IFERROR(__xludf.DUMMYFUNCTION("""COMPUTED_VALUE"""),25.64)</f>
        <v>25.64</v>
      </c>
      <c r="H473" s="3">
        <f ca="1">IFERROR(__xludf.DUMMYFUNCTION("""COMPUTED_VALUE"""),24.74)</f>
        <v>24.74</v>
      </c>
      <c r="I473" s="3">
        <f ca="1">IFERROR(__xludf.DUMMYFUNCTION("""COMPUTED_VALUE"""),127.96)</f>
        <v>127.96</v>
      </c>
      <c r="J473" s="3">
        <f ca="1">IFERROR(__xludf.DUMMYFUNCTION("""COMPUTED_VALUE"""),232.67)</f>
        <v>232.67</v>
      </c>
      <c r="K473" s="3">
        <f ca="1">IFERROR(__xludf.DUMMYFUNCTION("""COMPUTED_VALUE"""),118.03)</f>
        <v>118.03</v>
      </c>
      <c r="L473" s="3">
        <f ca="1">IFERROR(__xludf.DUMMYFUNCTION("""COMPUTED_VALUE"""),71.1)</f>
        <v>71.099999999999994</v>
      </c>
      <c r="M473" s="3">
        <f ca="1">IFERROR(__xludf.DUMMYFUNCTION("""COMPUTED_VALUE"""),55.98)</f>
        <v>55.98</v>
      </c>
      <c r="N473" s="3">
        <f ca="1">IFERROR(__xludf.DUMMYFUNCTION("""COMPUTED_VALUE"""),59.99)</f>
        <v>59.99</v>
      </c>
      <c r="O473" s="3">
        <f ca="1">IFERROR(__xludf.DUMMYFUNCTION("""COMPUTED_VALUE"""),40.24)</f>
        <v>40.24</v>
      </c>
      <c r="P473" s="3">
        <f ca="1">IFERROR(__xludf.DUMMYFUNCTION("""COMPUTED_VALUE"""),84.6)</f>
        <v>84.6</v>
      </c>
      <c r="Q473" s="3">
        <f ca="1">IFERROR(__xludf.DUMMYFUNCTION("""COMPUTED_VALUE"""),118.73)</f>
        <v>118.73</v>
      </c>
      <c r="R473" s="3">
        <f ca="1">IFERROR(__xludf.DUMMYFUNCTION("""COMPUTED_VALUE"""),79.88)</f>
        <v>79.88</v>
      </c>
      <c r="S473" s="3">
        <f ca="1">IFERROR(__xludf.DUMMYFUNCTION("""COMPUTED_VALUE"""),51.9)</f>
        <v>51.9</v>
      </c>
      <c r="T473" s="3">
        <f ca="1">IFERROR(__xludf.DUMMYFUNCTION("""COMPUTED_VALUE"""),24.19)</f>
        <v>24.19</v>
      </c>
      <c r="U473" s="3">
        <f ca="1">IFERROR(__xludf.DUMMYFUNCTION("""COMPUTED_VALUE"""),71.34)</f>
        <v>71.34</v>
      </c>
      <c r="V473" s="3">
        <f ca="1">IFERROR(__xludf.DUMMYFUNCTION("""COMPUTED_VALUE"""),46.65)</f>
        <v>46.65</v>
      </c>
      <c r="W473" s="3">
        <f ca="1">IFERROR(__xludf.DUMMYFUNCTION("""COMPUTED_VALUE"""),34.69)</f>
        <v>34.69</v>
      </c>
      <c r="X473" s="3">
        <f ca="1">IFERROR(__xludf.DUMMYFUNCTION("""COMPUTED_VALUE"""),84.08)</f>
        <v>84.08</v>
      </c>
      <c r="Y473" s="3">
        <f ca="1">IFERROR(__xludf.DUMMYFUNCTION("""COMPUTED_VALUE"""),39.82)</f>
        <v>39.82</v>
      </c>
      <c r="Z473" s="3">
        <f ca="1">IFERROR(__xludf.DUMMYFUNCTION("""COMPUTED_VALUE"""),78.06)</f>
        <v>78.06</v>
      </c>
      <c r="AA473" s="3">
        <f ca="1">IFERROR(__xludf.DUMMYFUNCTION("""COMPUTED_VALUE"""),36.02)</f>
        <v>36.020000000000003</v>
      </c>
      <c r="AB473" s="3">
        <f ca="1">IFERROR(__xludf.DUMMYFUNCTION("""COMPUTED_VALUE"""),45.1)</f>
        <v>45.1</v>
      </c>
      <c r="AC473" s="3">
        <f ca="1">IFERROR(__xludf.DUMMYFUNCTION("""COMPUTED_VALUE"""),54.51)</f>
        <v>54.51</v>
      </c>
      <c r="AD473" s="3">
        <f ca="1">IFERROR(__xludf.DUMMYFUNCTION("""COMPUTED_VALUE"""),14.01)</f>
        <v>14.01</v>
      </c>
      <c r="AE473" s="3">
        <f ca="1">IFERROR(__xludf.DUMMYFUNCTION("""COMPUTED_VALUE"""),19)</f>
        <v>19</v>
      </c>
      <c r="AF473" s="3">
        <f ca="1">IFERROR(__xludf.DUMMYFUNCTION("""COMPUTED_VALUE"""),2.93)</f>
        <v>2.93</v>
      </c>
      <c r="AG473" s="3">
        <f ca="1">IFERROR(__xludf.DUMMYFUNCTION("""COMPUTED_VALUE"""),26.28)</f>
        <v>26.28</v>
      </c>
    </row>
    <row r="474" spans="1:33" ht="12.75" x14ac:dyDescent="0.2">
      <c r="A474" s="4">
        <f ca="1">IFERROR(__xludf.DUMMYFUNCTION("""COMPUTED_VALUE"""),45246.6666666666)</f>
        <v>45246.666666666599</v>
      </c>
      <c r="B474" s="3">
        <f ca="1">IFERROR(__xludf.DUMMYFUNCTION("""COMPUTED_VALUE"""),183.18)</f>
        <v>183.18</v>
      </c>
      <c r="C474" s="3">
        <f ca="1">IFERROR(__xludf.DUMMYFUNCTION("""COMPUTED_VALUE"""),455.79)</f>
        <v>455.79</v>
      </c>
      <c r="D474" s="3">
        <f ca="1">IFERROR(__xludf.DUMMYFUNCTION("""COMPUTED_VALUE"""),116.8)</f>
        <v>116.8</v>
      </c>
      <c r="E474" s="3">
        <f ca="1">IFERROR(__xludf.DUMMYFUNCTION("""COMPUTED_VALUE"""),170.67)</f>
        <v>170.67</v>
      </c>
      <c r="F474" s="3">
        <f ca="1">IFERROR(__xludf.DUMMYFUNCTION("""COMPUTED_VALUE"""),54.13)</f>
        <v>54.13</v>
      </c>
      <c r="G474" s="3">
        <f ca="1">IFERROR(__xludf.DUMMYFUNCTION("""COMPUTED_VALUE"""),25.68)</f>
        <v>25.68</v>
      </c>
      <c r="H474" s="3">
        <f ca="1">IFERROR(__xludf.DUMMYFUNCTION("""COMPUTED_VALUE"""),24.52)</f>
        <v>24.52</v>
      </c>
      <c r="I474" s="3">
        <f ca="1">IFERROR(__xludf.DUMMYFUNCTION("""COMPUTED_VALUE"""),128.51)</f>
        <v>128.51</v>
      </c>
      <c r="J474" s="3">
        <f ca="1">IFERROR(__xludf.DUMMYFUNCTION("""COMPUTED_VALUE"""),233.3)</f>
        <v>233.3</v>
      </c>
      <c r="K474" s="3">
        <f ca="1">IFERROR(__xludf.DUMMYFUNCTION("""COMPUTED_VALUE"""),117.03)</f>
        <v>117.03</v>
      </c>
      <c r="L474" s="3">
        <f ca="1">IFERROR(__xludf.DUMMYFUNCTION("""COMPUTED_VALUE"""),70.13)</f>
        <v>70.13</v>
      </c>
      <c r="M474" s="3">
        <f ca="1">IFERROR(__xludf.DUMMYFUNCTION("""COMPUTED_VALUE"""),55.36)</f>
        <v>55.36</v>
      </c>
      <c r="N474" s="3">
        <f ca="1">IFERROR(__xludf.DUMMYFUNCTION("""COMPUTED_VALUE"""),60.17)</f>
        <v>60.17</v>
      </c>
      <c r="O474" s="3">
        <f ca="1">IFERROR(__xludf.DUMMYFUNCTION("""COMPUTED_VALUE"""),39.74)</f>
        <v>39.74</v>
      </c>
      <c r="P474" s="3">
        <f ca="1">IFERROR(__xludf.DUMMYFUNCTION("""COMPUTED_VALUE"""),82.95)</f>
        <v>82.95</v>
      </c>
      <c r="Q474" s="3">
        <f ca="1">IFERROR(__xludf.DUMMYFUNCTION("""COMPUTED_VALUE"""),116.38)</f>
        <v>116.38</v>
      </c>
      <c r="R474" s="3">
        <f ca="1">IFERROR(__xludf.DUMMYFUNCTION("""COMPUTED_VALUE"""),80.12)</f>
        <v>80.12</v>
      </c>
      <c r="S474" s="3">
        <f ca="1">IFERROR(__xludf.DUMMYFUNCTION("""COMPUTED_VALUE"""),51.64)</f>
        <v>51.64</v>
      </c>
      <c r="T474" s="3">
        <f ca="1">IFERROR(__xludf.DUMMYFUNCTION("""COMPUTED_VALUE"""),23.61)</f>
        <v>23.61</v>
      </c>
      <c r="U474" s="3">
        <f ca="1">IFERROR(__xludf.DUMMYFUNCTION("""COMPUTED_VALUE"""),68.05)</f>
        <v>68.05</v>
      </c>
      <c r="V474" s="3">
        <f ca="1">IFERROR(__xludf.DUMMYFUNCTION("""COMPUTED_VALUE"""),45.48)</f>
        <v>45.48</v>
      </c>
      <c r="W474" s="3">
        <f ca="1">IFERROR(__xludf.DUMMYFUNCTION("""COMPUTED_VALUE"""),34.83)</f>
        <v>34.83</v>
      </c>
      <c r="X474" s="3">
        <f ca="1">IFERROR(__xludf.DUMMYFUNCTION("""COMPUTED_VALUE"""),84.13)</f>
        <v>84.13</v>
      </c>
      <c r="Y474" s="3">
        <f ca="1">IFERROR(__xludf.DUMMYFUNCTION("""COMPUTED_VALUE"""),39.37)</f>
        <v>39.369999999999997</v>
      </c>
      <c r="Z474" s="3">
        <f ca="1">IFERROR(__xludf.DUMMYFUNCTION("""COMPUTED_VALUE"""),78.3)</f>
        <v>78.3</v>
      </c>
      <c r="AA474" s="3">
        <f ca="1">IFERROR(__xludf.DUMMYFUNCTION("""COMPUTED_VALUE"""),36.01)</f>
        <v>36.01</v>
      </c>
      <c r="AB474" s="3">
        <f ca="1">IFERROR(__xludf.DUMMYFUNCTION("""COMPUTED_VALUE"""),44.53)</f>
        <v>44.53</v>
      </c>
      <c r="AC474" s="3">
        <f ca="1">IFERROR(__xludf.DUMMYFUNCTION("""COMPUTED_VALUE"""),54.42)</f>
        <v>54.42</v>
      </c>
      <c r="AD474" s="3">
        <f ca="1">IFERROR(__xludf.DUMMYFUNCTION("""COMPUTED_VALUE"""),13.37)</f>
        <v>13.37</v>
      </c>
      <c r="AE474" s="3">
        <f ca="1">IFERROR(__xludf.DUMMYFUNCTION("""COMPUTED_VALUE"""),18.11)</f>
        <v>18.11</v>
      </c>
      <c r="AF474" s="3">
        <f ca="1">IFERROR(__xludf.DUMMYFUNCTION("""COMPUTED_VALUE"""),2.91)</f>
        <v>2.91</v>
      </c>
      <c r="AG474" s="3">
        <f ca="1">IFERROR(__xludf.DUMMYFUNCTION("""COMPUTED_VALUE"""),25.13)</f>
        <v>25.13</v>
      </c>
    </row>
    <row r="475" spans="1:33" ht="12.75" x14ac:dyDescent="0.2">
      <c r="A475" s="4">
        <f ca="1">IFERROR(__xludf.DUMMYFUNCTION("""COMPUTED_VALUE"""),45247.6666666666)</f>
        <v>45247.666666666599</v>
      </c>
      <c r="B475" s="3">
        <f ca="1">IFERROR(__xludf.DUMMYFUNCTION("""COMPUTED_VALUE"""),182.8)</f>
        <v>182.8</v>
      </c>
      <c r="C475" s="3">
        <f ca="1">IFERROR(__xludf.DUMMYFUNCTION("""COMPUTED_VALUE"""),455.99)</f>
        <v>455.99</v>
      </c>
      <c r="D475" s="3">
        <f ca="1">IFERROR(__xludf.DUMMYFUNCTION("""COMPUTED_VALUE"""),117.42)</f>
        <v>117.42</v>
      </c>
      <c r="E475" s="3">
        <f ca="1">IFERROR(__xludf.DUMMYFUNCTION("""COMPUTED_VALUE"""),171.87)</f>
        <v>171.87</v>
      </c>
      <c r="F475" s="3">
        <f ca="1">IFERROR(__xludf.DUMMYFUNCTION("""COMPUTED_VALUE"""),54.59)</f>
        <v>54.59</v>
      </c>
      <c r="G475" s="3">
        <f ca="1">IFERROR(__xludf.DUMMYFUNCTION("""COMPUTED_VALUE"""),25.85)</f>
        <v>25.85</v>
      </c>
      <c r="H475" s="3">
        <f ca="1">IFERROR(__xludf.DUMMYFUNCTION("""COMPUTED_VALUE"""),24.67)</f>
        <v>24.67</v>
      </c>
      <c r="I475" s="3">
        <f ca="1">IFERROR(__xludf.DUMMYFUNCTION("""COMPUTED_VALUE"""),128.25)</f>
        <v>128.25</v>
      </c>
      <c r="J475" s="3">
        <f ca="1">IFERROR(__xludf.DUMMYFUNCTION("""COMPUTED_VALUE"""),233.14)</f>
        <v>233.14</v>
      </c>
      <c r="K475" s="3">
        <f ca="1">IFERROR(__xludf.DUMMYFUNCTION("""COMPUTED_VALUE"""),118.1)</f>
        <v>118.1</v>
      </c>
      <c r="L475" s="3">
        <f ca="1">IFERROR(__xludf.DUMMYFUNCTION("""COMPUTED_VALUE"""),72.66)</f>
        <v>72.66</v>
      </c>
      <c r="M475" s="3">
        <f ca="1">IFERROR(__xludf.DUMMYFUNCTION("""COMPUTED_VALUE"""),56.27)</f>
        <v>56.27</v>
      </c>
      <c r="N475" s="3">
        <f ca="1">IFERROR(__xludf.DUMMYFUNCTION("""COMPUTED_VALUE"""),60.13)</f>
        <v>60.13</v>
      </c>
      <c r="O475" s="3">
        <f ca="1">IFERROR(__xludf.DUMMYFUNCTION("""COMPUTED_VALUE"""),41.28)</f>
        <v>41.28</v>
      </c>
      <c r="P475" s="3">
        <f ca="1">IFERROR(__xludf.DUMMYFUNCTION("""COMPUTED_VALUE"""),84.69)</f>
        <v>84.69</v>
      </c>
      <c r="Q475" s="3">
        <f ca="1">IFERROR(__xludf.DUMMYFUNCTION("""COMPUTED_VALUE"""),118.77)</f>
        <v>118.77</v>
      </c>
      <c r="R475" s="3">
        <f ca="1">IFERROR(__xludf.DUMMYFUNCTION("""COMPUTED_VALUE"""),80.27)</f>
        <v>80.27</v>
      </c>
      <c r="S475" s="3">
        <f ca="1">IFERROR(__xludf.DUMMYFUNCTION("""COMPUTED_VALUE"""),52.56)</f>
        <v>52.56</v>
      </c>
      <c r="T475" s="3">
        <f ca="1">IFERROR(__xludf.DUMMYFUNCTION("""COMPUTED_VALUE"""),23.95)</f>
        <v>23.95</v>
      </c>
      <c r="U475" s="3">
        <f ca="1">IFERROR(__xludf.DUMMYFUNCTION("""COMPUTED_VALUE"""),70.75)</f>
        <v>70.75</v>
      </c>
      <c r="V475" s="3">
        <f ca="1">IFERROR(__xludf.DUMMYFUNCTION("""COMPUTED_VALUE"""),45.63)</f>
        <v>45.63</v>
      </c>
      <c r="W475" s="3">
        <f ca="1">IFERROR(__xludf.DUMMYFUNCTION("""COMPUTED_VALUE"""),35.01)</f>
        <v>35.01</v>
      </c>
      <c r="X475" s="3">
        <f ca="1">IFERROR(__xludf.DUMMYFUNCTION("""COMPUTED_VALUE"""),84.73)</f>
        <v>84.73</v>
      </c>
      <c r="Y475" s="3">
        <f ca="1">IFERROR(__xludf.DUMMYFUNCTION("""COMPUTED_VALUE"""),39.94)</f>
        <v>39.94</v>
      </c>
      <c r="Z475" s="3">
        <f ca="1">IFERROR(__xludf.DUMMYFUNCTION("""COMPUTED_VALUE"""),78.74)</f>
        <v>78.739999999999995</v>
      </c>
      <c r="AA475" s="3">
        <f ca="1">IFERROR(__xludf.DUMMYFUNCTION("""COMPUTED_VALUE"""),35.97)</f>
        <v>35.97</v>
      </c>
      <c r="AB475" s="3">
        <f ca="1">IFERROR(__xludf.DUMMYFUNCTION("""COMPUTED_VALUE"""),45.21)</f>
        <v>45.21</v>
      </c>
      <c r="AC475" s="3">
        <f ca="1">IFERROR(__xludf.DUMMYFUNCTION("""COMPUTED_VALUE"""),54.64)</f>
        <v>54.64</v>
      </c>
      <c r="AD475" s="3">
        <f ca="1">IFERROR(__xludf.DUMMYFUNCTION("""COMPUTED_VALUE"""),13.43)</f>
        <v>13.43</v>
      </c>
      <c r="AE475" s="3">
        <f ca="1">IFERROR(__xludf.DUMMYFUNCTION("""COMPUTED_VALUE"""),18.38)</f>
        <v>18.38</v>
      </c>
      <c r="AF475" s="3">
        <f ca="1">IFERROR(__xludf.DUMMYFUNCTION("""COMPUTED_VALUE"""),3.12)</f>
        <v>3.12</v>
      </c>
      <c r="AG475" s="3">
        <f ca="1">IFERROR(__xludf.DUMMYFUNCTION("""COMPUTED_VALUE"""),25.71)</f>
        <v>25.71</v>
      </c>
    </row>
    <row r="476" spans="1:33" ht="12.75" x14ac:dyDescent="0.2">
      <c r="A476" s="4">
        <f ca="1">IFERROR(__xludf.DUMMYFUNCTION("""COMPUTED_VALUE"""),45250.6666666666)</f>
        <v>45250.666666666599</v>
      </c>
      <c r="B476" s="3">
        <f ca="1">IFERROR(__xludf.DUMMYFUNCTION("""COMPUTED_VALUE"""),185.45)</f>
        <v>185.45</v>
      </c>
      <c r="C476" s="3">
        <f ca="1">IFERROR(__xludf.DUMMYFUNCTION("""COMPUTED_VALUE"""),462.42)</f>
        <v>462.42</v>
      </c>
      <c r="D476" s="3">
        <f ca="1">IFERROR(__xludf.DUMMYFUNCTION("""COMPUTED_VALUE"""),117.09)</f>
        <v>117.09</v>
      </c>
      <c r="E476" s="3">
        <f ca="1">IFERROR(__xludf.DUMMYFUNCTION("""COMPUTED_VALUE"""),174.4)</f>
        <v>174.4</v>
      </c>
      <c r="F476" s="3">
        <f ca="1">IFERROR(__xludf.DUMMYFUNCTION("""COMPUTED_VALUE"""),55.09)</f>
        <v>55.09</v>
      </c>
      <c r="G476" s="3">
        <f ca="1">IFERROR(__xludf.DUMMYFUNCTION("""COMPUTED_VALUE"""),26.23)</f>
        <v>26.23</v>
      </c>
      <c r="H476" s="3">
        <f ca="1">IFERROR(__xludf.DUMMYFUNCTION("""COMPUTED_VALUE"""),24.85)</f>
        <v>24.85</v>
      </c>
      <c r="I476" s="3">
        <f ca="1">IFERROR(__xludf.DUMMYFUNCTION("""COMPUTED_VALUE"""),129.03)</f>
        <v>129.03</v>
      </c>
      <c r="J476" s="3">
        <f ca="1">IFERROR(__xludf.DUMMYFUNCTION("""COMPUTED_VALUE"""),234.61)</f>
        <v>234.61</v>
      </c>
      <c r="K476" s="3">
        <f ca="1">IFERROR(__xludf.DUMMYFUNCTION("""COMPUTED_VALUE"""),118.92)</f>
        <v>118.92</v>
      </c>
      <c r="L476" s="3">
        <f ca="1">IFERROR(__xludf.DUMMYFUNCTION("""COMPUTED_VALUE"""),73.49)</f>
        <v>73.489999999999995</v>
      </c>
      <c r="M476" s="3">
        <f ca="1">IFERROR(__xludf.DUMMYFUNCTION("""COMPUTED_VALUE"""),56.85)</f>
        <v>56.85</v>
      </c>
      <c r="N476" s="3">
        <f ca="1">IFERROR(__xludf.DUMMYFUNCTION("""COMPUTED_VALUE"""),60.53)</f>
        <v>60.53</v>
      </c>
      <c r="O476" s="3">
        <f ca="1">IFERROR(__xludf.DUMMYFUNCTION("""COMPUTED_VALUE"""),42.16)</f>
        <v>42.16</v>
      </c>
      <c r="P476" s="3">
        <f ca="1">IFERROR(__xludf.DUMMYFUNCTION("""COMPUTED_VALUE"""),84.81)</f>
        <v>84.81</v>
      </c>
      <c r="Q476" s="3">
        <f ca="1">IFERROR(__xludf.DUMMYFUNCTION("""COMPUTED_VALUE"""),118.9)</f>
        <v>118.9</v>
      </c>
      <c r="R476" s="3">
        <f ca="1">IFERROR(__xludf.DUMMYFUNCTION("""COMPUTED_VALUE"""),80.41)</f>
        <v>80.41</v>
      </c>
      <c r="S476" s="3">
        <f ca="1">IFERROR(__xludf.DUMMYFUNCTION("""COMPUTED_VALUE"""),52.66)</f>
        <v>52.66</v>
      </c>
      <c r="T476" s="3">
        <f ca="1">IFERROR(__xludf.DUMMYFUNCTION("""COMPUTED_VALUE"""),24.25)</f>
        <v>24.25</v>
      </c>
      <c r="U476" s="3">
        <f ca="1">IFERROR(__xludf.DUMMYFUNCTION("""COMPUTED_VALUE"""),72.3)</f>
        <v>72.3</v>
      </c>
      <c r="V476" s="3">
        <f ca="1">IFERROR(__xludf.DUMMYFUNCTION("""COMPUTED_VALUE"""),47.03)</f>
        <v>47.03</v>
      </c>
      <c r="W476" s="3">
        <f ca="1">IFERROR(__xludf.DUMMYFUNCTION("""COMPUTED_VALUE"""),35.15)</f>
        <v>35.15</v>
      </c>
      <c r="X476" s="3">
        <f ca="1">IFERROR(__xludf.DUMMYFUNCTION("""COMPUTED_VALUE"""),85.02)</f>
        <v>85.02</v>
      </c>
      <c r="Y476" s="3">
        <f ca="1">IFERROR(__xludf.DUMMYFUNCTION("""COMPUTED_VALUE"""),39.9)</f>
        <v>39.9</v>
      </c>
      <c r="Z476" s="3">
        <f ca="1">IFERROR(__xludf.DUMMYFUNCTION("""COMPUTED_VALUE"""),79)</f>
        <v>79</v>
      </c>
      <c r="AA476" s="3">
        <f ca="1">IFERROR(__xludf.DUMMYFUNCTION("""COMPUTED_VALUE"""),36.25)</f>
        <v>36.25</v>
      </c>
      <c r="AB476" s="3">
        <f ca="1">IFERROR(__xludf.DUMMYFUNCTION("""COMPUTED_VALUE"""),45.16)</f>
        <v>45.16</v>
      </c>
      <c r="AC476" s="3">
        <f ca="1">IFERROR(__xludf.DUMMYFUNCTION("""COMPUTED_VALUE"""),54.77)</f>
        <v>54.77</v>
      </c>
      <c r="AD476" s="3">
        <f ca="1">IFERROR(__xludf.DUMMYFUNCTION("""COMPUTED_VALUE"""),13.92)</f>
        <v>13.92</v>
      </c>
      <c r="AE476" s="3">
        <f ca="1">IFERROR(__xludf.DUMMYFUNCTION("""COMPUTED_VALUE"""),18.95)</f>
        <v>18.95</v>
      </c>
      <c r="AF476" s="3">
        <f ca="1">IFERROR(__xludf.DUMMYFUNCTION("""COMPUTED_VALUE"""),3.05)</f>
        <v>3.05</v>
      </c>
      <c r="AG476" s="3">
        <f ca="1">IFERROR(__xludf.DUMMYFUNCTION("""COMPUTED_VALUE"""),27.11)</f>
        <v>27.11</v>
      </c>
    </row>
    <row r="477" spans="1:33" ht="12.75" x14ac:dyDescent="0.2">
      <c r="A477" s="4">
        <f ca="1">IFERROR(__xludf.DUMMYFUNCTION("""COMPUTED_VALUE"""),45251.6666666666)</f>
        <v>45251.666666666599</v>
      </c>
      <c r="B477" s="3">
        <f ca="1">IFERROR(__xludf.DUMMYFUNCTION("""COMPUTED_VALUE"""),183.95)</f>
        <v>183.95</v>
      </c>
      <c r="C477" s="3">
        <f ca="1">IFERROR(__xludf.DUMMYFUNCTION("""COMPUTED_VALUE"""),458.58)</f>
        <v>458.58</v>
      </c>
      <c r="D477" s="3">
        <f ca="1">IFERROR(__xludf.DUMMYFUNCTION("""COMPUTED_VALUE"""),116.99)</f>
        <v>116.99</v>
      </c>
      <c r="E477" s="3">
        <f ca="1">IFERROR(__xludf.DUMMYFUNCTION("""COMPUTED_VALUE"""),171.14)</f>
        <v>171.14</v>
      </c>
      <c r="F477" s="3">
        <f ca="1">IFERROR(__xludf.DUMMYFUNCTION("""COMPUTED_VALUE"""),55.27)</f>
        <v>55.27</v>
      </c>
      <c r="G477" s="3">
        <f ca="1">IFERROR(__xludf.DUMMYFUNCTION("""COMPUTED_VALUE"""),26.26)</f>
        <v>26.26</v>
      </c>
      <c r="H477" s="3">
        <f ca="1">IFERROR(__xludf.DUMMYFUNCTION("""COMPUTED_VALUE"""),24.76)</f>
        <v>24.76</v>
      </c>
      <c r="I477" s="3">
        <f ca="1">IFERROR(__xludf.DUMMYFUNCTION("""COMPUTED_VALUE"""),129.81)</f>
        <v>129.81</v>
      </c>
      <c r="J477" s="3">
        <f ca="1">IFERROR(__xludf.DUMMYFUNCTION("""COMPUTED_VALUE"""),235.81)</f>
        <v>235.81</v>
      </c>
      <c r="K477" s="3">
        <f ca="1">IFERROR(__xludf.DUMMYFUNCTION("""COMPUTED_VALUE"""),117.97)</f>
        <v>117.97</v>
      </c>
      <c r="L477" s="3">
        <f ca="1">IFERROR(__xludf.DUMMYFUNCTION("""COMPUTED_VALUE"""),72)</f>
        <v>72</v>
      </c>
      <c r="M477" s="3">
        <f ca="1">IFERROR(__xludf.DUMMYFUNCTION("""COMPUTED_VALUE"""),56.35)</f>
        <v>56.35</v>
      </c>
      <c r="N477" s="3">
        <f ca="1">IFERROR(__xludf.DUMMYFUNCTION("""COMPUTED_VALUE"""),60.75)</f>
        <v>60.75</v>
      </c>
      <c r="O477" s="3">
        <f ca="1">IFERROR(__xludf.DUMMYFUNCTION("""COMPUTED_VALUE"""),41.2)</f>
        <v>41.2</v>
      </c>
      <c r="P477" s="3">
        <f ca="1">IFERROR(__xludf.DUMMYFUNCTION("""COMPUTED_VALUE"""),84.62)</f>
        <v>84.62</v>
      </c>
      <c r="Q477" s="3">
        <f ca="1">IFERROR(__xludf.DUMMYFUNCTION("""COMPUTED_VALUE"""),118.62)</f>
        <v>118.62</v>
      </c>
      <c r="R477" s="3">
        <f ca="1">IFERROR(__xludf.DUMMYFUNCTION("""COMPUTED_VALUE"""),80.72)</f>
        <v>80.72</v>
      </c>
      <c r="S477" s="3">
        <f ca="1">IFERROR(__xludf.DUMMYFUNCTION("""COMPUTED_VALUE"""),52.79)</f>
        <v>52.79</v>
      </c>
      <c r="T477" s="3">
        <f ca="1">IFERROR(__xludf.DUMMYFUNCTION("""COMPUTED_VALUE"""),24.39)</f>
        <v>24.39</v>
      </c>
      <c r="U477" s="3">
        <f ca="1">IFERROR(__xludf.DUMMYFUNCTION("""COMPUTED_VALUE"""),72.53)</f>
        <v>72.53</v>
      </c>
      <c r="V477" s="3">
        <f ca="1">IFERROR(__xludf.DUMMYFUNCTION("""COMPUTED_VALUE"""),46.04)</f>
        <v>46.04</v>
      </c>
      <c r="W477" s="3">
        <f ca="1">IFERROR(__xludf.DUMMYFUNCTION("""COMPUTED_VALUE"""),35.13)</f>
        <v>35.130000000000003</v>
      </c>
      <c r="X477" s="3">
        <f ca="1">IFERROR(__xludf.DUMMYFUNCTION("""COMPUTED_VALUE"""),84.9)</f>
        <v>84.9</v>
      </c>
      <c r="Y477" s="3">
        <f ca="1">IFERROR(__xludf.DUMMYFUNCTION("""COMPUTED_VALUE"""),39.21)</f>
        <v>39.21</v>
      </c>
      <c r="Z477" s="3">
        <f ca="1">IFERROR(__xludf.DUMMYFUNCTION("""COMPUTED_VALUE"""),78.91)</f>
        <v>78.91</v>
      </c>
      <c r="AA477" s="3">
        <f ca="1">IFERROR(__xludf.DUMMYFUNCTION("""COMPUTED_VALUE"""),36.07)</f>
        <v>36.07</v>
      </c>
      <c r="AB477" s="3">
        <f ca="1">IFERROR(__xludf.DUMMYFUNCTION("""COMPUTED_VALUE"""),44.15)</f>
        <v>44.15</v>
      </c>
      <c r="AC477" s="3">
        <f ca="1">IFERROR(__xludf.DUMMYFUNCTION("""COMPUTED_VALUE"""),54.64)</f>
        <v>54.64</v>
      </c>
      <c r="AD477" s="3">
        <f ca="1">IFERROR(__xludf.DUMMYFUNCTION("""COMPUTED_VALUE"""),13.65)</f>
        <v>13.65</v>
      </c>
      <c r="AE477" s="3">
        <f ca="1">IFERROR(__xludf.DUMMYFUNCTION("""COMPUTED_VALUE"""),18.57)</f>
        <v>18.57</v>
      </c>
      <c r="AF477" s="3">
        <f ca="1">IFERROR(__xludf.DUMMYFUNCTION("""COMPUTED_VALUE"""),3.04)</f>
        <v>3.04</v>
      </c>
      <c r="AG477" s="3">
        <f ca="1">IFERROR(__xludf.DUMMYFUNCTION("""COMPUTED_VALUE"""),26.7)</f>
        <v>26.7</v>
      </c>
    </row>
    <row r="478" spans="1:33" ht="12.75" x14ac:dyDescent="0.2">
      <c r="A478" s="4">
        <f ca="1">IFERROR(__xludf.DUMMYFUNCTION("""COMPUTED_VALUE"""),45252.6666666666)</f>
        <v>45252.666666666599</v>
      </c>
      <c r="B478" s="3">
        <f ca="1">IFERROR(__xludf.DUMMYFUNCTION("""COMPUTED_VALUE"""),184.77)</f>
        <v>184.77</v>
      </c>
      <c r="C478" s="3">
        <f ca="1">IFERROR(__xludf.DUMMYFUNCTION("""COMPUTED_VALUE"""),460.26)</f>
        <v>460.26</v>
      </c>
      <c r="D478" s="3">
        <f ca="1">IFERROR(__xludf.DUMMYFUNCTION("""COMPUTED_VALUE"""),117.32)</f>
        <v>117.32</v>
      </c>
      <c r="E478" s="3">
        <f ca="1">IFERROR(__xludf.DUMMYFUNCTION("""COMPUTED_VALUE"""),171.69)</f>
        <v>171.69</v>
      </c>
      <c r="F478" s="3">
        <f ca="1">IFERROR(__xludf.DUMMYFUNCTION("""COMPUTED_VALUE"""),55.38)</f>
        <v>55.38</v>
      </c>
      <c r="G478" s="3">
        <f ca="1">IFERROR(__xludf.DUMMYFUNCTION("""COMPUTED_VALUE"""),26.25)</f>
        <v>26.25</v>
      </c>
      <c r="H478" s="3">
        <f ca="1">IFERROR(__xludf.DUMMYFUNCTION("""COMPUTED_VALUE"""),24.93)</f>
        <v>24.93</v>
      </c>
      <c r="I478" s="3">
        <f ca="1">IFERROR(__xludf.DUMMYFUNCTION("""COMPUTED_VALUE"""),130.43)</f>
        <v>130.43</v>
      </c>
      <c r="J478" s="3">
        <f ca="1">IFERROR(__xludf.DUMMYFUNCTION("""COMPUTED_VALUE"""),236.99)</f>
        <v>236.99</v>
      </c>
      <c r="K478" s="3">
        <f ca="1">IFERROR(__xludf.DUMMYFUNCTION("""COMPUTED_VALUE"""),118.72)</f>
        <v>118.72</v>
      </c>
      <c r="L478" s="3">
        <f ca="1">IFERROR(__xludf.DUMMYFUNCTION("""COMPUTED_VALUE"""),72.8)</f>
        <v>72.8</v>
      </c>
      <c r="M478" s="3">
        <f ca="1">IFERROR(__xludf.DUMMYFUNCTION("""COMPUTED_VALUE"""),56.71)</f>
        <v>56.71</v>
      </c>
      <c r="N478" s="3">
        <f ca="1">IFERROR(__xludf.DUMMYFUNCTION("""COMPUTED_VALUE"""),61.1)</f>
        <v>61.1</v>
      </c>
      <c r="O478" s="3">
        <f ca="1">IFERROR(__xludf.DUMMYFUNCTION("""COMPUTED_VALUE"""),41.82)</f>
        <v>41.82</v>
      </c>
      <c r="P478" s="3">
        <f ca="1">IFERROR(__xludf.DUMMYFUNCTION("""COMPUTED_VALUE"""),84.58)</f>
        <v>84.58</v>
      </c>
      <c r="Q478" s="3">
        <f ca="1">IFERROR(__xludf.DUMMYFUNCTION("""COMPUTED_VALUE"""),118.53)</f>
        <v>118.53</v>
      </c>
      <c r="R478" s="3">
        <f ca="1">IFERROR(__xludf.DUMMYFUNCTION("""COMPUTED_VALUE"""),80.77)</f>
        <v>80.77</v>
      </c>
      <c r="S478" s="3">
        <f ca="1">IFERROR(__xludf.DUMMYFUNCTION("""COMPUTED_VALUE"""),53.04)</f>
        <v>53.04</v>
      </c>
      <c r="T478" s="3">
        <f ca="1">IFERROR(__xludf.DUMMYFUNCTION("""COMPUTED_VALUE"""),24.18)</f>
        <v>24.18</v>
      </c>
      <c r="U478" s="3">
        <f ca="1">IFERROR(__xludf.DUMMYFUNCTION("""COMPUTED_VALUE"""),71.61)</f>
        <v>71.61</v>
      </c>
      <c r="V478" s="3">
        <f ca="1">IFERROR(__xludf.DUMMYFUNCTION("""COMPUTED_VALUE"""),46.06)</f>
        <v>46.06</v>
      </c>
      <c r="W478" s="3">
        <f ca="1">IFERROR(__xludf.DUMMYFUNCTION("""COMPUTED_VALUE"""),35.27)</f>
        <v>35.270000000000003</v>
      </c>
      <c r="X478" s="3">
        <f ca="1">IFERROR(__xludf.DUMMYFUNCTION("""COMPUTED_VALUE"""),85.29)</f>
        <v>85.29</v>
      </c>
      <c r="Y478" s="3">
        <f ca="1">IFERROR(__xludf.DUMMYFUNCTION("""COMPUTED_VALUE"""),39.4)</f>
        <v>39.4</v>
      </c>
      <c r="Z478" s="3">
        <f ca="1">IFERROR(__xludf.DUMMYFUNCTION("""COMPUTED_VALUE"""),79.24)</f>
        <v>79.239999999999995</v>
      </c>
      <c r="AA478" s="3">
        <f ca="1">IFERROR(__xludf.DUMMYFUNCTION("""COMPUTED_VALUE"""),36.18)</f>
        <v>36.18</v>
      </c>
      <c r="AB478" s="3">
        <f ca="1">IFERROR(__xludf.DUMMYFUNCTION("""COMPUTED_VALUE"""),44.34)</f>
        <v>44.34</v>
      </c>
      <c r="AC478" s="3">
        <f ca="1">IFERROR(__xludf.DUMMYFUNCTION("""COMPUTED_VALUE"""),54.66)</f>
        <v>54.66</v>
      </c>
      <c r="AD478" s="3">
        <f ca="1">IFERROR(__xludf.DUMMYFUNCTION("""COMPUTED_VALUE"""),14.07)</f>
        <v>14.07</v>
      </c>
      <c r="AE478" s="3">
        <f ca="1">IFERROR(__xludf.DUMMYFUNCTION("""COMPUTED_VALUE"""),18.99)</f>
        <v>18.989999999999998</v>
      </c>
      <c r="AF478" s="3">
        <f ca="1">IFERROR(__xludf.DUMMYFUNCTION("""COMPUTED_VALUE"""),3.15)</f>
        <v>3.15</v>
      </c>
      <c r="AG478" s="3">
        <f ca="1">IFERROR(__xludf.DUMMYFUNCTION("""COMPUTED_VALUE"""),27.6)</f>
        <v>27.6</v>
      </c>
    </row>
    <row r="479" spans="1:33" ht="12.75" x14ac:dyDescent="0.2">
      <c r="A479" s="4">
        <f ca="1">IFERROR(__xludf.DUMMYFUNCTION("""COMPUTED_VALUE"""),45254.5520833333)</f>
        <v>45254.552083333299</v>
      </c>
      <c r="B479" s="3">
        <f ca="1">IFERROR(__xludf.DUMMYFUNCTION("""COMPUTED_VALUE"""),184.41)</f>
        <v>184.41</v>
      </c>
      <c r="C479" s="3">
        <f ca="1">IFERROR(__xludf.DUMMYFUNCTION("""COMPUTED_VALUE"""),459.76)</f>
        <v>459.76</v>
      </c>
      <c r="D479" s="3">
        <f ca="1">IFERROR(__xludf.DUMMYFUNCTION("""COMPUTED_VALUE"""),117.47)</f>
        <v>117.47</v>
      </c>
      <c r="E479" s="3">
        <f ca="1">IFERROR(__xludf.DUMMYFUNCTION("""COMPUTED_VALUE"""),171.81)</f>
        <v>171.81</v>
      </c>
      <c r="F479" s="3">
        <f ca="1">IFERROR(__xludf.DUMMYFUNCTION("""COMPUTED_VALUE"""),55.72)</f>
        <v>55.72</v>
      </c>
      <c r="G479" s="3">
        <f ca="1">IFERROR(__xludf.DUMMYFUNCTION("""COMPUTED_VALUE"""),26.24)</f>
        <v>26.24</v>
      </c>
      <c r="H479" s="3">
        <f ca="1">IFERROR(__xludf.DUMMYFUNCTION("""COMPUTED_VALUE"""),24.98)</f>
        <v>24.98</v>
      </c>
      <c r="I479" s="3">
        <f ca="1">IFERROR(__xludf.DUMMYFUNCTION("""COMPUTED_VALUE"""),131.13)</f>
        <v>131.13</v>
      </c>
      <c r="J479" s="3">
        <f ca="1">IFERROR(__xludf.DUMMYFUNCTION("""COMPUTED_VALUE"""),238.2)</f>
        <v>238.2</v>
      </c>
      <c r="K479" s="3">
        <f ca="1">IFERROR(__xludf.DUMMYFUNCTION("""COMPUTED_VALUE"""),119.36)</f>
        <v>119.36</v>
      </c>
      <c r="L479" s="3">
        <f ca="1">IFERROR(__xludf.DUMMYFUNCTION("""COMPUTED_VALUE"""),73.66)</f>
        <v>73.66</v>
      </c>
      <c r="M479" s="3">
        <f ca="1">IFERROR(__xludf.DUMMYFUNCTION("""COMPUTED_VALUE"""),56.85)</f>
        <v>56.85</v>
      </c>
      <c r="N479" s="3">
        <f ca="1">IFERROR(__xludf.DUMMYFUNCTION("""COMPUTED_VALUE"""),61.47)</f>
        <v>61.47</v>
      </c>
      <c r="O479" s="3">
        <f ca="1">IFERROR(__xludf.DUMMYFUNCTION("""COMPUTED_VALUE"""),42.22)</f>
        <v>42.22</v>
      </c>
      <c r="P479" s="3">
        <f ca="1">IFERROR(__xludf.DUMMYFUNCTION("""COMPUTED_VALUE"""),84.93)</f>
        <v>84.93</v>
      </c>
      <c r="Q479" s="3">
        <f ca="1">IFERROR(__xludf.DUMMYFUNCTION("""COMPUTED_VALUE"""),119.13)</f>
        <v>119.13</v>
      </c>
      <c r="R479" s="3">
        <f ca="1">IFERROR(__xludf.DUMMYFUNCTION("""COMPUTED_VALUE"""),81.12)</f>
        <v>81.12</v>
      </c>
      <c r="S479" s="3">
        <f ca="1">IFERROR(__xludf.DUMMYFUNCTION("""COMPUTED_VALUE"""),53.34)</f>
        <v>53.34</v>
      </c>
      <c r="T479" s="3">
        <f ca="1">IFERROR(__xludf.DUMMYFUNCTION("""COMPUTED_VALUE"""),24.02)</f>
        <v>24.02</v>
      </c>
      <c r="U479" s="3">
        <f ca="1">IFERROR(__xludf.DUMMYFUNCTION("""COMPUTED_VALUE"""),70.82)</f>
        <v>70.819999999999993</v>
      </c>
      <c r="V479" s="3">
        <f ca="1">IFERROR(__xludf.DUMMYFUNCTION("""COMPUTED_VALUE"""),45.48)</f>
        <v>45.48</v>
      </c>
      <c r="W479" s="3">
        <f ca="1">IFERROR(__xludf.DUMMYFUNCTION("""COMPUTED_VALUE"""),35.38)</f>
        <v>35.380000000000003</v>
      </c>
      <c r="X479" s="3">
        <f ca="1">IFERROR(__xludf.DUMMYFUNCTION("""COMPUTED_VALUE"""),85.62)</f>
        <v>85.62</v>
      </c>
      <c r="Y479" s="3">
        <f ca="1">IFERROR(__xludf.DUMMYFUNCTION("""COMPUTED_VALUE"""),39.5)</f>
        <v>39.5</v>
      </c>
      <c r="Z479" s="3">
        <f ca="1">IFERROR(__xludf.DUMMYFUNCTION("""COMPUTED_VALUE"""),79.49)</f>
        <v>79.489999999999995</v>
      </c>
      <c r="AA479" s="3">
        <f ca="1">IFERROR(__xludf.DUMMYFUNCTION("""COMPUTED_VALUE"""),36.32)</f>
        <v>36.32</v>
      </c>
      <c r="AB479" s="3">
        <f ca="1">IFERROR(__xludf.DUMMYFUNCTION("""COMPUTED_VALUE"""),44.4)</f>
        <v>44.4</v>
      </c>
      <c r="AC479" s="3">
        <f ca="1">IFERROR(__xludf.DUMMYFUNCTION("""COMPUTED_VALUE"""),55.21)</f>
        <v>55.21</v>
      </c>
      <c r="AD479" s="3">
        <f ca="1">IFERROR(__xludf.DUMMYFUNCTION("""COMPUTED_VALUE"""),14.2)</f>
        <v>14.2</v>
      </c>
      <c r="AE479" s="3">
        <f ca="1">IFERROR(__xludf.DUMMYFUNCTION("""COMPUTED_VALUE"""),19.11)</f>
        <v>19.11</v>
      </c>
      <c r="AF479" s="3">
        <f ca="1">IFERROR(__xludf.DUMMYFUNCTION("""COMPUTED_VALUE"""),3.06)</f>
        <v>3.06</v>
      </c>
      <c r="AG479" s="3">
        <f ca="1">IFERROR(__xludf.DUMMYFUNCTION("""COMPUTED_VALUE"""),29.09)</f>
        <v>29.09</v>
      </c>
    </row>
    <row r="480" spans="1:33" ht="12.75" x14ac:dyDescent="0.2">
      <c r="A480" s="4">
        <f ca="1">IFERROR(__xludf.DUMMYFUNCTION("""COMPUTED_VALUE"""),45257.6666666666)</f>
        <v>45257.666666666599</v>
      </c>
      <c r="B480" s="3">
        <f ca="1">IFERROR(__xludf.DUMMYFUNCTION("""COMPUTED_VALUE"""),184.4)</f>
        <v>184.4</v>
      </c>
      <c r="C480" s="3">
        <f ca="1">IFERROR(__xludf.DUMMYFUNCTION("""COMPUTED_VALUE"""),459.52)</f>
        <v>459.52</v>
      </c>
      <c r="D480" s="3">
        <f ca="1">IFERROR(__xludf.DUMMYFUNCTION("""COMPUTED_VALUE"""),117.27)</f>
        <v>117.27</v>
      </c>
      <c r="E480" s="3">
        <f ca="1">IFERROR(__xludf.DUMMYFUNCTION("""COMPUTED_VALUE"""),171.57)</f>
        <v>171.57</v>
      </c>
      <c r="F480" s="3">
        <f ca="1">IFERROR(__xludf.DUMMYFUNCTION("""COMPUTED_VALUE"""),55.72)</f>
        <v>55.72</v>
      </c>
      <c r="G480" s="3">
        <f ca="1">IFERROR(__xludf.DUMMYFUNCTION("""COMPUTED_VALUE"""),26.25)</f>
        <v>26.25</v>
      </c>
      <c r="H480" s="3">
        <f ca="1">IFERROR(__xludf.DUMMYFUNCTION("""COMPUTED_VALUE"""),24.91)</f>
        <v>24.91</v>
      </c>
      <c r="I480" s="3">
        <f ca="1">IFERROR(__xludf.DUMMYFUNCTION("""COMPUTED_VALUE"""),130.31)</f>
        <v>130.31</v>
      </c>
      <c r="J480" s="3">
        <f ca="1">IFERROR(__xludf.DUMMYFUNCTION("""COMPUTED_VALUE"""),236.88)</f>
        <v>236.88</v>
      </c>
      <c r="K480" s="3">
        <f ca="1">IFERROR(__xludf.DUMMYFUNCTION("""COMPUTED_VALUE"""),118.57)</f>
        <v>118.57</v>
      </c>
      <c r="L480" s="3">
        <f ca="1">IFERROR(__xludf.DUMMYFUNCTION("""COMPUTED_VALUE"""),73.23)</f>
        <v>73.23</v>
      </c>
      <c r="M480" s="3">
        <f ca="1">IFERROR(__xludf.DUMMYFUNCTION("""COMPUTED_VALUE"""),56.72)</f>
        <v>56.72</v>
      </c>
      <c r="N480" s="3">
        <f ca="1">IFERROR(__xludf.DUMMYFUNCTION("""COMPUTED_VALUE"""),61.09)</f>
        <v>61.09</v>
      </c>
      <c r="O480" s="3">
        <f ca="1">IFERROR(__xludf.DUMMYFUNCTION("""COMPUTED_VALUE"""),41.88)</f>
        <v>41.88</v>
      </c>
      <c r="P480" s="3">
        <f ca="1">IFERROR(__xludf.DUMMYFUNCTION("""COMPUTED_VALUE"""),84.63)</f>
        <v>84.63</v>
      </c>
      <c r="Q480" s="3">
        <f ca="1">IFERROR(__xludf.DUMMYFUNCTION("""COMPUTED_VALUE"""),118.56)</f>
        <v>118.56</v>
      </c>
      <c r="R480" s="3">
        <f ca="1">IFERROR(__xludf.DUMMYFUNCTION("""COMPUTED_VALUE"""),81.02)</f>
        <v>81.02</v>
      </c>
      <c r="S480" s="3">
        <f ca="1">IFERROR(__xludf.DUMMYFUNCTION("""COMPUTED_VALUE"""),53.77)</f>
        <v>53.77</v>
      </c>
      <c r="T480" s="3">
        <f ca="1">IFERROR(__xludf.DUMMYFUNCTION("""COMPUTED_VALUE"""),23.86)</f>
        <v>23.86</v>
      </c>
      <c r="U480" s="3">
        <f ca="1">IFERROR(__xludf.DUMMYFUNCTION("""COMPUTED_VALUE"""),69.96)</f>
        <v>69.959999999999994</v>
      </c>
      <c r="V480" s="3">
        <f ca="1">IFERROR(__xludf.DUMMYFUNCTION("""COMPUTED_VALUE"""),44.63)</f>
        <v>44.63</v>
      </c>
      <c r="W480" s="3">
        <f ca="1">IFERROR(__xludf.DUMMYFUNCTION("""COMPUTED_VALUE"""),35.26)</f>
        <v>35.26</v>
      </c>
      <c r="X480" s="3">
        <f ca="1">IFERROR(__xludf.DUMMYFUNCTION("""COMPUTED_VALUE"""),85.39)</f>
        <v>85.39</v>
      </c>
      <c r="Y480" s="3">
        <f ca="1">IFERROR(__xludf.DUMMYFUNCTION("""COMPUTED_VALUE"""),39.37)</f>
        <v>39.369999999999997</v>
      </c>
      <c r="Z480" s="3">
        <f ca="1">IFERROR(__xludf.DUMMYFUNCTION("""COMPUTED_VALUE"""),79.33)</f>
        <v>79.33</v>
      </c>
      <c r="AA480" s="3">
        <f ca="1">IFERROR(__xludf.DUMMYFUNCTION("""COMPUTED_VALUE"""),36.45)</f>
        <v>36.450000000000003</v>
      </c>
      <c r="AB480" s="3">
        <f ca="1">IFERROR(__xludf.DUMMYFUNCTION("""COMPUTED_VALUE"""),44.12)</f>
        <v>44.12</v>
      </c>
      <c r="AC480" s="3">
        <f ca="1">IFERROR(__xludf.DUMMYFUNCTION("""COMPUTED_VALUE"""),55.74)</f>
        <v>55.74</v>
      </c>
      <c r="AD480" s="3">
        <f ca="1">IFERROR(__xludf.DUMMYFUNCTION("""COMPUTED_VALUE"""),13.55)</f>
        <v>13.55</v>
      </c>
      <c r="AE480" s="3">
        <f ca="1">IFERROR(__xludf.DUMMYFUNCTION("""COMPUTED_VALUE"""),18.4)</f>
        <v>18.399999999999999</v>
      </c>
      <c r="AF480" s="3">
        <f ca="1">IFERROR(__xludf.DUMMYFUNCTION("""COMPUTED_VALUE"""),3.13)</f>
        <v>3.13</v>
      </c>
      <c r="AG480" s="3">
        <f ca="1">IFERROR(__xludf.DUMMYFUNCTION("""COMPUTED_VALUE"""),29.04)</f>
        <v>29.04</v>
      </c>
    </row>
    <row r="481" spans="1:33" ht="12.75" x14ac:dyDescent="0.2">
      <c r="A481" s="4">
        <f ca="1">IFERROR(__xludf.DUMMYFUNCTION("""COMPUTED_VALUE"""),45258.6666666666)</f>
        <v>45258.666666666599</v>
      </c>
      <c r="B481" s="3">
        <f ca="1">IFERROR(__xludf.DUMMYFUNCTION("""COMPUTED_VALUE"""),184.75)</f>
        <v>184.75</v>
      </c>
      <c r="C481" s="3">
        <f ca="1">IFERROR(__xludf.DUMMYFUNCTION("""COMPUTED_VALUE"""),460.37)</f>
        <v>460.37</v>
      </c>
      <c r="D481" s="3">
        <f ca="1">IFERROR(__xludf.DUMMYFUNCTION("""COMPUTED_VALUE"""),117.67)</f>
        <v>117.67</v>
      </c>
      <c r="E481" s="3">
        <f ca="1">IFERROR(__xludf.DUMMYFUNCTION("""COMPUTED_VALUE"""),170.57)</f>
        <v>170.57</v>
      </c>
      <c r="F481" s="3">
        <f ca="1">IFERROR(__xludf.DUMMYFUNCTION("""COMPUTED_VALUE"""),55.77)</f>
        <v>55.77</v>
      </c>
      <c r="G481" s="3">
        <f ca="1">IFERROR(__xludf.DUMMYFUNCTION("""COMPUTED_VALUE"""),26.16)</f>
        <v>26.16</v>
      </c>
      <c r="H481" s="3">
        <f ca="1">IFERROR(__xludf.DUMMYFUNCTION("""COMPUTED_VALUE"""),24.78)</f>
        <v>24.78</v>
      </c>
      <c r="I481" s="3">
        <f ca="1">IFERROR(__xludf.DUMMYFUNCTION("""COMPUTED_VALUE"""),129.64)</f>
        <v>129.63999999999999</v>
      </c>
      <c r="J481" s="3">
        <f ca="1">IFERROR(__xludf.DUMMYFUNCTION("""COMPUTED_VALUE"""),235.53)</f>
        <v>235.53</v>
      </c>
      <c r="K481" s="3">
        <f ca="1">IFERROR(__xludf.DUMMYFUNCTION("""COMPUTED_VALUE"""),118.21)</f>
        <v>118.21</v>
      </c>
      <c r="L481" s="3">
        <f ca="1">IFERROR(__xludf.DUMMYFUNCTION("""COMPUTED_VALUE"""),73.03)</f>
        <v>73.03</v>
      </c>
      <c r="M481" s="3">
        <f ca="1">IFERROR(__xludf.DUMMYFUNCTION("""COMPUTED_VALUE"""),56.5)</f>
        <v>56.5</v>
      </c>
      <c r="N481" s="3">
        <f ca="1">IFERROR(__xludf.DUMMYFUNCTION("""COMPUTED_VALUE"""),60.73)</f>
        <v>60.73</v>
      </c>
      <c r="O481" s="3">
        <f ca="1">IFERROR(__xludf.DUMMYFUNCTION("""COMPUTED_VALUE"""),42.1)</f>
        <v>42.1</v>
      </c>
      <c r="P481" s="3">
        <f ca="1">IFERROR(__xludf.DUMMYFUNCTION("""COMPUTED_VALUE"""),84.65)</f>
        <v>84.65</v>
      </c>
      <c r="Q481" s="3">
        <f ca="1">IFERROR(__xludf.DUMMYFUNCTION("""COMPUTED_VALUE"""),118.55)</f>
        <v>118.55</v>
      </c>
      <c r="R481" s="3">
        <f ca="1">IFERROR(__xludf.DUMMYFUNCTION("""COMPUTED_VALUE"""),81.18)</f>
        <v>81.180000000000007</v>
      </c>
      <c r="S481" s="3">
        <f ca="1">IFERROR(__xludf.DUMMYFUNCTION("""COMPUTED_VALUE"""),53.83)</f>
        <v>53.83</v>
      </c>
      <c r="T481" s="3">
        <f ca="1">IFERROR(__xludf.DUMMYFUNCTION("""COMPUTED_VALUE"""),24.15)</f>
        <v>24.15</v>
      </c>
      <c r="U481" s="3">
        <f ca="1">IFERROR(__xludf.DUMMYFUNCTION("""COMPUTED_VALUE"""),71.26)</f>
        <v>71.260000000000005</v>
      </c>
      <c r="V481" s="3">
        <f ca="1">IFERROR(__xludf.DUMMYFUNCTION("""COMPUTED_VALUE"""),45.29)</f>
        <v>45.29</v>
      </c>
      <c r="W481" s="3">
        <f ca="1">IFERROR(__xludf.DUMMYFUNCTION("""COMPUTED_VALUE"""),35.25)</f>
        <v>35.25</v>
      </c>
      <c r="X481" s="3">
        <f ca="1">IFERROR(__xludf.DUMMYFUNCTION("""COMPUTED_VALUE"""),85.33)</f>
        <v>85.33</v>
      </c>
      <c r="Y481" s="3">
        <f ca="1">IFERROR(__xludf.DUMMYFUNCTION("""COMPUTED_VALUE"""),39.38)</f>
        <v>39.380000000000003</v>
      </c>
      <c r="Z481" s="3">
        <f ca="1">IFERROR(__xludf.DUMMYFUNCTION("""COMPUTED_VALUE"""),79.17)</f>
        <v>79.17</v>
      </c>
      <c r="AA481" s="3">
        <f ca="1">IFERROR(__xludf.DUMMYFUNCTION("""COMPUTED_VALUE"""),36.65)</f>
        <v>36.65</v>
      </c>
      <c r="AB481" s="3">
        <f ca="1">IFERROR(__xludf.DUMMYFUNCTION("""COMPUTED_VALUE"""),44.11)</f>
        <v>44.11</v>
      </c>
      <c r="AC481" s="3">
        <f ca="1">IFERROR(__xludf.DUMMYFUNCTION("""COMPUTED_VALUE"""),56.32)</f>
        <v>56.32</v>
      </c>
      <c r="AD481" s="3">
        <f ca="1">IFERROR(__xludf.DUMMYFUNCTION("""COMPUTED_VALUE"""),14.13)</f>
        <v>14.13</v>
      </c>
      <c r="AE481" s="3">
        <f ca="1">IFERROR(__xludf.DUMMYFUNCTION("""COMPUTED_VALUE"""),19.24)</f>
        <v>19.239999999999998</v>
      </c>
      <c r="AF481" s="3">
        <f ca="1">IFERROR(__xludf.DUMMYFUNCTION("""COMPUTED_VALUE"""),3.12)</f>
        <v>3.12</v>
      </c>
      <c r="AG481" s="3">
        <f ca="1">IFERROR(__xludf.DUMMYFUNCTION("""COMPUTED_VALUE"""),31.34)</f>
        <v>31.34</v>
      </c>
    </row>
    <row r="482" spans="1:33" ht="12.75" x14ac:dyDescent="0.2">
      <c r="A482" s="4">
        <f ca="1">IFERROR(__xludf.DUMMYFUNCTION("""COMPUTED_VALUE"""),45259.6666666666)</f>
        <v>45259.666666666599</v>
      </c>
      <c r="B482" s="3">
        <f ca="1">IFERROR(__xludf.DUMMYFUNCTION("""COMPUTED_VALUE"""),184.89)</f>
        <v>184.89</v>
      </c>
      <c r="C482" s="3">
        <f ca="1">IFERROR(__xludf.DUMMYFUNCTION("""COMPUTED_VALUE"""),462.16)</f>
        <v>462.16</v>
      </c>
      <c r="D482" s="3">
        <f ca="1">IFERROR(__xludf.DUMMYFUNCTION("""COMPUTED_VALUE"""),116.19)</f>
        <v>116.19</v>
      </c>
      <c r="E482" s="3">
        <f ca="1">IFERROR(__xludf.DUMMYFUNCTION("""COMPUTED_VALUE"""),172.42)</f>
        <v>172.42</v>
      </c>
      <c r="F482" s="3">
        <f ca="1">IFERROR(__xludf.DUMMYFUNCTION("""COMPUTED_VALUE"""),56.69)</f>
        <v>56.69</v>
      </c>
      <c r="G482" s="3">
        <f ca="1">IFERROR(__xludf.DUMMYFUNCTION("""COMPUTED_VALUE"""),26.53)</f>
        <v>26.53</v>
      </c>
      <c r="H482" s="3">
        <f ca="1">IFERROR(__xludf.DUMMYFUNCTION("""COMPUTED_VALUE"""),24.97)</f>
        <v>24.97</v>
      </c>
      <c r="I482" s="3">
        <f ca="1">IFERROR(__xludf.DUMMYFUNCTION("""COMPUTED_VALUE"""),129.68)</f>
        <v>129.68</v>
      </c>
      <c r="J482" s="3">
        <f ca="1">IFERROR(__xludf.DUMMYFUNCTION("""COMPUTED_VALUE"""),235.75)</f>
        <v>235.75</v>
      </c>
      <c r="K482" s="3">
        <f ca="1">IFERROR(__xludf.DUMMYFUNCTION("""COMPUTED_VALUE"""),119.34)</f>
        <v>119.34</v>
      </c>
      <c r="L482" s="3">
        <f ca="1">IFERROR(__xludf.DUMMYFUNCTION("""COMPUTED_VALUE"""),73.85)</f>
        <v>73.849999999999994</v>
      </c>
      <c r="M482" s="3">
        <f ca="1">IFERROR(__xludf.DUMMYFUNCTION("""COMPUTED_VALUE"""),57.04)</f>
        <v>57.04</v>
      </c>
      <c r="N482" s="3">
        <f ca="1">IFERROR(__xludf.DUMMYFUNCTION("""COMPUTED_VALUE"""),60.83)</f>
        <v>60.83</v>
      </c>
      <c r="O482" s="3">
        <f ca="1">IFERROR(__xludf.DUMMYFUNCTION("""COMPUTED_VALUE"""),42.32)</f>
        <v>42.32</v>
      </c>
      <c r="P482" s="3">
        <f ca="1">IFERROR(__xludf.DUMMYFUNCTION("""COMPUTED_VALUE"""),84.02)</f>
        <v>84.02</v>
      </c>
      <c r="Q482" s="3">
        <f ca="1">IFERROR(__xludf.DUMMYFUNCTION("""COMPUTED_VALUE"""),117.71)</f>
        <v>117.71</v>
      </c>
      <c r="R482" s="3">
        <f ca="1">IFERROR(__xludf.DUMMYFUNCTION("""COMPUTED_VALUE"""),81.6)</f>
        <v>81.599999999999994</v>
      </c>
      <c r="S482" s="3">
        <f ca="1">IFERROR(__xludf.DUMMYFUNCTION("""COMPUTED_VALUE"""),53.91)</f>
        <v>53.91</v>
      </c>
      <c r="T482" s="3">
        <f ca="1">IFERROR(__xludf.DUMMYFUNCTION("""COMPUTED_VALUE"""),24.32)</f>
        <v>24.32</v>
      </c>
      <c r="U482" s="3">
        <f ca="1">IFERROR(__xludf.DUMMYFUNCTION("""COMPUTED_VALUE"""),72.52)</f>
        <v>72.52</v>
      </c>
      <c r="V482" s="3">
        <f ca="1">IFERROR(__xludf.DUMMYFUNCTION("""COMPUTED_VALUE"""),45.84)</f>
        <v>45.84</v>
      </c>
      <c r="W482" s="3">
        <f ca="1">IFERROR(__xludf.DUMMYFUNCTION("""COMPUTED_VALUE"""),35.5)</f>
        <v>35.5</v>
      </c>
      <c r="X482" s="3">
        <f ca="1">IFERROR(__xludf.DUMMYFUNCTION("""COMPUTED_VALUE"""),86.07)</f>
        <v>86.07</v>
      </c>
      <c r="Y482" s="3">
        <f ca="1">IFERROR(__xludf.DUMMYFUNCTION("""COMPUTED_VALUE"""),40.18)</f>
        <v>40.18</v>
      </c>
      <c r="Z482" s="3">
        <f ca="1">IFERROR(__xludf.DUMMYFUNCTION("""COMPUTED_VALUE"""),79.86)</f>
        <v>79.86</v>
      </c>
      <c r="AA482" s="3">
        <f ca="1">IFERROR(__xludf.DUMMYFUNCTION("""COMPUTED_VALUE"""),36.93)</f>
        <v>36.93</v>
      </c>
      <c r="AB482" s="3">
        <f ca="1">IFERROR(__xludf.DUMMYFUNCTION("""COMPUTED_VALUE"""),45.03)</f>
        <v>45.03</v>
      </c>
      <c r="AC482" s="3">
        <f ca="1">IFERROR(__xludf.DUMMYFUNCTION("""COMPUTED_VALUE"""),56.34)</f>
        <v>56.34</v>
      </c>
      <c r="AD482" s="3">
        <f ca="1">IFERROR(__xludf.DUMMYFUNCTION("""COMPUTED_VALUE"""),13.78)</f>
        <v>13.78</v>
      </c>
      <c r="AE482" s="3">
        <f ca="1">IFERROR(__xludf.DUMMYFUNCTION("""COMPUTED_VALUE"""),18.83)</f>
        <v>18.829999999999998</v>
      </c>
      <c r="AF482" s="3">
        <f ca="1">IFERROR(__xludf.DUMMYFUNCTION("""COMPUTED_VALUE"""),3.22)</f>
        <v>3.22</v>
      </c>
      <c r="AG482" s="3">
        <f ca="1">IFERROR(__xludf.DUMMYFUNCTION("""COMPUTED_VALUE"""),31.82)</f>
        <v>31.82</v>
      </c>
    </row>
    <row r="483" spans="1:33" ht="12.75" x14ac:dyDescent="0.2">
      <c r="A483" s="4">
        <f ca="1">IFERROR(__xludf.DUMMYFUNCTION("""COMPUTED_VALUE"""),45260.6666666666)</f>
        <v>45260.666666666599</v>
      </c>
      <c r="B483" s="3">
        <f ca="1">IFERROR(__xludf.DUMMYFUNCTION("""COMPUTED_VALUE"""),185.16)</f>
        <v>185.16</v>
      </c>
      <c r="C483" s="3">
        <f ca="1">IFERROR(__xludf.DUMMYFUNCTION("""COMPUTED_VALUE"""),462.03)</f>
        <v>462.03</v>
      </c>
      <c r="D483" s="3">
        <f ca="1">IFERROR(__xludf.DUMMYFUNCTION("""COMPUTED_VALUE"""),116.82)</f>
        <v>116.82</v>
      </c>
      <c r="E483" s="3">
        <f ca="1">IFERROR(__xludf.DUMMYFUNCTION("""COMPUTED_VALUE"""),171.22)</f>
        <v>171.22</v>
      </c>
      <c r="F483" s="3">
        <f ca="1">IFERROR(__xludf.DUMMYFUNCTION("""COMPUTED_VALUE"""),56.76)</f>
        <v>56.76</v>
      </c>
      <c r="G483" s="3">
        <f ca="1">IFERROR(__xludf.DUMMYFUNCTION("""COMPUTED_VALUE"""),26.43)</f>
        <v>26.43</v>
      </c>
      <c r="H483" s="3">
        <f ca="1">IFERROR(__xludf.DUMMYFUNCTION("""COMPUTED_VALUE"""),25.12)</f>
        <v>25.12</v>
      </c>
      <c r="I483" s="3">
        <f ca="1">IFERROR(__xludf.DUMMYFUNCTION("""COMPUTED_VALUE"""),131.31)</f>
        <v>131.31</v>
      </c>
      <c r="J483" s="3">
        <f ca="1">IFERROR(__xludf.DUMMYFUNCTION("""COMPUTED_VALUE"""),238.6)</f>
        <v>238.6</v>
      </c>
      <c r="K483" s="3">
        <f ca="1">IFERROR(__xludf.DUMMYFUNCTION("""COMPUTED_VALUE"""),120.93)</f>
        <v>120.93</v>
      </c>
      <c r="L483" s="3">
        <f ca="1">IFERROR(__xludf.DUMMYFUNCTION("""COMPUTED_VALUE"""),75.52)</f>
        <v>75.52</v>
      </c>
      <c r="M483" s="3">
        <f ca="1">IFERROR(__xludf.DUMMYFUNCTION("""COMPUTED_VALUE"""),58.6)</f>
        <v>58.6</v>
      </c>
      <c r="N483" s="3">
        <f ca="1">IFERROR(__xludf.DUMMYFUNCTION("""COMPUTED_VALUE"""),61.56)</f>
        <v>61.56</v>
      </c>
      <c r="O483" s="3">
        <f ca="1">IFERROR(__xludf.DUMMYFUNCTION("""COMPUTED_VALUE"""),41.66)</f>
        <v>41.66</v>
      </c>
      <c r="P483" s="3">
        <f ca="1">IFERROR(__xludf.DUMMYFUNCTION("""COMPUTED_VALUE"""),84.58)</f>
        <v>84.58</v>
      </c>
      <c r="Q483" s="3">
        <f ca="1">IFERROR(__xludf.DUMMYFUNCTION("""COMPUTED_VALUE"""),118.52)</f>
        <v>118.52</v>
      </c>
      <c r="R483" s="3">
        <f ca="1">IFERROR(__xludf.DUMMYFUNCTION("""COMPUTED_VALUE"""),82.41)</f>
        <v>82.41</v>
      </c>
      <c r="S483" s="3">
        <f ca="1">IFERROR(__xludf.DUMMYFUNCTION("""COMPUTED_VALUE"""),54.75)</f>
        <v>54.75</v>
      </c>
      <c r="T483" s="3">
        <f ca="1">IFERROR(__xludf.DUMMYFUNCTION("""COMPUTED_VALUE"""),23.91)</f>
        <v>23.91</v>
      </c>
      <c r="U483" s="3">
        <f ca="1">IFERROR(__xludf.DUMMYFUNCTION("""COMPUTED_VALUE"""),70.14)</f>
        <v>70.14</v>
      </c>
      <c r="V483" s="3">
        <f ca="1">IFERROR(__xludf.DUMMYFUNCTION("""COMPUTED_VALUE"""),45.84)</f>
        <v>45.84</v>
      </c>
      <c r="W483" s="3">
        <f ca="1">IFERROR(__xludf.DUMMYFUNCTION("""COMPUTED_VALUE"""),35.9)</f>
        <v>35.9</v>
      </c>
      <c r="X483" s="3">
        <f ca="1">IFERROR(__xludf.DUMMYFUNCTION("""COMPUTED_VALUE"""),86.91)</f>
        <v>86.91</v>
      </c>
      <c r="Y483" s="3">
        <f ca="1">IFERROR(__xludf.DUMMYFUNCTION("""COMPUTED_VALUE"""),40.35)</f>
        <v>40.35</v>
      </c>
      <c r="Z483" s="3">
        <f ca="1">IFERROR(__xludf.DUMMYFUNCTION("""COMPUTED_VALUE"""),80.68)</f>
        <v>80.680000000000007</v>
      </c>
      <c r="AA483" s="3">
        <f ca="1">IFERROR(__xludf.DUMMYFUNCTION("""COMPUTED_VALUE"""),37.23)</f>
        <v>37.229999999999997</v>
      </c>
      <c r="AB483" s="3">
        <f ca="1">IFERROR(__xludf.DUMMYFUNCTION("""COMPUTED_VALUE"""),45.12)</f>
        <v>45.12</v>
      </c>
      <c r="AC483" s="3">
        <f ca="1">IFERROR(__xludf.DUMMYFUNCTION("""COMPUTED_VALUE"""),56.06)</f>
        <v>56.06</v>
      </c>
      <c r="AD483" s="3">
        <f ca="1">IFERROR(__xludf.DUMMYFUNCTION("""COMPUTED_VALUE"""),13.88)</f>
        <v>13.88</v>
      </c>
      <c r="AE483" s="3">
        <f ca="1">IFERROR(__xludf.DUMMYFUNCTION("""COMPUTED_VALUE"""),18.87)</f>
        <v>18.87</v>
      </c>
      <c r="AF483" s="3">
        <f ca="1">IFERROR(__xludf.DUMMYFUNCTION("""COMPUTED_VALUE"""),3.2)</f>
        <v>3.2</v>
      </c>
      <c r="AG483" s="3">
        <f ca="1">IFERROR(__xludf.DUMMYFUNCTION("""COMPUTED_VALUE"""),30.93)</f>
        <v>30.93</v>
      </c>
    </row>
    <row r="484" spans="1:33" ht="12.75" x14ac:dyDescent="0.2">
      <c r="A484" s="4">
        <f ca="1">IFERROR(__xludf.DUMMYFUNCTION("""COMPUTED_VALUE"""),45261.6666666666)</f>
        <v>45261.666666666599</v>
      </c>
      <c r="B484" s="3">
        <f ca="1">IFERROR(__xludf.DUMMYFUNCTION("""COMPUTED_VALUE"""),185.58)</f>
        <v>185.58</v>
      </c>
      <c r="C484" s="3">
        <f ca="1">IFERROR(__xludf.DUMMYFUNCTION("""COMPUTED_VALUE"""),464.65)</f>
        <v>464.65</v>
      </c>
      <c r="D484" s="3">
        <f ca="1">IFERROR(__xludf.DUMMYFUNCTION("""COMPUTED_VALUE"""),115.72)</f>
        <v>115.72</v>
      </c>
      <c r="E484" s="3">
        <f ca="1">IFERROR(__xludf.DUMMYFUNCTION("""COMPUTED_VALUE"""),172.02)</f>
        <v>172.02</v>
      </c>
      <c r="F484" s="3">
        <f ca="1">IFERROR(__xludf.DUMMYFUNCTION("""COMPUTED_VALUE"""),57.49)</f>
        <v>57.49</v>
      </c>
      <c r="G484" s="3">
        <f ca="1">IFERROR(__xludf.DUMMYFUNCTION("""COMPUTED_VALUE"""),27.03)</f>
        <v>27.03</v>
      </c>
      <c r="H484" s="3">
        <f ca="1">IFERROR(__xludf.DUMMYFUNCTION("""COMPUTED_VALUE"""),25.57)</f>
        <v>25.57</v>
      </c>
      <c r="I484" s="3">
        <f ca="1">IFERROR(__xludf.DUMMYFUNCTION("""COMPUTED_VALUE"""),131.83)</f>
        <v>131.83000000000001</v>
      </c>
      <c r="J484" s="3">
        <f ca="1">IFERROR(__xludf.DUMMYFUNCTION("""COMPUTED_VALUE"""),240.15)</f>
        <v>240.15</v>
      </c>
      <c r="K484" s="3">
        <f ca="1">IFERROR(__xludf.DUMMYFUNCTION("""COMPUTED_VALUE"""),122.6)</f>
        <v>122.6</v>
      </c>
      <c r="L484" s="3">
        <f ca="1">IFERROR(__xludf.DUMMYFUNCTION("""COMPUTED_VALUE"""),77.83)</f>
        <v>77.83</v>
      </c>
      <c r="M484" s="3">
        <f ca="1">IFERROR(__xludf.DUMMYFUNCTION("""COMPUTED_VALUE"""),59.75)</f>
        <v>59.75</v>
      </c>
      <c r="N484" s="3">
        <f ca="1">IFERROR(__xludf.DUMMYFUNCTION("""COMPUTED_VALUE"""),61.96)</f>
        <v>61.96</v>
      </c>
      <c r="O484" s="3">
        <f ca="1">IFERROR(__xludf.DUMMYFUNCTION("""COMPUTED_VALUE"""),42.8)</f>
        <v>42.8</v>
      </c>
      <c r="P484" s="3">
        <f ca="1">IFERROR(__xludf.DUMMYFUNCTION("""COMPUTED_VALUE"""),85.02)</f>
        <v>85.02</v>
      </c>
      <c r="Q484" s="3">
        <f ca="1">IFERROR(__xludf.DUMMYFUNCTION("""COMPUTED_VALUE"""),119.24)</f>
        <v>119.24</v>
      </c>
      <c r="R484" s="3">
        <f ca="1">IFERROR(__xludf.DUMMYFUNCTION("""COMPUTED_VALUE"""),83.35)</f>
        <v>83.35</v>
      </c>
      <c r="S484" s="3">
        <f ca="1">IFERROR(__xludf.DUMMYFUNCTION("""COMPUTED_VALUE"""),56.25)</f>
        <v>56.25</v>
      </c>
      <c r="T484" s="3">
        <f ca="1">IFERROR(__xludf.DUMMYFUNCTION("""COMPUTED_VALUE"""),23.8)</f>
        <v>23.8</v>
      </c>
      <c r="U484" s="3">
        <f ca="1">IFERROR(__xludf.DUMMYFUNCTION("""COMPUTED_VALUE"""),69.24)</f>
        <v>69.239999999999995</v>
      </c>
      <c r="V484" s="3">
        <f ca="1">IFERROR(__xludf.DUMMYFUNCTION("""COMPUTED_VALUE"""),47.87)</f>
        <v>47.87</v>
      </c>
      <c r="W484" s="3">
        <f ca="1">IFERROR(__xludf.DUMMYFUNCTION("""COMPUTED_VALUE"""),36.17)</f>
        <v>36.17</v>
      </c>
      <c r="X484" s="3">
        <f ca="1">IFERROR(__xludf.DUMMYFUNCTION("""COMPUTED_VALUE"""),87.88)</f>
        <v>87.88</v>
      </c>
      <c r="Y484" s="3">
        <f ca="1">IFERROR(__xludf.DUMMYFUNCTION("""COMPUTED_VALUE"""),42.04)</f>
        <v>42.04</v>
      </c>
      <c r="Z484" s="3">
        <f ca="1">IFERROR(__xludf.DUMMYFUNCTION("""COMPUTED_VALUE"""),81.47)</f>
        <v>81.47</v>
      </c>
      <c r="AA484" s="3">
        <f ca="1">IFERROR(__xludf.DUMMYFUNCTION("""COMPUTED_VALUE"""),38.01)</f>
        <v>38.01</v>
      </c>
      <c r="AB484" s="3">
        <f ca="1">IFERROR(__xludf.DUMMYFUNCTION("""COMPUTED_VALUE"""),47.46)</f>
        <v>47.46</v>
      </c>
      <c r="AC484" s="3">
        <f ca="1">IFERROR(__xludf.DUMMYFUNCTION("""COMPUTED_VALUE"""),55.77)</f>
        <v>55.77</v>
      </c>
      <c r="AD484" s="3">
        <f ca="1">IFERROR(__xludf.DUMMYFUNCTION("""COMPUTED_VALUE"""),14.24)</f>
        <v>14.24</v>
      </c>
      <c r="AE484" s="3">
        <f ca="1">IFERROR(__xludf.DUMMYFUNCTION("""COMPUTED_VALUE"""),19.27)</f>
        <v>19.27</v>
      </c>
      <c r="AF484" s="3">
        <f ca="1">IFERROR(__xludf.DUMMYFUNCTION("""COMPUTED_VALUE"""),3.37)</f>
        <v>3.37</v>
      </c>
      <c r="AG484" s="3">
        <f ca="1">IFERROR(__xludf.DUMMYFUNCTION("""COMPUTED_VALUE"""),34.2)</f>
        <v>34.200000000000003</v>
      </c>
    </row>
    <row r="485" spans="1:33" ht="12.75" x14ac:dyDescent="0.2">
      <c r="A485" s="4">
        <f ca="1">IFERROR(__xludf.DUMMYFUNCTION("""COMPUTED_VALUE"""),45264.6666666666)</f>
        <v>45264.666666666599</v>
      </c>
      <c r="B485" s="3">
        <f ca="1">IFERROR(__xludf.DUMMYFUNCTION("""COMPUTED_VALUE"""),183.32)</f>
        <v>183.32</v>
      </c>
      <c r="C485" s="3">
        <f ca="1">IFERROR(__xludf.DUMMYFUNCTION("""COMPUTED_VALUE"""),459.92)</f>
        <v>459.92</v>
      </c>
      <c r="D485" s="3">
        <f ca="1">IFERROR(__xludf.DUMMYFUNCTION("""COMPUTED_VALUE"""),117.69)</f>
        <v>117.69</v>
      </c>
      <c r="E485" s="3">
        <f ca="1">IFERROR(__xludf.DUMMYFUNCTION("""COMPUTED_VALUE"""),170.09)</f>
        <v>170.09</v>
      </c>
      <c r="F485" s="3">
        <f ca="1">IFERROR(__xludf.DUMMYFUNCTION("""COMPUTED_VALUE"""),57.89)</f>
        <v>57.89</v>
      </c>
      <c r="G485" s="3">
        <f ca="1">IFERROR(__xludf.DUMMYFUNCTION("""COMPUTED_VALUE"""),26.72)</f>
        <v>26.72</v>
      </c>
      <c r="H485" s="3">
        <f ca="1">IFERROR(__xludf.DUMMYFUNCTION("""COMPUTED_VALUE"""),25.62)</f>
        <v>25.62</v>
      </c>
      <c r="I485" s="3">
        <f ca="1">IFERROR(__xludf.DUMMYFUNCTION("""COMPUTED_VALUE"""),132.08)</f>
        <v>132.08000000000001</v>
      </c>
      <c r="J485" s="3">
        <f ca="1">IFERROR(__xludf.DUMMYFUNCTION("""COMPUTED_VALUE"""),240.92)</f>
        <v>240.92</v>
      </c>
      <c r="K485" s="3">
        <f ca="1">IFERROR(__xludf.DUMMYFUNCTION("""COMPUTED_VALUE"""),123.39)</f>
        <v>123.39</v>
      </c>
      <c r="L485" s="3">
        <f ca="1">IFERROR(__xludf.DUMMYFUNCTION("""COMPUTED_VALUE"""),79.19)</f>
        <v>79.19</v>
      </c>
      <c r="M485" s="3">
        <f ca="1">IFERROR(__xludf.DUMMYFUNCTION("""COMPUTED_VALUE"""),60.42)</f>
        <v>60.42</v>
      </c>
      <c r="N485" s="3">
        <f ca="1">IFERROR(__xludf.DUMMYFUNCTION("""COMPUTED_VALUE"""),62.12)</f>
        <v>62.12</v>
      </c>
      <c r="O485" s="3">
        <f ca="1">IFERROR(__xludf.DUMMYFUNCTION("""COMPUTED_VALUE"""),43.24)</f>
        <v>43.24</v>
      </c>
      <c r="P485" s="3">
        <f ca="1">IFERROR(__xludf.DUMMYFUNCTION("""COMPUTED_VALUE"""),84.63)</f>
        <v>84.63</v>
      </c>
      <c r="Q485" s="3">
        <f ca="1">IFERROR(__xludf.DUMMYFUNCTION("""COMPUTED_VALUE"""),118.41)</f>
        <v>118.41</v>
      </c>
      <c r="R485" s="3">
        <f ca="1">IFERROR(__xludf.DUMMYFUNCTION("""COMPUTED_VALUE"""),82.38)</f>
        <v>82.38</v>
      </c>
      <c r="S485" s="3">
        <f ca="1">IFERROR(__xludf.DUMMYFUNCTION("""COMPUTED_VALUE"""),55.71)</f>
        <v>55.71</v>
      </c>
      <c r="T485" s="3">
        <f ca="1">IFERROR(__xludf.DUMMYFUNCTION("""COMPUTED_VALUE"""),23.64)</f>
        <v>23.64</v>
      </c>
      <c r="U485" s="3">
        <f ca="1">IFERROR(__xludf.DUMMYFUNCTION("""COMPUTED_VALUE"""),68.47)</f>
        <v>68.47</v>
      </c>
      <c r="V485" s="3">
        <f ca="1">IFERROR(__xludf.DUMMYFUNCTION("""COMPUTED_VALUE"""),47.74)</f>
        <v>47.74</v>
      </c>
      <c r="W485" s="3">
        <f ca="1">IFERROR(__xludf.DUMMYFUNCTION("""COMPUTED_VALUE"""),36.13)</f>
        <v>36.130000000000003</v>
      </c>
      <c r="X485" s="3">
        <f ca="1">IFERROR(__xludf.DUMMYFUNCTION("""COMPUTED_VALUE"""),88.03)</f>
        <v>88.03</v>
      </c>
      <c r="Y485" s="3">
        <f ca="1">IFERROR(__xludf.DUMMYFUNCTION("""COMPUTED_VALUE"""),42.56)</f>
        <v>42.56</v>
      </c>
      <c r="Z485" s="3">
        <f ca="1">IFERROR(__xludf.DUMMYFUNCTION("""COMPUTED_VALUE"""),81.63)</f>
        <v>81.63</v>
      </c>
      <c r="AA485" s="3">
        <f ca="1">IFERROR(__xludf.DUMMYFUNCTION("""COMPUTED_VALUE"""),38.22)</f>
        <v>38.22</v>
      </c>
      <c r="AB485" s="3">
        <f ca="1">IFERROR(__xludf.DUMMYFUNCTION("""COMPUTED_VALUE"""),48.12)</f>
        <v>48.12</v>
      </c>
      <c r="AC485" s="3">
        <f ca="1">IFERROR(__xludf.DUMMYFUNCTION("""COMPUTED_VALUE"""),56.1)</f>
        <v>56.1</v>
      </c>
      <c r="AD485" s="3">
        <f ca="1">IFERROR(__xludf.DUMMYFUNCTION("""COMPUTED_VALUE"""),15.24)</f>
        <v>15.24</v>
      </c>
      <c r="AE485" s="3">
        <f ca="1">IFERROR(__xludf.DUMMYFUNCTION("""COMPUTED_VALUE"""),20.75)</f>
        <v>20.75</v>
      </c>
      <c r="AF485" s="3">
        <f ca="1">IFERROR(__xludf.DUMMYFUNCTION("""COMPUTED_VALUE"""),3.42)</f>
        <v>3.42</v>
      </c>
      <c r="AG485" s="3">
        <f ca="1">IFERROR(__xludf.DUMMYFUNCTION("""COMPUTED_VALUE"""),36.97)</f>
        <v>36.97</v>
      </c>
    </row>
    <row r="486" spans="1:33" ht="12.75" x14ac:dyDescent="0.2">
      <c r="A486" s="4">
        <f ca="1">IFERROR(__xludf.DUMMYFUNCTION("""COMPUTED_VALUE"""),45265.6666666666)</f>
        <v>45265.666666666599</v>
      </c>
      <c r="B486" s="3">
        <f ca="1">IFERROR(__xludf.DUMMYFUNCTION("""COMPUTED_VALUE"""),184.42)</f>
        <v>184.42</v>
      </c>
      <c r="C486" s="3">
        <f ca="1">IFERROR(__xludf.DUMMYFUNCTION("""COMPUTED_VALUE"""),462.41)</f>
        <v>462.41</v>
      </c>
      <c r="D486" s="3">
        <f ca="1">IFERROR(__xludf.DUMMYFUNCTION("""COMPUTED_VALUE"""),118.54)</f>
        <v>118.54</v>
      </c>
      <c r="E486" s="3">
        <f ca="1">IFERROR(__xludf.DUMMYFUNCTION("""COMPUTED_VALUE"""),169.13)</f>
        <v>169.13</v>
      </c>
      <c r="F486" s="3">
        <f ca="1">IFERROR(__xludf.DUMMYFUNCTION("""COMPUTED_VALUE"""),57.63)</f>
        <v>57.63</v>
      </c>
      <c r="G486" s="3">
        <f ca="1">IFERROR(__xludf.DUMMYFUNCTION("""COMPUTED_VALUE"""),26.57)</f>
        <v>26.57</v>
      </c>
      <c r="H486" s="3">
        <f ca="1">IFERROR(__xludf.DUMMYFUNCTION("""COMPUTED_VALUE"""),25.34)</f>
        <v>25.34</v>
      </c>
      <c r="I486" s="3">
        <f ca="1">IFERROR(__xludf.DUMMYFUNCTION("""COMPUTED_VALUE"""),131.91)</f>
        <v>131.91</v>
      </c>
      <c r="J486" s="3">
        <f ca="1">IFERROR(__xludf.DUMMYFUNCTION("""COMPUTED_VALUE"""),240.43)</f>
        <v>240.43</v>
      </c>
      <c r="K486" s="3">
        <f ca="1">IFERROR(__xludf.DUMMYFUNCTION("""COMPUTED_VALUE"""),122.9)</f>
        <v>122.9</v>
      </c>
      <c r="L486" s="3">
        <f ca="1">IFERROR(__xludf.DUMMYFUNCTION("""COMPUTED_VALUE"""),78.8)</f>
        <v>78.8</v>
      </c>
      <c r="M486" s="3">
        <f ca="1">IFERROR(__xludf.DUMMYFUNCTION("""COMPUTED_VALUE"""),59.81)</f>
        <v>59.81</v>
      </c>
      <c r="N486" s="3">
        <f ca="1">IFERROR(__xludf.DUMMYFUNCTION("""COMPUTED_VALUE"""),62.01)</f>
        <v>62.01</v>
      </c>
      <c r="O486" s="3">
        <f ca="1">IFERROR(__xludf.DUMMYFUNCTION("""COMPUTED_VALUE"""),42.6)</f>
        <v>42.6</v>
      </c>
      <c r="P486" s="3">
        <f ca="1">IFERROR(__xludf.DUMMYFUNCTION("""COMPUTED_VALUE"""),83.15)</f>
        <v>83.15</v>
      </c>
      <c r="Q486" s="3">
        <f ca="1">IFERROR(__xludf.DUMMYFUNCTION("""COMPUTED_VALUE"""),116.32)</f>
        <v>116.32</v>
      </c>
      <c r="R486" s="3">
        <f ca="1">IFERROR(__xludf.DUMMYFUNCTION("""COMPUTED_VALUE"""),81.25)</f>
        <v>81.25</v>
      </c>
      <c r="S486" s="3">
        <f ca="1">IFERROR(__xludf.DUMMYFUNCTION("""COMPUTED_VALUE"""),54.33)</f>
        <v>54.33</v>
      </c>
      <c r="T486" s="3">
        <f ca="1">IFERROR(__xludf.DUMMYFUNCTION("""COMPUTED_VALUE"""),23.43)</f>
        <v>23.43</v>
      </c>
      <c r="U486" s="3">
        <f ca="1">IFERROR(__xludf.DUMMYFUNCTION("""COMPUTED_VALUE"""),67.58)</f>
        <v>67.58</v>
      </c>
      <c r="V486" s="3">
        <f ca="1">IFERROR(__xludf.DUMMYFUNCTION("""COMPUTED_VALUE"""),47.23)</f>
        <v>47.23</v>
      </c>
      <c r="W486" s="3">
        <f ca="1">IFERROR(__xludf.DUMMYFUNCTION("""COMPUTED_VALUE"""),35.95)</f>
        <v>35.950000000000003</v>
      </c>
      <c r="X486" s="3">
        <f ca="1">IFERROR(__xludf.DUMMYFUNCTION("""COMPUTED_VALUE"""),87.6)</f>
        <v>87.6</v>
      </c>
      <c r="Y486" s="3">
        <f ca="1">IFERROR(__xludf.DUMMYFUNCTION("""COMPUTED_VALUE"""),41.98)</f>
        <v>41.98</v>
      </c>
      <c r="Z486" s="3">
        <f ca="1">IFERROR(__xludf.DUMMYFUNCTION("""COMPUTED_VALUE"""),81.24)</f>
        <v>81.239999999999995</v>
      </c>
      <c r="AA486" s="3">
        <f ca="1">IFERROR(__xludf.DUMMYFUNCTION("""COMPUTED_VALUE"""),38.06)</f>
        <v>38.06</v>
      </c>
      <c r="AB486" s="3">
        <f ca="1">IFERROR(__xludf.DUMMYFUNCTION("""COMPUTED_VALUE"""),47.52)</f>
        <v>47.52</v>
      </c>
      <c r="AC486" s="3">
        <f ca="1">IFERROR(__xludf.DUMMYFUNCTION("""COMPUTED_VALUE"""),56.47)</f>
        <v>56.47</v>
      </c>
      <c r="AD486" s="3">
        <f ca="1">IFERROR(__xludf.DUMMYFUNCTION("""COMPUTED_VALUE"""),15.73)</f>
        <v>15.73</v>
      </c>
      <c r="AE486" s="3">
        <f ca="1">IFERROR(__xludf.DUMMYFUNCTION("""COMPUTED_VALUE"""),21.78)</f>
        <v>21.78</v>
      </c>
      <c r="AF486" s="3">
        <f ca="1">IFERROR(__xludf.DUMMYFUNCTION("""COMPUTED_VALUE"""),3.35)</f>
        <v>3.35</v>
      </c>
      <c r="AG486" s="3">
        <f ca="1">IFERROR(__xludf.DUMMYFUNCTION("""COMPUTED_VALUE"""),37.52)</f>
        <v>37.520000000000003</v>
      </c>
    </row>
    <row r="487" spans="1:33" ht="12.75" x14ac:dyDescent="0.2">
      <c r="A487" s="4">
        <f ca="1">IFERROR(__xludf.DUMMYFUNCTION("""COMPUTED_VALUE"""),45266.6666666666)</f>
        <v>45266.666666666599</v>
      </c>
      <c r="B487" s="3">
        <f ca="1">IFERROR(__xludf.DUMMYFUNCTION("""COMPUTED_VALUE"""),182.86)</f>
        <v>182.86</v>
      </c>
      <c r="C487" s="3">
        <f ca="1">IFERROR(__xludf.DUMMYFUNCTION("""COMPUTED_VALUE"""),458.39)</f>
        <v>458.39</v>
      </c>
      <c r="D487" s="3">
        <f ca="1">IFERROR(__xludf.DUMMYFUNCTION("""COMPUTED_VALUE"""),119.2)</f>
        <v>119.2</v>
      </c>
      <c r="E487" s="3">
        <f ca="1">IFERROR(__xludf.DUMMYFUNCTION("""COMPUTED_VALUE"""),168.08)</f>
        <v>168.08</v>
      </c>
      <c r="F487" s="3">
        <f ca="1">IFERROR(__xludf.DUMMYFUNCTION("""COMPUTED_VALUE"""),57.44)</f>
        <v>57.44</v>
      </c>
      <c r="G487" s="3">
        <f ca="1">IFERROR(__xludf.DUMMYFUNCTION("""COMPUTED_VALUE"""),26.36)</f>
        <v>26.36</v>
      </c>
      <c r="H487" s="3">
        <f ca="1">IFERROR(__xludf.DUMMYFUNCTION("""COMPUTED_VALUE"""),25.32)</f>
        <v>25.32</v>
      </c>
      <c r="I487" s="3">
        <f ca="1">IFERROR(__xludf.DUMMYFUNCTION("""COMPUTED_VALUE"""),132.01)</f>
        <v>132.01</v>
      </c>
      <c r="J487" s="3">
        <f ca="1">IFERROR(__xludf.DUMMYFUNCTION("""COMPUTED_VALUE"""),240.75)</f>
        <v>240.75</v>
      </c>
      <c r="K487" s="3">
        <f ca="1">IFERROR(__xludf.DUMMYFUNCTION("""COMPUTED_VALUE"""),123.86)</f>
        <v>123.86</v>
      </c>
      <c r="L487" s="3">
        <f ca="1">IFERROR(__xludf.DUMMYFUNCTION("""COMPUTED_VALUE"""),79.54)</f>
        <v>79.540000000000006</v>
      </c>
      <c r="M487" s="3">
        <f ca="1">IFERROR(__xludf.DUMMYFUNCTION("""COMPUTED_VALUE"""),60.05)</f>
        <v>60.05</v>
      </c>
      <c r="N487" s="3">
        <f ca="1">IFERROR(__xludf.DUMMYFUNCTION("""COMPUTED_VALUE"""),62.07)</f>
        <v>62.07</v>
      </c>
      <c r="O487" s="3">
        <f ca="1">IFERROR(__xludf.DUMMYFUNCTION("""COMPUTED_VALUE"""),42.92)</f>
        <v>42.92</v>
      </c>
      <c r="P487" s="3">
        <f ca="1">IFERROR(__xludf.DUMMYFUNCTION("""COMPUTED_VALUE"""),81.91)</f>
        <v>81.91</v>
      </c>
      <c r="Q487" s="3">
        <f ca="1">IFERROR(__xludf.DUMMYFUNCTION("""COMPUTED_VALUE"""),114.23)</f>
        <v>114.23</v>
      </c>
      <c r="R487" s="3">
        <f ca="1">IFERROR(__xludf.DUMMYFUNCTION("""COMPUTED_VALUE"""),81.08)</f>
        <v>81.08</v>
      </c>
      <c r="S487" s="3">
        <f ca="1">IFERROR(__xludf.DUMMYFUNCTION("""COMPUTED_VALUE"""),53.69)</f>
        <v>53.69</v>
      </c>
      <c r="T487" s="3">
        <f ca="1">IFERROR(__xludf.DUMMYFUNCTION("""COMPUTED_VALUE"""),22.86)</f>
        <v>22.86</v>
      </c>
      <c r="U487" s="3">
        <f ca="1">IFERROR(__xludf.DUMMYFUNCTION("""COMPUTED_VALUE"""),64.76)</f>
        <v>64.760000000000005</v>
      </c>
      <c r="V487" s="3">
        <f ca="1">IFERROR(__xludf.DUMMYFUNCTION("""COMPUTED_VALUE"""),46.58)</f>
        <v>46.58</v>
      </c>
      <c r="W487" s="3">
        <f ca="1">IFERROR(__xludf.DUMMYFUNCTION("""COMPUTED_VALUE"""),35.77)</f>
        <v>35.770000000000003</v>
      </c>
      <c r="X487" s="3">
        <f ca="1">IFERROR(__xludf.DUMMYFUNCTION("""COMPUTED_VALUE"""),87.21)</f>
        <v>87.21</v>
      </c>
      <c r="Y487" s="3">
        <f ca="1">IFERROR(__xludf.DUMMYFUNCTION("""COMPUTED_VALUE"""),41.97)</f>
        <v>41.97</v>
      </c>
      <c r="Z487" s="3">
        <f ca="1">IFERROR(__xludf.DUMMYFUNCTION("""COMPUTED_VALUE"""),80.71)</f>
        <v>80.709999999999994</v>
      </c>
      <c r="AA487" s="3">
        <f ca="1">IFERROR(__xludf.DUMMYFUNCTION("""COMPUTED_VALUE"""),37.93)</f>
        <v>37.93</v>
      </c>
      <c r="AB487" s="3">
        <f ca="1">IFERROR(__xludf.DUMMYFUNCTION("""COMPUTED_VALUE"""),47.54)</f>
        <v>47.54</v>
      </c>
      <c r="AC487" s="3">
        <f ca="1">IFERROR(__xludf.DUMMYFUNCTION("""COMPUTED_VALUE"""),56.76)</f>
        <v>56.76</v>
      </c>
      <c r="AD487" s="3">
        <f ca="1">IFERROR(__xludf.DUMMYFUNCTION("""COMPUTED_VALUE"""),15.68)</f>
        <v>15.68</v>
      </c>
      <c r="AE487" s="3">
        <f ca="1">IFERROR(__xludf.DUMMYFUNCTION("""COMPUTED_VALUE"""),21.73)</f>
        <v>21.73</v>
      </c>
      <c r="AF487" s="3">
        <f ca="1">IFERROR(__xludf.DUMMYFUNCTION("""COMPUTED_VALUE"""),3.7)</f>
        <v>3.7</v>
      </c>
      <c r="AG487" s="3">
        <f ca="1">IFERROR(__xludf.DUMMYFUNCTION("""COMPUTED_VALUE"""),37.1)</f>
        <v>37.1</v>
      </c>
    </row>
    <row r="488" spans="1:33" ht="12.75" x14ac:dyDescent="0.2">
      <c r="A488" s="4">
        <f ca="1">IFERROR(__xludf.DUMMYFUNCTION("""COMPUTED_VALUE"""),45267.6666666666)</f>
        <v>45267.666666666599</v>
      </c>
      <c r="B488" s="3">
        <f ca="1">IFERROR(__xludf.DUMMYFUNCTION("""COMPUTED_VALUE"""),185.08)</f>
        <v>185.08</v>
      </c>
      <c r="C488" s="3">
        <f ca="1">IFERROR(__xludf.DUMMYFUNCTION("""COMPUTED_VALUE"""),463.34)</f>
        <v>463.34</v>
      </c>
      <c r="D488" s="3">
        <f ca="1">IFERROR(__xludf.DUMMYFUNCTION("""COMPUTED_VALUE"""),119.9)</f>
        <v>119.9</v>
      </c>
      <c r="E488" s="3">
        <f ca="1">IFERROR(__xludf.DUMMYFUNCTION("""COMPUTED_VALUE"""),172.59)</f>
        <v>172.59</v>
      </c>
      <c r="F488" s="3">
        <f ca="1">IFERROR(__xludf.DUMMYFUNCTION("""COMPUTED_VALUE"""),57.41)</f>
        <v>57.41</v>
      </c>
      <c r="G488" s="3">
        <f ca="1">IFERROR(__xludf.DUMMYFUNCTION("""COMPUTED_VALUE"""),26.55)</f>
        <v>26.55</v>
      </c>
      <c r="H488" s="3">
        <f ca="1">IFERROR(__xludf.DUMMYFUNCTION("""COMPUTED_VALUE"""),25.4)</f>
        <v>25.4</v>
      </c>
      <c r="I488" s="3">
        <f ca="1">IFERROR(__xludf.DUMMYFUNCTION("""COMPUTED_VALUE"""),131.85)</f>
        <v>131.85</v>
      </c>
      <c r="J488" s="3">
        <f ca="1">IFERROR(__xludf.DUMMYFUNCTION("""COMPUTED_VALUE"""),240.53)</f>
        <v>240.53</v>
      </c>
      <c r="K488" s="3">
        <f ca="1">IFERROR(__xludf.DUMMYFUNCTION("""COMPUTED_VALUE"""),124.74)</f>
        <v>124.74</v>
      </c>
      <c r="L488" s="3">
        <f ca="1">IFERROR(__xludf.DUMMYFUNCTION("""COMPUTED_VALUE"""),80.52)</f>
        <v>80.52</v>
      </c>
      <c r="M488" s="3">
        <f ca="1">IFERROR(__xludf.DUMMYFUNCTION("""COMPUTED_VALUE"""),60.66)</f>
        <v>60.66</v>
      </c>
      <c r="N488" s="3">
        <f ca="1">IFERROR(__xludf.DUMMYFUNCTION("""COMPUTED_VALUE"""),62.07)</f>
        <v>62.07</v>
      </c>
      <c r="O488" s="3">
        <f ca="1">IFERROR(__xludf.DUMMYFUNCTION("""COMPUTED_VALUE"""),43.24)</f>
        <v>43.24</v>
      </c>
      <c r="P488" s="3">
        <f ca="1">IFERROR(__xludf.DUMMYFUNCTION("""COMPUTED_VALUE"""),81.35)</f>
        <v>81.349999999999994</v>
      </c>
      <c r="Q488" s="3">
        <f ca="1">IFERROR(__xludf.DUMMYFUNCTION("""COMPUTED_VALUE"""),113.65)</f>
        <v>113.65</v>
      </c>
      <c r="R488" s="3">
        <f ca="1">IFERROR(__xludf.DUMMYFUNCTION("""COMPUTED_VALUE"""),81.63)</f>
        <v>81.63</v>
      </c>
      <c r="S488" s="3">
        <f ca="1">IFERROR(__xludf.DUMMYFUNCTION("""COMPUTED_VALUE"""),53.91)</f>
        <v>53.91</v>
      </c>
      <c r="T488" s="3">
        <f ca="1">IFERROR(__xludf.DUMMYFUNCTION("""COMPUTED_VALUE"""),22.9)</f>
        <v>22.9</v>
      </c>
      <c r="U488" s="3">
        <f ca="1">IFERROR(__xludf.DUMMYFUNCTION("""COMPUTED_VALUE"""),65.11)</f>
        <v>65.11</v>
      </c>
      <c r="V488" s="3">
        <f ca="1">IFERROR(__xludf.DUMMYFUNCTION("""COMPUTED_VALUE"""),46.65)</f>
        <v>46.65</v>
      </c>
      <c r="W488" s="3">
        <f ca="1">IFERROR(__xludf.DUMMYFUNCTION("""COMPUTED_VALUE"""),35.94)</f>
        <v>35.94</v>
      </c>
      <c r="X488" s="3">
        <f ca="1">IFERROR(__xludf.DUMMYFUNCTION("""COMPUTED_VALUE"""),87.65)</f>
        <v>87.65</v>
      </c>
      <c r="Y488" s="3">
        <f ca="1">IFERROR(__xludf.DUMMYFUNCTION("""COMPUTED_VALUE"""),42.69)</f>
        <v>42.69</v>
      </c>
      <c r="Z488" s="3">
        <f ca="1">IFERROR(__xludf.DUMMYFUNCTION("""COMPUTED_VALUE"""),81.03)</f>
        <v>81.03</v>
      </c>
      <c r="AA488" s="3">
        <f ca="1">IFERROR(__xludf.DUMMYFUNCTION("""COMPUTED_VALUE"""),37.98)</f>
        <v>37.979999999999997</v>
      </c>
      <c r="AB488" s="3">
        <f ca="1">IFERROR(__xludf.DUMMYFUNCTION("""COMPUTED_VALUE"""),48.46)</f>
        <v>48.46</v>
      </c>
      <c r="AC488" s="3">
        <f ca="1">IFERROR(__xludf.DUMMYFUNCTION("""COMPUTED_VALUE"""),57.13)</f>
        <v>57.13</v>
      </c>
      <c r="AD488" s="3">
        <f ca="1">IFERROR(__xludf.DUMMYFUNCTION("""COMPUTED_VALUE"""),15.89)</f>
        <v>15.89</v>
      </c>
      <c r="AE488" s="3">
        <f ca="1">IFERROR(__xludf.DUMMYFUNCTION("""COMPUTED_VALUE"""),21.48)</f>
        <v>21.48</v>
      </c>
      <c r="AF488" s="3">
        <f ca="1">IFERROR(__xludf.DUMMYFUNCTION("""COMPUTED_VALUE"""),3.88)</f>
        <v>3.88</v>
      </c>
      <c r="AG488" s="3">
        <f ca="1">IFERROR(__xludf.DUMMYFUNCTION("""COMPUTED_VALUE"""),37.04)</f>
        <v>37.04</v>
      </c>
    </row>
    <row r="489" spans="1:33" ht="12.75" x14ac:dyDescent="0.2">
      <c r="A489" s="4">
        <f ca="1">IFERROR(__xludf.DUMMYFUNCTION("""COMPUTED_VALUE"""),45268.6666666666)</f>
        <v>45268.666666666599</v>
      </c>
      <c r="B489" s="3">
        <f ca="1">IFERROR(__xludf.DUMMYFUNCTION("""COMPUTED_VALUE"""),186.66)</f>
        <v>186.66</v>
      </c>
      <c r="C489" s="3">
        <f ca="1">IFERROR(__xludf.DUMMYFUNCTION("""COMPUTED_VALUE"""),467.48)</f>
        <v>467.48</v>
      </c>
      <c r="D489" s="3">
        <f ca="1">IFERROR(__xludf.DUMMYFUNCTION("""COMPUTED_VALUE"""),121.02)</f>
        <v>121.02</v>
      </c>
      <c r="E489" s="3">
        <f ca="1">IFERROR(__xludf.DUMMYFUNCTION("""COMPUTED_VALUE"""),173.95)</f>
        <v>173.95</v>
      </c>
      <c r="F489" s="3">
        <f ca="1">IFERROR(__xludf.DUMMYFUNCTION("""COMPUTED_VALUE"""),57.63)</f>
        <v>57.63</v>
      </c>
      <c r="G489" s="3">
        <f ca="1">IFERROR(__xludf.DUMMYFUNCTION("""COMPUTED_VALUE"""),26.72)</f>
        <v>26.72</v>
      </c>
      <c r="H489" s="3">
        <f ca="1">IFERROR(__xludf.DUMMYFUNCTION("""COMPUTED_VALUE"""),25.48)</f>
        <v>25.48</v>
      </c>
      <c r="I489" s="3">
        <f ca="1">IFERROR(__xludf.DUMMYFUNCTION("""COMPUTED_VALUE"""),132.07)</f>
        <v>132.07</v>
      </c>
      <c r="J489" s="3">
        <f ca="1">IFERROR(__xludf.DUMMYFUNCTION("""COMPUTED_VALUE"""),240.81)</f>
        <v>240.81</v>
      </c>
      <c r="K489" s="3">
        <f ca="1">IFERROR(__xludf.DUMMYFUNCTION("""COMPUTED_VALUE"""),123.88)</f>
        <v>123.88</v>
      </c>
      <c r="L489" s="3">
        <f ca="1">IFERROR(__xludf.DUMMYFUNCTION("""COMPUTED_VALUE"""),79.32)</f>
        <v>79.319999999999993</v>
      </c>
      <c r="M489" s="3">
        <f ca="1">IFERROR(__xludf.DUMMYFUNCTION("""COMPUTED_VALUE"""),60.07)</f>
        <v>60.07</v>
      </c>
      <c r="N489" s="3">
        <f ca="1">IFERROR(__xludf.DUMMYFUNCTION("""COMPUTED_VALUE"""),62.11)</f>
        <v>62.11</v>
      </c>
      <c r="O489" s="3">
        <f ca="1">IFERROR(__xludf.DUMMYFUNCTION("""COMPUTED_VALUE"""),42.32)</f>
        <v>42.32</v>
      </c>
      <c r="P489" s="3">
        <f ca="1">IFERROR(__xludf.DUMMYFUNCTION("""COMPUTED_VALUE"""),82.23)</f>
        <v>82.23</v>
      </c>
      <c r="Q489" s="3">
        <f ca="1">IFERROR(__xludf.DUMMYFUNCTION("""COMPUTED_VALUE"""),115)</f>
        <v>115</v>
      </c>
      <c r="R489" s="3">
        <f ca="1">IFERROR(__xludf.DUMMYFUNCTION("""COMPUTED_VALUE"""),81.93)</f>
        <v>81.93</v>
      </c>
      <c r="S489" s="3">
        <f ca="1">IFERROR(__xludf.DUMMYFUNCTION("""COMPUTED_VALUE"""),54.01)</f>
        <v>54.01</v>
      </c>
      <c r="T489" s="3">
        <f ca="1">IFERROR(__xludf.DUMMYFUNCTION("""COMPUTED_VALUE"""),23)</f>
        <v>23</v>
      </c>
      <c r="U489" s="3">
        <f ca="1">IFERROR(__xludf.DUMMYFUNCTION("""COMPUTED_VALUE"""),66.53)</f>
        <v>66.53</v>
      </c>
      <c r="V489" s="3">
        <f ca="1">IFERROR(__xludf.DUMMYFUNCTION("""COMPUTED_VALUE"""),45.82)</f>
        <v>45.82</v>
      </c>
      <c r="W489" s="3">
        <f ca="1">IFERROR(__xludf.DUMMYFUNCTION("""COMPUTED_VALUE"""),36.13)</f>
        <v>36.130000000000003</v>
      </c>
      <c r="X489" s="3">
        <f ca="1">IFERROR(__xludf.DUMMYFUNCTION("""COMPUTED_VALUE"""),88.17)</f>
        <v>88.17</v>
      </c>
      <c r="Y489" s="3">
        <f ca="1">IFERROR(__xludf.DUMMYFUNCTION("""COMPUTED_VALUE"""),43.16)</f>
        <v>43.16</v>
      </c>
      <c r="Z489" s="3">
        <f ca="1">IFERROR(__xludf.DUMMYFUNCTION("""COMPUTED_VALUE"""),81.56)</f>
        <v>81.56</v>
      </c>
      <c r="AA489" s="3">
        <f ca="1">IFERROR(__xludf.DUMMYFUNCTION("""COMPUTED_VALUE"""),37.9)</f>
        <v>37.9</v>
      </c>
      <c r="AB489" s="3">
        <f ca="1">IFERROR(__xludf.DUMMYFUNCTION("""COMPUTED_VALUE"""),48.99)</f>
        <v>48.99</v>
      </c>
      <c r="AC489" s="3">
        <f ca="1">IFERROR(__xludf.DUMMYFUNCTION("""COMPUTED_VALUE"""),58.3)</f>
        <v>58.3</v>
      </c>
      <c r="AD489" s="3">
        <f ca="1">IFERROR(__xludf.DUMMYFUNCTION("""COMPUTED_VALUE"""),16.19)</f>
        <v>16.190000000000001</v>
      </c>
      <c r="AE489" s="3">
        <f ca="1">IFERROR(__xludf.DUMMYFUNCTION("""COMPUTED_VALUE"""),22.09)</f>
        <v>22.09</v>
      </c>
      <c r="AF489" s="3">
        <f ca="1">IFERROR(__xludf.DUMMYFUNCTION("""COMPUTED_VALUE"""),3.94)</f>
        <v>3.94</v>
      </c>
      <c r="AG489" s="3">
        <f ca="1">IFERROR(__xludf.DUMMYFUNCTION("""COMPUTED_VALUE"""),40.15)</f>
        <v>40.15</v>
      </c>
    </row>
    <row r="490" spans="1:33" ht="12.75" x14ac:dyDescent="0.2">
      <c r="A490" s="4">
        <f ca="1">IFERROR(__xludf.DUMMYFUNCTION("""COMPUTED_VALUE"""),45271.6666666666)</f>
        <v>45271.666666666599</v>
      </c>
      <c r="B490" s="3">
        <f ca="1">IFERROR(__xludf.DUMMYFUNCTION("""COMPUTED_VALUE"""),188.29)</f>
        <v>188.29</v>
      </c>
      <c r="C490" s="3">
        <f ca="1">IFERROR(__xludf.DUMMYFUNCTION("""COMPUTED_VALUE"""),470.7)</f>
        <v>470.7</v>
      </c>
      <c r="D490" s="3">
        <f ca="1">IFERROR(__xludf.DUMMYFUNCTION("""COMPUTED_VALUE"""),120.85)</f>
        <v>120.85</v>
      </c>
      <c r="E490" s="3">
        <f ca="1">IFERROR(__xludf.DUMMYFUNCTION("""COMPUTED_VALUE"""),179.89)</f>
        <v>179.89</v>
      </c>
      <c r="F490" s="3">
        <f ca="1">IFERROR(__xludf.DUMMYFUNCTION("""COMPUTED_VALUE"""),58.21)</f>
        <v>58.21</v>
      </c>
      <c r="G490" s="3">
        <f ca="1">IFERROR(__xludf.DUMMYFUNCTION("""COMPUTED_VALUE"""),26.84)</f>
        <v>26.84</v>
      </c>
      <c r="H490" s="3">
        <f ca="1">IFERROR(__xludf.DUMMYFUNCTION("""COMPUTED_VALUE"""),25.7)</f>
        <v>25.7</v>
      </c>
      <c r="I490" s="3">
        <f ca="1">IFERROR(__xludf.DUMMYFUNCTION("""COMPUTED_VALUE"""),132.94)</f>
        <v>132.94</v>
      </c>
      <c r="J490" s="3">
        <f ca="1">IFERROR(__xludf.DUMMYFUNCTION("""COMPUTED_VALUE"""),242.12)</f>
        <v>242.12</v>
      </c>
      <c r="K490" s="3">
        <f ca="1">IFERROR(__xludf.DUMMYFUNCTION("""COMPUTED_VALUE"""),124.77)</f>
        <v>124.77</v>
      </c>
      <c r="L490" s="3">
        <f ca="1">IFERROR(__xludf.DUMMYFUNCTION("""COMPUTED_VALUE"""),78.86)</f>
        <v>78.86</v>
      </c>
      <c r="M490" s="3">
        <f ca="1">IFERROR(__xludf.DUMMYFUNCTION("""COMPUTED_VALUE"""),60.59)</f>
        <v>60.59</v>
      </c>
      <c r="N490" s="3">
        <f ca="1">IFERROR(__xludf.DUMMYFUNCTION("""COMPUTED_VALUE"""),62.47)</f>
        <v>62.47</v>
      </c>
      <c r="O490" s="3">
        <f ca="1">IFERROR(__xludf.DUMMYFUNCTION("""COMPUTED_VALUE"""),42.12)</f>
        <v>42.12</v>
      </c>
      <c r="P490" s="3">
        <f ca="1">IFERROR(__xludf.DUMMYFUNCTION("""COMPUTED_VALUE"""),82.33)</f>
        <v>82.33</v>
      </c>
      <c r="Q490" s="3">
        <f ca="1">IFERROR(__xludf.DUMMYFUNCTION("""COMPUTED_VALUE"""),115.07)</f>
        <v>115.07</v>
      </c>
      <c r="R490" s="3">
        <f ca="1">IFERROR(__xludf.DUMMYFUNCTION("""COMPUTED_VALUE"""),82.51)</f>
        <v>82.51</v>
      </c>
      <c r="S490" s="3">
        <f ca="1">IFERROR(__xludf.DUMMYFUNCTION("""COMPUTED_VALUE"""),54.09)</f>
        <v>54.09</v>
      </c>
      <c r="T490" s="3">
        <f ca="1">IFERROR(__xludf.DUMMYFUNCTION("""COMPUTED_VALUE"""),22.92)</f>
        <v>22.92</v>
      </c>
      <c r="U490" s="3">
        <f ca="1">IFERROR(__xludf.DUMMYFUNCTION("""COMPUTED_VALUE"""),66.8)</f>
        <v>66.8</v>
      </c>
      <c r="V490" s="3">
        <f ca="1">IFERROR(__xludf.DUMMYFUNCTION("""COMPUTED_VALUE"""),45.81)</f>
        <v>45.81</v>
      </c>
      <c r="W490" s="3">
        <f ca="1">IFERROR(__xludf.DUMMYFUNCTION("""COMPUTED_VALUE"""),36.35)</f>
        <v>36.35</v>
      </c>
      <c r="X490" s="3">
        <f ca="1">IFERROR(__xludf.DUMMYFUNCTION("""COMPUTED_VALUE"""),88.71)</f>
        <v>88.71</v>
      </c>
      <c r="Y490" s="3">
        <f ca="1">IFERROR(__xludf.DUMMYFUNCTION("""COMPUTED_VALUE"""),43.14)</f>
        <v>43.14</v>
      </c>
      <c r="Z490" s="3">
        <f ca="1">IFERROR(__xludf.DUMMYFUNCTION("""COMPUTED_VALUE"""),82.08)</f>
        <v>82.08</v>
      </c>
      <c r="AA490" s="3">
        <f ca="1">IFERROR(__xludf.DUMMYFUNCTION("""COMPUTED_VALUE"""),38.03)</f>
        <v>38.03</v>
      </c>
      <c r="AB490" s="3">
        <f ca="1">IFERROR(__xludf.DUMMYFUNCTION("""COMPUTED_VALUE"""),48.88)</f>
        <v>48.88</v>
      </c>
      <c r="AC490" s="3">
        <f ca="1">IFERROR(__xludf.DUMMYFUNCTION("""COMPUTED_VALUE"""),59.47)</f>
        <v>59.47</v>
      </c>
      <c r="AD490" s="3">
        <f ca="1">IFERROR(__xludf.DUMMYFUNCTION("""COMPUTED_VALUE"""),14.87)</f>
        <v>14.87</v>
      </c>
      <c r="AE490" s="3">
        <f ca="1">IFERROR(__xludf.DUMMYFUNCTION("""COMPUTED_VALUE"""),20.2)</f>
        <v>20.2</v>
      </c>
      <c r="AF490" s="3">
        <f ca="1">IFERROR(__xludf.DUMMYFUNCTION("""COMPUTED_VALUE"""),3.86)</f>
        <v>3.86</v>
      </c>
      <c r="AG490" s="3">
        <f ca="1">IFERROR(__xludf.DUMMYFUNCTION("""COMPUTED_VALUE"""),35.75)</f>
        <v>35.75</v>
      </c>
    </row>
    <row r="491" spans="1:33" ht="12.75" x14ac:dyDescent="0.2">
      <c r="A491" s="4">
        <f ca="1">IFERROR(__xludf.DUMMYFUNCTION("""COMPUTED_VALUE"""),45272.6666666666)</f>
        <v>45272.666666666599</v>
      </c>
      <c r="B491" s="3">
        <f ca="1">IFERROR(__xludf.DUMMYFUNCTION("""COMPUTED_VALUE"""),189.54)</f>
        <v>189.54</v>
      </c>
      <c r="C491" s="3">
        <f ca="1">IFERROR(__xludf.DUMMYFUNCTION("""COMPUTED_VALUE"""),473.51)</f>
        <v>473.51</v>
      </c>
      <c r="D491" s="3">
        <f ca="1">IFERROR(__xludf.DUMMYFUNCTION("""COMPUTED_VALUE"""),121.44)</f>
        <v>121.44</v>
      </c>
      <c r="E491" s="3">
        <f ca="1">IFERROR(__xludf.DUMMYFUNCTION("""COMPUTED_VALUE"""),181.18)</f>
        <v>181.18</v>
      </c>
      <c r="F491" s="3">
        <f ca="1">IFERROR(__xludf.DUMMYFUNCTION("""COMPUTED_VALUE"""),58.86)</f>
        <v>58.86</v>
      </c>
      <c r="G491" s="3">
        <f ca="1">IFERROR(__xludf.DUMMYFUNCTION("""COMPUTED_VALUE"""),26.98)</f>
        <v>26.98</v>
      </c>
      <c r="H491" s="3">
        <f ca="1">IFERROR(__xludf.DUMMYFUNCTION("""COMPUTED_VALUE"""),25.82)</f>
        <v>25.82</v>
      </c>
      <c r="I491" s="3">
        <f ca="1">IFERROR(__xludf.DUMMYFUNCTION("""COMPUTED_VALUE"""),133.51)</f>
        <v>133.51</v>
      </c>
      <c r="J491" s="3">
        <f ca="1">IFERROR(__xludf.DUMMYFUNCTION("""COMPUTED_VALUE"""),243.6)</f>
        <v>243.6</v>
      </c>
      <c r="K491" s="3">
        <f ca="1">IFERROR(__xludf.DUMMYFUNCTION("""COMPUTED_VALUE"""),126.13)</f>
        <v>126.13</v>
      </c>
      <c r="L491" s="3">
        <f ca="1">IFERROR(__xludf.DUMMYFUNCTION("""COMPUTED_VALUE"""),80.08)</f>
        <v>80.08</v>
      </c>
      <c r="M491" s="3">
        <f ca="1">IFERROR(__xludf.DUMMYFUNCTION("""COMPUTED_VALUE"""),61.3)</f>
        <v>61.3</v>
      </c>
      <c r="N491" s="3">
        <f ca="1">IFERROR(__xludf.DUMMYFUNCTION("""COMPUTED_VALUE"""),62.85)</f>
        <v>62.85</v>
      </c>
      <c r="O491" s="3">
        <f ca="1">IFERROR(__xludf.DUMMYFUNCTION("""COMPUTED_VALUE"""),42.15)</f>
        <v>42.15</v>
      </c>
      <c r="P491" s="3">
        <f ca="1">IFERROR(__xludf.DUMMYFUNCTION("""COMPUTED_VALUE"""),81.2)</f>
        <v>81.2</v>
      </c>
      <c r="Q491" s="3">
        <f ca="1">IFERROR(__xludf.DUMMYFUNCTION("""COMPUTED_VALUE"""),113.37)</f>
        <v>113.37</v>
      </c>
      <c r="R491" s="3">
        <f ca="1">IFERROR(__xludf.DUMMYFUNCTION("""COMPUTED_VALUE"""),82.99)</f>
        <v>82.99</v>
      </c>
      <c r="S491" s="3">
        <f ca="1">IFERROR(__xludf.DUMMYFUNCTION("""COMPUTED_VALUE"""),53)</f>
        <v>53</v>
      </c>
      <c r="T491" s="3">
        <f ca="1">IFERROR(__xludf.DUMMYFUNCTION("""COMPUTED_VALUE"""),22.57)</f>
        <v>22.57</v>
      </c>
      <c r="U491" s="3">
        <f ca="1">IFERROR(__xludf.DUMMYFUNCTION("""COMPUTED_VALUE"""),64.25)</f>
        <v>64.25</v>
      </c>
      <c r="V491" s="3">
        <f ca="1">IFERROR(__xludf.DUMMYFUNCTION("""COMPUTED_VALUE"""),44.46)</f>
        <v>44.46</v>
      </c>
      <c r="W491" s="3">
        <f ca="1">IFERROR(__xludf.DUMMYFUNCTION("""COMPUTED_VALUE"""),36.61)</f>
        <v>36.61</v>
      </c>
      <c r="X491" s="3">
        <f ca="1">IFERROR(__xludf.DUMMYFUNCTION("""COMPUTED_VALUE"""),89.27)</f>
        <v>89.27</v>
      </c>
      <c r="Y491" s="3">
        <f ca="1">IFERROR(__xludf.DUMMYFUNCTION("""COMPUTED_VALUE"""),42.94)</f>
        <v>42.94</v>
      </c>
      <c r="Z491" s="3">
        <f ca="1">IFERROR(__xludf.DUMMYFUNCTION("""COMPUTED_VALUE"""),82.57)</f>
        <v>82.57</v>
      </c>
      <c r="AA491" s="3">
        <f ca="1">IFERROR(__xludf.DUMMYFUNCTION("""COMPUTED_VALUE"""),38.02)</f>
        <v>38.020000000000003</v>
      </c>
      <c r="AB491" s="3">
        <f ca="1">IFERROR(__xludf.DUMMYFUNCTION("""COMPUTED_VALUE"""),48.5)</f>
        <v>48.5</v>
      </c>
      <c r="AC491" s="3">
        <f ca="1">IFERROR(__xludf.DUMMYFUNCTION("""COMPUTED_VALUE"""),59.21)</f>
        <v>59.21</v>
      </c>
      <c r="AD491" s="3">
        <f ca="1">IFERROR(__xludf.DUMMYFUNCTION("""COMPUTED_VALUE"""),14.93)</f>
        <v>14.93</v>
      </c>
      <c r="AE491" s="3">
        <f ca="1">IFERROR(__xludf.DUMMYFUNCTION("""COMPUTED_VALUE"""),20.39)</f>
        <v>20.39</v>
      </c>
      <c r="AF491" s="3">
        <f ca="1">IFERROR(__xludf.DUMMYFUNCTION("""COMPUTED_VALUE"""),3.85)</f>
        <v>3.85</v>
      </c>
      <c r="AG491" s="3">
        <f ca="1">IFERROR(__xludf.DUMMYFUNCTION("""COMPUTED_VALUE"""),36.19)</f>
        <v>36.19</v>
      </c>
    </row>
    <row r="492" spans="1:33" ht="12.75" x14ac:dyDescent="0.2">
      <c r="A492" s="4">
        <f ca="1">IFERROR(__xludf.DUMMYFUNCTION("""COMPUTED_VALUE"""),45273.6666666666)</f>
        <v>45273.666666666599</v>
      </c>
      <c r="B492" s="3">
        <f ca="1">IFERROR(__xludf.DUMMYFUNCTION("""COMPUTED_VALUE"""),191.21)</f>
        <v>191.21</v>
      </c>
      <c r="C492" s="3">
        <f ca="1">IFERROR(__xludf.DUMMYFUNCTION("""COMPUTED_VALUE"""),478.98)</f>
        <v>478.98</v>
      </c>
      <c r="D492" s="3">
        <f ca="1">IFERROR(__xludf.DUMMYFUNCTION("""COMPUTED_VALUE"""),122.24)</f>
        <v>122.24</v>
      </c>
      <c r="E492" s="3">
        <f ca="1">IFERROR(__xludf.DUMMYFUNCTION("""COMPUTED_VALUE"""),183.97)</f>
        <v>183.97</v>
      </c>
      <c r="F492" s="3">
        <f ca="1">IFERROR(__xludf.DUMMYFUNCTION("""COMPUTED_VALUE"""),59.54)</f>
        <v>59.54</v>
      </c>
      <c r="G492" s="3">
        <f ca="1">IFERROR(__xludf.DUMMYFUNCTION("""COMPUTED_VALUE"""),27.44)</f>
        <v>27.44</v>
      </c>
      <c r="H492" s="3">
        <f ca="1">IFERROR(__xludf.DUMMYFUNCTION("""COMPUTED_VALUE"""),26.35)</f>
        <v>26.35</v>
      </c>
      <c r="I492" s="3">
        <f ca="1">IFERROR(__xludf.DUMMYFUNCTION("""COMPUTED_VALUE"""),135.97)</f>
        <v>135.97</v>
      </c>
      <c r="J492" s="3">
        <f ca="1">IFERROR(__xludf.DUMMYFUNCTION("""COMPUTED_VALUE"""),248.57)</f>
        <v>248.57</v>
      </c>
      <c r="K492" s="3">
        <f ca="1">IFERROR(__xludf.DUMMYFUNCTION("""COMPUTED_VALUE"""),131.4)</f>
        <v>131.4</v>
      </c>
      <c r="L492" s="3">
        <f ca="1">IFERROR(__xludf.DUMMYFUNCTION("""COMPUTED_VALUE"""),83.95)</f>
        <v>83.95</v>
      </c>
      <c r="M492" s="3">
        <f ca="1">IFERROR(__xludf.DUMMYFUNCTION("""COMPUTED_VALUE"""),64.47)</f>
        <v>64.47</v>
      </c>
      <c r="N492" s="3">
        <f ca="1">IFERROR(__xludf.DUMMYFUNCTION("""COMPUTED_VALUE"""),64.13)</f>
        <v>64.13</v>
      </c>
      <c r="O492" s="3">
        <f ca="1">IFERROR(__xludf.DUMMYFUNCTION("""COMPUTED_VALUE"""),44.39)</f>
        <v>44.39</v>
      </c>
      <c r="P492" s="3">
        <f ca="1">IFERROR(__xludf.DUMMYFUNCTION("""COMPUTED_VALUE"""),82.33)</f>
        <v>82.33</v>
      </c>
      <c r="Q492" s="3">
        <f ca="1">IFERROR(__xludf.DUMMYFUNCTION("""COMPUTED_VALUE"""),114.94)</f>
        <v>114.94</v>
      </c>
      <c r="R492" s="3">
        <f ca="1">IFERROR(__xludf.DUMMYFUNCTION("""COMPUTED_VALUE"""),84)</f>
        <v>84</v>
      </c>
      <c r="S492" s="3">
        <f ca="1">IFERROR(__xludf.DUMMYFUNCTION("""COMPUTED_VALUE"""),54.95)</f>
        <v>54.95</v>
      </c>
      <c r="T492" s="3">
        <f ca="1">IFERROR(__xludf.DUMMYFUNCTION("""COMPUTED_VALUE"""),22.83)</f>
        <v>22.83</v>
      </c>
      <c r="U492" s="3">
        <f ca="1">IFERROR(__xludf.DUMMYFUNCTION("""COMPUTED_VALUE"""),65.33)</f>
        <v>65.33</v>
      </c>
      <c r="V492" s="3">
        <f ca="1">IFERROR(__xludf.DUMMYFUNCTION("""COMPUTED_VALUE"""),46.94)</f>
        <v>46.94</v>
      </c>
      <c r="W492" s="3">
        <f ca="1">IFERROR(__xludf.DUMMYFUNCTION("""COMPUTED_VALUE"""),37.2)</f>
        <v>37.200000000000003</v>
      </c>
      <c r="X492" s="3">
        <f ca="1">IFERROR(__xludf.DUMMYFUNCTION("""COMPUTED_VALUE"""),90.91)</f>
        <v>90.91</v>
      </c>
      <c r="Y492" s="3">
        <f ca="1">IFERROR(__xludf.DUMMYFUNCTION("""COMPUTED_VALUE"""),45.06)</f>
        <v>45.06</v>
      </c>
      <c r="Z492" s="3">
        <f ca="1">IFERROR(__xludf.DUMMYFUNCTION("""COMPUTED_VALUE"""),84)</f>
        <v>84</v>
      </c>
      <c r="AA492" s="3">
        <f ca="1">IFERROR(__xludf.DUMMYFUNCTION("""COMPUTED_VALUE"""),39.4)</f>
        <v>39.4</v>
      </c>
      <c r="AB492" s="3">
        <f ca="1">IFERROR(__xludf.DUMMYFUNCTION("""COMPUTED_VALUE"""),51.34)</f>
        <v>51.34</v>
      </c>
      <c r="AC492" s="3">
        <f ca="1">IFERROR(__xludf.DUMMYFUNCTION("""COMPUTED_VALUE"""),59.28)</f>
        <v>59.28</v>
      </c>
      <c r="AD492" s="3">
        <f ca="1">IFERROR(__xludf.DUMMYFUNCTION("""COMPUTED_VALUE"""),15.49)</f>
        <v>15.49</v>
      </c>
      <c r="AE492" s="3">
        <f ca="1">IFERROR(__xludf.DUMMYFUNCTION("""COMPUTED_VALUE"""),21.26)</f>
        <v>21.26</v>
      </c>
      <c r="AF492" s="3">
        <f ca="1">IFERROR(__xludf.DUMMYFUNCTION("""COMPUTED_VALUE"""),3.95)</f>
        <v>3.95</v>
      </c>
      <c r="AG492" s="3">
        <f ca="1">IFERROR(__xludf.DUMMYFUNCTION("""COMPUTED_VALUE"""),39.61)</f>
        <v>39.61</v>
      </c>
    </row>
    <row r="493" spans="1:33" ht="12.75" x14ac:dyDescent="0.2">
      <c r="A493" s="4">
        <f ca="1">IFERROR(__xludf.DUMMYFUNCTION("""COMPUTED_VALUE"""),45274.6666666666)</f>
        <v>45274.666666666599</v>
      </c>
      <c r="B493" s="3">
        <f ca="1">IFERROR(__xludf.DUMMYFUNCTION("""COMPUTED_VALUE"""),190.74)</f>
        <v>190.74</v>
      </c>
      <c r="C493" s="3">
        <f ca="1">IFERROR(__xludf.DUMMYFUNCTION("""COMPUTED_VALUE"""),479.91)</f>
        <v>479.91</v>
      </c>
      <c r="D493" s="3">
        <f ca="1">IFERROR(__xludf.DUMMYFUNCTION("""COMPUTED_VALUE"""),122.77)</f>
        <v>122.77</v>
      </c>
      <c r="E493" s="3">
        <f ca="1">IFERROR(__xludf.DUMMYFUNCTION("""COMPUTED_VALUE"""),189.07)</f>
        <v>189.07</v>
      </c>
      <c r="F493" s="3">
        <f ca="1">IFERROR(__xludf.DUMMYFUNCTION("""COMPUTED_VALUE"""),59.5)</f>
        <v>59.5</v>
      </c>
      <c r="G493" s="3">
        <f ca="1">IFERROR(__xludf.DUMMYFUNCTION("""COMPUTED_VALUE"""),27.92)</f>
        <v>27.92</v>
      </c>
      <c r="H493" s="3">
        <f ca="1">IFERROR(__xludf.DUMMYFUNCTION("""COMPUTED_VALUE"""),26.79)</f>
        <v>26.79</v>
      </c>
      <c r="I493" s="3">
        <f ca="1">IFERROR(__xludf.DUMMYFUNCTION("""COMPUTED_VALUE"""),135.31)</f>
        <v>135.31</v>
      </c>
      <c r="J493" s="3">
        <f ca="1">IFERROR(__xludf.DUMMYFUNCTION("""COMPUTED_VALUE"""),248.07)</f>
        <v>248.07</v>
      </c>
      <c r="K493" s="3">
        <f ca="1">IFERROR(__xludf.DUMMYFUNCTION("""COMPUTED_VALUE"""),132.75)</f>
        <v>132.75</v>
      </c>
      <c r="L493" s="3">
        <f ca="1">IFERROR(__xludf.DUMMYFUNCTION("""COMPUTED_VALUE"""),85.48)</f>
        <v>85.48</v>
      </c>
      <c r="M493" s="3">
        <f ca="1">IFERROR(__xludf.DUMMYFUNCTION("""COMPUTED_VALUE"""),65.04)</f>
        <v>65.040000000000006</v>
      </c>
      <c r="N493" s="3">
        <f ca="1">IFERROR(__xludf.DUMMYFUNCTION("""COMPUTED_VALUE"""),63.95)</f>
        <v>63.95</v>
      </c>
      <c r="O493" s="3">
        <f ca="1">IFERROR(__xludf.DUMMYFUNCTION("""COMPUTED_VALUE"""),46.03)</f>
        <v>46.03</v>
      </c>
      <c r="P493" s="3">
        <f ca="1">IFERROR(__xludf.DUMMYFUNCTION("""COMPUTED_VALUE"""),84.75)</f>
        <v>84.75</v>
      </c>
      <c r="Q493" s="3">
        <f ca="1">IFERROR(__xludf.DUMMYFUNCTION("""COMPUTED_VALUE"""),118.42)</f>
        <v>118.42</v>
      </c>
      <c r="R493" s="3">
        <f ca="1">IFERROR(__xludf.DUMMYFUNCTION("""COMPUTED_VALUE"""),85.39)</f>
        <v>85.39</v>
      </c>
      <c r="S493" s="3">
        <f ca="1">IFERROR(__xludf.DUMMYFUNCTION("""COMPUTED_VALUE"""),57.02)</f>
        <v>57.02</v>
      </c>
      <c r="T493" s="3">
        <f ca="1">IFERROR(__xludf.DUMMYFUNCTION("""COMPUTED_VALUE"""),23.21)</f>
        <v>23.21</v>
      </c>
      <c r="U493" s="3">
        <f ca="1">IFERROR(__xludf.DUMMYFUNCTION("""COMPUTED_VALUE"""),67.16)</f>
        <v>67.16</v>
      </c>
      <c r="V493" s="3">
        <f ca="1">IFERROR(__xludf.DUMMYFUNCTION("""COMPUTED_VALUE"""),50.76)</f>
        <v>50.76</v>
      </c>
      <c r="W493" s="3">
        <f ca="1">IFERROR(__xludf.DUMMYFUNCTION("""COMPUTED_VALUE"""),37.57)</f>
        <v>37.57</v>
      </c>
      <c r="X493" s="3">
        <f ca="1">IFERROR(__xludf.DUMMYFUNCTION("""COMPUTED_VALUE"""),92.1)</f>
        <v>92.1</v>
      </c>
      <c r="Y493" s="3">
        <f ca="1">IFERROR(__xludf.DUMMYFUNCTION("""COMPUTED_VALUE"""),47.03)</f>
        <v>47.03</v>
      </c>
      <c r="Z493" s="3">
        <f ca="1">IFERROR(__xludf.DUMMYFUNCTION("""COMPUTED_VALUE"""),85.36)</f>
        <v>85.36</v>
      </c>
      <c r="AA493" s="3">
        <f ca="1">IFERROR(__xludf.DUMMYFUNCTION("""COMPUTED_VALUE"""),40.49)</f>
        <v>40.49</v>
      </c>
      <c r="AB493" s="3">
        <f ca="1">IFERROR(__xludf.DUMMYFUNCTION("""COMPUTED_VALUE"""),53.82)</f>
        <v>53.82</v>
      </c>
      <c r="AC493" s="3">
        <f ca="1">IFERROR(__xludf.DUMMYFUNCTION("""COMPUTED_VALUE"""),59.82)</f>
        <v>59.82</v>
      </c>
      <c r="AD493" s="3">
        <f ca="1">IFERROR(__xludf.DUMMYFUNCTION("""COMPUTED_VALUE"""),15.58)</f>
        <v>15.58</v>
      </c>
      <c r="AE493" s="3">
        <f ca="1">IFERROR(__xludf.DUMMYFUNCTION("""COMPUTED_VALUE"""),21.24)</f>
        <v>21.24</v>
      </c>
      <c r="AF493" s="3">
        <f ca="1">IFERROR(__xludf.DUMMYFUNCTION("""COMPUTED_VALUE"""),3.78)</f>
        <v>3.78</v>
      </c>
      <c r="AG493" s="3">
        <f ca="1">IFERROR(__xludf.DUMMYFUNCTION("""COMPUTED_VALUE"""),41.22)</f>
        <v>41.22</v>
      </c>
    </row>
    <row r="494" spans="1:33" ht="12.75" x14ac:dyDescent="0.2">
      <c r="A494" s="4">
        <f ca="1">IFERROR(__xludf.DUMMYFUNCTION("""COMPUTED_VALUE"""),45275.6666666666)</f>
        <v>45275.666666666599</v>
      </c>
      <c r="B494" s="3">
        <f ca="1">IFERROR(__xludf.DUMMYFUNCTION("""COMPUTED_VALUE"""),191.7)</f>
        <v>191.7</v>
      </c>
      <c r="C494" s="3">
        <f ca="1">IFERROR(__xludf.DUMMYFUNCTION("""COMPUTED_VALUE"""),482.22)</f>
        <v>482.22</v>
      </c>
      <c r="D494" s="3">
        <f ca="1">IFERROR(__xludf.DUMMYFUNCTION("""COMPUTED_VALUE"""),120.95)</f>
        <v>120.95</v>
      </c>
      <c r="E494" s="3">
        <f ca="1">IFERROR(__xludf.DUMMYFUNCTION("""COMPUTED_VALUE"""),189.78)</f>
        <v>189.78</v>
      </c>
      <c r="F494" s="3">
        <f ca="1">IFERROR(__xludf.DUMMYFUNCTION("""COMPUTED_VALUE"""),59.95)</f>
        <v>59.95</v>
      </c>
      <c r="G494" s="3">
        <f ca="1">IFERROR(__xludf.DUMMYFUNCTION("""COMPUTED_VALUE"""),28.19)</f>
        <v>28.19</v>
      </c>
      <c r="H494" s="3">
        <f ca="1">IFERROR(__xludf.DUMMYFUNCTION("""COMPUTED_VALUE"""),26.67)</f>
        <v>26.67</v>
      </c>
      <c r="I494" s="3">
        <f ca="1">IFERROR(__xludf.DUMMYFUNCTION("""COMPUTED_VALUE"""),134.16)</f>
        <v>134.16</v>
      </c>
      <c r="J494" s="3">
        <f ca="1">IFERROR(__xludf.DUMMYFUNCTION("""COMPUTED_VALUE"""),245.75)</f>
        <v>245.75</v>
      </c>
      <c r="K494" s="3">
        <f ca="1">IFERROR(__xludf.DUMMYFUNCTION("""COMPUTED_VALUE"""),131.78)</f>
        <v>131.78</v>
      </c>
      <c r="L494" s="3">
        <f ca="1">IFERROR(__xludf.DUMMYFUNCTION("""COMPUTED_VALUE"""),85.72)</f>
        <v>85.72</v>
      </c>
      <c r="M494" s="3">
        <f ca="1">IFERROR(__xludf.DUMMYFUNCTION("""COMPUTED_VALUE"""),64.66)</f>
        <v>64.66</v>
      </c>
      <c r="N494" s="3">
        <f ca="1">IFERROR(__xludf.DUMMYFUNCTION("""COMPUTED_VALUE"""),63.2)</f>
        <v>63.2</v>
      </c>
      <c r="O494" s="3">
        <f ca="1">IFERROR(__xludf.DUMMYFUNCTION("""COMPUTED_VALUE"""),45.32)</f>
        <v>45.32</v>
      </c>
      <c r="P494" s="3">
        <f ca="1">IFERROR(__xludf.DUMMYFUNCTION("""COMPUTED_VALUE"""),84.3)</f>
        <v>84.3</v>
      </c>
      <c r="Q494" s="3">
        <f ca="1">IFERROR(__xludf.DUMMYFUNCTION("""COMPUTED_VALUE"""),117.71)</f>
        <v>117.71</v>
      </c>
      <c r="R494" s="3">
        <f ca="1">IFERROR(__xludf.DUMMYFUNCTION("""COMPUTED_VALUE"""),85.17)</f>
        <v>85.17</v>
      </c>
      <c r="S494" s="3">
        <f ca="1">IFERROR(__xludf.DUMMYFUNCTION("""COMPUTED_VALUE"""),57.27)</f>
        <v>57.27</v>
      </c>
      <c r="T494" s="3">
        <f ca="1">IFERROR(__xludf.DUMMYFUNCTION("""COMPUTED_VALUE"""),23.25)</f>
        <v>23.25</v>
      </c>
      <c r="U494" s="3">
        <f ca="1">IFERROR(__xludf.DUMMYFUNCTION("""COMPUTED_VALUE"""),67.15)</f>
        <v>67.150000000000006</v>
      </c>
      <c r="V494" s="3">
        <f ca="1">IFERROR(__xludf.DUMMYFUNCTION("""COMPUTED_VALUE"""),51.78)</f>
        <v>51.78</v>
      </c>
      <c r="W494" s="3">
        <f ca="1">IFERROR(__xludf.DUMMYFUNCTION("""COMPUTED_VALUE"""),37.35)</f>
        <v>37.35</v>
      </c>
      <c r="X494" s="3">
        <f ca="1">IFERROR(__xludf.DUMMYFUNCTION("""COMPUTED_VALUE"""),91.58)</f>
        <v>91.58</v>
      </c>
      <c r="Y494" s="3">
        <f ca="1">IFERROR(__xludf.DUMMYFUNCTION("""COMPUTED_VALUE"""),46.4)</f>
        <v>46.4</v>
      </c>
      <c r="Z494" s="3">
        <f ca="1">IFERROR(__xludf.DUMMYFUNCTION("""COMPUTED_VALUE"""),84.7)</f>
        <v>84.7</v>
      </c>
      <c r="AA494" s="3">
        <f ca="1">IFERROR(__xludf.DUMMYFUNCTION("""COMPUTED_VALUE"""),40)</f>
        <v>40</v>
      </c>
      <c r="AB494" s="3">
        <f ca="1">IFERROR(__xludf.DUMMYFUNCTION("""COMPUTED_VALUE"""),52.96)</f>
        <v>52.96</v>
      </c>
      <c r="AC494" s="3">
        <f ca="1">IFERROR(__xludf.DUMMYFUNCTION("""COMPUTED_VALUE"""),58.49)</f>
        <v>58.49</v>
      </c>
      <c r="AD494" s="3">
        <f ca="1">IFERROR(__xludf.DUMMYFUNCTION("""COMPUTED_VALUE"""),15.3)</f>
        <v>15.3</v>
      </c>
      <c r="AE494" s="3">
        <f ca="1">IFERROR(__xludf.DUMMYFUNCTION("""COMPUTED_VALUE"""),20.89)</f>
        <v>20.89</v>
      </c>
      <c r="AF494" s="3">
        <f ca="1">IFERROR(__xludf.DUMMYFUNCTION("""COMPUTED_VALUE"""),3.76)</f>
        <v>3.76</v>
      </c>
      <c r="AG494" s="3">
        <f ca="1">IFERROR(__xludf.DUMMYFUNCTION("""COMPUTED_VALUE"""),41.08)</f>
        <v>41.08</v>
      </c>
    </row>
    <row r="495" spans="1:33" ht="12.75" x14ac:dyDescent="0.2">
      <c r="A495" s="4">
        <f ca="1">IFERROR(__xludf.DUMMYFUNCTION("""COMPUTED_VALUE"""),45278.6666666666)</f>
        <v>45278.666666666599</v>
      </c>
      <c r="B495" s="3">
        <f ca="1">IFERROR(__xludf.DUMMYFUNCTION("""COMPUTED_VALUE"""),191.85)</f>
        <v>191.85</v>
      </c>
      <c r="C495" s="3">
        <f ca="1">IFERROR(__xludf.DUMMYFUNCTION("""COMPUTED_VALUE"""),483.33)</f>
        <v>483.33</v>
      </c>
      <c r="D495" s="3">
        <f ca="1">IFERROR(__xludf.DUMMYFUNCTION("""COMPUTED_VALUE"""),122.44)</f>
        <v>122.44</v>
      </c>
      <c r="E495" s="3">
        <f ca="1">IFERROR(__xludf.DUMMYFUNCTION("""COMPUTED_VALUE"""),189.25)</f>
        <v>189.25</v>
      </c>
      <c r="F495" s="3">
        <f ca="1">IFERROR(__xludf.DUMMYFUNCTION("""COMPUTED_VALUE"""),60.12)</f>
        <v>60.12</v>
      </c>
      <c r="G495" s="3">
        <f ca="1">IFERROR(__xludf.DUMMYFUNCTION("""COMPUTED_VALUE"""),28.25)</f>
        <v>28.25</v>
      </c>
      <c r="H495" s="3">
        <f ca="1">IFERROR(__xludf.DUMMYFUNCTION("""COMPUTED_VALUE"""),26.7)</f>
        <v>26.7</v>
      </c>
      <c r="I495" s="3">
        <f ca="1">IFERROR(__xludf.DUMMYFUNCTION("""COMPUTED_VALUE"""),133.78)</f>
        <v>133.78</v>
      </c>
      <c r="J495" s="3">
        <f ca="1">IFERROR(__xludf.DUMMYFUNCTION("""COMPUTED_VALUE"""),246.09)</f>
        <v>246.09</v>
      </c>
      <c r="K495" s="3">
        <f ca="1">IFERROR(__xludf.DUMMYFUNCTION("""COMPUTED_VALUE"""),130.83)</f>
        <v>130.83000000000001</v>
      </c>
      <c r="L495" s="3">
        <f ca="1">IFERROR(__xludf.DUMMYFUNCTION("""COMPUTED_VALUE"""),84.36)</f>
        <v>84.36</v>
      </c>
      <c r="M495" s="3">
        <f ca="1">IFERROR(__xludf.DUMMYFUNCTION("""COMPUTED_VALUE"""),64.22)</f>
        <v>64.22</v>
      </c>
      <c r="N495" s="3">
        <f ca="1">IFERROR(__xludf.DUMMYFUNCTION("""COMPUTED_VALUE"""),63.22)</f>
        <v>63.22</v>
      </c>
      <c r="O495" s="3">
        <f ca="1">IFERROR(__xludf.DUMMYFUNCTION("""COMPUTED_VALUE"""),45)</f>
        <v>45</v>
      </c>
      <c r="P495" s="3">
        <f ca="1">IFERROR(__xludf.DUMMYFUNCTION("""COMPUTED_VALUE"""),84.18)</f>
        <v>84.18</v>
      </c>
      <c r="Q495" s="3">
        <f ca="1">IFERROR(__xludf.DUMMYFUNCTION("""COMPUTED_VALUE"""),118.83)</f>
        <v>118.83</v>
      </c>
      <c r="R495" s="3">
        <f ca="1">IFERROR(__xludf.DUMMYFUNCTION("""COMPUTED_VALUE"""),84.71)</f>
        <v>84.71</v>
      </c>
      <c r="S495" s="3">
        <f ca="1">IFERROR(__xludf.DUMMYFUNCTION("""COMPUTED_VALUE"""),58.08)</f>
        <v>58.08</v>
      </c>
      <c r="T495" s="3">
        <f ca="1">IFERROR(__xludf.DUMMYFUNCTION("""COMPUTED_VALUE"""),22.32)</f>
        <v>22.32</v>
      </c>
      <c r="U495" s="3">
        <f ca="1">IFERROR(__xludf.DUMMYFUNCTION("""COMPUTED_VALUE"""),68.09)</f>
        <v>68.09</v>
      </c>
      <c r="V495" s="3">
        <f ca="1">IFERROR(__xludf.DUMMYFUNCTION("""COMPUTED_VALUE"""),50.6)</f>
        <v>50.6</v>
      </c>
      <c r="W495" s="3">
        <f ca="1">IFERROR(__xludf.DUMMYFUNCTION("""COMPUTED_VALUE"""),37.29)</f>
        <v>37.29</v>
      </c>
      <c r="X495" s="3">
        <f ca="1">IFERROR(__xludf.DUMMYFUNCTION("""COMPUTED_VALUE"""),91.74)</f>
        <v>91.74</v>
      </c>
      <c r="Y495" s="3">
        <f ca="1">IFERROR(__xludf.DUMMYFUNCTION("""COMPUTED_VALUE"""),45.73)</f>
        <v>45.73</v>
      </c>
      <c r="Z495" s="3">
        <f ca="1">IFERROR(__xludf.DUMMYFUNCTION("""COMPUTED_VALUE"""),84.89)</f>
        <v>84.89</v>
      </c>
      <c r="AA495" s="3">
        <f ca="1">IFERROR(__xludf.DUMMYFUNCTION("""COMPUTED_VALUE"""),39.47)</f>
        <v>39.47</v>
      </c>
      <c r="AB495" s="3">
        <f ca="1">IFERROR(__xludf.DUMMYFUNCTION("""COMPUTED_VALUE"""),51.98)</f>
        <v>51.98</v>
      </c>
      <c r="AC495" s="3">
        <f ca="1">IFERROR(__xludf.DUMMYFUNCTION("""COMPUTED_VALUE"""),59.07)</f>
        <v>59.07</v>
      </c>
      <c r="AD495" s="3">
        <f ca="1">IFERROR(__xludf.DUMMYFUNCTION("""COMPUTED_VALUE"""),15.01)</f>
        <v>15.01</v>
      </c>
      <c r="AE495" s="3">
        <f ca="1">IFERROR(__xludf.DUMMYFUNCTION("""COMPUTED_VALUE"""),20.75)</f>
        <v>20.75</v>
      </c>
      <c r="AF495" s="3">
        <f ca="1">IFERROR(__xludf.DUMMYFUNCTION("""COMPUTED_VALUE"""),4)</f>
        <v>4</v>
      </c>
      <c r="AG495" s="3">
        <f ca="1">IFERROR(__xludf.DUMMYFUNCTION("""COMPUTED_VALUE"""),42.75)</f>
        <v>42.75</v>
      </c>
    </row>
    <row r="496" spans="1:33" ht="12.75" x14ac:dyDescent="0.2">
      <c r="A496" s="4">
        <f ca="1">IFERROR(__xludf.DUMMYFUNCTION("""COMPUTED_VALUE"""),45279.6666666666)</f>
        <v>45279.666666666599</v>
      </c>
      <c r="B496" s="3">
        <f ca="1">IFERROR(__xludf.DUMMYFUNCTION("""COMPUTED_VALUE"""),192.58)</f>
        <v>192.58</v>
      </c>
      <c r="C496" s="3">
        <f ca="1">IFERROR(__xludf.DUMMYFUNCTION("""COMPUTED_VALUE"""),485)</f>
        <v>485</v>
      </c>
      <c r="D496" s="3">
        <f ca="1">IFERROR(__xludf.DUMMYFUNCTION("""COMPUTED_VALUE"""),122.6)</f>
        <v>122.6</v>
      </c>
      <c r="E496" s="3">
        <f ca="1">IFERROR(__xludf.DUMMYFUNCTION("""COMPUTED_VALUE"""),190.26)</f>
        <v>190.26</v>
      </c>
      <c r="F496" s="3">
        <f ca="1">IFERROR(__xludf.DUMMYFUNCTION("""COMPUTED_VALUE"""),60.57)</f>
        <v>60.57</v>
      </c>
      <c r="G496" s="3">
        <f ca="1">IFERROR(__xludf.DUMMYFUNCTION("""COMPUTED_VALUE"""),28.59)</f>
        <v>28.59</v>
      </c>
      <c r="H496" s="3">
        <f ca="1">IFERROR(__xludf.DUMMYFUNCTION("""COMPUTED_VALUE"""),27.04)</f>
        <v>27.04</v>
      </c>
      <c r="I496" s="3">
        <f ca="1">IFERROR(__xludf.DUMMYFUNCTION("""COMPUTED_VALUE"""),134.68)</f>
        <v>134.68</v>
      </c>
      <c r="J496" s="3">
        <f ca="1">IFERROR(__xludf.DUMMYFUNCTION("""COMPUTED_VALUE"""),247.46)</f>
        <v>247.46</v>
      </c>
      <c r="K496" s="3">
        <f ca="1">IFERROR(__xludf.DUMMYFUNCTION("""COMPUTED_VALUE"""),132.92)</f>
        <v>132.91999999999999</v>
      </c>
      <c r="L496" s="3">
        <f ca="1">IFERROR(__xludf.DUMMYFUNCTION("""COMPUTED_VALUE"""),86.5)</f>
        <v>86.5</v>
      </c>
      <c r="M496" s="3">
        <f ca="1">IFERROR(__xludf.DUMMYFUNCTION("""COMPUTED_VALUE"""),65.54)</f>
        <v>65.540000000000006</v>
      </c>
      <c r="N496" s="3">
        <f ca="1">IFERROR(__xludf.DUMMYFUNCTION("""COMPUTED_VALUE"""),63.81)</f>
        <v>63.81</v>
      </c>
      <c r="O496" s="3">
        <f ca="1">IFERROR(__xludf.DUMMYFUNCTION("""COMPUTED_VALUE"""),46.6)</f>
        <v>46.6</v>
      </c>
      <c r="P496" s="3">
        <f ca="1">IFERROR(__xludf.DUMMYFUNCTION("""COMPUTED_VALUE"""),85.19)</f>
        <v>85.19</v>
      </c>
      <c r="Q496" s="3">
        <f ca="1">IFERROR(__xludf.DUMMYFUNCTION("""COMPUTED_VALUE"""),119.22)</f>
        <v>119.22</v>
      </c>
      <c r="R496" s="3">
        <f ca="1">IFERROR(__xludf.DUMMYFUNCTION("""COMPUTED_VALUE"""),85.49)</f>
        <v>85.49</v>
      </c>
      <c r="S496" s="3">
        <f ca="1">IFERROR(__xludf.DUMMYFUNCTION("""COMPUTED_VALUE"""),59.88)</f>
        <v>59.88</v>
      </c>
      <c r="T496" s="3">
        <f ca="1">IFERROR(__xludf.DUMMYFUNCTION("""COMPUTED_VALUE"""),22.49)</f>
        <v>22.49</v>
      </c>
      <c r="U496" s="3">
        <f ca="1">IFERROR(__xludf.DUMMYFUNCTION("""COMPUTED_VALUE"""),69.36)</f>
        <v>69.36</v>
      </c>
      <c r="V496" s="3">
        <f ca="1">IFERROR(__xludf.DUMMYFUNCTION("""COMPUTED_VALUE"""),52.95)</f>
        <v>52.95</v>
      </c>
      <c r="W496" s="3">
        <f ca="1">IFERROR(__xludf.DUMMYFUNCTION("""COMPUTED_VALUE"""),37.57)</f>
        <v>37.57</v>
      </c>
      <c r="X496" s="3">
        <f ca="1">IFERROR(__xludf.DUMMYFUNCTION("""COMPUTED_VALUE"""),92.09)</f>
        <v>92.09</v>
      </c>
      <c r="Y496" s="3">
        <f ca="1">IFERROR(__xludf.DUMMYFUNCTION("""COMPUTED_VALUE"""),46.31)</f>
        <v>46.31</v>
      </c>
      <c r="Z496" s="3">
        <f ca="1">IFERROR(__xludf.DUMMYFUNCTION("""COMPUTED_VALUE"""),85.59)</f>
        <v>85.59</v>
      </c>
      <c r="AA496" s="3">
        <f ca="1">IFERROR(__xludf.DUMMYFUNCTION("""COMPUTED_VALUE"""),39.74)</f>
        <v>39.74</v>
      </c>
      <c r="AB496" s="3">
        <f ca="1">IFERROR(__xludf.DUMMYFUNCTION("""COMPUTED_VALUE"""),52.75)</f>
        <v>52.75</v>
      </c>
      <c r="AC496" s="3">
        <f ca="1">IFERROR(__xludf.DUMMYFUNCTION("""COMPUTED_VALUE"""),59.25)</f>
        <v>59.25</v>
      </c>
      <c r="AD496" s="3">
        <f ca="1">IFERROR(__xludf.DUMMYFUNCTION("""COMPUTED_VALUE"""),15)</f>
        <v>15</v>
      </c>
      <c r="AE496" s="3">
        <f ca="1">IFERROR(__xludf.DUMMYFUNCTION("""COMPUTED_VALUE"""),20.87)</f>
        <v>20.87</v>
      </c>
      <c r="AF496" s="3">
        <f ca="1">IFERROR(__xludf.DUMMYFUNCTION("""COMPUTED_VALUE"""),4.04)</f>
        <v>4.04</v>
      </c>
      <c r="AG496" s="3">
        <f ca="1">IFERROR(__xludf.DUMMYFUNCTION("""COMPUTED_VALUE"""),43.84)</f>
        <v>43.84</v>
      </c>
    </row>
    <row r="497" spans="1:33" ht="12.75" x14ac:dyDescent="0.2">
      <c r="A497" s="4">
        <f ca="1">IFERROR(__xludf.DUMMYFUNCTION("""COMPUTED_VALUE"""),45280.6666666666)</f>
        <v>45280.666666666599</v>
      </c>
      <c r="B497" s="3">
        <f ca="1">IFERROR(__xludf.DUMMYFUNCTION("""COMPUTED_VALUE"""),189.67)</f>
        <v>189.67</v>
      </c>
      <c r="C497" s="3">
        <f ca="1">IFERROR(__xludf.DUMMYFUNCTION("""COMPUTED_VALUE"""),477.22)</f>
        <v>477.22</v>
      </c>
      <c r="D497" s="3">
        <f ca="1">IFERROR(__xludf.DUMMYFUNCTION("""COMPUTED_VALUE"""),123.25)</f>
        <v>123.25</v>
      </c>
      <c r="E497" s="3">
        <f ca="1">IFERROR(__xludf.DUMMYFUNCTION("""COMPUTED_VALUE"""),184.26)</f>
        <v>184.26</v>
      </c>
      <c r="F497" s="3">
        <f ca="1">IFERROR(__xludf.DUMMYFUNCTION("""COMPUTED_VALUE"""),59.79)</f>
        <v>59.79</v>
      </c>
      <c r="G497" s="3">
        <f ca="1">IFERROR(__xludf.DUMMYFUNCTION("""COMPUTED_VALUE"""),27.91)</f>
        <v>27.91</v>
      </c>
      <c r="H497" s="3">
        <f ca="1">IFERROR(__xludf.DUMMYFUNCTION("""COMPUTED_VALUE"""),26.38)</f>
        <v>26.38</v>
      </c>
      <c r="I497" s="3">
        <f ca="1">IFERROR(__xludf.DUMMYFUNCTION("""COMPUTED_VALUE"""),132.73)</f>
        <v>132.72999999999999</v>
      </c>
      <c r="J497" s="3">
        <f ca="1">IFERROR(__xludf.DUMMYFUNCTION("""COMPUTED_VALUE"""),243.34)</f>
        <v>243.34</v>
      </c>
      <c r="K497" s="3">
        <f ca="1">IFERROR(__xludf.DUMMYFUNCTION("""COMPUTED_VALUE"""),128.88)</f>
        <v>128.88</v>
      </c>
      <c r="L497" s="3">
        <f ca="1">IFERROR(__xludf.DUMMYFUNCTION("""COMPUTED_VALUE"""),82.66)</f>
        <v>82.66</v>
      </c>
      <c r="M497" s="3">
        <f ca="1">IFERROR(__xludf.DUMMYFUNCTION("""COMPUTED_VALUE"""),63.54)</f>
        <v>63.54</v>
      </c>
      <c r="N497" s="3">
        <f ca="1">IFERROR(__xludf.DUMMYFUNCTION("""COMPUTED_VALUE"""),62.75)</f>
        <v>62.75</v>
      </c>
      <c r="O497" s="3">
        <f ca="1">IFERROR(__xludf.DUMMYFUNCTION("""COMPUTED_VALUE"""),44.53)</f>
        <v>44.53</v>
      </c>
      <c r="P497" s="3">
        <f ca="1">IFERROR(__xludf.DUMMYFUNCTION("""COMPUTED_VALUE"""),84.4)</f>
        <v>84.4</v>
      </c>
      <c r="Q497" s="3">
        <f ca="1">IFERROR(__xludf.DUMMYFUNCTION("""COMPUTED_VALUE"""),117.92)</f>
        <v>117.92</v>
      </c>
      <c r="R497" s="3">
        <f ca="1">IFERROR(__xludf.DUMMYFUNCTION("""COMPUTED_VALUE"""),84.18)</f>
        <v>84.18</v>
      </c>
      <c r="S497" s="3">
        <f ca="1">IFERROR(__xludf.DUMMYFUNCTION("""COMPUTED_VALUE"""),58.78)</f>
        <v>58.78</v>
      </c>
      <c r="T497" s="3">
        <f ca="1">IFERROR(__xludf.DUMMYFUNCTION("""COMPUTED_VALUE"""),22.23)</f>
        <v>22.23</v>
      </c>
      <c r="U497" s="3">
        <f ca="1">IFERROR(__xludf.DUMMYFUNCTION("""COMPUTED_VALUE"""),68.79)</f>
        <v>68.790000000000006</v>
      </c>
      <c r="V497" s="3">
        <f ca="1">IFERROR(__xludf.DUMMYFUNCTION("""COMPUTED_VALUE"""),50.64)</f>
        <v>50.64</v>
      </c>
      <c r="W497" s="3">
        <f ca="1">IFERROR(__xludf.DUMMYFUNCTION("""COMPUTED_VALUE"""),36.9)</f>
        <v>36.9</v>
      </c>
      <c r="X497" s="3">
        <f ca="1">IFERROR(__xludf.DUMMYFUNCTION("""COMPUTED_VALUE"""),90.47)</f>
        <v>90.47</v>
      </c>
      <c r="Y497" s="3">
        <f ca="1">IFERROR(__xludf.DUMMYFUNCTION("""COMPUTED_VALUE"""),45.32)</f>
        <v>45.32</v>
      </c>
      <c r="Z497" s="3">
        <f ca="1">IFERROR(__xludf.DUMMYFUNCTION("""COMPUTED_VALUE"""),83.7)</f>
        <v>83.7</v>
      </c>
      <c r="AA497" s="3">
        <f ca="1">IFERROR(__xludf.DUMMYFUNCTION("""COMPUTED_VALUE"""),39.24)</f>
        <v>39.24</v>
      </c>
      <c r="AB497" s="3">
        <f ca="1">IFERROR(__xludf.DUMMYFUNCTION("""COMPUTED_VALUE"""),51.52)</f>
        <v>51.52</v>
      </c>
      <c r="AC497" s="3">
        <f ca="1">IFERROR(__xludf.DUMMYFUNCTION("""COMPUTED_VALUE"""),59.55)</f>
        <v>59.55</v>
      </c>
      <c r="AD497" s="3">
        <f ca="1">IFERROR(__xludf.DUMMYFUNCTION("""COMPUTED_VALUE"""),13.35)</f>
        <v>13.35</v>
      </c>
      <c r="AE497" s="3">
        <f ca="1">IFERROR(__xludf.DUMMYFUNCTION("""COMPUTED_VALUE"""),21.37)</f>
        <v>21.37</v>
      </c>
      <c r="AF497" s="3">
        <f ca="1">IFERROR(__xludf.DUMMYFUNCTION("""COMPUTED_VALUE"""),3.95)</f>
        <v>3.95</v>
      </c>
      <c r="AG497" s="3">
        <f ca="1">IFERROR(__xludf.DUMMYFUNCTION("""COMPUTED_VALUE"""),44.31)</f>
        <v>44.31</v>
      </c>
    </row>
    <row r="498" spans="1:33" ht="12.75" x14ac:dyDescent="0.2">
      <c r="A498" s="4">
        <f ca="1">IFERROR(__xludf.DUMMYFUNCTION("""COMPUTED_VALUE"""),45281.6666666666)</f>
        <v>45281.666666666599</v>
      </c>
      <c r="B498" s="3">
        <f ca="1">IFERROR(__xludf.DUMMYFUNCTION("""COMPUTED_VALUE"""),191.8)</f>
        <v>191.8</v>
      </c>
      <c r="C498" s="3">
        <f ca="1">IFERROR(__xludf.DUMMYFUNCTION("""COMPUTED_VALUE"""),483.14)</f>
        <v>483.14</v>
      </c>
      <c r="D498" s="3">
        <f ca="1">IFERROR(__xludf.DUMMYFUNCTION("""COMPUTED_VALUE"""),123.25)</f>
        <v>123.25</v>
      </c>
      <c r="E498" s="3">
        <f ca="1">IFERROR(__xludf.DUMMYFUNCTION("""COMPUTED_VALUE"""),189.36)</f>
        <v>189.36</v>
      </c>
      <c r="F498" s="3">
        <f ca="1">IFERROR(__xludf.DUMMYFUNCTION("""COMPUTED_VALUE"""),60.36)</f>
        <v>60.36</v>
      </c>
      <c r="G498" s="3">
        <f ca="1">IFERROR(__xludf.DUMMYFUNCTION("""COMPUTED_VALUE"""),28.5)</f>
        <v>28.5</v>
      </c>
      <c r="H498" s="3">
        <f ca="1">IFERROR(__xludf.DUMMYFUNCTION("""COMPUTED_VALUE"""),26.86)</f>
        <v>26.86</v>
      </c>
      <c r="I498" s="3">
        <f ca="1">IFERROR(__xludf.DUMMYFUNCTION("""COMPUTED_VALUE"""),134.35)</f>
        <v>134.35</v>
      </c>
      <c r="J498" s="3">
        <f ca="1">IFERROR(__xludf.DUMMYFUNCTION("""COMPUTED_VALUE"""),246.67)</f>
        <v>246.67</v>
      </c>
      <c r="K498" s="3">
        <f ca="1">IFERROR(__xludf.DUMMYFUNCTION("""COMPUTED_VALUE"""),130.91)</f>
        <v>130.91</v>
      </c>
      <c r="L498" s="3">
        <f ca="1">IFERROR(__xludf.DUMMYFUNCTION("""COMPUTED_VALUE"""),84.67)</f>
        <v>84.67</v>
      </c>
      <c r="M498" s="3">
        <f ca="1">IFERROR(__xludf.DUMMYFUNCTION("""COMPUTED_VALUE"""),64.72)</f>
        <v>64.72</v>
      </c>
      <c r="N498" s="3">
        <f ca="1">IFERROR(__xludf.DUMMYFUNCTION("""COMPUTED_VALUE"""),63.64)</f>
        <v>63.64</v>
      </c>
      <c r="O498" s="3">
        <f ca="1">IFERROR(__xludf.DUMMYFUNCTION("""COMPUTED_VALUE"""),45.5)</f>
        <v>45.5</v>
      </c>
      <c r="P498" s="3">
        <f ca="1">IFERROR(__xludf.DUMMYFUNCTION("""COMPUTED_VALUE"""),84.73)</f>
        <v>84.73</v>
      </c>
      <c r="Q498" s="3">
        <f ca="1">IFERROR(__xludf.DUMMYFUNCTION("""COMPUTED_VALUE"""),118.59)</f>
        <v>118.59</v>
      </c>
      <c r="R498" s="3">
        <f ca="1">IFERROR(__xludf.DUMMYFUNCTION("""COMPUTED_VALUE"""),85.07)</f>
        <v>85.07</v>
      </c>
      <c r="S498" s="3">
        <f ca="1">IFERROR(__xludf.DUMMYFUNCTION("""COMPUTED_VALUE"""),60.12)</f>
        <v>60.12</v>
      </c>
      <c r="T498" s="3">
        <f ca="1">IFERROR(__xludf.DUMMYFUNCTION("""COMPUTED_VALUE"""),22.27)</f>
        <v>22.27</v>
      </c>
      <c r="U498" s="3">
        <f ca="1">IFERROR(__xludf.DUMMYFUNCTION("""COMPUTED_VALUE"""),69.03)</f>
        <v>69.03</v>
      </c>
      <c r="V498" s="3">
        <f ca="1">IFERROR(__xludf.DUMMYFUNCTION("""COMPUTED_VALUE"""),53.06)</f>
        <v>53.06</v>
      </c>
      <c r="W498" s="3">
        <f ca="1">IFERROR(__xludf.DUMMYFUNCTION("""COMPUTED_VALUE"""),37.26)</f>
        <v>37.26</v>
      </c>
      <c r="X498" s="3">
        <f ca="1">IFERROR(__xludf.DUMMYFUNCTION("""COMPUTED_VALUE"""),91.3)</f>
        <v>91.3</v>
      </c>
      <c r="Y498" s="3">
        <f ca="1">IFERROR(__xludf.DUMMYFUNCTION("""COMPUTED_VALUE"""),45.76)</f>
        <v>45.76</v>
      </c>
      <c r="Z498" s="3">
        <f ca="1">IFERROR(__xludf.DUMMYFUNCTION("""COMPUTED_VALUE"""),84.34)</f>
        <v>84.34</v>
      </c>
      <c r="AA498" s="3">
        <f ca="1">IFERROR(__xludf.DUMMYFUNCTION("""COMPUTED_VALUE"""),39.57)</f>
        <v>39.57</v>
      </c>
      <c r="AB498" s="3">
        <f ca="1">IFERROR(__xludf.DUMMYFUNCTION("""COMPUTED_VALUE"""),52.08)</f>
        <v>52.08</v>
      </c>
      <c r="AC498" s="3">
        <f ca="1">IFERROR(__xludf.DUMMYFUNCTION("""COMPUTED_VALUE"""),59.73)</f>
        <v>59.73</v>
      </c>
      <c r="AD498" s="3">
        <f ca="1">IFERROR(__xludf.DUMMYFUNCTION("""COMPUTED_VALUE"""),13.54)</f>
        <v>13.54</v>
      </c>
      <c r="AE498" s="3">
        <f ca="1">IFERROR(__xludf.DUMMYFUNCTION("""COMPUTED_VALUE"""),21.48)</f>
        <v>21.48</v>
      </c>
      <c r="AF498" s="3">
        <f ca="1">IFERROR(__xludf.DUMMYFUNCTION("""COMPUTED_VALUE"""),4.21)</f>
        <v>4.21</v>
      </c>
      <c r="AG498" s="3">
        <f ca="1">IFERROR(__xludf.DUMMYFUNCTION("""COMPUTED_VALUE"""),47.66)</f>
        <v>47.66</v>
      </c>
    </row>
    <row r="499" spans="1:33" ht="12.75" x14ac:dyDescent="0.2">
      <c r="A499" s="4">
        <f ca="1">IFERROR(__xludf.DUMMYFUNCTION("""COMPUTED_VALUE"""),45282.6666666666)</f>
        <v>45282.666666666599</v>
      </c>
      <c r="B499" s="3">
        <f ca="1">IFERROR(__xludf.DUMMYFUNCTION("""COMPUTED_VALUE"""),192.05)</f>
        <v>192.05</v>
      </c>
      <c r="C499" s="3">
        <f ca="1">IFERROR(__xludf.DUMMYFUNCTION("""COMPUTED_VALUE"""),483.61)</f>
        <v>483.61</v>
      </c>
      <c r="D499" s="3">
        <f ca="1">IFERROR(__xludf.DUMMYFUNCTION("""COMPUTED_VALUE"""),123.31)</f>
        <v>123.31</v>
      </c>
      <c r="E499" s="3">
        <f ca="1">IFERROR(__xludf.DUMMYFUNCTION("""COMPUTED_VALUE"""),189.96)</f>
        <v>189.96</v>
      </c>
      <c r="F499" s="3">
        <f ca="1">IFERROR(__xludf.DUMMYFUNCTION("""COMPUTED_VALUE"""),60.61)</f>
        <v>60.61</v>
      </c>
      <c r="G499" s="3">
        <f ca="1">IFERROR(__xludf.DUMMYFUNCTION("""COMPUTED_VALUE"""),28.39)</f>
        <v>28.39</v>
      </c>
      <c r="H499" s="3">
        <f ca="1">IFERROR(__xludf.DUMMYFUNCTION("""COMPUTED_VALUE"""),26.91)</f>
        <v>26.91</v>
      </c>
      <c r="I499" s="3">
        <f ca="1">IFERROR(__xludf.DUMMYFUNCTION("""COMPUTED_VALUE"""),135.02)</f>
        <v>135.02000000000001</v>
      </c>
      <c r="J499" s="3">
        <f ca="1">IFERROR(__xludf.DUMMYFUNCTION("""COMPUTED_VALUE"""),248.38)</f>
        <v>248.38</v>
      </c>
      <c r="K499" s="3">
        <f ca="1">IFERROR(__xludf.DUMMYFUNCTION("""COMPUTED_VALUE"""),133.77)</f>
        <v>133.77000000000001</v>
      </c>
      <c r="L499" s="3">
        <f ca="1">IFERROR(__xludf.DUMMYFUNCTION("""COMPUTED_VALUE"""),87.62)</f>
        <v>87.62</v>
      </c>
      <c r="M499" s="3">
        <f ca="1">IFERROR(__xludf.DUMMYFUNCTION("""COMPUTED_VALUE"""),65.68)</f>
        <v>65.680000000000007</v>
      </c>
      <c r="N499" s="3">
        <f ca="1">IFERROR(__xludf.DUMMYFUNCTION("""COMPUTED_VALUE"""),64.09)</f>
        <v>64.09</v>
      </c>
      <c r="O499" s="3">
        <f ca="1">IFERROR(__xludf.DUMMYFUNCTION("""COMPUTED_VALUE"""),46.4)</f>
        <v>46.4</v>
      </c>
      <c r="P499" s="3">
        <f ca="1">IFERROR(__xludf.DUMMYFUNCTION("""COMPUTED_VALUE"""),84.98)</f>
        <v>84.98</v>
      </c>
      <c r="Q499" s="3">
        <f ca="1">IFERROR(__xludf.DUMMYFUNCTION("""COMPUTED_VALUE"""),118.92)</f>
        <v>118.92</v>
      </c>
      <c r="R499" s="3">
        <f ca="1">IFERROR(__xludf.DUMMYFUNCTION("""COMPUTED_VALUE"""),85.6)</f>
        <v>85.6</v>
      </c>
      <c r="S499" s="3">
        <f ca="1">IFERROR(__xludf.DUMMYFUNCTION("""COMPUTED_VALUE"""),60.77)</f>
        <v>60.77</v>
      </c>
      <c r="T499" s="3">
        <f ca="1">IFERROR(__xludf.DUMMYFUNCTION("""COMPUTED_VALUE"""),22.23)</f>
        <v>22.23</v>
      </c>
      <c r="U499" s="3">
        <f ca="1">IFERROR(__xludf.DUMMYFUNCTION("""COMPUTED_VALUE"""),68.69)</f>
        <v>68.69</v>
      </c>
      <c r="V499" s="3">
        <f ca="1">IFERROR(__xludf.DUMMYFUNCTION("""COMPUTED_VALUE"""),52.59)</f>
        <v>52.59</v>
      </c>
      <c r="W499" s="3">
        <f ca="1">IFERROR(__xludf.DUMMYFUNCTION("""COMPUTED_VALUE"""),37.34)</f>
        <v>37.340000000000003</v>
      </c>
      <c r="X499" s="3">
        <f ca="1">IFERROR(__xludf.DUMMYFUNCTION("""COMPUTED_VALUE"""),91.59)</f>
        <v>91.59</v>
      </c>
      <c r="Y499" s="3">
        <f ca="1">IFERROR(__xludf.DUMMYFUNCTION("""COMPUTED_VALUE"""),45.97)</f>
        <v>45.97</v>
      </c>
      <c r="Z499" s="3">
        <f ca="1">IFERROR(__xludf.DUMMYFUNCTION("""COMPUTED_VALUE"""),84.65)</f>
        <v>84.65</v>
      </c>
      <c r="AA499" s="3">
        <f ca="1">IFERROR(__xludf.DUMMYFUNCTION("""COMPUTED_VALUE"""),39.73)</f>
        <v>39.729999999999997</v>
      </c>
      <c r="AB499" s="3">
        <f ca="1">IFERROR(__xludf.DUMMYFUNCTION("""COMPUTED_VALUE"""),52.41)</f>
        <v>52.41</v>
      </c>
      <c r="AC499" s="3">
        <f ca="1">IFERROR(__xludf.DUMMYFUNCTION("""COMPUTED_VALUE"""),59.94)</f>
        <v>59.94</v>
      </c>
      <c r="AD499" s="3">
        <f ca="1">IFERROR(__xludf.DUMMYFUNCTION("""COMPUTED_VALUE"""),13.77)</f>
        <v>13.77</v>
      </c>
      <c r="AE499" s="3">
        <f ca="1">IFERROR(__xludf.DUMMYFUNCTION("""COMPUTED_VALUE"""),21.44)</f>
        <v>21.44</v>
      </c>
      <c r="AF499" s="3">
        <f ca="1">IFERROR(__xludf.DUMMYFUNCTION("""COMPUTED_VALUE"""),4.27)</f>
        <v>4.2699999999999996</v>
      </c>
      <c r="AG499" s="3">
        <f ca="1">IFERROR(__xludf.DUMMYFUNCTION("""COMPUTED_VALUE"""),50.38)</f>
        <v>50.38</v>
      </c>
    </row>
    <row r="500" spans="1:33" ht="12.75" x14ac:dyDescent="0.2">
      <c r="A500" s="4">
        <f ca="1">IFERROR(__xludf.DUMMYFUNCTION("""COMPUTED_VALUE"""),45286.6666666666)</f>
        <v>45286.666666666599</v>
      </c>
      <c r="B500" s="3">
        <f ca="1">IFERROR(__xludf.DUMMYFUNCTION("""COMPUTED_VALUE"""),192.85)</f>
        <v>192.85</v>
      </c>
      <c r="C500" s="3">
        <f ca="1">IFERROR(__xludf.DUMMYFUNCTION("""COMPUTED_VALUE"""),486)</f>
        <v>486</v>
      </c>
      <c r="D500" s="3">
        <f ca="1">IFERROR(__xludf.DUMMYFUNCTION("""COMPUTED_VALUE"""),122.75)</f>
        <v>122.75</v>
      </c>
      <c r="E500" s="3">
        <f ca="1">IFERROR(__xludf.DUMMYFUNCTION("""COMPUTED_VALUE"""),193.32)</f>
        <v>193.32</v>
      </c>
      <c r="F500" s="3">
        <f ca="1">IFERROR(__xludf.DUMMYFUNCTION("""COMPUTED_VALUE"""),60.97)</f>
        <v>60.97</v>
      </c>
      <c r="G500" s="3">
        <f ca="1">IFERROR(__xludf.DUMMYFUNCTION("""COMPUTED_VALUE"""),28.61)</f>
        <v>28.61</v>
      </c>
      <c r="H500" s="3">
        <f ca="1">IFERROR(__xludf.DUMMYFUNCTION("""COMPUTED_VALUE"""),27.07)</f>
        <v>27.07</v>
      </c>
      <c r="I500" s="3">
        <f ca="1">IFERROR(__xludf.DUMMYFUNCTION("""COMPUTED_VALUE"""),135.32)</f>
        <v>135.32</v>
      </c>
      <c r="J500" s="3">
        <f ca="1">IFERROR(__xludf.DUMMYFUNCTION("""COMPUTED_VALUE"""),249.24)</f>
        <v>249.24</v>
      </c>
      <c r="K500" s="3">
        <f ca="1">IFERROR(__xludf.DUMMYFUNCTION("""COMPUTED_VALUE"""),135.03)</f>
        <v>135.03</v>
      </c>
      <c r="L500" s="3">
        <f ca="1">IFERROR(__xludf.DUMMYFUNCTION("""COMPUTED_VALUE"""),89.46)</f>
        <v>89.46</v>
      </c>
      <c r="M500" s="3">
        <f ca="1">IFERROR(__xludf.DUMMYFUNCTION("""COMPUTED_VALUE"""),66.27)</f>
        <v>66.27</v>
      </c>
      <c r="N500" s="3">
        <f ca="1">IFERROR(__xludf.DUMMYFUNCTION("""COMPUTED_VALUE"""),64.3)</f>
        <v>64.3</v>
      </c>
      <c r="O500" s="3">
        <f ca="1">IFERROR(__xludf.DUMMYFUNCTION("""COMPUTED_VALUE"""),47)</f>
        <v>47</v>
      </c>
      <c r="P500" s="3">
        <f ca="1">IFERROR(__xludf.DUMMYFUNCTION("""COMPUTED_VALUE"""),85.71)</f>
        <v>85.71</v>
      </c>
      <c r="Q500" s="3">
        <f ca="1">IFERROR(__xludf.DUMMYFUNCTION("""COMPUTED_VALUE"""),120.07)</f>
        <v>120.07</v>
      </c>
      <c r="R500" s="3">
        <f ca="1">IFERROR(__xludf.DUMMYFUNCTION("""COMPUTED_VALUE"""),86)</f>
        <v>86</v>
      </c>
      <c r="S500" s="3">
        <f ca="1">IFERROR(__xludf.DUMMYFUNCTION("""COMPUTED_VALUE"""),61.27)</f>
        <v>61.27</v>
      </c>
      <c r="T500" s="3">
        <f ca="1">IFERROR(__xludf.DUMMYFUNCTION("""COMPUTED_VALUE"""),22.45)</f>
        <v>22.45</v>
      </c>
      <c r="U500" s="3">
        <f ca="1">IFERROR(__xludf.DUMMYFUNCTION("""COMPUTED_VALUE"""),70.21)</f>
        <v>70.209999999999994</v>
      </c>
      <c r="V500" s="3">
        <f ca="1">IFERROR(__xludf.DUMMYFUNCTION("""COMPUTED_VALUE"""),53.66)</f>
        <v>53.66</v>
      </c>
      <c r="W500" s="3">
        <f ca="1">IFERROR(__xludf.DUMMYFUNCTION("""COMPUTED_VALUE"""),37.49)</f>
        <v>37.49</v>
      </c>
      <c r="X500" s="3">
        <f ca="1">IFERROR(__xludf.DUMMYFUNCTION("""COMPUTED_VALUE"""),92.09)</f>
        <v>92.09</v>
      </c>
      <c r="Y500" s="3">
        <f ca="1">IFERROR(__xludf.DUMMYFUNCTION("""COMPUTED_VALUE"""),46.58)</f>
        <v>46.58</v>
      </c>
      <c r="Z500" s="3">
        <f ca="1">IFERROR(__xludf.DUMMYFUNCTION("""COMPUTED_VALUE"""),85.12)</f>
        <v>85.12</v>
      </c>
      <c r="AA500" s="3">
        <f ca="1">IFERROR(__xludf.DUMMYFUNCTION("""COMPUTED_VALUE"""),40.02)</f>
        <v>40.020000000000003</v>
      </c>
      <c r="AB500" s="3">
        <f ca="1">IFERROR(__xludf.DUMMYFUNCTION("""COMPUTED_VALUE"""),53.22)</f>
        <v>53.22</v>
      </c>
      <c r="AC500" s="3">
        <f ca="1">IFERROR(__xludf.DUMMYFUNCTION("""COMPUTED_VALUE"""),59.74)</f>
        <v>59.74</v>
      </c>
      <c r="AD500" s="3">
        <f ca="1">IFERROR(__xludf.DUMMYFUNCTION("""COMPUTED_VALUE"""),13.22)</f>
        <v>13.22</v>
      </c>
      <c r="AE500" s="3">
        <f ca="1">IFERROR(__xludf.DUMMYFUNCTION("""COMPUTED_VALUE"""),20.65)</f>
        <v>20.65</v>
      </c>
      <c r="AF500" s="3">
        <f ca="1">IFERROR(__xludf.DUMMYFUNCTION("""COMPUTED_VALUE"""),4.33)</f>
        <v>4.33</v>
      </c>
      <c r="AG500" s="3">
        <f ca="1">IFERROR(__xludf.DUMMYFUNCTION("""COMPUTED_VALUE"""),50.46)</f>
        <v>50.46</v>
      </c>
    </row>
    <row r="501" spans="1:33" ht="12.75" x14ac:dyDescent="0.2">
      <c r="A501" s="4">
        <f ca="1">IFERROR(__xludf.DUMMYFUNCTION("""COMPUTED_VALUE"""),45287.6666666666)</f>
        <v>45287.666666666599</v>
      </c>
      <c r="B501" s="3">
        <f ca="1">IFERROR(__xludf.DUMMYFUNCTION("""COMPUTED_VALUE"""),192.84)</f>
        <v>192.84</v>
      </c>
      <c r="C501" s="3">
        <f ca="1">IFERROR(__xludf.DUMMYFUNCTION("""COMPUTED_VALUE"""),486.47)</f>
        <v>486.47</v>
      </c>
      <c r="D501" s="3">
        <f ca="1">IFERROR(__xludf.DUMMYFUNCTION("""COMPUTED_VALUE"""),119.52)</f>
        <v>119.52</v>
      </c>
      <c r="E501" s="3">
        <f ca="1">IFERROR(__xludf.DUMMYFUNCTION("""COMPUTED_VALUE"""),193.82)</f>
        <v>193.82</v>
      </c>
      <c r="F501" s="3">
        <f ca="1">IFERROR(__xludf.DUMMYFUNCTION("""COMPUTED_VALUE"""),60.77)</f>
        <v>60.77</v>
      </c>
      <c r="G501" s="3">
        <f ca="1">IFERROR(__xludf.DUMMYFUNCTION("""COMPUTED_VALUE"""),28.69)</f>
        <v>28.69</v>
      </c>
      <c r="H501" s="3">
        <f ca="1">IFERROR(__xludf.DUMMYFUNCTION("""COMPUTED_VALUE"""),27.12)</f>
        <v>27.12</v>
      </c>
      <c r="I501" s="3">
        <f ca="1">IFERROR(__xludf.DUMMYFUNCTION("""COMPUTED_VALUE"""),135.89)</f>
        <v>135.88999999999999</v>
      </c>
      <c r="J501" s="3">
        <f ca="1">IFERROR(__xludf.DUMMYFUNCTION("""COMPUTED_VALUE"""),250.48)</f>
        <v>250.48</v>
      </c>
      <c r="K501" s="3">
        <f ca="1">IFERROR(__xludf.DUMMYFUNCTION("""COMPUTED_VALUE"""),136.86)</f>
        <v>136.86000000000001</v>
      </c>
      <c r="L501" s="3">
        <f ca="1">IFERROR(__xludf.DUMMYFUNCTION("""COMPUTED_VALUE"""),90.83)</f>
        <v>90.83</v>
      </c>
      <c r="M501" s="3">
        <f ca="1">IFERROR(__xludf.DUMMYFUNCTION("""COMPUTED_VALUE"""),66.71)</f>
        <v>66.709999999999994</v>
      </c>
      <c r="N501" s="3">
        <f ca="1">IFERROR(__xludf.DUMMYFUNCTION("""COMPUTED_VALUE"""),64.64)</f>
        <v>64.64</v>
      </c>
      <c r="O501" s="3">
        <f ca="1">IFERROR(__xludf.DUMMYFUNCTION("""COMPUTED_VALUE"""),47.09)</f>
        <v>47.09</v>
      </c>
      <c r="P501" s="3">
        <f ca="1">IFERROR(__xludf.DUMMYFUNCTION("""COMPUTED_VALUE"""),85.33)</f>
        <v>85.33</v>
      </c>
      <c r="Q501" s="3">
        <f ca="1">IFERROR(__xludf.DUMMYFUNCTION("""COMPUTED_VALUE"""),119.37)</f>
        <v>119.37</v>
      </c>
      <c r="R501" s="3">
        <f ca="1">IFERROR(__xludf.DUMMYFUNCTION("""COMPUTED_VALUE"""),86.21)</f>
        <v>86.21</v>
      </c>
      <c r="S501" s="3">
        <f ca="1">IFERROR(__xludf.DUMMYFUNCTION("""COMPUTED_VALUE"""),61.4)</f>
        <v>61.4</v>
      </c>
      <c r="T501" s="3">
        <f ca="1">IFERROR(__xludf.DUMMYFUNCTION("""COMPUTED_VALUE"""),22.35)</f>
        <v>22.35</v>
      </c>
      <c r="U501" s="3">
        <f ca="1">IFERROR(__xludf.DUMMYFUNCTION("""COMPUTED_VALUE"""),68.92)</f>
        <v>68.92</v>
      </c>
      <c r="V501" s="3">
        <f ca="1">IFERROR(__xludf.DUMMYFUNCTION("""COMPUTED_VALUE"""),53.68)</f>
        <v>53.68</v>
      </c>
      <c r="W501" s="3">
        <f ca="1">IFERROR(__xludf.DUMMYFUNCTION("""COMPUTED_VALUE"""),37.61)</f>
        <v>37.61</v>
      </c>
      <c r="X501" s="3">
        <f ca="1">IFERROR(__xludf.DUMMYFUNCTION("""COMPUTED_VALUE"""),92.38)</f>
        <v>92.38</v>
      </c>
      <c r="Y501" s="3">
        <f ca="1">IFERROR(__xludf.DUMMYFUNCTION("""COMPUTED_VALUE"""),46.54)</f>
        <v>46.54</v>
      </c>
      <c r="Z501" s="3">
        <f ca="1">IFERROR(__xludf.DUMMYFUNCTION("""COMPUTED_VALUE"""),85.35)</f>
        <v>85.35</v>
      </c>
      <c r="AA501" s="3">
        <f ca="1">IFERROR(__xludf.DUMMYFUNCTION("""COMPUTED_VALUE"""),40.25)</f>
        <v>40.25</v>
      </c>
      <c r="AB501" s="3">
        <f ca="1">IFERROR(__xludf.DUMMYFUNCTION("""COMPUTED_VALUE"""),53.13)</f>
        <v>53.13</v>
      </c>
      <c r="AC501" s="3">
        <f ca="1">IFERROR(__xludf.DUMMYFUNCTION("""COMPUTED_VALUE"""),59.76)</f>
        <v>59.76</v>
      </c>
      <c r="AD501" s="3">
        <f ca="1">IFERROR(__xludf.DUMMYFUNCTION("""COMPUTED_VALUE"""),13.85)</f>
        <v>13.85</v>
      </c>
      <c r="AE501" s="3">
        <f ca="1">IFERROR(__xludf.DUMMYFUNCTION("""COMPUTED_VALUE"""),21.31)</f>
        <v>21.31</v>
      </c>
      <c r="AF501" s="3">
        <f ca="1">IFERROR(__xludf.DUMMYFUNCTION("""COMPUTED_VALUE"""),4.51)</f>
        <v>4.51</v>
      </c>
      <c r="AG501" s="3">
        <f ca="1">IFERROR(__xludf.DUMMYFUNCTION("""COMPUTED_VALUE"""),56.77)</f>
        <v>56.77</v>
      </c>
    </row>
    <row r="502" spans="1:33" ht="12.75" x14ac:dyDescent="0.2">
      <c r="A502" s="4">
        <f ca="1">IFERROR(__xludf.DUMMYFUNCTION("""COMPUTED_VALUE"""),45288.6666666666)</f>
        <v>45288.666666666599</v>
      </c>
      <c r="B502" s="3">
        <f ca="1">IFERROR(__xludf.DUMMYFUNCTION("""COMPUTED_VALUE"""),193.07)</f>
        <v>193.07</v>
      </c>
      <c r="C502" s="3">
        <f ca="1">IFERROR(__xludf.DUMMYFUNCTION("""COMPUTED_VALUE"""),486.79)</f>
        <v>486.79</v>
      </c>
      <c r="D502" s="3">
        <f ca="1">IFERROR(__xludf.DUMMYFUNCTION("""COMPUTED_VALUE"""),118.31)</f>
        <v>118.31</v>
      </c>
      <c r="E502" s="3">
        <f ca="1">IFERROR(__xludf.DUMMYFUNCTION("""COMPUTED_VALUE"""),193.45)</f>
        <v>193.45</v>
      </c>
      <c r="F502" s="3">
        <f ca="1">IFERROR(__xludf.DUMMYFUNCTION("""COMPUTED_VALUE"""),60.7)</f>
        <v>60.7</v>
      </c>
      <c r="G502" s="3">
        <f ca="1">IFERROR(__xludf.DUMMYFUNCTION("""COMPUTED_VALUE"""),28.72)</f>
        <v>28.72</v>
      </c>
      <c r="H502" s="3">
        <f ca="1">IFERROR(__xludf.DUMMYFUNCTION("""COMPUTED_VALUE"""),27.13)</f>
        <v>27.13</v>
      </c>
      <c r="I502" s="3">
        <f ca="1">IFERROR(__xludf.DUMMYFUNCTION("""COMPUTED_VALUE"""),136.24)</f>
        <v>136.24</v>
      </c>
      <c r="J502" s="3">
        <f ca="1">IFERROR(__xludf.DUMMYFUNCTION("""COMPUTED_VALUE"""),251.09)</f>
        <v>251.09</v>
      </c>
      <c r="K502" s="3">
        <f ca="1">IFERROR(__xludf.DUMMYFUNCTION("""COMPUTED_VALUE"""),137.03)</f>
        <v>137.03</v>
      </c>
      <c r="L502" s="3">
        <f ca="1">IFERROR(__xludf.DUMMYFUNCTION("""COMPUTED_VALUE"""),90.86)</f>
        <v>90.86</v>
      </c>
      <c r="M502" s="3">
        <f ca="1">IFERROR(__xludf.DUMMYFUNCTION("""COMPUTED_VALUE"""),66.61)</f>
        <v>66.61</v>
      </c>
      <c r="N502" s="3">
        <f ca="1">IFERROR(__xludf.DUMMYFUNCTION("""COMPUTED_VALUE"""),64.73)</f>
        <v>64.73</v>
      </c>
      <c r="O502" s="3">
        <f ca="1">IFERROR(__xludf.DUMMYFUNCTION("""COMPUTED_VALUE"""),47.08)</f>
        <v>47.08</v>
      </c>
      <c r="P502" s="3">
        <f ca="1">IFERROR(__xludf.DUMMYFUNCTION("""COMPUTED_VALUE"""),84.03)</f>
        <v>84.03</v>
      </c>
      <c r="Q502" s="3">
        <f ca="1">IFERROR(__xludf.DUMMYFUNCTION("""COMPUTED_VALUE"""),117.68)</f>
        <v>117.68</v>
      </c>
      <c r="R502" s="3">
        <f ca="1">IFERROR(__xludf.DUMMYFUNCTION("""COMPUTED_VALUE"""),85.88)</f>
        <v>85.88</v>
      </c>
      <c r="S502" s="3">
        <f ca="1">IFERROR(__xludf.DUMMYFUNCTION("""COMPUTED_VALUE"""),60.74)</f>
        <v>60.74</v>
      </c>
      <c r="T502" s="3">
        <f ca="1">IFERROR(__xludf.DUMMYFUNCTION("""COMPUTED_VALUE"""),22.16)</f>
        <v>22.16</v>
      </c>
      <c r="U502" s="3">
        <f ca="1">IFERROR(__xludf.DUMMYFUNCTION("""COMPUTED_VALUE"""),67.18)</f>
        <v>67.180000000000007</v>
      </c>
      <c r="V502" s="3">
        <f ca="1">IFERROR(__xludf.DUMMYFUNCTION("""COMPUTED_VALUE"""),54.22)</f>
        <v>54.22</v>
      </c>
      <c r="W502" s="3">
        <f ca="1">IFERROR(__xludf.DUMMYFUNCTION("""COMPUTED_VALUE"""),37.72)</f>
        <v>37.72</v>
      </c>
      <c r="X502" s="3">
        <f ca="1">IFERROR(__xludf.DUMMYFUNCTION("""COMPUTED_VALUE"""),92.67)</f>
        <v>92.67</v>
      </c>
      <c r="Y502" s="3">
        <f ca="1">IFERROR(__xludf.DUMMYFUNCTION("""COMPUTED_VALUE"""),46.62)</f>
        <v>46.62</v>
      </c>
      <c r="Z502" s="3">
        <f ca="1">IFERROR(__xludf.DUMMYFUNCTION("""COMPUTED_VALUE"""),85.68)</f>
        <v>85.68</v>
      </c>
      <c r="AA502" s="3">
        <f ca="1">IFERROR(__xludf.DUMMYFUNCTION("""COMPUTED_VALUE"""),40.5)</f>
        <v>40.5</v>
      </c>
      <c r="AB502" s="3">
        <f ca="1">IFERROR(__xludf.DUMMYFUNCTION("""COMPUTED_VALUE"""),53.26)</f>
        <v>53.26</v>
      </c>
      <c r="AC502" s="3">
        <f ca="1">IFERROR(__xludf.DUMMYFUNCTION("""COMPUTED_VALUE"""),59.12)</f>
        <v>59.12</v>
      </c>
      <c r="AD502" s="3">
        <f ca="1">IFERROR(__xludf.DUMMYFUNCTION("""COMPUTED_VALUE"""),13.68)</f>
        <v>13.68</v>
      </c>
      <c r="AE502" s="3">
        <f ca="1">IFERROR(__xludf.DUMMYFUNCTION("""COMPUTED_VALUE"""),20.82)</f>
        <v>20.82</v>
      </c>
      <c r="AF502" s="3">
        <f ca="1">IFERROR(__xludf.DUMMYFUNCTION("""COMPUTED_VALUE"""),4.78)</f>
        <v>4.78</v>
      </c>
      <c r="AG502" s="3">
        <f ca="1">IFERROR(__xludf.DUMMYFUNCTION("""COMPUTED_VALUE"""),52.61)</f>
        <v>52.61</v>
      </c>
    </row>
    <row r="503" spans="1:33" ht="12.75" x14ac:dyDescent="0.2">
      <c r="A503" s="4">
        <f ca="1">IFERROR(__xludf.DUMMYFUNCTION("""COMPUTED_VALUE"""),45289.6666666666)</f>
        <v>45289.666666666599</v>
      </c>
      <c r="B503" s="3">
        <f ca="1">IFERROR(__xludf.DUMMYFUNCTION("""COMPUTED_VALUE"""),192.48)</f>
        <v>192.48</v>
      </c>
      <c r="C503" s="3">
        <f ca="1">IFERROR(__xludf.DUMMYFUNCTION("""COMPUTED_VALUE"""),484)</f>
        <v>484</v>
      </c>
      <c r="D503" s="3">
        <f ca="1">IFERROR(__xludf.DUMMYFUNCTION("""COMPUTED_VALUE"""),117.5)</f>
        <v>117.5</v>
      </c>
      <c r="E503" s="3">
        <f ca="1">IFERROR(__xludf.DUMMYFUNCTION("""COMPUTED_VALUE"""),192.03)</f>
        <v>192.03</v>
      </c>
      <c r="F503" s="3">
        <f ca="1">IFERROR(__xludf.DUMMYFUNCTION("""COMPUTED_VALUE"""),60.41)</f>
        <v>60.41</v>
      </c>
      <c r="G503" s="3">
        <f ca="1">IFERROR(__xludf.DUMMYFUNCTION("""COMPUTED_VALUE"""),28.5)</f>
        <v>28.5</v>
      </c>
      <c r="H503" s="3">
        <f ca="1">IFERROR(__xludf.DUMMYFUNCTION("""COMPUTED_VALUE"""),26.99)</f>
        <v>26.99</v>
      </c>
      <c r="I503" s="3">
        <f ca="1">IFERROR(__xludf.DUMMYFUNCTION("""COMPUTED_VALUE"""),136.38)</f>
        <v>136.38</v>
      </c>
      <c r="J503" s="3">
        <f ca="1">IFERROR(__xludf.DUMMYFUNCTION("""COMPUTED_VALUE"""),250.7)</f>
        <v>250.7</v>
      </c>
      <c r="K503" s="3">
        <f ca="1">IFERROR(__xludf.DUMMYFUNCTION("""COMPUTED_VALUE"""),135.85)</f>
        <v>135.85</v>
      </c>
      <c r="L503" s="3">
        <f ca="1">IFERROR(__xludf.DUMMYFUNCTION("""COMPUTED_VALUE"""),89.29)</f>
        <v>89.29</v>
      </c>
      <c r="M503" s="3">
        <f ca="1">IFERROR(__xludf.DUMMYFUNCTION("""COMPUTED_VALUE"""),65.84)</f>
        <v>65.84</v>
      </c>
      <c r="N503" s="3">
        <f ca="1">IFERROR(__xludf.DUMMYFUNCTION("""COMPUTED_VALUE"""),64.69)</f>
        <v>64.69</v>
      </c>
      <c r="O503" s="3">
        <f ca="1">IFERROR(__xludf.DUMMYFUNCTION("""COMPUTED_VALUE"""),46.23)</f>
        <v>46.23</v>
      </c>
      <c r="P503" s="3">
        <f ca="1">IFERROR(__xludf.DUMMYFUNCTION("""COMPUTED_VALUE"""),83.84)</f>
        <v>83.84</v>
      </c>
      <c r="Q503" s="3">
        <f ca="1">IFERROR(__xludf.DUMMYFUNCTION("""COMPUTED_VALUE"""),117.28)</f>
        <v>117.28</v>
      </c>
      <c r="R503" s="3">
        <f ca="1">IFERROR(__xludf.DUMMYFUNCTION("""COMPUTED_VALUE"""),85.54)</f>
        <v>85.54</v>
      </c>
      <c r="S503" s="3">
        <f ca="1">IFERROR(__xludf.DUMMYFUNCTION("""COMPUTED_VALUE"""),59.83)</f>
        <v>59.83</v>
      </c>
      <c r="T503" s="3">
        <f ca="1">IFERROR(__xludf.DUMMYFUNCTION("""COMPUTED_VALUE"""),22.04)</f>
        <v>22.04</v>
      </c>
      <c r="U503" s="3">
        <f ca="1">IFERROR(__xludf.DUMMYFUNCTION("""COMPUTED_VALUE"""),66.65)</f>
        <v>66.650000000000006</v>
      </c>
      <c r="V503" s="3">
        <f ca="1">IFERROR(__xludf.DUMMYFUNCTION("""COMPUTED_VALUE"""),53.35)</f>
        <v>53.35</v>
      </c>
      <c r="W503" s="3">
        <f ca="1">IFERROR(__xludf.DUMMYFUNCTION("""COMPUTED_VALUE"""),37.6)</f>
        <v>37.6</v>
      </c>
      <c r="X503" s="3">
        <f ca="1">IFERROR(__xludf.DUMMYFUNCTION("""COMPUTED_VALUE"""),92.26)</f>
        <v>92.26</v>
      </c>
      <c r="Y503" s="3">
        <f ca="1">IFERROR(__xludf.DUMMYFUNCTION("""COMPUTED_VALUE"""),46.02)</f>
        <v>46.02</v>
      </c>
      <c r="Z503" s="3">
        <f ca="1">IFERROR(__xludf.DUMMYFUNCTION("""COMPUTED_VALUE"""),85.41)</f>
        <v>85.41</v>
      </c>
      <c r="AA503" s="3">
        <f ca="1">IFERROR(__xludf.DUMMYFUNCTION("""COMPUTED_VALUE"""),40.06)</f>
        <v>40.06</v>
      </c>
      <c r="AB503" s="3">
        <f ca="1">IFERROR(__xludf.DUMMYFUNCTION("""COMPUTED_VALUE"""),52.43)</f>
        <v>52.43</v>
      </c>
      <c r="AC503" s="3">
        <f ca="1">IFERROR(__xludf.DUMMYFUNCTION("""COMPUTED_VALUE"""),59.35)</f>
        <v>59.35</v>
      </c>
      <c r="AD503" s="3">
        <f ca="1">IFERROR(__xludf.DUMMYFUNCTION("""COMPUTED_VALUE"""),13.38)</f>
        <v>13.38</v>
      </c>
      <c r="AE503" s="3">
        <f ca="1">IFERROR(__xludf.DUMMYFUNCTION("""COMPUTED_VALUE"""),20.49)</f>
        <v>20.49</v>
      </c>
      <c r="AF503" s="3">
        <f ca="1">IFERROR(__xludf.DUMMYFUNCTION("""COMPUTED_VALUE"""),5.26)</f>
        <v>5.26</v>
      </c>
      <c r="AG503" s="3">
        <f ca="1">IFERROR(__xludf.DUMMYFUNCTION("""COMPUTED_VALUE"""),46.24)</f>
        <v>46.24</v>
      </c>
    </row>
    <row r="504" spans="1:33" ht="12.75" x14ac:dyDescent="0.2">
      <c r="A504" s="4">
        <f ca="1">IFERROR(__xludf.DUMMYFUNCTION("""COMPUTED_VALUE"""),45293.6666666666)</f>
        <v>45293.666666666599</v>
      </c>
      <c r="B504" s="3">
        <f ca="1">IFERROR(__xludf.DUMMYFUNCTION("""COMPUTED_VALUE"""),187.44)</f>
        <v>187.44</v>
      </c>
      <c r="C504" s="3">
        <f ca="1">IFERROR(__xludf.DUMMYFUNCTION("""COMPUTED_VALUE"""),471.29)</f>
        <v>471.29</v>
      </c>
      <c r="D504" s="3">
        <f ca="1">IFERROR(__xludf.DUMMYFUNCTION("""COMPUTED_VALUE"""),117.62)</f>
        <v>117.62</v>
      </c>
      <c r="E504" s="3">
        <f ca="1">IFERROR(__xludf.DUMMYFUNCTION("""COMPUTED_VALUE"""),185.12)</f>
        <v>185.12</v>
      </c>
      <c r="F504" s="3">
        <f ca="1">IFERROR(__xludf.DUMMYFUNCTION("""COMPUTED_VALUE"""),59.39)</f>
        <v>59.39</v>
      </c>
      <c r="G504" s="3">
        <f ca="1">IFERROR(__xludf.DUMMYFUNCTION("""COMPUTED_VALUE"""),27.71)</f>
        <v>27.71</v>
      </c>
      <c r="H504" s="3">
        <f ca="1">IFERROR(__xludf.DUMMYFUNCTION("""COMPUTED_VALUE"""),26.64)</f>
        <v>26.64</v>
      </c>
      <c r="I504" s="3">
        <f ca="1">IFERROR(__xludf.DUMMYFUNCTION("""COMPUTED_VALUE"""),138.78)</f>
        <v>138.78</v>
      </c>
      <c r="J504" s="3">
        <f ca="1">IFERROR(__xludf.DUMMYFUNCTION("""COMPUTED_VALUE"""),254.58)</f>
        <v>254.58</v>
      </c>
      <c r="K504" s="3">
        <f ca="1">IFERROR(__xludf.DUMMYFUNCTION("""COMPUTED_VALUE"""),138.07)</f>
        <v>138.07</v>
      </c>
      <c r="L504" s="3">
        <f ca="1">IFERROR(__xludf.DUMMYFUNCTION("""COMPUTED_VALUE"""),90.23)</f>
        <v>90.23</v>
      </c>
      <c r="M504" s="3">
        <f ca="1">IFERROR(__xludf.DUMMYFUNCTION("""COMPUTED_VALUE"""),66.6)</f>
        <v>66.599999999999994</v>
      </c>
      <c r="N504" s="3">
        <f ca="1">IFERROR(__xludf.DUMMYFUNCTION("""COMPUTED_VALUE"""),65.67)</f>
        <v>65.67</v>
      </c>
      <c r="O504" s="3">
        <f ca="1">IFERROR(__xludf.DUMMYFUNCTION("""COMPUTED_VALUE"""),46.72)</f>
        <v>46.72</v>
      </c>
      <c r="P504" s="3">
        <f ca="1">IFERROR(__xludf.DUMMYFUNCTION("""COMPUTED_VALUE"""),84.74)</f>
        <v>84.74</v>
      </c>
      <c r="Q504" s="3">
        <f ca="1">IFERROR(__xludf.DUMMYFUNCTION("""COMPUTED_VALUE"""),118.45)</f>
        <v>118.45</v>
      </c>
      <c r="R504" s="3">
        <f ca="1">IFERROR(__xludf.DUMMYFUNCTION("""COMPUTED_VALUE"""),85.39)</f>
        <v>85.39</v>
      </c>
      <c r="S504" s="3">
        <f ca="1">IFERROR(__xludf.DUMMYFUNCTION("""COMPUTED_VALUE"""),59.32)</f>
        <v>59.32</v>
      </c>
      <c r="T504" s="3">
        <f ca="1">IFERROR(__xludf.DUMMYFUNCTION("""COMPUTED_VALUE"""),21.86)</f>
        <v>21.86</v>
      </c>
      <c r="U504" s="3">
        <f ca="1">IFERROR(__xludf.DUMMYFUNCTION("""COMPUTED_VALUE"""),65.77)</f>
        <v>65.77</v>
      </c>
      <c r="V504" s="3">
        <f ca="1">IFERROR(__xludf.DUMMYFUNCTION("""COMPUTED_VALUE"""),52.07)</f>
        <v>52.07</v>
      </c>
      <c r="W504" s="3">
        <f ca="1">IFERROR(__xludf.DUMMYFUNCTION("""COMPUTED_VALUE"""),37.76)</f>
        <v>37.76</v>
      </c>
      <c r="X504" s="3">
        <f ca="1">IFERROR(__xludf.DUMMYFUNCTION("""COMPUTED_VALUE"""),92.32)</f>
        <v>92.32</v>
      </c>
      <c r="Y504" s="3">
        <f ca="1">IFERROR(__xludf.DUMMYFUNCTION("""COMPUTED_VALUE"""),46.2)</f>
        <v>46.2</v>
      </c>
      <c r="Z504" s="3">
        <f ca="1">IFERROR(__xludf.DUMMYFUNCTION("""COMPUTED_VALUE"""),85.64)</f>
        <v>85.64</v>
      </c>
      <c r="AA504" s="3">
        <f ca="1">IFERROR(__xludf.DUMMYFUNCTION("""COMPUTED_VALUE"""),40.43)</f>
        <v>40.43</v>
      </c>
      <c r="AB504" s="3">
        <f ca="1">IFERROR(__xludf.DUMMYFUNCTION("""COMPUTED_VALUE"""),52.6)</f>
        <v>52.6</v>
      </c>
      <c r="AC504" s="3">
        <f ca="1">IFERROR(__xludf.DUMMYFUNCTION("""COMPUTED_VALUE"""),59.65)</f>
        <v>59.65</v>
      </c>
      <c r="AD504" s="3">
        <f ca="1">IFERROR(__xludf.DUMMYFUNCTION("""COMPUTED_VALUE"""),14.03)</f>
        <v>14.03</v>
      </c>
      <c r="AE504" s="3">
        <f ca="1">IFERROR(__xludf.DUMMYFUNCTION("""COMPUTED_VALUE"""),21.89)</f>
        <v>21.89</v>
      </c>
      <c r="AF504" s="3">
        <f ca="1">IFERROR(__xludf.DUMMYFUNCTION("""COMPUTED_VALUE"""),4.99)</f>
        <v>4.99</v>
      </c>
      <c r="AG504" s="3">
        <f ca="1">IFERROR(__xludf.DUMMYFUNCTION("""COMPUTED_VALUE"""),44.81)</f>
        <v>44.81</v>
      </c>
    </row>
    <row r="505" spans="1:33" ht="12.75" x14ac:dyDescent="0.2">
      <c r="A505" s="4">
        <f ca="1">IFERROR(__xludf.DUMMYFUNCTION("""COMPUTED_VALUE"""),45294.6666666666)</f>
        <v>45294.666666666599</v>
      </c>
      <c r="B505" s="3">
        <f ca="1">IFERROR(__xludf.DUMMYFUNCTION("""COMPUTED_VALUE"""),185.53)</f>
        <v>185.53</v>
      </c>
      <c r="C505" s="3">
        <f ca="1">IFERROR(__xludf.DUMMYFUNCTION("""COMPUTED_VALUE"""),464.98)</f>
        <v>464.98</v>
      </c>
      <c r="D505" s="3">
        <f ca="1">IFERROR(__xludf.DUMMYFUNCTION("""COMPUTED_VALUE"""),120.74)</f>
        <v>120.74</v>
      </c>
      <c r="E505" s="3">
        <f ca="1">IFERROR(__xludf.DUMMYFUNCTION("""COMPUTED_VALUE"""),181.14)</f>
        <v>181.14</v>
      </c>
      <c r="F505" s="3">
        <f ca="1">IFERROR(__xludf.DUMMYFUNCTION("""COMPUTED_VALUE"""),58.72)</f>
        <v>58.72</v>
      </c>
      <c r="G505" s="3">
        <f ca="1">IFERROR(__xludf.DUMMYFUNCTION("""COMPUTED_VALUE"""),26.93)</f>
        <v>26.93</v>
      </c>
      <c r="H505" s="3">
        <f ca="1">IFERROR(__xludf.DUMMYFUNCTION("""COMPUTED_VALUE"""),26.16)</f>
        <v>26.16</v>
      </c>
      <c r="I505" s="3">
        <f ca="1">IFERROR(__xludf.DUMMYFUNCTION("""COMPUTED_VALUE"""),138.55)</f>
        <v>138.55000000000001</v>
      </c>
      <c r="J505" s="3">
        <f ca="1">IFERROR(__xludf.DUMMYFUNCTION("""COMPUTED_VALUE"""),253.63)</f>
        <v>253.63</v>
      </c>
      <c r="K505" s="3">
        <f ca="1">IFERROR(__xludf.DUMMYFUNCTION("""COMPUTED_VALUE"""),135.92)</f>
        <v>135.91999999999999</v>
      </c>
      <c r="L505" s="3">
        <f ca="1">IFERROR(__xludf.DUMMYFUNCTION("""COMPUTED_VALUE"""),88.2)</f>
        <v>88.2</v>
      </c>
      <c r="M505" s="3">
        <f ca="1">IFERROR(__xludf.DUMMYFUNCTION("""COMPUTED_VALUE"""),65.76)</f>
        <v>65.760000000000005</v>
      </c>
      <c r="N505" s="3">
        <f ca="1">IFERROR(__xludf.DUMMYFUNCTION("""COMPUTED_VALUE"""),65.39)</f>
        <v>65.39</v>
      </c>
      <c r="O505" s="3">
        <f ca="1">IFERROR(__xludf.DUMMYFUNCTION("""COMPUTED_VALUE"""),45.14)</f>
        <v>45.14</v>
      </c>
      <c r="P505" s="3">
        <f ca="1">IFERROR(__xludf.DUMMYFUNCTION("""COMPUTED_VALUE"""),86.12)</f>
        <v>86.12</v>
      </c>
      <c r="Q505" s="3">
        <f ca="1">IFERROR(__xludf.DUMMYFUNCTION("""COMPUTED_VALUE"""),120)</f>
        <v>120</v>
      </c>
      <c r="R505" s="3">
        <f ca="1">IFERROR(__xludf.DUMMYFUNCTION("""COMPUTED_VALUE"""),84.47)</f>
        <v>84.47</v>
      </c>
      <c r="S505" s="3">
        <f ca="1">IFERROR(__xludf.DUMMYFUNCTION("""COMPUTED_VALUE"""),58.17)</f>
        <v>58.17</v>
      </c>
      <c r="T505" s="3">
        <f ca="1">IFERROR(__xludf.DUMMYFUNCTION("""COMPUTED_VALUE"""),22.14)</f>
        <v>22.14</v>
      </c>
      <c r="U505" s="3">
        <f ca="1">IFERROR(__xludf.DUMMYFUNCTION("""COMPUTED_VALUE"""),68.19)</f>
        <v>68.19</v>
      </c>
      <c r="V505" s="3">
        <f ca="1">IFERROR(__xludf.DUMMYFUNCTION("""COMPUTED_VALUE"""),50.08)</f>
        <v>50.08</v>
      </c>
      <c r="W505" s="3">
        <f ca="1">IFERROR(__xludf.DUMMYFUNCTION("""COMPUTED_VALUE"""),37.44)</f>
        <v>37.44</v>
      </c>
      <c r="X505" s="3">
        <f ca="1">IFERROR(__xludf.DUMMYFUNCTION("""COMPUTED_VALUE"""),91.29)</f>
        <v>91.29</v>
      </c>
      <c r="Y505" s="3">
        <f ca="1">IFERROR(__xludf.DUMMYFUNCTION("""COMPUTED_VALUE"""),44.94)</f>
        <v>44.94</v>
      </c>
      <c r="Z505" s="3">
        <f ca="1">IFERROR(__xludf.DUMMYFUNCTION("""COMPUTED_VALUE"""),84.87)</f>
        <v>84.87</v>
      </c>
      <c r="AA505" s="3">
        <f ca="1">IFERROR(__xludf.DUMMYFUNCTION("""COMPUTED_VALUE"""),39.47)</f>
        <v>39.47</v>
      </c>
      <c r="AB505" s="3">
        <f ca="1">IFERROR(__xludf.DUMMYFUNCTION("""COMPUTED_VALUE"""),50.87)</f>
        <v>50.87</v>
      </c>
      <c r="AC505" s="3">
        <f ca="1">IFERROR(__xludf.DUMMYFUNCTION("""COMPUTED_VALUE"""),60.01)</f>
        <v>60.01</v>
      </c>
      <c r="AD505" s="3">
        <f ca="1">IFERROR(__xludf.DUMMYFUNCTION("""COMPUTED_VALUE"""),13.25)</f>
        <v>13.25</v>
      </c>
      <c r="AE505" s="3">
        <f ca="1">IFERROR(__xludf.DUMMYFUNCTION("""COMPUTED_VALUE"""),20.8)</f>
        <v>20.8</v>
      </c>
      <c r="AF505" s="3">
        <f ca="1">IFERROR(__xludf.DUMMYFUNCTION("""COMPUTED_VALUE"""),4.82)</f>
        <v>4.82</v>
      </c>
      <c r="AG505" s="3">
        <f ca="1">IFERROR(__xludf.DUMMYFUNCTION("""COMPUTED_VALUE"""),43.48)</f>
        <v>43.48</v>
      </c>
    </row>
    <row r="506" spans="1:33" ht="12.75" x14ac:dyDescent="0.2">
      <c r="A506" s="4">
        <f ca="1">IFERROR(__xludf.DUMMYFUNCTION("""COMPUTED_VALUE"""),45295.6666666666)</f>
        <v>45295.666666666599</v>
      </c>
      <c r="B506" s="3">
        <f ca="1">IFERROR(__xludf.DUMMYFUNCTION("""COMPUTED_VALUE"""),184.17)</f>
        <v>184.17</v>
      </c>
      <c r="C506" s="3">
        <f ca="1">IFERROR(__xludf.DUMMYFUNCTION("""COMPUTED_VALUE"""),462.18)</f>
        <v>462.18</v>
      </c>
      <c r="D506" s="3">
        <f ca="1">IFERROR(__xludf.DUMMYFUNCTION("""COMPUTED_VALUE"""),121.12)</f>
        <v>121.12</v>
      </c>
      <c r="E506" s="3">
        <f ca="1">IFERROR(__xludf.DUMMYFUNCTION("""COMPUTED_VALUE"""),179.62)</f>
        <v>179.62</v>
      </c>
      <c r="F506" s="3">
        <f ca="1">IFERROR(__xludf.DUMMYFUNCTION("""COMPUTED_VALUE"""),58.54)</f>
        <v>58.54</v>
      </c>
      <c r="G506" s="3">
        <f ca="1">IFERROR(__xludf.DUMMYFUNCTION("""COMPUTED_VALUE"""),26.87)</f>
        <v>26.87</v>
      </c>
      <c r="H506" s="3">
        <f ca="1">IFERROR(__xludf.DUMMYFUNCTION("""COMPUTED_VALUE"""),26.08)</f>
        <v>26.08</v>
      </c>
      <c r="I506" s="3">
        <f ca="1">IFERROR(__xludf.DUMMYFUNCTION("""COMPUTED_VALUE"""),139.24)</f>
        <v>139.24</v>
      </c>
      <c r="J506" s="3">
        <f ca="1">IFERROR(__xludf.DUMMYFUNCTION("""COMPUTED_VALUE"""),254.84)</f>
        <v>254.84</v>
      </c>
      <c r="K506" s="3">
        <f ca="1">IFERROR(__xludf.DUMMYFUNCTION("""COMPUTED_VALUE"""),136.52)</f>
        <v>136.52000000000001</v>
      </c>
      <c r="L506" s="3">
        <f ca="1">IFERROR(__xludf.DUMMYFUNCTION("""COMPUTED_VALUE"""),89.45)</f>
        <v>89.45</v>
      </c>
      <c r="M506" s="3">
        <f ca="1">IFERROR(__xludf.DUMMYFUNCTION("""COMPUTED_VALUE"""),65.61)</f>
        <v>65.61</v>
      </c>
      <c r="N506" s="3">
        <f ca="1">IFERROR(__xludf.DUMMYFUNCTION("""COMPUTED_VALUE"""),65.71)</f>
        <v>65.709999999999994</v>
      </c>
      <c r="O506" s="3">
        <f ca="1">IFERROR(__xludf.DUMMYFUNCTION("""COMPUTED_VALUE"""),45.32)</f>
        <v>45.32</v>
      </c>
      <c r="P506" s="3">
        <f ca="1">IFERROR(__xludf.DUMMYFUNCTION("""COMPUTED_VALUE"""),84.61)</f>
        <v>84.61</v>
      </c>
      <c r="Q506" s="3">
        <f ca="1">IFERROR(__xludf.DUMMYFUNCTION("""COMPUTED_VALUE"""),118.09)</f>
        <v>118.09</v>
      </c>
      <c r="R506" s="3">
        <f ca="1">IFERROR(__xludf.DUMMYFUNCTION("""COMPUTED_VALUE"""),84.2)</f>
        <v>84.2</v>
      </c>
      <c r="S506" s="3">
        <f ca="1">IFERROR(__xludf.DUMMYFUNCTION("""COMPUTED_VALUE"""),58.29)</f>
        <v>58.29</v>
      </c>
      <c r="T506" s="3">
        <f ca="1">IFERROR(__xludf.DUMMYFUNCTION("""COMPUTED_VALUE"""),22.02)</f>
        <v>22.02</v>
      </c>
      <c r="U506" s="3">
        <f ca="1">IFERROR(__xludf.DUMMYFUNCTION("""COMPUTED_VALUE"""),67.57)</f>
        <v>67.569999999999993</v>
      </c>
      <c r="V506" s="3">
        <f ca="1">IFERROR(__xludf.DUMMYFUNCTION("""COMPUTED_VALUE"""),48.77)</f>
        <v>48.77</v>
      </c>
      <c r="W506" s="3">
        <f ca="1">IFERROR(__xludf.DUMMYFUNCTION("""COMPUTED_VALUE"""),37.59)</f>
        <v>37.590000000000003</v>
      </c>
      <c r="X506" s="3">
        <f ca="1">IFERROR(__xludf.DUMMYFUNCTION("""COMPUTED_VALUE"""),91.62)</f>
        <v>91.62</v>
      </c>
      <c r="Y506" s="3">
        <f ca="1">IFERROR(__xludf.DUMMYFUNCTION("""COMPUTED_VALUE"""),45.21)</f>
        <v>45.21</v>
      </c>
      <c r="Z506" s="3">
        <f ca="1">IFERROR(__xludf.DUMMYFUNCTION("""COMPUTED_VALUE"""),85.16)</f>
        <v>85.16</v>
      </c>
      <c r="AA506" s="3">
        <f ca="1">IFERROR(__xludf.DUMMYFUNCTION("""COMPUTED_VALUE"""),39.37)</f>
        <v>39.369999999999997</v>
      </c>
      <c r="AB506" s="3">
        <f ca="1">IFERROR(__xludf.DUMMYFUNCTION("""COMPUTED_VALUE"""),51.12)</f>
        <v>51.12</v>
      </c>
      <c r="AC506" s="3">
        <f ca="1">IFERROR(__xludf.DUMMYFUNCTION("""COMPUTED_VALUE"""),59.56)</f>
        <v>59.56</v>
      </c>
      <c r="AD506" s="3">
        <f ca="1">IFERROR(__xludf.DUMMYFUNCTION("""COMPUTED_VALUE"""),13.64)</f>
        <v>13.64</v>
      </c>
      <c r="AE506" s="3">
        <f ca="1">IFERROR(__xludf.DUMMYFUNCTION("""COMPUTED_VALUE"""),21.52)</f>
        <v>21.52</v>
      </c>
      <c r="AF506" s="3">
        <f ca="1">IFERROR(__xludf.DUMMYFUNCTION("""COMPUTED_VALUE"""),4.49)</f>
        <v>4.49</v>
      </c>
      <c r="AG506" s="3">
        <f ca="1">IFERROR(__xludf.DUMMYFUNCTION("""COMPUTED_VALUE"""),45.61)</f>
        <v>45.61</v>
      </c>
    </row>
    <row r="507" spans="1:33" ht="12.75" x14ac:dyDescent="0.2">
      <c r="A507" s="4">
        <f ca="1">IFERROR(__xludf.DUMMYFUNCTION("""COMPUTED_VALUE"""),45296.6666666666)</f>
        <v>45296.666666666599</v>
      </c>
      <c r="B507" s="3">
        <f ca="1">IFERROR(__xludf.DUMMYFUNCTION("""COMPUTED_VALUE"""),184.12)</f>
        <v>184.12</v>
      </c>
      <c r="C507" s="3">
        <f ca="1">IFERROR(__xludf.DUMMYFUNCTION("""COMPUTED_VALUE"""),462.29)</f>
        <v>462.29</v>
      </c>
      <c r="D507" s="3">
        <f ca="1">IFERROR(__xludf.DUMMYFUNCTION("""COMPUTED_VALUE"""),122.28)</f>
        <v>122.28</v>
      </c>
      <c r="E507" s="3">
        <f ca="1">IFERROR(__xludf.DUMMYFUNCTION("""COMPUTED_VALUE"""),180.61)</f>
        <v>180.61</v>
      </c>
      <c r="F507" s="3">
        <f ca="1">IFERROR(__xludf.DUMMYFUNCTION("""COMPUTED_VALUE"""),58.42)</f>
        <v>58.42</v>
      </c>
      <c r="G507" s="3">
        <f ca="1">IFERROR(__xludf.DUMMYFUNCTION("""COMPUTED_VALUE"""),26.84)</f>
        <v>26.84</v>
      </c>
      <c r="H507" s="3">
        <f ca="1">IFERROR(__xludf.DUMMYFUNCTION("""COMPUTED_VALUE"""),26.1)</f>
        <v>26.1</v>
      </c>
      <c r="I507" s="3">
        <f ca="1">IFERROR(__xludf.DUMMYFUNCTION("""COMPUTED_VALUE"""),139.12)</f>
        <v>139.12</v>
      </c>
      <c r="J507" s="3">
        <f ca="1">IFERROR(__xludf.DUMMYFUNCTION("""COMPUTED_VALUE"""),254.65)</f>
        <v>254.65</v>
      </c>
      <c r="K507" s="3">
        <f ca="1">IFERROR(__xludf.DUMMYFUNCTION("""COMPUTED_VALUE"""),136.12)</f>
        <v>136.12</v>
      </c>
      <c r="L507" s="3">
        <f ca="1">IFERROR(__xludf.DUMMYFUNCTION("""COMPUTED_VALUE"""),89.3)</f>
        <v>89.3</v>
      </c>
      <c r="M507" s="3">
        <f ca="1">IFERROR(__xludf.DUMMYFUNCTION("""COMPUTED_VALUE"""),65.11)</f>
        <v>65.11</v>
      </c>
      <c r="N507" s="3">
        <f ca="1">IFERROR(__xludf.DUMMYFUNCTION("""COMPUTED_VALUE"""),65.67)</f>
        <v>65.67</v>
      </c>
      <c r="O507" s="3">
        <f ca="1">IFERROR(__xludf.DUMMYFUNCTION("""COMPUTED_VALUE"""),45.28)</f>
        <v>45.28</v>
      </c>
      <c r="P507" s="3">
        <f ca="1">IFERROR(__xludf.DUMMYFUNCTION("""COMPUTED_VALUE"""),84.68)</f>
        <v>84.68</v>
      </c>
      <c r="Q507" s="3">
        <f ca="1">IFERROR(__xludf.DUMMYFUNCTION("""COMPUTED_VALUE"""),118.23)</f>
        <v>118.23</v>
      </c>
      <c r="R507" s="3">
        <f ca="1">IFERROR(__xludf.DUMMYFUNCTION("""COMPUTED_VALUE"""),84.34)</f>
        <v>84.34</v>
      </c>
      <c r="S507" s="3">
        <f ca="1">IFERROR(__xludf.DUMMYFUNCTION("""COMPUTED_VALUE"""),58.17)</f>
        <v>58.17</v>
      </c>
      <c r="T507" s="3">
        <f ca="1">IFERROR(__xludf.DUMMYFUNCTION("""COMPUTED_VALUE"""),22.13)</f>
        <v>22.13</v>
      </c>
      <c r="U507" s="3">
        <f ca="1">IFERROR(__xludf.DUMMYFUNCTION("""COMPUTED_VALUE"""),69.03)</f>
        <v>69.03</v>
      </c>
      <c r="V507" s="3">
        <f ca="1">IFERROR(__xludf.DUMMYFUNCTION("""COMPUTED_VALUE"""),48.29)</f>
        <v>48.29</v>
      </c>
      <c r="W507" s="3">
        <f ca="1">IFERROR(__xludf.DUMMYFUNCTION("""COMPUTED_VALUE"""),37.75)</f>
        <v>37.75</v>
      </c>
      <c r="X507" s="3">
        <f ca="1">IFERROR(__xludf.DUMMYFUNCTION("""COMPUTED_VALUE"""),92.12)</f>
        <v>92.12</v>
      </c>
      <c r="Y507" s="3">
        <f ca="1">IFERROR(__xludf.DUMMYFUNCTION("""COMPUTED_VALUE"""),45.67)</f>
        <v>45.67</v>
      </c>
      <c r="Z507" s="3">
        <f ca="1">IFERROR(__xludf.DUMMYFUNCTION("""COMPUTED_VALUE"""),85.66)</f>
        <v>85.66</v>
      </c>
      <c r="AA507" s="3">
        <f ca="1">IFERROR(__xludf.DUMMYFUNCTION("""COMPUTED_VALUE"""),39.29)</f>
        <v>39.29</v>
      </c>
      <c r="AB507" s="3">
        <f ca="1">IFERROR(__xludf.DUMMYFUNCTION("""COMPUTED_VALUE"""),51.73)</f>
        <v>51.73</v>
      </c>
      <c r="AC507" s="3">
        <f ca="1">IFERROR(__xludf.DUMMYFUNCTION("""COMPUTED_VALUE"""),59.6)</f>
        <v>59.6</v>
      </c>
      <c r="AD507" s="3">
        <f ca="1">IFERROR(__xludf.DUMMYFUNCTION("""COMPUTED_VALUE"""),13.5)</f>
        <v>13.5</v>
      </c>
      <c r="AE507" s="3">
        <f ca="1">IFERROR(__xludf.DUMMYFUNCTION("""COMPUTED_VALUE"""),21.41)</f>
        <v>21.41</v>
      </c>
      <c r="AF507" s="3">
        <f ca="1">IFERROR(__xludf.DUMMYFUNCTION("""COMPUTED_VALUE"""),4.33)</f>
        <v>4.33</v>
      </c>
      <c r="AG507" s="3">
        <f ca="1">IFERROR(__xludf.DUMMYFUNCTION("""COMPUTED_VALUE"""),43.43)</f>
        <v>43.43</v>
      </c>
    </row>
    <row r="508" spans="1:33" ht="12.75" x14ac:dyDescent="0.2">
      <c r="A508" s="4">
        <f ca="1">IFERROR(__xludf.DUMMYFUNCTION("""COMPUTED_VALUE"""),45299.6666666666)</f>
        <v>45299.666666666599</v>
      </c>
      <c r="B508" s="3">
        <f ca="1">IFERROR(__xludf.DUMMYFUNCTION("""COMPUTED_VALUE"""),188.74)</f>
        <v>188.74</v>
      </c>
      <c r="C508" s="3">
        <f ca="1">IFERROR(__xludf.DUMMYFUNCTION("""COMPUTED_VALUE"""),474.06)</f>
        <v>474.06</v>
      </c>
      <c r="D508" s="3">
        <f ca="1">IFERROR(__xludf.DUMMYFUNCTION("""COMPUTED_VALUE"""),122.82)</f>
        <v>122.82</v>
      </c>
      <c r="E508" s="3">
        <f ca="1">IFERROR(__xludf.DUMMYFUNCTION("""COMPUTED_VALUE"""),186.5)</f>
        <v>186.5</v>
      </c>
      <c r="F508" s="3">
        <f ca="1">IFERROR(__xludf.DUMMYFUNCTION("""COMPUTED_VALUE"""),59.58)</f>
        <v>59.58</v>
      </c>
      <c r="G508" s="3">
        <f ca="1">IFERROR(__xludf.DUMMYFUNCTION("""COMPUTED_VALUE"""),27.7)</f>
        <v>27.7</v>
      </c>
      <c r="H508" s="3">
        <f ca="1">IFERROR(__xludf.DUMMYFUNCTION("""COMPUTED_VALUE"""),26.52)</f>
        <v>26.52</v>
      </c>
      <c r="I508" s="3">
        <f ca="1">IFERROR(__xludf.DUMMYFUNCTION("""COMPUTED_VALUE"""),140.35)</f>
        <v>140.35</v>
      </c>
      <c r="J508" s="3">
        <f ca="1">IFERROR(__xludf.DUMMYFUNCTION("""COMPUTED_VALUE"""),257.46)</f>
        <v>257.45999999999998</v>
      </c>
      <c r="K508" s="3">
        <f ca="1">IFERROR(__xludf.DUMMYFUNCTION("""COMPUTED_VALUE"""),139.39)</f>
        <v>139.38999999999999</v>
      </c>
      <c r="L508" s="3">
        <f ca="1">IFERROR(__xludf.DUMMYFUNCTION("""COMPUTED_VALUE"""),93.42)</f>
        <v>93.42</v>
      </c>
      <c r="M508" s="3">
        <f ca="1">IFERROR(__xludf.DUMMYFUNCTION("""COMPUTED_VALUE"""),66.64)</f>
        <v>66.64</v>
      </c>
      <c r="N508" s="3">
        <f ca="1">IFERROR(__xludf.DUMMYFUNCTION("""COMPUTED_VALUE"""),66.44)</f>
        <v>66.44</v>
      </c>
      <c r="O508" s="3">
        <f ca="1">IFERROR(__xludf.DUMMYFUNCTION("""COMPUTED_VALUE"""),46.76)</f>
        <v>46.76</v>
      </c>
      <c r="P508" s="3">
        <f ca="1">IFERROR(__xludf.DUMMYFUNCTION("""COMPUTED_VALUE"""),83.7)</f>
        <v>83.7</v>
      </c>
      <c r="Q508" s="3">
        <f ca="1">IFERROR(__xludf.DUMMYFUNCTION("""COMPUTED_VALUE"""),116.88)</f>
        <v>116.88</v>
      </c>
      <c r="R508" s="3">
        <f ca="1">IFERROR(__xludf.DUMMYFUNCTION("""COMPUTED_VALUE"""),84.7)</f>
        <v>84.7</v>
      </c>
      <c r="S508" s="3">
        <f ca="1">IFERROR(__xludf.DUMMYFUNCTION("""COMPUTED_VALUE"""),58.51)</f>
        <v>58.51</v>
      </c>
      <c r="T508" s="3">
        <f ca="1">IFERROR(__xludf.DUMMYFUNCTION("""COMPUTED_VALUE"""),21.81)</f>
        <v>21.81</v>
      </c>
      <c r="U508" s="3">
        <f ca="1">IFERROR(__xludf.DUMMYFUNCTION("""COMPUTED_VALUE"""),66.4)</f>
        <v>66.400000000000006</v>
      </c>
      <c r="V508" s="3">
        <f ca="1">IFERROR(__xludf.DUMMYFUNCTION("""COMPUTED_VALUE"""),48.29)</f>
        <v>48.29</v>
      </c>
      <c r="W508" s="3">
        <f ca="1">IFERROR(__xludf.DUMMYFUNCTION("""COMPUTED_VALUE"""),37.99)</f>
        <v>37.99</v>
      </c>
      <c r="X508" s="3">
        <f ca="1">IFERROR(__xludf.DUMMYFUNCTION("""COMPUTED_VALUE"""),92.73)</f>
        <v>92.73</v>
      </c>
      <c r="Y508" s="3">
        <f ca="1">IFERROR(__xludf.DUMMYFUNCTION("""COMPUTED_VALUE"""),46.09)</f>
        <v>46.09</v>
      </c>
      <c r="Z508" s="3">
        <f ca="1">IFERROR(__xludf.DUMMYFUNCTION("""COMPUTED_VALUE"""),86.08)</f>
        <v>86.08</v>
      </c>
      <c r="AA508" s="3">
        <f ca="1">IFERROR(__xludf.DUMMYFUNCTION("""COMPUTED_VALUE"""),39.83)</f>
        <v>39.83</v>
      </c>
      <c r="AB508" s="3">
        <f ca="1">IFERROR(__xludf.DUMMYFUNCTION("""COMPUTED_VALUE"""),52.21)</f>
        <v>52.21</v>
      </c>
      <c r="AC508" s="3">
        <f ca="1">IFERROR(__xludf.DUMMYFUNCTION("""COMPUTED_VALUE"""),59.26)</f>
        <v>59.26</v>
      </c>
      <c r="AD508" s="3">
        <f ca="1">IFERROR(__xludf.DUMMYFUNCTION("""COMPUTED_VALUE"""),14.27)</f>
        <v>14.27</v>
      </c>
      <c r="AE508" s="3">
        <f ca="1">IFERROR(__xludf.DUMMYFUNCTION("""COMPUTED_VALUE"""),22.85)</f>
        <v>22.85</v>
      </c>
      <c r="AF508" s="3">
        <f ca="1">IFERROR(__xludf.DUMMYFUNCTION("""COMPUTED_VALUE"""),4.46)</f>
        <v>4.46</v>
      </c>
      <c r="AG508" s="3">
        <f ca="1">IFERROR(__xludf.DUMMYFUNCTION("""COMPUTED_VALUE"""),45.66)</f>
        <v>45.66</v>
      </c>
    </row>
    <row r="509" spans="1:33" ht="12.75" x14ac:dyDescent="0.2">
      <c r="A509" s="4">
        <f ca="1">IFERROR(__xludf.DUMMYFUNCTION("""COMPUTED_VALUE"""),45300.6666666666)</f>
        <v>45300.666666666599</v>
      </c>
      <c r="B509" s="3">
        <f ca="1">IFERROR(__xludf.DUMMYFUNCTION("""COMPUTED_VALUE"""),189.04)</f>
        <v>189.04</v>
      </c>
      <c r="C509" s="3">
        <f ca="1">IFERROR(__xludf.DUMMYFUNCTION("""COMPUTED_VALUE"""),474.9)</f>
        <v>474.9</v>
      </c>
      <c r="D509" s="3">
        <f ca="1">IFERROR(__xludf.DUMMYFUNCTION("""COMPUTED_VALUE"""),123.14)</f>
        <v>123.14</v>
      </c>
      <c r="E509" s="3">
        <f ca="1">IFERROR(__xludf.DUMMYFUNCTION("""COMPUTED_VALUE"""),186.56)</f>
        <v>186.56</v>
      </c>
      <c r="F509" s="3">
        <f ca="1">IFERROR(__xludf.DUMMYFUNCTION("""COMPUTED_VALUE"""),60.43)</f>
        <v>60.43</v>
      </c>
      <c r="G509" s="3">
        <f ca="1">IFERROR(__xludf.DUMMYFUNCTION("""COMPUTED_VALUE"""),27.73)</f>
        <v>27.73</v>
      </c>
      <c r="H509" s="3">
        <f ca="1">IFERROR(__xludf.DUMMYFUNCTION("""COMPUTED_VALUE"""),26.41)</f>
        <v>26.41</v>
      </c>
      <c r="I509" s="3">
        <f ca="1">IFERROR(__xludf.DUMMYFUNCTION("""COMPUTED_VALUE"""),140.33)</f>
        <v>140.33000000000001</v>
      </c>
      <c r="J509" s="3">
        <f ca="1">IFERROR(__xludf.DUMMYFUNCTION("""COMPUTED_VALUE"""),257.55)</f>
        <v>257.55</v>
      </c>
      <c r="K509" s="3">
        <f ca="1">IFERROR(__xludf.DUMMYFUNCTION("""COMPUTED_VALUE"""),138.94)</f>
        <v>138.94</v>
      </c>
      <c r="L509" s="3">
        <f ca="1">IFERROR(__xludf.DUMMYFUNCTION("""COMPUTED_VALUE"""),93.6)</f>
        <v>93.6</v>
      </c>
      <c r="M509" s="3">
        <f ca="1">IFERROR(__xludf.DUMMYFUNCTION("""COMPUTED_VALUE"""),66.42)</f>
        <v>66.42</v>
      </c>
      <c r="N509" s="3">
        <f ca="1">IFERROR(__xludf.DUMMYFUNCTION("""COMPUTED_VALUE"""),66.4)</f>
        <v>66.400000000000006</v>
      </c>
      <c r="O509" s="3">
        <f ca="1">IFERROR(__xludf.DUMMYFUNCTION("""COMPUTED_VALUE"""),46.56)</f>
        <v>46.56</v>
      </c>
      <c r="P509" s="3">
        <f ca="1">IFERROR(__xludf.DUMMYFUNCTION("""COMPUTED_VALUE"""),82.36)</f>
        <v>82.36</v>
      </c>
      <c r="Q509" s="3">
        <f ca="1">IFERROR(__xludf.DUMMYFUNCTION("""COMPUTED_VALUE"""),115.07)</f>
        <v>115.07</v>
      </c>
      <c r="R509" s="3">
        <f ca="1">IFERROR(__xludf.DUMMYFUNCTION("""COMPUTED_VALUE"""),83.73)</f>
        <v>83.73</v>
      </c>
      <c r="S509" s="3">
        <f ca="1">IFERROR(__xludf.DUMMYFUNCTION("""COMPUTED_VALUE"""),57.66)</f>
        <v>57.66</v>
      </c>
      <c r="T509" s="3">
        <f ca="1">IFERROR(__xludf.DUMMYFUNCTION("""COMPUTED_VALUE"""),21.97)</f>
        <v>21.97</v>
      </c>
      <c r="U509" s="3">
        <f ca="1">IFERROR(__xludf.DUMMYFUNCTION("""COMPUTED_VALUE"""),67.39)</f>
        <v>67.39</v>
      </c>
      <c r="V509" s="3">
        <f ca="1">IFERROR(__xludf.DUMMYFUNCTION("""COMPUTED_VALUE"""),47.91)</f>
        <v>47.91</v>
      </c>
      <c r="W509" s="3">
        <f ca="1">IFERROR(__xludf.DUMMYFUNCTION("""COMPUTED_VALUE"""),37.75)</f>
        <v>37.75</v>
      </c>
      <c r="X509" s="3">
        <f ca="1">IFERROR(__xludf.DUMMYFUNCTION("""COMPUTED_VALUE"""),92.02)</f>
        <v>92.02</v>
      </c>
      <c r="Y509" s="3">
        <f ca="1">IFERROR(__xludf.DUMMYFUNCTION("""COMPUTED_VALUE"""),45.55)</f>
        <v>45.55</v>
      </c>
      <c r="Z509" s="3">
        <f ca="1">IFERROR(__xludf.DUMMYFUNCTION("""COMPUTED_VALUE"""),85.36)</f>
        <v>85.36</v>
      </c>
      <c r="AA509" s="3">
        <f ca="1">IFERROR(__xludf.DUMMYFUNCTION("""COMPUTED_VALUE"""),39.55)</f>
        <v>39.549999999999997</v>
      </c>
      <c r="AB509" s="3">
        <f ca="1">IFERROR(__xludf.DUMMYFUNCTION("""COMPUTED_VALUE"""),51.62)</f>
        <v>51.62</v>
      </c>
      <c r="AC509" s="3">
        <f ca="1">IFERROR(__xludf.DUMMYFUNCTION("""COMPUTED_VALUE"""),58.99)</f>
        <v>58.99</v>
      </c>
      <c r="AD509" s="3">
        <f ca="1">IFERROR(__xludf.DUMMYFUNCTION("""COMPUTED_VALUE"""),13.93)</f>
        <v>13.93</v>
      </c>
      <c r="AE509" s="3">
        <f ca="1">IFERROR(__xludf.DUMMYFUNCTION("""COMPUTED_VALUE"""),22.72)</f>
        <v>22.72</v>
      </c>
      <c r="AF509" s="3">
        <f ca="1">IFERROR(__xludf.DUMMYFUNCTION("""COMPUTED_VALUE"""),4.29)</f>
        <v>4.29</v>
      </c>
      <c r="AG509" s="3">
        <f ca="1">IFERROR(__xludf.DUMMYFUNCTION("""COMPUTED_VALUE"""),44.67)</f>
        <v>44.67</v>
      </c>
    </row>
    <row r="510" spans="1:33" ht="12.75" x14ac:dyDescent="0.2">
      <c r="A510" s="4">
        <f ca="1">IFERROR(__xludf.DUMMYFUNCTION("""COMPUTED_VALUE"""),45301.6666666666)</f>
        <v>45301.666666666599</v>
      </c>
      <c r="B510" s="3">
        <f ca="1">IFERROR(__xludf.DUMMYFUNCTION("""COMPUTED_VALUE"""),190.65)</f>
        <v>190.65</v>
      </c>
      <c r="C510" s="3">
        <f ca="1">IFERROR(__xludf.DUMMYFUNCTION("""COMPUTED_VALUE"""),478.93)</f>
        <v>478.93</v>
      </c>
      <c r="D510" s="3">
        <f ca="1">IFERROR(__xludf.DUMMYFUNCTION("""COMPUTED_VALUE"""),123.36)</f>
        <v>123.36</v>
      </c>
      <c r="E510" s="3">
        <f ca="1">IFERROR(__xludf.DUMMYFUNCTION("""COMPUTED_VALUE"""),185.93)</f>
        <v>185.93</v>
      </c>
      <c r="F510" s="3">
        <f ca="1">IFERROR(__xludf.DUMMYFUNCTION("""COMPUTED_VALUE"""),61.31)</f>
        <v>61.31</v>
      </c>
      <c r="G510" s="3">
        <f ca="1">IFERROR(__xludf.DUMMYFUNCTION("""COMPUTED_VALUE"""),28.41)</f>
        <v>28.41</v>
      </c>
      <c r="H510" s="3">
        <f ca="1">IFERROR(__xludf.DUMMYFUNCTION("""COMPUTED_VALUE"""),26.41)</f>
        <v>26.41</v>
      </c>
      <c r="I510" s="3">
        <f ca="1">IFERROR(__xludf.DUMMYFUNCTION("""COMPUTED_VALUE"""),140.97)</f>
        <v>140.97</v>
      </c>
      <c r="J510" s="3">
        <f ca="1">IFERROR(__xludf.DUMMYFUNCTION("""COMPUTED_VALUE"""),258.36)</f>
        <v>258.36</v>
      </c>
      <c r="K510" s="3">
        <f ca="1">IFERROR(__xludf.DUMMYFUNCTION("""COMPUTED_VALUE"""),137.96)</f>
        <v>137.96</v>
      </c>
      <c r="L510" s="3">
        <f ca="1">IFERROR(__xludf.DUMMYFUNCTION("""COMPUTED_VALUE"""),92.53)</f>
        <v>92.53</v>
      </c>
      <c r="M510" s="3">
        <f ca="1">IFERROR(__xludf.DUMMYFUNCTION("""COMPUTED_VALUE"""),65.58)</f>
        <v>65.58</v>
      </c>
      <c r="N510" s="3">
        <f ca="1">IFERROR(__xludf.DUMMYFUNCTION("""COMPUTED_VALUE"""),66.64)</f>
        <v>66.64</v>
      </c>
      <c r="O510" s="3">
        <f ca="1">IFERROR(__xludf.DUMMYFUNCTION("""COMPUTED_VALUE"""),46.48)</f>
        <v>46.48</v>
      </c>
      <c r="P510" s="3">
        <f ca="1">IFERROR(__xludf.DUMMYFUNCTION("""COMPUTED_VALUE"""),81.55)</f>
        <v>81.55</v>
      </c>
      <c r="Q510" s="3">
        <f ca="1">IFERROR(__xludf.DUMMYFUNCTION("""COMPUTED_VALUE"""),113.9)</f>
        <v>113.9</v>
      </c>
      <c r="R510" s="3">
        <f ca="1">IFERROR(__xludf.DUMMYFUNCTION("""COMPUTED_VALUE"""),83.62)</f>
        <v>83.62</v>
      </c>
      <c r="S510" s="3">
        <f ca="1">IFERROR(__xludf.DUMMYFUNCTION("""COMPUTED_VALUE"""),57.15)</f>
        <v>57.15</v>
      </c>
      <c r="T510" s="3">
        <f ca="1">IFERROR(__xludf.DUMMYFUNCTION("""COMPUTED_VALUE"""),21.82)</f>
        <v>21.82</v>
      </c>
      <c r="U510" s="3">
        <f ca="1">IFERROR(__xludf.DUMMYFUNCTION("""COMPUTED_VALUE"""),66.56)</f>
        <v>66.56</v>
      </c>
      <c r="V510" s="3">
        <f ca="1">IFERROR(__xludf.DUMMYFUNCTION("""COMPUTED_VALUE"""),48.26)</f>
        <v>48.26</v>
      </c>
      <c r="W510" s="3">
        <f ca="1">IFERROR(__xludf.DUMMYFUNCTION("""COMPUTED_VALUE"""),37.81)</f>
        <v>37.81</v>
      </c>
      <c r="X510" s="3">
        <f ca="1">IFERROR(__xludf.DUMMYFUNCTION("""COMPUTED_VALUE"""),92.23)</f>
        <v>92.23</v>
      </c>
      <c r="Y510" s="3">
        <f ca="1">IFERROR(__xludf.DUMMYFUNCTION("""COMPUTED_VALUE"""),45.66)</f>
        <v>45.66</v>
      </c>
      <c r="Z510" s="3">
        <f ca="1">IFERROR(__xludf.DUMMYFUNCTION("""COMPUTED_VALUE"""),85.55)</f>
        <v>85.55</v>
      </c>
      <c r="AA510" s="3">
        <f ca="1">IFERROR(__xludf.DUMMYFUNCTION("""COMPUTED_VALUE"""),39.61)</f>
        <v>39.61</v>
      </c>
      <c r="AB510" s="3">
        <f ca="1">IFERROR(__xludf.DUMMYFUNCTION("""COMPUTED_VALUE"""),51.74)</f>
        <v>51.74</v>
      </c>
      <c r="AC510" s="3">
        <f ca="1">IFERROR(__xludf.DUMMYFUNCTION("""COMPUTED_VALUE"""),58.54)</f>
        <v>58.54</v>
      </c>
      <c r="AD510" s="3">
        <f ca="1">IFERROR(__xludf.DUMMYFUNCTION("""COMPUTED_VALUE"""),14.52)</f>
        <v>14.52</v>
      </c>
      <c r="AE510" s="3">
        <f ca="1">IFERROR(__xludf.DUMMYFUNCTION("""COMPUTED_VALUE"""),22.36)</f>
        <v>22.36</v>
      </c>
      <c r="AF510" s="3">
        <f ca="1">IFERROR(__xludf.DUMMYFUNCTION("""COMPUTED_VALUE"""),4.52)</f>
        <v>4.5199999999999996</v>
      </c>
      <c r="AG510" s="3">
        <f ca="1">IFERROR(__xludf.DUMMYFUNCTION("""COMPUTED_VALUE"""),44.49)</f>
        <v>44.49</v>
      </c>
    </row>
    <row r="511" spans="1:33" ht="12.75" x14ac:dyDescent="0.2">
      <c r="A511" s="4">
        <f ca="1">IFERROR(__xludf.DUMMYFUNCTION("""COMPUTED_VALUE"""),45302.6666666666)</f>
        <v>45302.666666666599</v>
      </c>
      <c r="B511" s="3">
        <f ca="1">IFERROR(__xludf.DUMMYFUNCTION("""COMPUTED_VALUE"""),191.62)</f>
        <v>191.62</v>
      </c>
      <c r="C511" s="3">
        <f ca="1">IFERROR(__xludf.DUMMYFUNCTION("""COMPUTED_VALUE"""),480.61)</f>
        <v>480.61</v>
      </c>
      <c r="D511" s="3">
        <f ca="1">IFERROR(__xludf.DUMMYFUNCTION("""COMPUTED_VALUE"""),122.7)</f>
        <v>122.7</v>
      </c>
      <c r="E511" s="3">
        <f ca="1">IFERROR(__xludf.DUMMYFUNCTION("""COMPUTED_VALUE"""),186.62)</f>
        <v>186.62</v>
      </c>
      <c r="F511" s="3">
        <f ca="1">IFERROR(__xludf.DUMMYFUNCTION("""COMPUTED_VALUE"""),61.64)</f>
        <v>61.64</v>
      </c>
      <c r="G511" s="3">
        <f ca="1">IFERROR(__xludf.DUMMYFUNCTION("""COMPUTED_VALUE"""),28.68)</f>
        <v>28.68</v>
      </c>
      <c r="H511" s="3">
        <f ca="1">IFERROR(__xludf.DUMMYFUNCTION("""COMPUTED_VALUE"""),26.36)</f>
        <v>26.36</v>
      </c>
      <c r="I511" s="3">
        <f ca="1">IFERROR(__xludf.DUMMYFUNCTION("""COMPUTED_VALUE"""),140.87)</f>
        <v>140.87</v>
      </c>
      <c r="J511" s="3">
        <f ca="1">IFERROR(__xludf.DUMMYFUNCTION("""COMPUTED_VALUE"""),257.84)</f>
        <v>257.83999999999997</v>
      </c>
      <c r="K511" s="3">
        <f ca="1">IFERROR(__xludf.DUMMYFUNCTION("""COMPUTED_VALUE"""),136.88)</f>
        <v>136.88</v>
      </c>
      <c r="L511" s="3">
        <f ca="1">IFERROR(__xludf.DUMMYFUNCTION("""COMPUTED_VALUE"""),90.47)</f>
        <v>90.47</v>
      </c>
      <c r="M511" s="3">
        <f ca="1">IFERROR(__xludf.DUMMYFUNCTION("""COMPUTED_VALUE"""),65.33)</f>
        <v>65.33</v>
      </c>
      <c r="N511" s="3">
        <f ca="1">IFERROR(__xludf.DUMMYFUNCTION("""COMPUTED_VALUE"""),66.54)</f>
        <v>66.540000000000006</v>
      </c>
      <c r="O511" s="3">
        <f ca="1">IFERROR(__xludf.DUMMYFUNCTION("""COMPUTED_VALUE"""),45.88)</f>
        <v>45.88</v>
      </c>
      <c r="P511" s="3">
        <f ca="1">IFERROR(__xludf.DUMMYFUNCTION("""COMPUTED_VALUE"""),81.76)</f>
        <v>81.760000000000005</v>
      </c>
      <c r="Q511" s="3">
        <f ca="1">IFERROR(__xludf.DUMMYFUNCTION("""COMPUTED_VALUE"""),114.02)</f>
        <v>114.02</v>
      </c>
      <c r="R511" s="3">
        <f ca="1">IFERROR(__xludf.DUMMYFUNCTION("""COMPUTED_VALUE"""),83.37)</f>
        <v>83.37</v>
      </c>
      <c r="S511" s="3">
        <f ca="1">IFERROR(__xludf.DUMMYFUNCTION("""COMPUTED_VALUE"""),56.95)</f>
        <v>56.95</v>
      </c>
      <c r="T511" s="3">
        <f ca="1">IFERROR(__xludf.DUMMYFUNCTION("""COMPUTED_VALUE"""),21.98)</f>
        <v>21.98</v>
      </c>
      <c r="U511" s="3">
        <f ca="1">IFERROR(__xludf.DUMMYFUNCTION("""COMPUTED_VALUE"""),67.65)</f>
        <v>67.650000000000006</v>
      </c>
      <c r="V511" s="3">
        <f ca="1">IFERROR(__xludf.DUMMYFUNCTION("""COMPUTED_VALUE"""),47.01)</f>
        <v>47.01</v>
      </c>
      <c r="W511" s="3">
        <f ca="1">IFERROR(__xludf.DUMMYFUNCTION("""COMPUTED_VALUE"""),37.67)</f>
        <v>37.67</v>
      </c>
      <c r="X511" s="3">
        <f ca="1">IFERROR(__xludf.DUMMYFUNCTION("""COMPUTED_VALUE"""),91.77)</f>
        <v>91.77</v>
      </c>
      <c r="Y511" s="3">
        <f ca="1">IFERROR(__xludf.DUMMYFUNCTION("""COMPUTED_VALUE"""),45.18)</f>
        <v>45.18</v>
      </c>
      <c r="Z511" s="3">
        <f ca="1">IFERROR(__xludf.DUMMYFUNCTION("""COMPUTED_VALUE"""),85.06)</f>
        <v>85.06</v>
      </c>
      <c r="AA511" s="3">
        <f ca="1">IFERROR(__xludf.DUMMYFUNCTION("""COMPUTED_VALUE"""),39.24)</f>
        <v>39.24</v>
      </c>
      <c r="AB511" s="3">
        <f ca="1">IFERROR(__xludf.DUMMYFUNCTION("""COMPUTED_VALUE"""),51.06)</f>
        <v>51.06</v>
      </c>
      <c r="AC511" s="3">
        <f ca="1">IFERROR(__xludf.DUMMYFUNCTION("""COMPUTED_VALUE"""),58.34)</f>
        <v>58.34</v>
      </c>
      <c r="AD511" s="3">
        <f ca="1">IFERROR(__xludf.DUMMYFUNCTION("""COMPUTED_VALUE"""),14.94)</f>
        <v>14.94</v>
      </c>
      <c r="AE511" s="3">
        <f ca="1">IFERROR(__xludf.DUMMYFUNCTION("""COMPUTED_VALUE"""),22.33)</f>
        <v>22.33</v>
      </c>
      <c r="AF511" s="3">
        <f ca="1">IFERROR(__xludf.DUMMYFUNCTION("""COMPUTED_VALUE"""),4.41)</f>
        <v>4.41</v>
      </c>
      <c r="AG511" s="3">
        <f ca="1">IFERROR(__xludf.DUMMYFUNCTION("""COMPUTED_VALUE"""),40.68)</f>
        <v>40.68</v>
      </c>
    </row>
    <row r="512" spans="1:33" ht="12.75" x14ac:dyDescent="0.2">
      <c r="A512" s="4">
        <f ca="1">IFERROR(__xludf.DUMMYFUNCTION("""COMPUTED_VALUE"""),45303.6666666666)</f>
        <v>45303.666666666599</v>
      </c>
      <c r="B512" s="3">
        <f ca="1">IFERROR(__xludf.DUMMYFUNCTION("""COMPUTED_VALUE"""),192.24)</f>
        <v>192.24</v>
      </c>
      <c r="C512" s="3">
        <f ca="1">IFERROR(__xludf.DUMMYFUNCTION("""COMPUTED_VALUE"""),481.68)</f>
        <v>481.68</v>
      </c>
      <c r="D512" s="3">
        <f ca="1">IFERROR(__xludf.DUMMYFUNCTION("""COMPUTED_VALUE"""),125.06)</f>
        <v>125.06</v>
      </c>
      <c r="E512" s="3">
        <f ca="1">IFERROR(__xludf.DUMMYFUNCTION("""COMPUTED_VALUE"""),185.8)</f>
        <v>185.8</v>
      </c>
      <c r="F512" s="3">
        <f ca="1">IFERROR(__xludf.DUMMYFUNCTION("""COMPUTED_VALUE"""),62.08)</f>
        <v>62.08</v>
      </c>
      <c r="G512" s="3">
        <f ca="1">IFERROR(__xludf.DUMMYFUNCTION("""COMPUTED_VALUE"""),28.79)</f>
        <v>28.79</v>
      </c>
      <c r="H512" s="3">
        <f ca="1">IFERROR(__xludf.DUMMYFUNCTION("""COMPUTED_VALUE"""),26.24)</f>
        <v>26.24</v>
      </c>
      <c r="I512" s="3">
        <f ca="1">IFERROR(__xludf.DUMMYFUNCTION("""COMPUTED_VALUE"""),140.52)</f>
        <v>140.52000000000001</v>
      </c>
      <c r="J512" s="3">
        <f ca="1">IFERROR(__xludf.DUMMYFUNCTION("""COMPUTED_VALUE"""),257.2)</f>
        <v>257.2</v>
      </c>
      <c r="K512" s="3">
        <f ca="1">IFERROR(__xludf.DUMMYFUNCTION("""COMPUTED_VALUE"""),137.13)</f>
        <v>137.13</v>
      </c>
      <c r="L512" s="3">
        <f ca="1">IFERROR(__xludf.DUMMYFUNCTION("""COMPUTED_VALUE"""),90.42)</f>
        <v>90.42</v>
      </c>
      <c r="M512" s="3">
        <f ca="1">IFERROR(__xludf.DUMMYFUNCTION("""COMPUTED_VALUE"""),65)</f>
        <v>65</v>
      </c>
      <c r="N512" s="3">
        <f ca="1">IFERROR(__xludf.DUMMYFUNCTION("""COMPUTED_VALUE"""),66.33)</f>
        <v>66.33</v>
      </c>
      <c r="O512" s="3">
        <f ca="1">IFERROR(__xludf.DUMMYFUNCTION("""COMPUTED_VALUE"""),45.36)</f>
        <v>45.36</v>
      </c>
      <c r="P512" s="3">
        <f ca="1">IFERROR(__xludf.DUMMYFUNCTION("""COMPUTED_VALUE"""),82.68)</f>
        <v>82.68</v>
      </c>
      <c r="Q512" s="3">
        <f ca="1">IFERROR(__xludf.DUMMYFUNCTION("""COMPUTED_VALUE"""),115.53)</f>
        <v>115.53</v>
      </c>
      <c r="R512" s="3">
        <f ca="1">IFERROR(__xludf.DUMMYFUNCTION("""COMPUTED_VALUE"""),83.45)</f>
        <v>83.45</v>
      </c>
      <c r="S512" s="3">
        <f ca="1">IFERROR(__xludf.DUMMYFUNCTION("""COMPUTED_VALUE"""),57.53)</f>
        <v>57.53</v>
      </c>
      <c r="T512" s="3">
        <f ca="1">IFERROR(__xludf.DUMMYFUNCTION("""COMPUTED_VALUE"""),22.06)</f>
        <v>22.06</v>
      </c>
      <c r="U512" s="3">
        <f ca="1">IFERROR(__xludf.DUMMYFUNCTION("""COMPUTED_VALUE"""),68.02)</f>
        <v>68.02</v>
      </c>
      <c r="V512" s="3">
        <f ca="1">IFERROR(__xludf.DUMMYFUNCTION("""COMPUTED_VALUE"""),46.45)</f>
        <v>46.45</v>
      </c>
      <c r="W512" s="3">
        <f ca="1">IFERROR(__xludf.DUMMYFUNCTION("""COMPUTED_VALUE"""),37.6)</f>
        <v>37.6</v>
      </c>
      <c r="X512" s="3">
        <f ca="1">IFERROR(__xludf.DUMMYFUNCTION("""COMPUTED_VALUE"""),91.53)</f>
        <v>91.53</v>
      </c>
      <c r="Y512" s="3">
        <f ca="1">IFERROR(__xludf.DUMMYFUNCTION("""COMPUTED_VALUE"""),44.8)</f>
        <v>44.8</v>
      </c>
      <c r="Z512" s="3">
        <f ca="1">IFERROR(__xludf.DUMMYFUNCTION("""COMPUTED_VALUE"""),84.83)</f>
        <v>84.83</v>
      </c>
      <c r="AA512" s="3">
        <f ca="1">IFERROR(__xludf.DUMMYFUNCTION("""COMPUTED_VALUE"""),39.54)</f>
        <v>39.54</v>
      </c>
      <c r="AB512" s="3">
        <f ca="1">IFERROR(__xludf.DUMMYFUNCTION("""COMPUTED_VALUE"""),50.39)</f>
        <v>50.39</v>
      </c>
      <c r="AC512" s="3">
        <f ca="1">IFERROR(__xludf.DUMMYFUNCTION("""COMPUTED_VALUE"""),58.45)</f>
        <v>58.45</v>
      </c>
      <c r="AD512" s="3">
        <f ca="1">IFERROR(__xludf.DUMMYFUNCTION("""COMPUTED_VALUE"""),14.38)</f>
        <v>14.38</v>
      </c>
      <c r="AE512" s="3">
        <f ca="1">IFERROR(__xludf.DUMMYFUNCTION("""COMPUTED_VALUE"""),21.06)</f>
        <v>21.06</v>
      </c>
      <c r="AF512" s="3">
        <f ca="1">IFERROR(__xludf.DUMMYFUNCTION("""COMPUTED_VALUE"""),4.67)</f>
        <v>4.67</v>
      </c>
      <c r="AG512" s="3">
        <f ca="1">IFERROR(__xludf.DUMMYFUNCTION("""COMPUTED_VALUE"""),36.91)</f>
        <v>36.909999999999997</v>
      </c>
    </row>
    <row r="513" spans="1:33" ht="12.75" x14ac:dyDescent="0.2">
      <c r="A513" s="4">
        <f ca="1">IFERROR(__xludf.DUMMYFUNCTION("""COMPUTED_VALUE"""),45307.6666666666)</f>
        <v>45307.666666666599</v>
      </c>
      <c r="B513" s="3">
        <f ca="1">IFERROR(__xludf.DUMMYFUNCTION("""COMPUTED_VALUE"""),192.72)</f>
        <v>192.72</v>
      </c>
      <c r="C513" s="3">
        <f ca="1">IFERROR(__xludf.DUMMYFUNCTION("""COMPUTED_VALUE"""),482.39)</f>
        <v>482.39</v>
      </c>
      <c r="D513" s="3">
        <f ca="1">IFERROR(__xludf.DUMMYFUNCTION("""COMPUTED_VALUE"""),128.03)</f>
        <v>128.03</v>
      </c>
      <c r="E513" s="3">
        <f ca="1">IFERROR(__xludf.DUMMYFUNCTION("""COMPUTED_VALUE"""),188.43)</f>
        <v>188.43</v>
      </c>
      <c r="F513" s="3">
        <f ca="1">IFERROR(__xludf.DUMMYFUNCTION("""COMPUTED_VALUE"""),61.81)</f>
        <v>61.81</v>
      </c>
      <c r="G513" s="3">
        <f ca="1">IFERROR(__xludf.DUMMYFUNCTION("""COMPUTED_VALUE"""),28.59)</f>
        <v>28.59</v>
      </c>
      <c r="H513" s="3">
        <f ca="1">IFERROR(__xludf.DUMMYFUNCTION("""COMPUTED_VALUE"""),25.99)</f>
        <v>25.99</v>
      </c>
      <c r="I513" s="3">
        <f ca="1">IFERROR(__xludf.DUMMYFUNCTION("""COMPUTED_VALUE"""),139.68)</f>
        <v>139.68</v>
      </c>
      <c r="J513" s="3">
        <f ca="1">IFERROR(__xludf.DUMMYFUNCTION("""COMPUTED_VALUE"""),255.77)</f>
        <v>255.77</v>
      </c>
      <c r="K513" s="3">
        <f ca="1">IFERROR(__xludf.DUMMYFUNCTION("""COMPUTED_VALUE"""),135.93)</f>
        <v>135.93</v>
      </c>
      <c r="L513" s="3">
        <f ca="1">IFERROR(__xludf.DUMMYFUNCTION("""COMPUTED_VALUE"""),89.06)</f>
        <v>89.06</v>
      </c>
      <c r="M513" s="3">
        <f ca="1">IFERROR(__xludf.DUMMYFUNCTION("""COMPUTED_VALUE"""),64.89)</f>
        <v>64.89</v>
      </c>
      <c r="N513" s="3">
        <f ca="1">IFERROR(__xludf.DUMMYFUNCTION("""COMPUTED_VALUE"""),65.99)</f>
        <v>65.989999999999995</v>
      </c>
      <c r="O513" s="3">
        <f ca="1">IFERROR(__xludf.DUMMYFUNCTION("""COMPUTED_VALUE"""),44.56)</f>
        <v>44.56</v>
      </c>
      <c r="P513" s="3">
        <f ca="1">IFERROR(__xludf.DUMMYFUNCTION("""COMPUTED_VALUE"""),80.71)</f>
        <v>80.709999999999994</v>
      </c>
      <c r="Q513" s="3">
        <f ca="1">IFERROR(__xludf.DUMMYFUNCTION("""COMPUTED_VALUE"""),112.8)</f>
        <v>112.8</v>
      </c>
      <c r="R513" s="3">
        <f ca="1">IFERROR(__xludf.DUMMYFUNCTION("""COMPUTED_VALUE"""),82.49)</f>
        <v>82.49</v>
      </c>
      <c r="S513" s="3">
        <f ca="1">IFERROR(__xludf.DUMMYFUNCTION("""COMPUTED_VALUE"""),56.03)</f>
        <v>56.03</v>
      </c>
      <c r="T513" s="3">
        <f ca="1">IFERROR(__xludf.DUMMYFUNCTION("""COMPUTED_VALUE"""),21.87)</f>
        <v>21.87</v>
      </c>
      <c r="U513" s="3">
        <f ca="1">IFERROR(__xludf.DUMMYFUNCTION("""COMPUTED_VALUE"""),67.25)</f>
        <v>67.25</v>
      </c>
      <c r="V513" s="3">
        <f ca="1">IFERROR(__xludf.DUMMYFUNCTION("""COMPUTED_VALUE"""),44.27)</f>
        <v>44.27</v>
      </c>
      <c r="W513" s="3">
        <f ca="1">IFERROR(__xludf.DUMMYFUNCTION("""COMPUTED_VALUE"""),37.34)</f>
        <v>37.340000000000003</v>
      </c>
      <c r="X513" s="3">
        <f ca="1">IFERROR(__xludf.DUMMYFUNCTION("""COMPUTED_VALUE"""),90.89)</f>
        <v>90.89</v>
      </c>
      <c r="Y513" s="3">
        <f ca="1">IFERROR(__xludf.DUMMYFUNCTION("""COMPUTED_VALUE"""),44.14)</f>
        <v>44.14</v>
      </c>
      <c r="Z513" s="3">
        <f ca="1">IFERROR(__xludf.DUMMYFUNCTION("""COMPUTED_VALUE"""),84.21)</f>
        <v>84.21</v>
      </c>
      <c r="AA513" s="3">
        <f ca="1">IFERROR(__xludf.DUMMYFUNCTION("""COMPUTED_VALUE"""),39.3)</f>
        <v>39.299999999999997</v>
      </c>
      <c r="AB513" s="3">
        <f ca="1">IFERROR(__xludf.DUMMYFUNCTION("""COMPUTED_VALUE"""),49.54)</f>
        <v>49.54</v>
      </c>
      <c r="AC513" s="3">
        <f ca="1">IFERROR(__xludf.DUMMYFUNCTION("""COMPUTED_VALUE"""),59.37)</f>
        <v>59.37</v>
      </c>
      <c r="AD513" s="3">
        <f ca="1">IFERROR(__xludf.DUMMYFUNCTION("""COMPUTED_VALUE"""),14.33)</f>
        <v>14.33</v>
      </c>
      <c r="AE513" s="3">
        <f ca="1">IFERROR(__xludf.DUMMYFUNCTION("""COMPUTED_VALUE"""),20.91)</f>
        <v>20.91</v>
      </c>
      <c r="AF513" s="3">
        <f ca="1">IFERROR(__xludf.DUMMYFUNCTION("""COMPUTED_VALUE"""),4.11)</f>
        <v>4.1100000000000003</v>
      </c>
      <c r="AG513" s="3">
        <f ca="1">IFERROR(__xludf.DUMMYFUNCTION("""COMPUTED_VALUE"""),35.17)</f>
        <v>35.17</v>
      </c>
    </row>
    <row r="514" spans="1:33" ht="12.75" x14ac:dyDescent="0.2">
      <c r="A514" s="4">
        <f ca="1">IFERROR(__xludf.DUMMYFUNCTION("""COMPUTED_VALUE"""),45308.6666666666)</f>
        <v>45308.666666666599</v>
      </c>
      <c r="B514" s="3">
        <f ca="1">IFERROR(__xludf.DUMMYFUNCTION("""COMPUTED_VALUE"""),191.77)</f>
        <v>191.77</v>
      </c>
      <c r="C514" s="3">
        <f ca="1">IFERROR(__xludf.DUMMYFUNCTION("""COMPUTED_VALUE"""),479.75)</f>
        <v>479.75</v>
      </c>
      <c r="D514" s="3">
        <f ca="1">IFERROR(__xludf.DUMMYFUNCTION("""COMPUTED_VALUE"""),128.57)</f>
        <v>128.57</v>
      </c>
      <c r="E514" s="3">
        <f ca="1">IFERROR(__xludf.DUMMYFUNCTION("""COMPUTED_VALUE"""),186.7)</f>
        <v>186.7</v>
      </c>
      <c r="F514" s="3">
        <f ca="1">IFERROR(__xludf.DUMMYFUNCTION("""COMPUTED_VALUE"""),61.4)</f>
        <v>61.4</v>
      </c>
      <c r="G514" s="3">
        <f ca="1">IFERROR(__xludf.DUMMYFUNCTION("""COMPUTED_VALUE"""),28.14)</f>
        <v>28.14</v>
      </c>
      <c r="H514" s="3">
        <f ca="1">IFERROR(__xludf.DUMMYFUNCTION("""COMPUTED_VALUE"""),25.8)</f>
        <v>25.8</v>
      </c>
      <c r="I514" s="3">
        <f ca="1">IFERROR(__xludf.DUMMYFUNCTION("""COMPUTED_VALUE"""),139.4)</f>
        <v>139.4</v>
      </c>
      <c r="J514" s="3">
        <f ca="1">IFERROR(__xludf.DUMMYFUNCTION("""COMPUTED_VALUE"""),254.89)</f>
        <v>254.89</v>
      </c>
      <c r="K514" s="3">
        <f ca="1">IFERROR(__xludf.DUMMYFUNCTION("""COMPUTED_VALUE"""),135.02)</f>
        <v>135.02000000000001</v>
      </c>
      <c r="L514" s="3">
        <f ca="1">IFERROR(__xludf.DUMMYFUNCTION("""COMPUTED_VALUE"""),88.34)</f>
        <v>88.34</v>
      </c>
      <c r="M514" s="3">
        <f ca="1">IFERROR(__xludf.DUMMYFUNCTION("""COMPUTED_VALUE"""),64.41)</f>
        <v>64.41</v>
      </c>
      <c r="N514" s="3">
        <f ca="1">IFERROR(__xludf.DUMMYFUNCTION("""COMPUTED_VALUE"""),65.79)</f>
        <v>65.790000000000006</v>
      </c>
      <c r="O514" s="3">
        <f ca="1">IFERROR(__xludf.DUMMYFUNCTION("""COMPUTED_VALUE"""),43.77)</f>
        <v>43.77</v>
      </c>
      <c r="P514" s="3">
        <f ca="1">IFERROR(__xludf.DUMMYFUNCTION("""COMPUTED_VALUE"""),80.04)</f>
        <v>80.040000000000006</v>
      </c>
      <c r="Q514" s="3">
        <f ca="1">IFERROR(__xludf.DUMMYFUNCTION("""COMPUTED_VALUE"""),111.88)</f>
        <v>111.88</v>
      </c>
      <c r="R514" s="3">
        <f ca="1">IFERROR(__xludf.DUMMYFUNCTION("""COMPUTED_VALUE"""),81.89)</f>
        <v>81.89</v>
      </c>
      <c r="S514" s="3">
        <f ca="1">IFERROR(__xludf.DUMMYFUNCTION("""COMPUTED_VALUE"""),55.6)</f>
        <v>55.6</v>
      </c>
      <c r="T514" s="3">
        <f ca="1">IFERROR(__xludf.DUMMYFUNCTION("""COMPUTED_VALUE"""),21.84)</f>
        <v>21.84</v>
      </c>
      <c r="U514" s="3">
        <f ca="1">IFERROR(__xludf.DUMMYFUNCTION("""COMPUTED_VALUE"""),67.94)</f>
        <v>67.94</v>
      </c>
      <c r="V514" s="3">
        <f ca="1">IFERROR(__xludf.DUMMYFUNCTION("""COMPUTED_VALUE"""),42.89)</f>
        <v>42.89</v>
      </c>
      <c r="W514" s="3">
        <f ca="1">IFERROR(__xludf.DUMMYFUNCTION("""COMPUTED_VALUE"""),37.27)</f>
        <v>37.270000000000003</v>
      </c>
      <c r="X514" s="3">
        <f ca="1">IFERROR(__xludf.DUMMYFUNCTION("""COMPUTED_VALUE"""),90.62)</f>
        <v>90.62</v>
      </c>
      <c r="Y514" s="3">
        <f ca="1">IFERROR(__xludf.DUMMYFUNCTION("""COMPUTED_VALUE"""),43.95)</f>
        <v>43.95</v>
      </c>
      <c r="Z514" s="3">
        <f ca="1">IFERROR(__xludf.DUMMYFUNCTION("""COMPUTED_VALUE"""),83.91)</f>
        <v>83.91</v>
      </c>
      <c r="AA514" s="3">
        <f ca="1">IFERROR(__xludf.DUMMYFUNCTION("""COMPUTED_VALUE"""),38.58)</f>
        <v>38.58</v>
      </c>
      <c r="AB514" s="3">
        <f ca="1">IFERROR(__xludf.DUMMYFUNCTION("""COMPUTED_VALUE"""),49.33)</f>
        <v>49.33</v>
      </c>
      <c r="AC514" s="3">
        <f ca="1">IFERROR(__xludf.DUMMYFUNCTION("""COMPUTED_VALUE"""),59.7)</f>
        <v>59.7</v>
      </c>
      <c r="AD514" s="3">
        <f ca="1">IFERROR(__xludf.DUMMYFUNCTION("""COMPUTED_VALUE"""),14.13)</f>
        <v>14.13</v>
      </c>
      <c r="AE514" s="3">
        <f ca="1">IFERROR(__xludf.DUMMYFUNCTION("""COMPUTED_VALUE"""),20.68)</f>
        <v>20.68</v>
      </c>
      <c r="AF514" s="3">
        <f ca="1">IFERROR(__xludf.DUMMYFUNCTION("""COMPUTED_VALUE"""),3.73)</f>
        <v>3.73</v>
      </c>
      <c r="AG514" s="3">
        <f ca="1">IFERROR(__xludf.DUMMYFUNCTION("""COMPUTED_VALUE"""),33.91)</f>
        <v>33.909999999999997</v>
      </c>
    </row>
    <row r="515" spans="1:33" ht="12.75" x14ac:dyDescent="0.2">
      <c r="A515" s="4">
        <f ca="1">IFERROR(__xludf.DUMMYFUNCTION("""COMPUTED_VALUE"""),45309.6666666666)</f>
        <v>45309.666666666599</v>
      </c>
      <c r="B515" s="3">
        <f ca="1">IFERROR(__xludf.DUMMYFUNCTION("""COMPUTED_VALUE"""),195.66)</f>
        <v>195.66</v>
      </c>
      <c r="C515" s="3">
        <f ca="1">IFERROR(__xludf.DUMMYFUNCTION("""COMPUTED_VALUE"""),489.08)</f>
        <v>489.08</v>
      </c>
      <c r="D515" s="3">
        <f ca="1">IFERROR(__xludf.DUMMYFUNCTION("""COMPUTED_VALUE"""),129.1)</f>
        <v>129.1</v>
      </c>
      <c r="E515" s="3">
        <f ca="1">IFERROR(__xludf.DUMMYFUNCTION("""COMPUTED_VALUE"""),192.87)</f>
        <v>192.87</v>
      </c>
      <c r="F515" s="3">
        <f ca="1">IFERROR(__xludf.DUMMYFUNCTION("""COMPUTED_VALUE"""),61.97)</f>
        <v>61.97</v>
      </c>
      <c r="G515" s="3">
        <f ca="1">IFERROR(__xludf.DUMMYFUNCTION("""COMPUTED_VALUE"""),28.45)</f>
        <v>28.45</v>
      </c>
      <c r="H515" s="3">
        <f ca="1">IFERROR(__xludf.DUMMYFUNCTION("""COMPUTED_VALUE"""),26.05)</f>
        <v>26.05</v>
      </c>
      <c r="I515" s="3">
        <f ca="1">IFERROR(__xludf.DUMMYFUNCTION("""COMPUTED_VALUE"""),139.38)</f>
        <v>139.38</v>
      </c>
      <c r="J515" s="3">
        <f ca="1">IFERROR(__xludf.DUMMYFUNCTION("""COMPUTED_VALUE"""),254.99)</f>
        <v>254.99</v>
      </c>
      <c r="K515" s="3">
        <f ca="1">IFERROR(__xludf.DUMMYFUNCTION("""COMPUTED_VALUE"""),134.55)</f>
        <v>134.55000000000001</v>
      </c>
      <c r="L515" s="3">
        <f ca="1">IFERROR(__xludf.DUMMYFUNCTION("""COMPUTED_VALUE"""),87.06)</f>
        <v>87.06</v>
      </c>
      <c r="M515" s="3">
        <f ca="1">IFERROR(__xludf.DUMMYFUNCTION("""COMPUTED_VALUE"""),64.28)</f>
        <v>64.28</v>
      </c>
      <c r="N515" s="3">
        <f ca="1">IFERROR(__xludf.DUMMYFUNCTION("""COMPUTED_VALUE"""),65.73)</f>
        <v>65.73</v>
      </c>
      <c r="O515" s="3">
        <f ca="1">IFERROR(__xludf.DUMMYFUNCTION("""COMPUTED_VALUE"""),43.48)</f>
        <v>43.48</v>
      </c>
      <c r="P515" s="3">
        <f ca="1">IFERROR(__xludf.DUMMYFUNCTION("""COMPUTED_VALUE"""),79.91)</f>
        <v>79.91</v>
      </c>
      <c r="Q515" s="3">
        <f ca="1">IFERROR(__xludf.DUMMYFUNCTION("""COMPUTED_VALUE"""),111.77)</f>
        <v>111.77</v>
      </c>
      <c r="R515" s="3">
        <f ca="1">IFERROR(__xludf.DUMMYFUNCTION("""COMPUTED_VALUE"""),82.15)</f>
        <v>82.15</v>
      </c>
      <c r="S515" s="3">
        <f ca="1">IFERROR(__xludf.DUMMYFUNCTION("""COMPUTED_VALUE"""),56.22)</f>
        <v>56.22</v>
      </c>
      <c r="T515" s="3">
        <f ca="1">IFERROR(__xludf.DUMMYFUNCTION("""COMPUTED_VALUE"""),21.98)</f>
        <v>21.98</v>
      </c>
      <c r="U515" s="3">
        <f ca="1">IFERROR(__xludf.DUMMYFUNCTION("""COMPUTED_VALUE"""),69.06)</f>
        <v>69.06</v>
      </c>
      <c r="V515" s="3">
        <f ca="1">IFERROR(__xludf.DUMMYFUNCTION("""COMPUTED_VALUE"""),43.27)</f>
        <v>43.27</v>
      </c>
      <c r="W515" s="3">
        <f ca="1">IFERROR(__xludf.DUMMYFUNCTION("""COMPUTED_VALUE"""),37.33)</f>
        <v>37.33</v>
      </c>
      <c r="X515" s="3">
        <f ca="1">IFERROR(__xludf.DUMMYFUNCTION("""COMPUTED_VALUE"""),90.85)</f>
        <v>90.85</v>
      </c>
      <c r="Y515" s="3">
        <f ca="1">IFERROR(__xludf.DUMMYFUNCTION("""COMPUTED_VALUE"""),44.18)</f>
        <v>44.18</v>
      </c>
      <c r="Z515" s="3">
        <f ca="1">IFERROR(__xludf.DUMMYFUNCTION("""COMPUTED_VALUE"""),84.06)</f>
        <v>84.06</v>
      </c>
      <c r="AA515" s="3">
        <f ca="1">IFERROR(__xludf.DUMMYFUNCTION("""COMPUTED_VALUE"""),38.33)</f>
        <v>38.33</v>
      </c>
      <c r="AB515" s="3">
        <f ca="1">IFERROR(__xludf.DUMMYFUNCTION("""COMPUTED_VALUE"""),49.77)</f>
        <v>49.77</v>
      </c>
      <c r="AC515" s="3">
        <f ca="1">IFERROR(__xludf.DUMMYFUNCTION("""COMPUTED_VALUE"""),59.76)</f>
        <v>59.76</v>
      </c>
      <c r="AD515" s="3">
        <f ca="1">IFERROR(__xludf.DUMMYFUNCTION("""COMPUTED_VALUE"""),13.57)</f>
        <v>13.57</v>
      </c>
      <c r="AE515" s="3">
        <f ca="1">IFERROR(__xludf.DUMMYFUNCTION("""COMPUTED_VALUE"""),19.72)</f>
        <v>19.72</v>
      </c>
      <c r="AF515" s="3">
        <f ca="1">IFERROR(__xludf.DUMMYFUNCTION("""COMPUTED_VALUE"""),3.74)</f>
        <v>3.74</v>
      </c>
      <c r="AG515" s="3">
        <f ca="1">IFERROR(__xludf.DUMMYFUNCTION("""COMPUTED_VALUE"""),32.01)</f>
        <v>32.01</v>
      </c>
    </row>
    <row r="516" spans="1:33" ht="12.75" x14ac:dyDescent="0.2">
      <c r="A516" s="4">
        <f ca="1">IFERROR(__xludf.DUMMYFUNCTION("""COMPUTED_VALUE"""),45310.6666666666)</f>
        <v>45310.666666666599</v>
      </c>
      <c r="B516" s="3">
        <f ca="1">IFERROR(__xludf.DUMMYFUNCTION("""COMPUTED_VALUE"""),200.17)</f>
        <v>200.17</v>
      </c>
      <c r="C516" s="3">
        <f ca="1">IFERROR(__xludf.DUMMYFUNCTION("""COMPUTED_VALUE"""),499.7)</f>
        <v>499.7</v>
      </c>
      <c r="D516" s="3">
        <f ca="1">IFERROR(__xludf.DUMMYFUNCTION("""COMPUTED_VALUE"""),130.03)</f>
        <v>130.03</v>
      </c>
      <c r="E516" s="3">
        <f ca="1">IFERROR(__xludf.DUMMYFUNCTION("""COMPUTED_VALUE"""),200.41)</f>
        <v>200.41</v>
      </c>
      <c r="F516" s="3">
        <f ca="1">IFERROR(__xludf.DUMMYFUNCTION("""COMPUTED_VALUE"""),62.28)</f>
        <v>62.28</v>
      </c>
      <c r="G516" s="3">
        <f ca="1">IFERROR(__xludf.DUMMYFUNCTION("""COMPUTED_VALUE"""),28.71)</f>
        <v>28.71</v>
      </c>
      <c r="H516" s="3">
        <f ca="1">IFERROR(__xludf.DUMMYFUNCTION("""COMPUTED_VALUE"""),26.33)</f>
        <v>26.33</v>
      </c>
      <c r="I516" s="3">
        <f ca="1">IFERROR(__xludf.DUMMYFUNCTION("""COMPUTED_VALUE"""),139.46)</f>
        <v>139.46</v>
      </c>
      <c r="J516" s="3">
        <f ca="1">IFERROR(__xludf.DUMMYFUNCTION("""COMPUTED_VALUE"""),255.27)</f>
        <v>255.27</v>
      </c>
      <c r="K516" s="3">
        <f ca="1">IFERROR(__xludf.DUMMYFUNCTION("""COMPUTED_VALUE"""),135.18)</f>
        <v>135.18</v>
      </c>
      <c r="L516" s="3">
        <f ca="1">IFERROR(__xludf.DUMMYFUNCTION("""COMPUTED_VALUE"""),87.05)</f>
        <v>87.05</v>
      </c>
      <c r="M516" s="3">
        <f ca="1">IFERROR(__xludf.DUMMYFUNCTION("""COMPUTED_VALUE"""),64.49)</f>
        <v>64.489999999999995</v>
      </c>
      <c r="N516" s="3">
        <f ca="1">IFERROR(__xludf.DUMMYFUNCTION("""COMPUTED_VALUE"""),65.79)</f>
        <v>65.790000000000006</v>
      </c>
      <c r="O516" s="3">
        <f ca="1">IFERROR(__xludf.DUMMYFUNCTION("""COMPUTED_VALUE"""),43.4)</f>
        <v>43.4</v>
      </c>
      <c r="P516" s="3">
        <f ca="1">IFERROR(__xludf.DUMMYFUNCTION("""COMPUTED_VALUE"""),80.17)</f>
        <v>80.17</v>
      </c>
      <c r="Q516" s="3">
        <f ca="1">IFERROR(__xludf.DUMMYFUNCTION("""COMPUTED_VALUE"""),112.05)</f>
        <v>112.05</v>
      </c>
      <c r="R516" s="3">
        <f ca="1">IFERROR(__xludf.DUMMYFUNCTION("""COMPUTED_VALUE"""),82.23)</f>
        <v>82.23</v>
      </c>
      <c r="S516" s="3">
        <f ca="1">IFERROR(__xludf.DUMMYFUNCTION("""COMPUTED_VALUE"""),56.41)</f>
        <v>56.41</v>
      </c>
      <c r="T516" s="3">
        <f ca="1">IFERROR(__xludf.DUMMYFUNCTION("""COMPUTED_VALUE"""),21.94)</f>
        <v>21.94</v>
      </c>
      <c r="U516" s="3">
        <f ca="1">IFERROR(__xludf.DUMMYFUNCTION("""COMPUTED_VALUE"""),68.82)</f>
        <v>68.819999999999993</v>
      </c>
      <c r="V516" s="3">
        <f ca="1">IFERROR(__xludf.DUMMYFUNCTION("""COMPUTED_VALUE"""),42.9)</f>
        <v>42.9</v>
      </c>
      <c r="W516" s="3">
        <f ca="1">IFERROR(__xludf.DUMMYFUNCTION("""COMPUTED_VALUE"""),37.93)</f>
        <v>37.93</v>
      </c>
      <c r="X516" s="3">
        <f ca="1">IFERROR(__xludf.DUMMYFUNCTION("""COMPUTED_VALUE"""),92.4)</f>
        <v>92.4</v>
      </c>
      <c r="Y516" s="3">
        <f ca="1">IFERROR(__xludf.DUMMYFUNCTION("""COMPUTED_VALUE"""),45.26)</f>
        <v>45.26</v>
      </c>
      <c r="Z516" s="3">
        <f ca="1">IFERROR(__xludf.DUMMYFUNCTION("""COMPUTED_VALUE"""),85.53)</f>
        <v>85.53</v>
      </c>
      <c r="AA516" s="3">
        <f ca="1">IFERROR(__xludf.DUMMYFUNCTION("""COMPUTED_VALUE"""),38.7)</f>
        <v>38.700000000000003</v>
      </c>
      <c r="AB516" s="3">
        <f ca="1">IFERROR(__xludf.DUMMYFUNCTION("""COMPUTED_VALUE"""),51.03)</f>
        <v>51.03</v>
      </c>
      <c r="AC516" s="3">
        <f ca="1">IFERROR(__xludf.DUMMYFUNCTION("""COMPUTED_VALUE"""),60.03)</f>
        <v>60.03</v>
      </c>
      <c r="AD516" s="3">
        <f ca="1">IFERROR(__xludf.DUMMYFUNCTION("""COMPUTED_VALUE"""),13.76)</f>
        <v>13.76</v>
      </c>
      <c r="AE516" s="3">
        <f ca="1">IFERROR(__xludf.DUMMYFUNCTION("""COMPUTED_VALUE"""),20.09)</f>
        <v>20.09</v>
      </c>
      <c r="AF516" s="3">
        <f ca="1">IFERROR(__xludf.DUMMYFUNCTION("""COMPUTED_VALUE"""),3.7)</f>
        <v>3.7</v>
      </c>
      <c r="AG516" s="3">
        <f ca="1">IFERROR(__xludf.DUMMYFUNCTION("""COMPUTED_VALUE"""),31.96)</f>
        <v>31.96</v>
      </c>
    </row>
    <row r="517" spans="1:33" ht="12.75" x14ac:dyDescent="0.2">
      <c r="A517" s="4">
        <f ca="1">IFERROR(__xludf.DUMMYFUNCTION("""COMPUTED_VALUE"""),45313.6666666666)</f>
        <v>45313.666666666599</v>
      </c>
      <c r="B517" s="3">
        <f ca="1">IFERROR(__xludf.DUMMYFUNCTION("""COMPUTED_VALUE"""),201.05)</f>
        <v>201.05</v>
      </c>
      <c r="C517" s="3">
        <f ca="1">IFERROR(__xludf.DUMMYFUNCTION("""COMPUTED_VALUE"""),502.96)</f>
        <v>502.96</v>
      </c>
      <c r="D517" s="3">
        <f ca="1">IFERROR(__xludf.DUMMYFUNCTION("""COMPUTED_VALUE"""),130.61)</f>
        <v>130.61000000000001</v>
      </c>
      <c r="E517" s="3">
        <f ca="1">IFERROR(__xludf.DUMMYFUNCTION("""COMPUTED_VALUE"""),201.07)</f>
        <v>201.07</v>
      </c>
      <c r="F517" s="3">
        <f ca="1">IFERROR(__xludf.DUMMYFUNCTION("""COMPUTED_VALUE"""),63.39)</f>
        <v>63.39</v>
      </c>
      <c r="G517" s="3">
        <f ca="1">IFERROR(__xludf.DUMMYFUNCTION("""COMPUTED_VALUE"""),29.07)</f>
        <v>29.07</v>
      </c>
      <c r="H517" s="3">
        <f ca="1">IFERROR(__xludf.DUMMYFUNCTION("""COMPUTED_VALUE"""),26.62)</f>
        <v>26.62</v>
      </c>
      <c r="I517" s="3">
        <f ca="1">IFERROR(__xludf.DUMMYFUNCTION("""COMPUTED_VALUE"""),140.07)</f>
        <v>140.07</v>
      </c>
      <c r="J517" s="3">
        <f ca="1">IFERROR(__xludf.DUMMYFUNCTION("""COMPUTED_VALUE"""),256.58)</f>
        <v>256.58</v>
      </c>
      <c r="K517" s="3">
        <f ca="1">IFERROR(__xludf.DUMMYFUNCTION("""COMPUTED_VALUE"""),135.62)</f>
        <v>135.62</v>
      </c>
      <c r="L517" s="3">
        <f ca="1">IFERROR(__xludf.DUMMYFUNCTION("""COMPUTED_VALUE"""),89.01)</f>
        <v>89.01</v>
      </c>
      <c r="M517" s="3">
        <f ca="1">IFERROR(__xludf.DUMMYFUNCTION("""COMPUTED_VALUE"""),65.57)</f>
        <v>65.569999999999993</v>
      </c>
      <c r="N517" s="3">
        <f ca="1">IFERROR(__xludf.DUMMYFUNCTION("""COMPUTED_VALUE"""),66.15)</f>
        <v>66.150000000000006</v>
      </c>
      <c r="O517" s="3">
        <f ca="1">IFERROR(__xludf.DUMMYFUNCTION("""COMPUTED_VALUE"""),44.2)</f>
        <v>44.2</v>
      </c>
      <c r="P517" s="3">
        <f ca="1">IFERROR(__xludf.DUMMYFUNCTION("""COMPUTED_VALUE"""),80.47)</f>
        <v>80.47</v>
      </c>
      <c r="Q517" s="3">
        <f ca="1">IFERROR(__xludf.DUMMYFUNCTION("""COMPUTED_VALUE"""),112.5)</f>
        <v>112.5</v>
      </c>
      <c r="R517" s="3">
        <f ca="1">IFERROR(__xludf.DUMMYFUNCTION("""COMPUTED_VALUE"""),82.47)</f>
        <v>82.47</v>
      </c>
      <c r="S517" s="3">
        <f ca="1">IFERROR(__xludf.DUMMYFUNCTION("""COMPUTED_VALUE"""),56.83)</f>
        <v>56.83</v>
      </c>
      <c r="T517" s="3">
        <f ca="1">IFERROR(__xludf.DUMMYFUNCTION("""COMPUTED_VALUE"""),22.03)</f>
        <v>22.03</v>
      </c>
      <c r="U517" s="3">
        <f ca="1">IFERROR(__xludf.DUMMYFUNCTION("""COMPUTED_VALUE"""),69.69)</f>
        <v>69.69</v>
      </c>
      <c r="V517" s="3">
        <f ca="1">IFERROR(__xludf.DUMMYFUNCTION("""COMPUTED_VALUE"""),43.56)</f>
        <v>43.56</v>
      </c>
      <c r="W517" s="3">
        <f ca="1">IFERROR(__xludf.DUMMYFUNCTION("""COMPUTED_VALUE"""),38.11)</f>
        <v>38.11</v>
      </c>
      <c r="X517" s="3">
        <f ca="1">IFERROR(__xludf.DUMMYFUNCTION("""COMPUTED_VALUE"""),92.98)</f>
        <v>92.98</v>
      </c>
      <c r="Y517" s="3">
        <f ca="1">IFERROR(__xludf.DUMMYFUNCTION("""COMPUTED_VALUE"""),45.98)</f>
        <v>45.98</v>
      </c>
      <c r="Z517" s="3">
        <f ca="1">IFERROR(__xludf.DUMMYFUNCTION("""COMPUTED_VALUE"""),85.92)</f>
        <v>85.92</v>
      </c>
      <c r="AA517" s="3">
        <f ca="1">IFERROR(__xludf.DUMMYFUNCTION("""COMPUTED_VALUE"""),38.88)</f>
        <v>38.880000000000003</v>
      </c>
      <c r="AB517" s="3">
        <f ca="1">IFERROR(__xludf.DUMMYFUNCTION("""COMPUTED_VALUE"""),52.16)</f>
        <v>52.16</v>
      </c>
      <c r="AC517" s="3">
        <f ca="1">IFERROR(__xludf.DUMMYFUNCTION("""COMPUTED_VALUE"""),60.5)</f>
        <v>60.5</v>
      </c>
      <c r="AD517" s="3">
        <f ca="1">IFERROR(__xludf.DUMMYFUNCTION("""COMPUTED_VALUE"""),13.13)</f>
        <v>13.13</v>
      </c>
      <c r="AE517" s="3">
        <f ca="1">IFERROR(__xludf.DUMMYFUNCTION("""COMPUTED_VALUE"""),19.39)</f>
        <v>19.39</v>
      </c>
      <c r="AF517" s="3">
        <f ca="1">IFERROR(__xludf.DUMMYFUNCTION("""COMPUTED_VALUE"""),3.63)</f>
        <v>3.63</v>
      </c>
      <c r="AG517" s="3">
        <f ca="1">IFERROR(__xludf.DUMMYFUNCTION("""COMPUTED_VALUE"""),32.51)</f>
        <v>32.51</v>
      </c>
    </row>
    <row r="518" spans="1:33" ht="12.75" x14ac:dyDescent="0.2">
      <c r="A518" s="4">
        <f ca="1">IFERROR(__xludf.DUMMYFUNCTION("""COMPUTED_VALUE"""),45314.6666666666)</f>
        <v>45314.666666666599</v>
      </c>
      <c r="B518" s="3">
        <f ca="1">IFERROR(__xludf.DUMMYFUNCTION("""COMPUTED_VALUE"""),201.86)</f>
        <v>201.86</v>
      </c>
      <c r="C518" s="3">
        <f ca="1">IFERROR(__xludf.DUMMYFUNCTION("""COMPUTED_VALUE"""),505.05)</f>
        <v>505.05</v>
      </c>
      <c r="D518" s="3">
        <f ca="1">IFERROR(__xludf.DUMMYFUNCTION("""COMPUTED_VALUE"""),129.4)</f>
        <v>129.4</v>
      </c>
      <c r="E518" s="3">
        <f ca="1">IFERROR(__xludf.DUMMYFUNCTION("""COMPUTED_VALUE"""),202.4)</f>
        <v>202.4</v>
      </c>
      <c r="F518" s="3">
        <f ca="1">IFERROR(__xludf.DUMMYFUNCTION("""COMPUTED_VALUE"""),63.36)</f>
        <v>63.36</v>
      </c>
      <c r="G518" s="3">
        <f ca="1">IFERROR(__xludf.DUMMYFUNCTION("""COMPUTED_VALUE"""),29.05)</f>
        <v>29.05</v>
      </c>
      <c r="H518" s="3">
        <f ca="1">IFERROR(__xludf.DUMMYFUNCTION("""COMPUTED_VALUE"""),26.78)</f>
        <v>26.78</v>
      </c>
      <c r="I518" s="3">
        <f ca="1">IFERROR(__xludf.DUMMYFUNCTION("""COMPUTED_VALUE"""),139.97)</f>
        <v>139.97</v>
      </c>
      <c r="J518" s="3">
        <f ca="1">IFERROR(__xludf.DUMMYFUNCTION("""COMPUTED_VALUE"""),256.37)</f>
        <v>256.37</v>
      </c>
      <c r="K518" s="3">
        <f ca="1">IFERROR(__xludf.DUMMYFUNCTION("""COMPUTED_VALUE"""),136.36)</f>
        <v>136.36000000000001</v>
      </c>
      <c r="L518" s="3">
        <f ca="1">IFERROR(__xludf.DUMMYFUNCTION("""COMPUTED_VALUE"""),89.23)</f>
        <v>89.23</v>
      </c>
      <c r="M518" s="3">
        <f ca="1">IFERROR(__xludf.DUMMYFUNCTION("""COMPUTED_VALUE"""),65.71)</f>
        <v>65.709999999999994</v>
      </c>
      <c r="N518" s="3">
        <f ca="1">IFERROR(__xludf.DUMMYFUNCTION("""COMPUTED_VALUE"""),66.12)</f>
        <v>66.12</v>
      </c>
      <c r="O518" s="3">
        <f ca="1">IFERROR(__xludf.DUMMYFUNCTION("""COMPUTED_VALUE"""),44.44)</f>
        <v>44.44</v>
      </c>
      <c r="P518" s="3">
        <f ca="1">IFERROR(__xludf.DUMMYFUNCTION("""COMPUTED_VALUE"""),80.64)</f>
        <v>80.64</v>
      </c>
      <c r="Q518" s="3">
        <f ca="1">IFERROR(__xludf.DUMMYFUNCTION("""COMPUTED_VALUE"""),112.84)</f>
        <v>112.84</v>
      </c>
      <c r="R518" s="3">
        <f ca="1">IFERROR(__xludf.DUMMYFUNCTION("""COMPUTED_VALUE"""),82.74)</f>
        <v>82.74</v>
      </c>
      <c r="S518" s="3">
        <f ca="1">IFERROR(__xludf.DUMMYFUNCTION("""COMPUTED_VALUE"""),57.43)</f>
        <v>57.43</v>
      </c>
      <c r="T518" s="3">
        <f ca="1">IFERROR(__xludf.DUMMYFUNCTION("""COMPUTED_VALUE"""),22.15)</f>
        <v>22.15</v>
      </c>
      <c r="U518" s="3">
        <f ca="1">IFERROR(__xludf.DUMMYFUNCTION("""COMPUTED_VALUE"""),69.66)</f>
        <v>69.66</v>
      </c>
      <c r="V518" s="3">
        <f ca="1">IFERROR(__xludf.DUMMYFUNCTION("""COMPUTED_VALUE"""),44.89)</f>
        <v>44.89</v>
      </c>
      <c r="W518" s="3">
        <f ca="1">IFERROR(__xludf.DUMMYFUNCTION("""COMPUTED_VALUE"""),38.17)</f>
        <v>38.17</v>
      </c>
      <c r="X518" s="3">
        <f ca="1">IFERROR(__xludf.DUMMYFUNCTION("""COMPUTED_VALUE"""),92.92)</f>
        <v>92.92</v>
      </c>
      <c r="Y518" s="3">
        <f ca="1">IFERROR(__xludf.DUMMYFUNCTION("""COMPUTED_VALUE"""),45.6)</f>
        <v>45.6</v>
      </c>
      <c r="Z518" s="3">
        <f ca="1">IFERROR(__xludf.DUMMYFUNCTION("""COMPUTED_VALUE"""),85.99)</f>
        <v>85.99</v>
      </c>
      <c r="AA518" s="3">
        <f ca="1">IFERROR(__xludf.DUMMYFUNCTION("""COMPUTED_VALUE"""),38.67)</f>
        <v>38.67</v>
      </c>
      <c r="AB518" s="3">
        <f ca="1">IFERROR(__xludf.DUMMYFUNCTION("""COMPUTED_VALUE"""),51.66)</f>
        <v>51.66</v>
      </c>
      <c r="AC518" s="3">
        <f ca="1">IFERROR(__xludf.DUMMYFUNCTION("""COMPUTED_VALUE"""),60.68)</f>
        <v>60.68</v>
      </c>
      <c r="AD518" s="3">
        <f ca="1">IFERROR(__xludf.DUMMYFUNCTION("""COMPUTED_VALUE"""),12.56)</f>
        <v>12.56</v>
      </c>
      <c r="AE518" s="3">
        <f ca="1">IFERROR(__xludf.DUMMYFUNCTION("""COMPUTED_VALUE"""),18.92)</f>
        <v>18.920000000000002</v>
      </c>
      <c r="AF518" s="3">
        <f ca="1">IFERROR(__xludf.DUMMYFUNCTION("""COMPUTED_VALUE"""),3.47)</f>
        <v>3.47</v>
      </c>
      <c r="AG518" s="3">
        <f ca="1">IFERROR(__xludf.DUMMYFUNCTION("""COMPUTED_VALUE"""),31.76)</f>
        <v>31.76</v>
      </c>
    </row>
    <row r="519" spans="1:33" ht="12.75" x14ac:dyDescent="0.2">
      <c r="A519" s="4">
        <f ca="1">IFERROR(__xludf.DUMMYFUNCTION("""COMPUTED_VALUE"""),45315.6666666666)</f>
        <v>45315.666666666599</v>
      </c>
      <c r="B519" s="3">
        <f ca="1">IFERROR(__xludf.DUMMYFUNCTION("""COMPUTED_VALUE"""),203.25)</f>
        <v>203.25</v>
      </c>
      <c r="C519" s="3">
        <f ca="1">IFERROR(__xludf.DUMMYFUNCTION("""COMPUTED_VALUE"""),507.47)</f>
        <v>507.47</v>
      </c>
      <c r="D519" s="3">
        <f ca="1">IFERROR(__xludf.DUMMYFUNCTION("""COMPUTED_VALUE"""),130.81)</f>
        <v>130.81</v>
      </c>
      <c r="E519" s="3">
        <f ca="1">IFERROR(__xludf.DUMMYFUNCTION("""COMPUTED_VALUE"""),205.35)</f>
        <v>205.35</v>
      </c>
      <c r="F519" s="3">
        <f ca="1">IFERROR(__xludf.DUMMYFUNCTION("""COMPUTED_VALUE"""),63.16)</f>
        <v>63.16</v>
      </c>
      <c r="G519" s="3">
        <f ca="1">IFERROR(__xludf.DUMMYFUNCTION("""COMPUTED_VALUE"""),28.86)</f>
        <v>28.86</v>
      </c>
      <c r="H519" s="3">
        <f ca="1">IFERROR(__xludf.DUMMYFUNCTION("""COMPUTED_VALUE"""),26.62)</f>
        <v>26.62</v>
      </c>
      <c r="I519" s="3">
        <f ca="1">IFERROR(__xludf.DUMMYFUNCTION("""COMPUTED_VALUE"""),138.69)</f>
        <v>138.69</v>
      </c>
      <c r="J519" s="3">
        <f ca="1">IFERROR(__xludf.DUMMYFUNCTION("""COMPUTED_VALUE"""),254.06)</f>
        <v>254.06</v>
      </c>
      <c r="K519" s="3">
        <f ca="1">IFERROR(__xludf.DUMMYFUNCTION("""COMPUTED_VALUE"""),134.8)</f>
        <v>134.80000000000001</v>
      </c>
      <c r="L519" s="3">
        <f ca="1">IFERROR(__xludf.DUMMYFUNCTION("""COMPUTED_VALUE"""),87.72)</f>
        <v>87.72</v>
      </c>
      <c r="M519" s="3">
        <f ca="1">IFERROR(__xludf.DUMMYFUNCTION("""COMPUTED_VALUE"""),64.85)</f>
        <v>64.849999999999994</v>
      </c>
      <c r="N519" s="3">
        <f ca="1">IFERROR(__xludf.DUMMYFUNCTION("""COMPUTED_VALUE"""),65.56)</f>
        <v>65.56</v>
      </c>
      <c r="O519" s="3">
        <f ca="1">IFERROR(__xludf.DUMMYFUNCTION("""COMPUTED_VALUE"""),43.76)</f>
        <v>43.76</v>
      </c>
      <c r="P519" s="3">
        <f ca="1">IFERROR(__xludf.DUMMYFUNCTION("""COMPUTED_VALUE"""),81.79)</f>
        <v>81.790000000000006</v>
      </c>
      <c r="Q519" s="3">
        <f ca="1">IFERROR(__xludf.DUMMYFUNCTION("""COMPUTED_VALUE"""),114.47)</f>
        <v>114.47</v>
      </c>
      <c r="R519" s="3">
        <f ca="1">IFERROR(__xludf.DUMMYFUNCTION("""COMPUTED_VALUE"""),81.62)</f>
        <v>81.62</v>
      </c>
      <c r="S519" s="3">
        <f ca="1">IFERROR(__xludf.DUMMYFUNCTION("""COMPUTED_VALUE"""),57.15)</f>
        <v>57.15</v>
      </c>
      <c r="T519" s="3">
        <f ca="1">IFERROR(__xludf.DUMMYFUNCTION("""COMPUTED_VALUE"""),22.34)</f>
        <v>22.34</v>
      </c>
      <c r="U519" s="3">
        <f ca="1">IFERROR(__xludf.DUMMYFUNCTION("""COMPUTED_VALUE"""),70.54)</f>
        <v>70.540000000000006</v>
      </c>
      <c r="V519" s="3">
        <f ca="1">IFERROR(__xludf.DUMMYFUNCTION("""COMPUTED_VALUE"""),44.03)</f>
        <v>44.03</v>
      </c>
      <c r="W519" s="3">
        <f ca="1">IFERROR(__xludf.DUMMYFUNCTION("""COMPUTED_VALUE"""),38.32)</f>
        <v>38.32</v>
      </c>
      <c r="X519" s="3">
        <f ca="1">IFERROR(__xludf.DUMMYFUNCTION("""COMPUTED_VALUE"""),93.29)</f>
        <v>93.29</v>
      </c>
      <c r="Y519" s="3">
        <f ca="1">IFERROR(__xludf.DUMMYFUNCTION("""COMPUTED_VALUE"""),46.05)</f>
        <v>46.05</v>
      </c>
      <c r="Z519" s="3">
        <f ca="1">IFERROR(__xludf.DUMMYFUNCTION("""COMPUTED_VALUE"""),86.48)</f>
        <v>86.48</v>
      </c>
      <c r="AA519" s="3">
        <f ca="1">IFERROR(__xludf.DUMMYFUNCTION("""COMPUTED_VALUE"""),38.14)</f>
        <v>38.14</v>
      </c>
      <c r="AB519" s="3">
        <f ca="1">IFERROR(__xludf.DUMMYFUNCTION("""COMPUTED_VALUE"""),52.26)</f>
        <v>52.26</v>
      </c>
      <c r="AC519" s="3">
        <f ca="1">IFERROR(__xludf.DUMMYFUNCTION("""COMPUTED_VALUE"""),61.02)</f>
        <v>61.02</v>
      </c>
      <c r="AD519" s="3">
        <f ca="1">IFERROR(__xludf.DUMMYFUNCTION("""COMPUTED_VALUE"""),12.65)</f>
        <v>12.65</v>
      </c>
      <c r="AE519" s="3">
        <f ca="1">IFERROR(__xludf.DUMMYFUNCTION("""COMPUTED_VALUE"""),19.11)</f>
        <v>19.11</v>
      </c>
      <c r="AF519" s="3">
        <f ca="1">IFERROR(__xludf.DUMMYFUNCTION("""COMPUTED_VALUE"""),3.44)</f>
        <v>3.44</v>
      </c>
      <c r="AG519" s="3">
        <f ca="1">IFERROR(__xludf.DUMMYFUNCTION("""COMPUTED_VALUE"""),31.24)</f>
        <v>31.24</v>
      </c>
    </row>
    <row r="520" spans="1:33" ht="12.75" x14ac:dyDescent="0.2">
      <c r="A520" s="4">
        <f ca="1">IFERROR(__xludf.DUMMYFUNCTION("""COMPUTED_VALUE"""),45316.6666666666)</f>
        <v>45316.666666666599</v>
      </c>
      <c r="B520" s="3">
        <f ca="1">IFERROR(__xludf.DUMMYFUNCTION("""COMPUTED_VALUE"""),204.1)</f>
        <v>204.1</v>
      </c>
      <c r="C520" s="3">
        <f ca="1">IFERROR(__xludf.DUMMYFUNCTION("""COMPUTED_VALUE"""),508.68)</f>
        <v>508.68</v>
      </c>
      <c r="D520" s="3">
        <f ca="1">IFERROR(__xludf.DUMMYFUNCTION("""COMPUTED_VALUE"""),129.7)</f>
        <v>129.69999999999999</v>
      </c>
      <c r="E520" s="3">
        <f ca="1">IFERROR(__xludf.DUMMYFUNCTION("""COMPUTED_VALUE"""),204.78)</f>
        <v>204.78</v>
      </c>
      <c r="F520" s="3">
        <f ca="1">IFERROR(__xludf.DUMMYFUNCTION("""COMPUTED_VALUE"""),63.13)</f>
        <v>63.13</v>
      </c>
      <c r="G520" s="3">
        <f ca="1">IFERROR(__xludf.DUMMYFUNCTION("""COMPUTED_VALUE"""),29)</f>
        <v>29</v>
      </c>
      <c r="H520" s="3">
        <f ca="1">IFERROR(__xludf.DUMMYFUNCTION("""COMPUTED_VALUE"""),26.79)</f>
        <v>26.79</v>
      </c>
      <c r="I520" s="3">
        <f ca="1">IFERROR(__xludf.DUMMYFUNCTION("""COMPUTED_VALUE"""),138.48)</f>
        <v>138.47999999999999</v>
      </c>
      <c r="J520" s="3">
        <f ca="1">IFERROR(__xludf.DUMMYFUNCTION("""COMPUTED_VALUE"""),253.8)</f>
        <v>253.8</v>
      </c>
      <c r="K520" s="3">
        <f ca="1">IFERROR(__xludf.DUMMYFUNCTION("""COMPUTED_VALUE"""),135.69)</f>
        <v>135.69</v>
      </c>
      <c r="L520" s="3">
        <f ca="1">IFERROR(__xludf.DUMMYFUNCTION("""COMPUTED_VALUE"""),88.5)</f>
        <v>88.5</v>
      </c>
      <c r="M520" s="3">
        <f ca="1">IFERROR(__xludf.DUMMYFUNCTION("""COMPUTED_VALUE"""),65.06)</f>
        <v>65.06</v>
      </c>
      <c r="N520" s="3">
        <f ca="1">IFERROR(__xludf.DUMMYFUNCTION("""COMPUTED_VALUE"""),65.43)</f>
        <v>65.430000000000007</v>
      </c>
      <c r="O520" s="3">
        <f ca="1">IFERROR(__xludf.DUMMYFUNCTION("""COMPUTED_VALUE"""),44.08)</f>
        <v>44.08</v>
      </c>
      <c r="P520" s="3">
        <f ca="1">IFERROR(__xludf.DUMMYFUNCTION("""COMPUTED_VALUE"""),83.63)</f>
        <v>83.63</v>
      </c>
      <c r="Q520" s="3">
        <f ca="1">IFERROR(__xludf.DUMMYFUNCTION("""COMPUTED_VALUE"""),116.76)</f>
        <v>116.76</v>
      </c>
      <c r="R520" s="3">
        <f ca="1">IFERROR(__xludf.DUMMYFUNCTION("""COMPUTED_VALUE"""),82.48)</f>
        <v>82.48</v>
      </c>
      <c r="S520" s="3">
        <f ca="1">IFERROR(__xludf.DUMMYFUNCTION("""COMPUTED_VALUE"""),56.69)</f>
        <v>56.69</v>
      </c>
      <c r="T520" s="3">
        <f ca="1">IFERROR(__xludf.DUMMYFUNCTION("""COMPUTED_VALUE"""),22.51)</f>
        <v>22.51</v>
      </c>
      <c r="U520" s="3">
        <f ca="1">IFERROR(__xludf.DUMMYFUNCTION("""COMPUTED_VALUE"""),72.23)</f>
        <v>72.23</v>
      </c>
      <c r="V520" s="3">
        <f ca="1">IFERROR(__xludf.DUMMYFUNCTION("""COMPUTED_VALUE"""),43.88)</f>
        <v>43.88</v>
      </c>
      <c r="W520" s="3">
        <f ca="1">IFERROR(__xludf.DUMMYFUNCTION("""COMPUTED_VALUE"""),38.51)</f>
        <v>38.51</v>
      </c>
      <c r="X520" s="3">
        <f ca="1">IFERROR(__xludf.DUMMYFUNCTION("""COMPUTED_VALUE"""),93.7)</f>
        <v>93.7</v>
      </c>
      <c r="Y520" s="3">
        <f ca="1">IFERROR(__xludf.DUMMYFUNCTION("""COMPUTED_VALUE"""),45.93)</f>
        <v>45.93</v>
      </c>
      <c r="Z520" s="3">
        <f ca="1">IFERROR(__xludf.DUMMYFUNCTION("""COMPUTED_VALUE"""),87.03)</f>
        <v>87.03</v>
      </c>
      <c r="AA520" s="3">
        <f ca="1">IFERROR(__xludf.DUMMYFUNCTION("""COMPUTED_VALUE"""),38.66)</f>
        <v>38.659999999999997</v>
      </c>
      <c r="AB520" s="3">
        <f ca="1">IFERROR(__xludf.DUMMYFUNCTION("""COMPUTED_VALUE"""),51.94)</f>
        <v>51.94</v>
      </c>
      <c r="AC520" s="3">
        <f ca="1">IFERROR(__xludf.DUMMYFUNCTION("""COMPUTED_VALUE"""),61.75)</f>
        <v>61.75</v>
      </c>
      <c r="AD520" s="3">
        <f ca="1">IFERROR(__xludf.DUMMYFUNCTION("""COMPUTED_VALUE"""),12.72)</f>
        <v>12.72</v>
      </c>
      <c r="AE520" s="3">
        <f ca="1">IFERROR(__xludf.DUMMYFUNCTION("""COMPUTED_VALUE"""),19.22)</f>
        <v>19.22</v>
      </c>
      <c r="AF520" s="3">
        <f ca="1">IFERROR(__xludf.DUMMYFUNCTION("""COMPUTED_VALUE"""),3.45)</f>
        <v>3.45</v>
      </c>
      <c r="AG520" s="3">
        <f ca="1">IFERROR(__xludf.DUMMYFUNCTION("""COMPUTED_VALUE"""),32.12)</f>
        <v>32.119999999999997</v>
      </c>
    </row>
    <row r="521" spans="1:33" ht="12.75" x14ac:dyDescent="0.2">
      <c r="A521" s="4">
        <f ca="1">IFERROR(__xludf.DUMMYFUNCTION("""COMPUTED_VALUE"""),45317.6666666666)</f>
        <v>45317.666666666599</v>
      </c>
      <c r="B521" s="3">
        <f ca="1">IFERROR(__xludf.DUMMYFUNCTION("""COMPUTED_VALUE"""),201.75)</f>
        <v>201.75</v>
      </c>
      <c r="C521" s="3">
        <f ca="1">IFERROR(__xludf.DUMMYFUNCTION("""COMPUTED_VALUE"""),503.4)</f>
        <v>503.4</v>
      </c>
      <c r="D521" s="3">
        <f ca="1">IFERROR(__xludf.DUMMYFUNCTION("""COMPUTED_VALUE"""),126.35)</f>
        <v>126.35</v>
      </c>
      <c r="E521" s="3">
        <f ca="1">IFERROR(__xludf.DUMMYFUNCTION("""COMPUTED_VALUE"""),199.26)</f>
        <v>199.26</v>
      </c>
      <c r="F521" s="3">
        <f ca="1">IFERROR(__xludf.DUMMYFUNCTION("""COMPUTED_VALUE"""),63.39)</f>
        <v>63.39</v>
      </c>
      <c r="G521" s="3">
        <f ca="1">IFERROR(__xludf.DUMMYFUNCTION("""COMPUTED_VALUE"""),29.2)</f>
        <v>29.2</v>
      </c>
      <c r="H521" s="3">
        <f ca="1">IFERROR(__xludf.DUMMYFUNCTION("""COMPUTED_VALUE"""),26.68)</f>
        <v>26.68</v>
      </c>
      <c r="I521" s="3">
        <f ca="1">IFERROR(__xludf.DUMMYFUNCTION("""COMPUTED_VALUE"""),139.27)</f>
        <v>139.27000000000001</v>
      </c>
      <c r="J521" s="3">
        <f ca="1">IFERROR(__xludf.DUMMYFUNCTION("""COMPUTED_VALUE"""),255)</f>
        <v>255</v>
      </c>
      <c r="K521" s="3">
        <f ca="1">IFERROR(__xludf.DUMMYFUNCTION("""COMPUTED_VALUE"""),135.35)</f>
        <v>135.35</v>
      </c>
      <c r="L521" s="3">
        <f ca="1">IFERROR(__xludf.DUMMYFUNCTION("""COMPUTED_VALUE"""),88.24)</f>
        <v>88.24</v>
      </c>
      <c r="M521" s="3">
        <f ca="1">IFERROR(__xludf.DUMMYFUNCTION("""COMPUTED_VALUE"""),64.8)</f>
        <v>64.8</v>
      </c>
      <c r="N521" s="3">
        <f ca="1">IFERROR(__xludf.DUMMYFUNCTION("""COMPUTED_VALUE"""),65.76)</f>
        <v>65.760000000000005</v>
      </c>
      <c r="O521" s="3">
        <f ca="1">IFERROR(__xludf.DUMMYFUNCTION("""COMPUTED_VALUE"""),43.56)</f>
        <v>43.56</v>
      </c>
      <c r="P521" s="3">
        <f ca="1">IFERROR(__xludf.DUMMYFUNCTION("""COMPUTED_VALUE"""),84.25)</f>
        <v>84.25</v>
      </c>
      <c r="Q521" s="3">
        <f ca="1">IFERROR(__xludf.DUMMYFUNCTION("""COMPUTED_VALUE"""),117.67)</f>
        <v>117.67</v>
      </c>
      <c r="R521" s="3">
        <f ca="1">IFERROR(__xludf.DUMMYFUNCTION("""COMPUTED_VALUE"""),82.51)</f>
        <v>82.51</v>
      </c>
      <c r="S521" s="3">
        <f ca="1">IFERROR(__xludf.DUMMYFUNCTION("""COMPUTED_VALUE"""),57.06)</f>
        <v>57.06</v>
      </c>
      <c r="T521" s="3">
        <f ca="1">IFERROR(__xludf.DUMMYFUNCTION("""COMPUTED_VALUE"""),22.61)</f>
        <v>22.61</v>
      </c>
      <c r="U521" s="3">
        <f ca="1">IFERROR(__xludf.DUMMYFUNCTION("""COMPUTED_VALUE"""),73.1)</f>
        <v>73.099999999999994</v>
      </c>
      <c r="V521" s="3">
        <f ca="1">IFERROR(__xludf.DUMMYFUNCTION("""COMPUTED_VALUE"""),43.19)</f>
        <v>43.19</v>
      </c>
      <c r="W521" s="3">
        <f ca="1">IFERROR(__xludf.DUMMYFUNCTION("""COMPUTED_VALUE"""),38.65)</f>
        <v>38.65</v>
      </c>
      <c r="X521" s="3">
        <f ca="1">IFERROR(__xludf.DUMMYFUNCTION("""COMPUTED_VALUE"""),94.02)</f>
        <v>94.02</v>
      </c>
      <c r="Y521" s="3">
        <f ca="1">IFERROR(__xludf.DUMMYFUNCTION("""COMPUTED_VALUE"""),46.16)</f>
        <v>46.16</v>
      </c>
      <c r="Z521" s="3">
        <f ca="1">IFERROR(__xludf.DUMMYFUNCTION("""COMPUTED_VALUE"""),87.21)</f>
        <v>87.21</v>
      </c>
      <c r="AA521" s="3">
        <f ca="1">IFERROR(__xludf.DUMMYFUNCTION("""COMPUTED_VALUE"""),38.49)</f>
        <v>38.49</v>
      </c>
      <c r="AB521" s="3">
        <f ca="1">IFERROR(__xludf.DUMMYFUNCTION("""COMPUTED_VALUE"""),52.13)</f>
        <v>52.13</v>
      </c>
      <c r="AC521" s="3">
        <f ca="1">IFERROR(__xludf.DUMMYFUNCTION("""COMPUTED_VALUE"""),60.84)</f>
        <v>60.84</v>
      </c>
      <c r="AD521" s="3">
        <f ca="1">IFERROR(__xludf.DUMMYFUNCTION("""COMPUTED_VALUE"""),13.23)</f>
        <v>13.23</v>
      </c>
      <c r="AE521" s="3">
        <f ca="1">IFERROR(__xludf.DUMMYFUNCTION("""COMPUTED_VALUE"""),20.3)</f>
        <v>20.3</v>
      </c>
      <c r="AF521" s="3">
        <f ca="1">IFERROR(__xludf.DUMMYFUNCTION("""COMPUTED_VALUE"""),3.44)</f>
        <v>3.44</v>
      </c>
      <c r="AG521" s="3">
        <f ca="1">IFERROR(__xludf.DUMMYFUNCTION("""COMPUTED_VALUE"""),34.55)</f>
        <v>34.549999999999997</v>
      </c>
    </row>
    <row r="522" spans="1:33" ht="12.75" x14ac:dyDescent="0.2">
      <c r="A522" s="4">
        <f ca="1">IFERROR(__xludf.DUMMYFUNCTION("""COMPUTED_VALUE"""),45320.6666666666)</f>
        <v>45320.666666666599</v>
      </c>
      <c r="B522" s="3">
        <f ca="1">IFERROR(__xludf.DUMMYFUNCTION("""COMPUTED_VALUE"""),203.6)</f>
        <v>203.6</v>
      </c>
      <c r="C522" s="3">
        <f ca="1">IFERROR(__xludf.DUMMYFUNCTION("""COMPUTED_VALUE"""),509.28)</f>
        <v>509.28</v>
      </c>
      <c r="D522" s="3">
        <f ca="1">IFERROR(__xludf.DUMMYFUNCTION("""COMPUTED_VALUE"""),127.88)</f>
        <v>127.88</v>
      </c>
      <c r="E522" s="3">
        <f ca="1">IFERROR(__xludf.DUMMYFUNCTION("""COMPUTED_VALUE"""),201.33)</f>
        <v>201.33</v>
      </c>
      <c r="F522" s="3">
        <f ca="1">IFERROR(__xludf.DUMMYFUNCTION("""COMPUTED_VALUE"""),64.22)</f>
        <v>64.22</v>
      </c>
      <c r="G522" s="3">
        <f ca="1">IFERROR(__xludf.DUMMYFUNCTION("""COMPUTED_VALUE"""),29.56)</f>
        <v>29.56</v>
      </c>
      <c r="H522" s="3">
        <f ca="1">IFERROR(__xludf.DUMMYFUNCTION("""COMPUTED_VALUE"""),27.03)</f>
        <v>27.03</v>
      </c>
      <c r="I522" s="3">
        <f ca="1">IFERROR(__xludf.DUMMYFUNCTION("""COMPUTED_VALUE"""),140.25)</f>
        <v>140.25</v>
      </c>
      <c r="J522" s="3">
        <f ca="1">IFERROR(__xludf.DUMMYFUNCTION("""COMPUTED_VALUE"""),257.15)</f>
        <v>257.14999999999998</v>
      </c>
      <c r="K522" s="3">
        <f ca="1">IFERROR(__xludf.DUMMYFUNCTION("""COMPUTED_VALUE"""),137.49)</f>
        <v>137.49</v>
      </c>
      <c r="L522" s="3">
        <f ca="1">IFERROR(__xludf.DUMMYFUNCTION("""COMPUTED_VALUE"""),90.8)</f>
        <v>90.8</v>
      </c>
      <c r="M522" s="3">
        <f ca="1">IFERROR(__xludf.DUMMYFUNCTION("""COMPUTED_VALUE"""),65.88)</f>
        <v>65.88</v>
      </c>
      <c r="N522" s="3">
        <f ca="1">IFERROR(__xludf.DUMMYFUNCTION("""COMPUTED_VALUE"""),66.37)</f>
        <v>66.37</v>
      </c>
      <c r="O522" s="3">
        <f ca="1">IFERROR(__xludf.DUMMYFUNCTION("""COMPUTED_VALUE"""),44.92)</f>
        <v>44.92</v>
      </c>
      <c r="P522" s="3">
        <f ca="1">IFERROR(__xludf.DUMMYFUNCTION("""COMPUTED_VALUE"""),84.13)</f>
        <v>84.13</v>
      </c>
      <c r="Q522" s="3">
        <f ca="1">IFERROR(__xludf.DUMMYFUNCTION("""COMPUTED_VALUE"""),117.61)</f>
        <v>117.61</v>
      </c>
      <c r="R522" s="3">
        <f ca="1">IFERROR(__xludf.DUMMYFUNCTION("""COMPUTED_VALUE"""),82.92)</f>
        <v>82.92</v>
      </c>
      <c r="S522" s="3">
        <f ca="1">IFERROR(__xludf.DUMMYFUNCTION("""COMPUTED_VALUE"""),57.8)</f>
        <v>57.8</v>
      </c>
      <c r="T522" s="3">
        <f ca="1">IFERROR(__xludf.DUMMYFUNCTION("""COMPUTED_VALUE"""),22.42)</f>
        <v>22.42</v>
      </c>
      <c r="U522" s="3">
        <f ca="1">IFERROR(__xludf.DUMMYFUNCTION("""COMPUTED_VALUE"""),72.05)</f>
        <v>72.05</v>
      </c>
      <c r="V522" s="3">
        <f ca="1">IFERROR(__xludf.DUMMYFUNCTION("""COMPUTED_VALUE"""),44.05)</f>
        <v>44.05</v>
      </c>
      <c r="W522" s="3">
        <f ca="1">IFERROR(__xludf.DUMMYFUNCTION("""COMPUTED_VALUE"""),38.75)</f>
        <v>38.75</v>
      </c>
      <c r="X522" s="3">
        <f ca="1">IFERROR(__xludf.DUMMYFUNCTION("""COMPUTED_VALUE"""),94.54)</f>
        <v>94.54</v>
      </c>
      <c r="Y522" s="3">
        <f ca="1">IFERROR(__xludf.DUMMYFUNCTION("""COMPUTED_VALUE"""),46.75)</f>
        <v>46.75</v>
      </c>
      <c r="Z522" s="3">
        <f ca="1">IFERROR(__xludf.DUMMYFUNCTION("""COMPUTED_VALUE"""),87.4)</f>
        <v>87.4</v>
      </c>
      <c r="AA522" s="3">
        <f ca="1">IFERROR(__xludf.DUMMYFUNCTION("""COMPUTED_VALUE"""),38.77)</f>
        <v>38.770000000000003</v>
      </c>
      <c r="AB522" s="3">
        <f ca="1">IFERROR(__xludf.DUMMYFUNCTION("""COMPUTED_VALUE"""),53)</f>
        <v>53</v>
      </c>
      <c r="AC522" s="3">
        <f ca="1">IFERROR(__xludf.DUMMYFUNCTION("""COMPUTED_VALUE"""),60.92)</f>
        <v>60.92</v>
      </c>
      <c r="AD522" s="3">
        <f ca="1">IFERROR(__xludf.DUMMYFUNCTION("""COMPUTED_VALUE"""),13.52)</f>
        <v>13.52</v>
      </c>
      <c r="AE522" s="3">
        <f ca="1">IFERROR(__xludf.DUMMYFUNCTION("""COMPUTED_VALUE"""),20.84)</f>
        <v>20.84</v>
      </c>
      <c r="AF522" s="3">
        <f ca="1">IFERROR(__xludf.DUMMYFUNCTION("""COMPUTED_VALUE"""),3.34)</f>
        <v>3.34</v>
      </c>
      <c r="AG522" s="3">
        <f ca="1">IFERROR(__xludf.DUMMYFUNCTION("""COMPUTED_VALUE"""),36.25)</f>
        <v>36.25</v>
      </c>
    </row>
    <row r="523" spans="1:33" ht="12.75" x14ac:dyDescent="0.2">
      <c r="A523" s="4">
        <f ca="1">IFERROR(__xludf.DUMMYFUNCTION("""COMPUTED_VALUE"""),45321.6666666666)</f>
        <v>45321.666666666599</v>
      </c>
      <c r="B523" s="3">
        <f ca="1">IFERROR(__xludf.DUMMYFUNCTION("""COMPUTED_VALUE"""),201.92)</f>
        <v>201.92</v>
      </c>
      <c r="C523" s="3">
        <f ca="1">IFERROR(__xludf.DUMMYFUNCTION("""COMPUTED_VALUE"""),504.38)</f>
        <v>504.38</v>
      </c>
      <c r="D523" s="3">
        <f ca="1">IFERROR(__xludf.DUMMYFUNCTION("""COMPUTED_VALUE"""),130.27)</f>
        <v>130.27000000000001</v>
      </c>
      <c r="E523" s="3">
        <f ca="1">IFERROR(__xludf.DUMMYFUNCTION("""COMPUTED_VALUE"""),198.22)</f>
        <v>198.22</v>
      </c>
      <c r="F523" s="3">
        <f ca="1">IFERROR(__xludf.DUMMYFUNCTION("""COMPUTED_VALUE"""),64.24)</f>
        <v>64.239999999999995</v>
      </c>
      <c r="G523" s="3">
        <f ca="1">IFERROR(__xludf.DUMMYFUNCTION("""COMPUTED_VALUE"""),29.23)</f>
        <v>29.23</v>
      </c>
      <c r="H523" s="3">
        <f ca="1">IFERROR(__xludf.DUMMYFUNCTION("""COMPUTED_VALUE"""),26.83)</f>
        <v>26.83</v>
      </c>
      <c r="I523" s="3">
        <f ca="1">IFERROR(__xludf.DUMMYFUNCTION("""COMPUTED_VALUE"""),140.57)</f>
        <v>140.57</v>
      </c>
      <c r="J523" s="3">
        <f ca="1">IFERROR(__xludf.DUMMYFUNCTION("""COMPUTED_VALUE"""),257.24)</f>
        <v>257.24</v>
      </c>
      <c r="K523" s="3">
        <f ca="1">IFERROR(__xludf.DUMMYFUNCTION("""COMPUTED_VALUE"""),136.58)</f>
        <v>136.58000000000001</v>
      </c>
      <c r="L523" s="3">
        <f ca="1">IFERROR(__xludf.DUMMYFUNCTION("""COMPUTED_VALUE"""),88.77)</f>
        <v>88.77</v>
      </c>
      <c r="M523" s="3">
        <f ca="1">IFERROR(__xludf.DUMMYFUNCTION("""COMPUTED_VALUE"""),65.32)</f>
        <v>65.319999999999993</v>
      </c>
      <c r="N523" s="3">
        <f ca="1">IFERROR(__xludf.DUMMYFUNCTION("""COMPUTED_VALUE"""),66.38)</f>
        <v>66.38</v>
      </c>
      <c r="O523" s="3">
        <f ca="1">IFERROR(__xludf.DUMMYFUNCTION("""COMPUTED_VALUE"""),43.92)</f>
        <v>43.92</v>
      </c>
      <c r="P523" s="3">
        <f ca="1">IFERROR(__xludf.DUMMYFUNCTION("""COMPUTED_VALUE"""),85)</f>
        <v>85</v>
      </c>
      <c r="Q523" s="3">
        <f ca="1">IFERROR(__xludf.DUMMYFUNCTION("""COMPUTED_VALUE"""),118.71)</f>
        <v>118.71</v>
      </c>
      <c r="R523" s="3">
        <f ca="1">IFERROR(__xludf.DUMMYFUNCTION("""COMPUTED_VALUE"""),83.3)</f>
        <v>83.3</v>
      </c>
      <c r="S523" s="3">
        <f ca="1">IFERROR(__xludf.DUMMYFUNCTION("""COMPUTED_VALUE"""),58.11)</f>
        <v>58.11</v>
      </c>
      <c r="T523" s="3">
        <f ca="1">IFERROR(__xludf.DUMMYFUNCTION("""COMPUTED_VALUE"""),22.57)</f>
        <v>22.57</v>
      </c>
      <c r="U523" s="3">
        <f ca="1">IFERROR(__xludf.DUMMYFUNCTION("""COMPUTED_VALUE"""),72.81)</f>
        <v>72.81</v>
      </c>
      <c r="V523" s="3">
        <f ca="1">IFERROR(__xludf.DUMMYFUNCTION("""COMPUTED_VALUE"""),43.22)</f>
        <v>43.22</v>
      </c>
      <c r="W523" s="3">
        <f ca="1">IFERROR(__xludf.DUMMYFUNCTION("""COMPUTED_VALUE"""),39.24)</f>
        <v>39.24</v>
      </c>
      <c r="X523" s="3">
        <f ca="1">IFERROR(__xludf.DUMMYFUNCTION("""COMPUTED_VALUE"""),95.47)</f>
        <v>95.47</v>
      </c>
      <c r="Y523" s="3">
        <f ca="1">IFERROR(__xludf.DUMMYFUNCTION("""COMPUTED_VALUE"""),46.77)</f>
        <v>46.77</v>
      </c>
      <c r="Z523" s="3">
        <f ca="1">IFERROR(__xludf.DUMMYFUNCTION("""COMPUTED_VALUE"""),88.36)</f>
        <v>88.36</v>
      </c>
      <c r="AA523" s="3">
        <f ca="1">IFERROR(__xludf.DUMMYFUNCTION("""COMPUTED_VALUE"""),38.41)</f>
        <v>38.409999999999997</v>
      </c>
      <c r="AB523" s="3">
        <f ca="1">IFERROR(__xludf.DUMMYFUNCTION("""COMPUTED_VALUE"""),52.79)</f>
        <v>52.79</v>
      </c>
      <c r="AC523" s="3">
        <f ca="1">IFERROR(__xludf.DUMMYFUNCTION("""COMPUTED_VALUE"""),61.35)</f>
        <v>61.35</v>
      </c>
      <c r="AD523" s="3">
        <f ca="1">IFERROR(__xludf.DUMMYFUNCTION("""COMPUTED_VALUE"""),13.82)</f>
        <v>13.82</v>
      </c>
      <c r="AE523" s="3">
        <f ca="1">IFERROR(__xludf.DUMMYFUNCTION("""COMPUTED_VALUE"""),21.02)</f>
        <v>21.02</v>
      </c>
      <c r="AF523" s="3">
        <f ca="1">IFERROR(__xludf.DUMMYFUNCTION("""COMPUTED_VALUE"""),3.68)</f>
        <v>3.68</v>
      </c>
      <c r="AG523" s="3">
        <f ca="1">IFERROR(__xludf.DUMMYFUNCTION("""COMPUTED_VALUE"""),35.51)</f>
        <v>35.51</v>
      </c>
    </row>
    <row r="524" spans="1:33" ht="12.75" x14ac:dyDescent="0.2">
      <c r="A524" s="4">
        <f ca="1">IFERROR(__xludf.DUMMYFUNCTION("""COMPUTED_VALUE"""),45322.6666666666)</f>
        <v>45322.666666666599</v>
      </c>
      <c r="B524" s="3">
        <f ca="1">IFERROR(__xludf.DUMMYFUNCTION("""COMPUTED_VALUE"""),197.68)</f>
        <v>197.68</v>
      </c>
      <c r="C524" s="3">
        <f ca="1">IFERROR(__xludf.DUMMYFUNCTION("""COMPUTED_VALUE"""),493.91)</f>
        <v>493.91</v>
      </c>
      <c r="D524" s="3">
        <f ca="1">IFERROR(__xludf.DUMMYFUNCTION("""COMPUTED_VALUE"""),130.39)</f>
        <v>130.38999999999999</v>
      </c>
      <c r="E524" s="3">
        <f ca="1">IFERROR(__xludf.DUMMYFUNCTION("""COMPUTED_VALUE"""),195.35)</f>
        <v>195.35</v>
      </c>
      <c r="F524" s="3">
        <f ca="1">IFERROR(__xludf.DUMMYFUNCTION("""COMPUTED_VALUE"""),62.48)</f>
        <v>62.48</v>
      </c>
      <c r="G524" s="3">
        <f ca="1">IFERROR(__xludf.DUMMYFUNCTION("""COMPUTED_VALUE"""),28.58)</f>
        <v>28.58</v>
      </c>
      <c r="H524" s="3">
        <f ca="1">IFERROR(__xludf.DUMMYFUNCTION("""COMPUTED_VALUE"""),26.46)</f>
        <v>26.46</v>
      </c>
      <c r="I524" s="3">
        <f ca="1">IFERROR(__xludf.DUMMYFUNCTION("""COMPUTED_VALUE"""),140.38)</f>
        <v>140.38</v>
      </c>
      <c r="J524" s="3">
        <f ca="1">IFERROR(__xludf.DUMMYFUNCTION("""COMPUTED_VALUE"""),256.64)</f>
        <v>256.64</v>
      </c>
      <c r="K524" s="3">
        <f ca="1">IFERROR(__xludf.DUMMYFUNCTION("""COMPUTED_VALUE"""),134.38)</f>
        <v>134.38</v>
      </c>
      <c r="L524" s="3">
        <f ca="1">IFERROR(__xludf.DUMMYFUNCTION("""COMPUTED_VALUE"""),87.43)</f>
        <v>87.43</v>
      </c>
      <c r="M524" s="3">
        <f ca="1">IFERROR(__xludf.DUMMYFUNCTION("""COMPUTED_VALUE"""),64.31)</f>
        <v>64.31</v>
      </c>
      <c r="N524" s="3">
        <f ca="1">IFERROR(__xludf.DUMMYFUNCTION("""COMPUTED_VALUE"""),66.2)</f>
        <v>66.2</v>
      </c>
      <c r="O524" s="3">
        <f ca="1">IFERROR(__xludf.DUMMYFUNCTION("""COMPUTED_VALUE"""),43)</f>
        <v>43</v>
      </c>
      <c r="P524" s="3">
        <f ca="1">IFERROR(__xludf.DUMMYFUNCTION("""COMPUTED_VALUE"""),83.41)</f>
        <v>83.41</v>
      </c>
      <c r="Q524" s="3">
        <f ca="1">IFERROR(__xludf.DUMMYFUNCTION("""COMPUTED_VALUE"""),116.36)</f>
        <v>116.36</v>
      </c>
      <c r="R524" s="3">
        <f ca="1">IFERROR(__xludf.DUMMYFUNCTION("""COMPUTED_VALUE"""),82.21)</f>
        <v>82.21</v>
      </c>
      <c r="S524" s="3">
        <f ca="1">IFERROR(__xludf.DUMMYFUNCTION("""COMPUTED_VALUE"""),57.18)</f>
        <v>57.18</v>
      </c>
      <c r="T524" s="3">
        <f ca="1">IFERROR(__xludf.DUMMYFUNCTION("""COMPUTED_VALUE"""),22.33)</f>
        <v>22.33</v>
      </c>
      <c r="U524" s="3">
        <f ca="1">IFERROR(__xludf.DUMMYFUNCTION("""COMPUTED_VALUE"""),70.92)</f>
        <v>70.92</v>
      </c>
      <c r="V524" s="3">
        <f ca="1">IFERROR(__xludf.DUMMYFUNCTION("""COMPUTED_VALUE"""),42.37)</f>
        <v>42.37</v>
      </c>
      <c r="W524" s="3">
        <f ca="1">IFERROR(__xludf.DUMMYFUNCTION("""COMPUTED_VALUE"""),38.76)</f>
        <v>38.76</v>
      </c>
      <c r="X524" s="3">
        <f ca="1">IFERROR(__xludf.DUMMYFUNCTION("""COMPUTED_VALUE"""),93.98)</f>
        <v>93.98</v>
      </c>
      <c r="Y524" s="3">
        <f ca="1">IFERROR(__xludf.DUMMYFUNCTION("""COMPUTED_VALUE"""),44.78)</f>
        <v>44.78</v>
      </c>
      <c r="Z524" s="3">
        <f ca="1">IFERROR(__xludf.DUMMYFUNCTION("""COMPUTED_VALUE"""),87.05)</f>
        <v>87.05</v>
      </c>
      <c r="AA524" s="3">
        <f ca="1">IFERROR(__xludf.DUMMYFUNCTION("""COMPUTED_VALUE"""),38.13)</f>
        <v>38.130000000000003</v>
      </c>
      <c r="AB524" s="3">
        <f ca="1">IFERROR(__xludf.DUMMYFUNCTION("""COMPUTED_VALUE"""),49.7)</f>
        <v>49.7</v>
      </c>
      <c r="AC524" s="3">
        <f ca="1">IFERROR(__xludf.DUMMYFUNCTION("""COMPUTED_VALUE"""),60.8)</f>
        <v>60.8</v>
      </c>
      <c r="AD524" s="3">
        <f ca="1">IFERROR(__xludf.DUMMYFUNCTION("""COMPUTED_VALUE"""),13.38)</f>
        <v>13.38</v>
      </c>
      <c r="AE524" s="3">
        <f ca="1">IFERROR(__xludf.DUMMYFUNCTION("""COMPUTED_VALUE"""),20.52)</f>
        <v>20.52</v>
      </c>
      <c r="AF524" s="3">
        <f ca="1">IFERROR(__xludf.DUMMYFUNCTION("""COMPUTED_VALUE"""),3.83)</f>
        <v>3.83</v>
      </c>
      <c r="AG524" s="3">
        <f ca="1">IFERROR(__xludf.DUMMYFUNCTION("""COMPUTED_VALUE"""),34.06)</f>
        <v>34.06</v>
      </c>
    </row>
    <row r="525" spans="1:33" ht="12.75" x14ac:dyDescent="0.2">
      <c r="A525" s="4">
        <f ca="1">IFERROR(__xludf.DUMMYFUNCTION("""COMPUTED_VALUE"""),45323.6666666666)</f>
        <v>45323.666666666599</v>
      </c>
      <c r="B525" s="3">
        <f ca="1">IFERROR(__xludf.DUMMYFUNCTION("""COMPUTED_VALUE"""),200.17)</f>
        <v>200.17</v>
      </c>
      <c r="C525" s="3">
        <f ca="1">IFERROR(__xludf.DUMMYFUNCTION("""COMPUTED_VALUE"""),500.28)</f>
        <v>500.28</v>
      </c>
      <c r="D525" s="3">
        <f ca="1">IFERROR(__xludf.DUMMYFUNCTION("""COMPUTED_VALUE"""),129.91)</f>
        <v>129.91</v>
      </c>
      <c r="E525" s="3">
        <f ca="1">IFERROR(__xludf.DUMMYFUNCTION("""COMPUTED_VALUE"""),196.32)</f>
        <v>196.32</v>
      </c>
      <c r="F525" s="3">
        <f ca="1">IFERROR(__xludf.DUMMYFUNCTION("""COMPUTED_VALUE"""),63.33)</f>
        <v>63.33</v>
      </c>
      <c r="G525" s="3">
        <f ca="1">IFERROR(__xludf.DUMMYFUNCTION("""COMPUTED_VALUE"""),29.13)</f>
        <v>29.13</v>
      </c>
      <c r="H525" s="3">
        <f ca="1">IFERROR(__xludf.DUMMYFUNCTION("""COMPUTED_VALUE"""),26.81)</f>
        <v>26.81</v>
      </c>
      <c r="I525" s="3">
        <f ca="1">IFERROR(__xludf.DUMMYFUNCTION("""COMPUTED_VALUE"""),142.2)</f>
        <v>142.19999999999999</v>
      </c>
      <c r="J525" s="3">
        <f ca="1">IFERROR(__xludf.DUMMYFUNCTION("""COMPUTED_VALUE"""),260)</f>
        <v>260</v>
      </c>
      <c r="K525" s="3">
        <f ca="1">IFERROR(__xludf.DUMMYFUNCTION("""COMPUTED_VALUE"""),136.25)</f>
        <v>136.25</v>
      </c>
      <c r="L525" s="3">
        <f ca="1">IFERROR(__xludf.DUMMYFUNCTION("""COMPUTED_VALUE"""),88.97)</f>
        <v>88.97</v>
      </c>
      <c r="M525" s="3">
        <f ca="1">IFERROR(__xludf.DUMMYFUNCTION("""COMPUTED_VALUE"""),64.85)</f>
        <v>64.849999999999994</v>
      </c>
      <c r="N525" s="3">
        <f ca="1">IFERROR(__xludf.DUMMYFUNCTION("""COMPUTED_VALUE"""),67.06)</f>
        <v>67.06</v>
      </c>
      <c r="O525" s="3">
        <f ca="1">IFERROR(__xludf.DUMMYFUNCTION("""COMPUTED_VALUE"""),43.8)</f>
        <v>43.8</v>
      </c>
      <c r="P525" s="3">
        <f ca="1">IFERROR(__xludf.DUMMYFUNCTION("""COMPUTED_VALUE"""),83.4)</f>
        <v>83.4</v>
      </c>
      <c r="Q525" s="3">
        <f ca="1">IFERROR(__xludf.DUMMYFUNCTION("""COMPUTED_VALUE"""),116.24)</f>
        <v>116.24</v>
      </c>
      <c r="R525" s="3">
        <f ca="1">IFERROR(__xludf.DUMMYFUNCTION("""COMPUTED_VALUE"""),83.58)</f>
        <v>83.58</v>
      </c>
      <c r="S525" s="3">
        <f ca="1">IFERROR(__xludf.DUMMYFUNCTION("""COMPUTED_VALUE"""),57.79)</f>
        <v>57.79</v>
      </c>
      <c r="T525" s="3">
        <f ca="1">IFERROR(__xludf.DUMMYFUNCTION("""COMPUTED_VALUE"""),22.06)</f>
        <v>22.06</v>
      </c>
      <c r="U525" s="3">
        <f ca="1">IFERROR(__xludf.DUMMYFUNCTION("""COMPUTED_VALUE"""),69.07)</f>
        <v>69.069999999999993</v>
      </c>
      <c r="V525" s="3">
        <f ca="1">IFERROR(__xludf.DUMMYFUNCTION("""COMPUTED_VALUE"""),43.42)</f>
        <v>43.42</v>
      </c>
      <c r="W525" s="3">
        <f ca="1">IFERROR(__xludf.DUMMYFUNCTION("""COMPUTED_VALUE"""),38.82)</f>
        <v>38.82</v>
      </c>
      <c r="X525" s="3">
        <f ca="1">IFERROR(__xludf.DUMMYFUNCTION("""COMPUTED_VALUE"""),94.03)</f>
        <v>94.03</v>
      </c>
      <c r="Y525" s="3">
        <f ca="1">IFERROR(__xludf.DUMMYFUNCTION("""COMPUTED_VALUE"""),43.82)</f>
        <v>43.82</v>
      </c>
      <c r="Z525" s="3">
        <f ca="1">IFERROR(__xludf.DUMMYFUNCTION("""COMPUTED_VALUE"""),86.72)</f>
        <v>86.72</v>
      </c>
      <c r="AA525" s="3">
        <f ca="1">IFERROR(__xludf.DUMMYFUNCTION("""COMPUTED_VALUE"""),38.8)</f>
        <v>38.799999999999997</v>
      </c>
      <c r="AB525" s="3">
        <f ca="1">IFERROR(__xludf.DUMMYFUNCTION("""COMPUTED_VALUE"""),48.15)</f>
        <v>48.15</v>
      </c>
      <c r="AC525" s="3">
        <f ca="1">IFERROR(__xludf.DUMMYFUNCTION("""COMPUTED_VALUE"""),60.94)</f>
        <v>60.94</v>
      </c>
      <c r="AD525" s="3">
        <f ca="1">IFERROR(__xludf.DUMMYFUNCTION("""COMPUTED_VALUE"""),13.45)</f>
        <v>13.45</v>
      </c>
      <c r="AE525" s="3">
        <f ca="1">IFERROR(__xludf.DUMMYFUNCTION("""COMPUTED_VALUE"""),20.39)</f>
        <v>20.39</v>
      </c>
      <c r="AF525" s="3">
        <f ca="1">IFERROR(__xludf.DUMMYFUNCTION("""COMPUTED_VALUE"""),3.73)</f>
        <v>3.73</v>
      </c>
      <c r="AG525" s="3">
        <f ca="1">IFERROR(__xludf.DUMMYFUNCTION("""COMPUTED_VALUE"""),34.81)</f>
        <v>34.81</v>
      </c>
    </row>
    <row r="526" spans="1:33" ht="12.75" x14ac:dyDescent="0.2">
      <c r="A526" s="4">
        <f ca="1">IFERROR(__xludf.DUMMYFUNCTION("""COMPUTED_VALUE"""),45324.6666666666)</f>
        <v>45324.666666666599</v>
      </c>
      <c r="B526" s="3">
        <f ca="1">IFERROR(__xludf.DUMMYFUNCTION("""COMPUTED_VALUE"""),202.24)</f>
        <v>202.24</v>
      </c>
      <c r="C526" s="3">
        <f ca="1">IFERROR(__xludf.DUMMYFUNCTION("""COMPUTED_VALUE"""),505.16)</f>
        <v>505.16</v>
      </c>
      <c r="D526" s="3">
        <f ca="1">IFERROR(__xludf.DUMMYFUNCTION("""COMPUTED_VALUE"""),131.88)</f>
        <v>131.88</v>
      </c>
      <c r="E526" s="3">
        <f ca="1">IFERROR(__xludf.DUMMYFUNCTION("""COMPUTED_VALUE"""),198.82)</f>
        <v>198.82</v>
      </c>
      <c r="F526" s="3">
        <f ca="1">IFERROR(__xludf.DUMMYFUNCTION("""COMPUTED_VALUE"""),63.55)</f>
        <v>63.55</v>
      </c>
      <c r="G526" s="3">
        <f ca="1">IFERROR(__xludf.DUMMYFUNCTION("""COMPUTED_VALUE"""),29.39)</f>
        <v>29.39</v>
      </c>
      <c r="H526" s="3">
        <f ca="1">IFERROR(__xludf.DUMMYFUNCTION("""COMPUTED_VALUE"""),26.68)</f>
        <v>26.68</v>
      </c>
      <c r="I526" s="3">
        <f ca="1">IFERROR(__xludf.DUMMYFUNCTION("""COMPUTED_VALUE"""),141.99)</f>
        <v>141.99</v>
      </c>
      <c r="J526" s="3">
        <f ca="1">IFERROR(__xludf.DUMMYFUNCTION("""COMPUTED_VALUE"""),259.49)</f>
        <v>259.49</v>
      </c>
      <c r="K526" s="3">
        <f ca="1">IFERROR(__xludf.DUMMYFUNCTION("""COMPUTED_VALUE"""),134.6)</f>
        <v>134.6</v>
      </c>
      <c r="L526" s="3">
        <f ca="1">IFERROR(__xludf.DUMMYFUNCTION("""COMPUTED_VALUE"""),87.97)</f>
        <v>87.97</v>
      </c>
      <c r="M526" s="3">
        <f ca="1">IFERROR(__xludf.DUMMYFUNCTION("""COMPUTED_VALUE"""),64.13)</f>
        <v>64.13</v>
      </c>
      <c r="N526" s="3">
        <f ca="1">IFERROR(__xludf.DUMMYFUNCTION("""COMPUTED_VALUE"""),66.9)</f>
        <v>66.900000000000006</v>
      </c>
      <c r="O526" s="3">
        <f ca="1">IFERROR(__xludf.DUMMYFUNCTION("""COMPUTED_VALUE"""),43.16)</f>
        <v>43.16</v>
      </c>
      <c r="P526" s="3">
        <f ca="1">IFERROR(__xludf.DUMMYFUNCTION("""COMPUTED_VALUE"""),83.52)</f>
        <v>83.52</v>
      </c>
      <c r="Q526" s="3">
        <f ca="1">IFERROR(__xludf.DUMMYFUNCTION("""COMPUTED_VALUE"""),116.03)</f>
        <v>116.03</v>
      </c>
      <c r="R526" s="3">
        <f ca="1">IFERROR(__xludf.DUMMYFUNCTION("""COMPUTED_VALUE"""),83.09)</f>
        <v>83.09</v>
      </c>
      <c r="S526" s="3">
        <f ca="1">IFERROR(__xludf.DUMMYFUNCTION("""COMPUTED_VALUE"""),57.33)</f>
        <v>57.33</v>
      </c>
      <c r="T526" s="3">
        <f ca="1">IFERROR(__xludf.DUMMYFUNCTION("""COMPUTED_VALUE"""),21.81)</f>
        <v>21.81</v>
      </c>
      <c r="U526" s="3">
        <f ca="1">IFERROR(__xludf.DUMMYFUNCTION("""COMPUTED_VALUE"""),67.51)</f>
        <v>67.510000000000005</v>
      </c>
      <c r="V526" s="3">
        <f ca="1">IFERROR(__xludf.DUMMYFUNCTION("""COMPUTED_VALUE"""),42.28)</f>
        <v>42.28</v>
      </c>
      <c r="W526" s="3">
        <f ca="1">IFERROR(__xludf.DUMMYFUNCTION("""COMPUTED_VALUE"""),38.98)</f>
        <v>38.979999999999997</v>
      </c>
      <c r="X526" s="3">
        <f ca="1">IFERROR(__xludf.DUMMYFUNCTION("""COMPUTED_VALUE"""),94.46)</f>
        <v>94.46</v>
      </c>
      <c r="Y526" s="3">
        <f ca="1">IFERROR(__xludf.DUMMYFUNCTION("""COMPUTED_VALUE"""),44.01)</f>
        <v>44.01</v>
      </c>
      <c r="Z526" s="3">
        <f ca="1">IFERROR(__xludf.DUMMYFUNCTION("""COMPUTED_VALUE"""),87.23)</f>
        <v>87.23</v>
      </c>
      <c r="AA526" s="3">
        <f ca="1">IFERROR(__xludf.DUMMYFUNCTION("""COMPUTED_VALUE"""),38.31)</f>
        <v>38.31</v>
      </c>
      <c r="AB526" s="3">
        <f ca="1">IFERROR(__xludf.DUMMYFUNCTION("""COMPUTED_VALUE"""),48.37)</f>
        <v>48.37</v>
      </c>
      <c r="AC526" s="3">
        <f ca="1">IFERROR(__xludf.DUMMYFUNCTION("""COMPUTED_VALUE"""),61.36)</f>
        <v>61.36</v>
      </c>
      <c r="AD526" s="3">
        <f ca="1">IFERROR(__xludf.DUMMYFUNCTION("""COMPUTED_VALUE"""),13.47)</f>
        <v>13.47</v>
      </c>
      <c r="AE526" s="3">
        <f ca="1">IFERROR(__xludf.DUMMYFUNCTION("""COMPUTED_VALUE"""),20.35)</f>
        <v>20.350000000000001</v>
      </c>
      <c r="AF526" s="3">
        <f ca="1">IFERROR(__xludf.DUMMYFUNCTION("""COMPUTED_VALUE"""),3.65)</f>
        <v>3.65</v>
      </c>
      <c r="AG526" s="3">
        <f ca="1">IFERROR(__xludf.DUMMYFUNCTION("""COMPUTED_VALUE"""),34.31)</f>
        <v>34.31</v>
      </c>
    </row>
    <row r="527" spans="1:33" ht="12.75" x14ac:dyDescent="0.2">
      <c r="A527" s="4">
        <f ca="1">IFERROR(__xludf.DUMMYFUNCTION("""COMPUTED_VALUE"""),45327.6666666666)</f>
        <v>45327.666666666599</v>
      </c>
      <c r="B527" s="3">
        <f ca="1">IFERROR(__xludf.DUMMYFUNCTION("""COMPUTED_VALUE"""),202.7)</f>
        <v>202.7</v>
      </c>
      <c r="C527" s="3">
        <f ca="1">IFERROR(__xludf.DUMMYFUNCTION("""COMPUTED_VALUE"""),505.4)</f>
        <v>505.4</v>
      </c>
      <c r="D527" s="3">
        <f ca="1">IFERROR(__xludf.DUMMYFUNCTION("""COMPUTED_VALUE"""),132.46)</f>
        <v>132.46</v>
      </c>
      <c r="E527" s="3">
        <f ca="1">IFERROR(__xludf.DUMMYFUNCTION("""COMPUTED_VALUE"""),201.54)</f>
        <v>201.54</v>
      </c>
      <c r="F527" s="3">
        <f ca="1">IFERROR(__xludf.DUMMYFUNCTION("""COMPUTED_VALUE"""),62.9)</f>
        <v>62.9</v>
      </c>
      <c r="G527" s="3">
        <f ca="1">IFERROR(__xludf.DUMMYFUNCTION("""COMPUTED_VALUE"""),29.3)</f>
        <v>29.3</v>
      </c>
      <c r="H527" s="3">
        <f ca="1">IFERROR(__xludf.DUMMYFUNCTION("""COMPUTED_VALUE"""),26.6)</f>
        <v>26.6</v>
      </c>
      <c r="I527" s="3">
        <f ca="1">IFERROR(__xludf.DUMMYFUNCTION("""COMPUTED_VALUE"""),142.43)</f>
        <v>142.43</v>
      </c>
      <c r="J527" s="3">
        <f ca="1">IFERROR(__xludf.DUMMYFUNCTION("""COMPUTED_VALUE"""),260.06)</f>
        <v>260.06</v>
      </c>
      <c r="K527" s="3">
        <f ca="1">IFERROR(__xludf.DUMMYFUNCTION("""COMPUTED_VALUE"""),134.85)</f>
        <v>134.85</v>
      </c>
      <c r="L527" s="3">
        <f ca="1">IFERROR(__xludf.DUMMYFUNCTION("""COMPUTED_VALUE"""),88.41)</f>
        <v>88.41</v>
      </c>
      <c r="M527" s="3">
        <f ca="1">IFERROR(__xludf.DUMMYFUNCTION("""COMPUTED_VALUE"""),63.74)</f>
        <v>63.74</v>
      </c>
      <c r="N527" s="3">
        <f ca="1">IFERROR(__xludf.DUMMYFUNCTION("""COMPUTED_VALUE"""),67.1)</f>
        <v>67.099999999999994</v>
      </c>
      <c r="O527" s="3">
        <f ca="1">IFERROR(__xludf.DUMMYFUNCTION("""COMPUTED_VALUE"""),43.2)</f>
        <v>43.2</v>
      </c>
      <c r="P527" s="3">
        <f ca="1">IFERROR(__xludf.DUMMYFUNCTION("""COMPUTED_VALUE"""),83.31)</f>
        <v>83.31</v>
      </c>
      <c r="Q527" s="3">
        <f ca="1">IFERROR(__xludf.DUMMYFUNCTION("""COMPUTED_VALUE"""),115.6)</f>
        <v>115.6</v>
      </c>
      <c r="R527" s="3">
        <f ca="1">IFERROR(__xludf.DUMMYFUNCTION("""COMPUTED_VALUE"""),80.98)</f>
        <v>80.98</v>
      </c>
      <c r="S527" s="3">
        <f ca="1">IFERROR(__xludf.DUMMYFUNCTION("""COMPUTED_VALUE"""),55.71)</f>
        <v>55.71</v>
      </c>
      <c r="T527" s="3">
        <f ca="1">IFERROR(__xludf.DUMMYFUNCTION("""COMPUTED_VALUE"""),21.9)</f>
        <v>21.9</v>
      </c>
      <c r="U527" s="3">
        <f ca="1">IFERROR(__xludf.DUMMYFUNCTION("""COMPUTED_VALUE"""),68.18)</f>
        <v>68.180000000000007</v>
      </c>
      <c r="V527" s="3">
        <f ca="1">IFERROR(__xludf.DUMMYFUNCTION("""COMPUTED_VALUE"""),41.1)</f>
        <v>41.1</v>
      </c>
      <c r="W527" s="3">
        <f ca="1">IFERROR(__xludf.DUMMYFUNCTION("""COMPUTED_VALUE"""),38.75)</f>
        <v>38.75</v>
      </c>
      <c r="X527" s="3">
        <f ca="1">IFERROR(__xludf.DUMMYFUNCTION("""COMPUTED_VALUE"""),93.69)</f>
        <v>93.69</v>
      </c>
      <c r="Y527" s="3">
        <f ca="1">IFERROR(__xludf.DUMMYFUNCTION("""COMPUTED_VALUE"""),43.34)</f>
        <v>43.34</v>
      </c>
      <c r="Z527" s="3">
        <f ca="1">IFERROR(__xludf.DUMMYFUNCTION("""COMPUTED_VALUE"""),86.69)</f>
        <v>86.69</v>
      </c>
      <c r="AA527" s="3">
        <f ca="1">IFERROR(__xludf.DUMMYFUNCTION("""COMPUTED_VALUE"""),37.55)</f>
        <v>37.549999999999997</v>
      </c>
      <c r="AB527" s="3">
        <f ca="1">IFERROR(__xludf.DUMMYFUNCTION("""COMPUTED_VALUE"""),47.57)</f>
        <v>47.57</v>
      </c>
      <c r="AC527" s="3">
        <f ca="1">IFERROR(__xludf.DUMMYFUNCTION("""COMPUTED_VALUE"""),61.23)</f>
        <v>61.23</v>
      </c>
      <c r="AD527" s="3">
        <f ca="1">IFERROR(__xludf.DUMMYFUNCTION("""COMPUTED_VALUE"""),13.34)</f>
        <v>13.34</v>
      </c>
      <c r="AE527" s="3">
        <f ca="1">IFERROR(__xludf.DUMMYFUNCTION("""COMPUTED_VALUE"""),20.05)</f>
        <v>20.05</v>
      </c>
      <c r="AF527" s="3">
        <f ca="1">IFERROR(__xludf.DUMMYFUNCTION("""COMPUTED_VALUE"""),3.74)</f>
        <v>3.74</v>
      </c>
      <c r="AG527" s="3">
        <f ca="1">IFERROR(__xludf.DUMMYFUNCTION("""COMPUTED_VALUE"""),31.82)</f>
        <v>31.82</v>
      </c>
    </row>
    <row r="528" spans="1:33" ht="12.75" x14ac:dyDescent="0.2">
      <c r="A528" s="4">
        <f ca="1">IFERROR(__xludf.DUMMYFUNCTION("""COMPUTED_VALUE"""),45328.6666666666)</f>
        <v>45328.666666666599</v>
      </c>
      <c r="B528" s="3">
        <f ca="1">IFERROR(__xludf.DUMMYFUNCTION("""COMPUTED_VALUE"""),201.77)</f>
        <v>201.77</v>
      </c>
      <c r="C528" s="3">
        <f ca="1">IFERROR(__xludf.DUMMYFUNCTION("""COMPUTED_VALUE"""),504.54)</f>
        <v>504.54</v>
      </c>
      <c r="D528" s="3">
        <f ca="1">IFERROR(__xludf.DUMMYFUNCTION("""COMPUTED_VALUE"""),134.45)</f>
        <v>134.44999999999999</v>
      </c>
      <c r="E528" s="3">
        <f ca="1">IFERROR(__xludf.DUMMYFUNCTION("""COMPUTED_VALUE"""),199.19)</f>
        <v>199.19</v>
      </c>
      <c r="F528" s="3">
        <f ca="1">IFERROR(__xludf.DUMMYFUNCTION("""COMPUTED_VALUE"""),63.23)</f>
        <v>63.23</v>
      </c>
      <c r="G528" s="3">
        <f ca="1">IFERROR(__xludf.DUMMYFUNCTION("""COMPUTED_VALUE"""),29.07)</f>
        <v>29.07</v>
      </c>
      <c r="H528" s="3">
        <f ca="1">IFERROR(__xludf.DUMMYFUNCTION("""COMPUTED_VALUE"""),26.93)</f>
        <v>26.93</v>
      </c>
      <c r="I528" s="3">
        <f ca="1">IFERROR(__xludf.DUMMYFUNCTION("""COMPUTED_VALUE"""),143.98)</f>
        <v>143.97999999999999</v>
      </c>
      <c r="J528" s="3">
        <f ca="1">IFERROR(__xludf.DUMMYFUNCTION("""COMPUTED_VALUE"""),263.15)</f>
        <v>263.14999999999998</v>
      </c>
      <c r="K528" s="3">
        <f ca="1">IFERROR(__xludf.DUMMYFUNCTION("""COMPUTED_VALUE"""),136.14)</f>
        <v>136.13999999999999</v>
      </c>
      <c r="L528" s="3">
        <f ca="1">IFERROR(__xludf.DUMMYFUNCTION("""COMPUTED_VALUE"""),89.76)</f>
        <v>89.76</v>
      </c>
      <c r="M528" s="3">
        <f ca="1">IFERROR(__xludf.DUMMYFUNCTION("""COMPUTED_VALUE"""),64.7)</f>
        <v>64.7</v>
      </c>
      <c r="N528" s="3">
        <f ca="1">IFERROR(__xludf.DUMMYFUNCTION("""COMPUTED_VALUE"""),67.9)</f>
        <v>67.900000000000006</v>
      </c>
      <c r="O528" s="3">
        <f ca="1">IFERROR(__xludf.DUMMYFUNCTION("""COMPUTED_VALUE"""),44.72)</f>
        <v>44.72</v>
      </c>
      <c r="P528" s="3">
        <f ca="1">IFERROR(__xludf.DUMMYFUNCTION("""COMPUTED_VALUE"""),83.58)</f>
        <v>83.58</v>
      </c>
      <c r="Q528" s="3">
        <f ca="1">IFERROR(__xludf.DUMMYFUNCTION("""COMPUTED_VALUE"""),116.23)</f>
        <v>116.23</v>
      </c>
      <c r="R528" s="3">
        <f ca="1">IFERROR(__xludf.DUMMYFUNCTION("""COMPUTED_VALUE"""),82.41)</f>
        <v>82.41</v>
      </c>
      <c r="S528" s="3">
        <f ca="1">IFERROR(__xludf.DUMMYFUNCTION("""COMPUTED_VALUE"""),55.79)</f>
        <v>55.79</v>
      </c>
      <c r="T528" s="3">
        <f ca="1">IFERROR(__xludf.DUMMYFUNCTION("""COMPUTED_VALUE"""),21.98)</f>
        <v>21.98</v>
      </c>
      <c r="U528" s="3">
        <f ca="1">IFERROR(__xludf.DUMMYFUNCTION("""COMPUTED_VALUE"""),68.81)</f>
        <v>68.81</v>
      </c>
      <c r="V528" s="3">
        <f ca="1">IFERROR(__xludf.DUMMYFUNCTION("""COMPUTED_VALUE"""),42.28)</f>
        <v>42.28</v>
      </c>
      <c r="W528" s="3">
        <f ca="1">IFERROR(__xludf.DUMMYFUNCTION("""COMPUTED_VALUE"""),38.83)</f>
        <v>38.83</v>
      </c>
      <c r="X528" s="3">
        <f ca="1">IFERROR(__xludf.DUMMYFUNCTION("""COMPUTED_VALUE"""),93.97)</f>
        <v>93.97</v>
      </c>
      <c r="Y528" s="3">
        <f ca="1">IFERROR(__xludf.DUMMYFUNCTION("""COMPUTED_VALUE"""),43.04)</f>
        <v>43.04</v>
      </c>
      <c r="Z528" s="3">
        <f ca="1">IFERROR(__xludf.DUMMYFUNCTION("""COMPUTED_VALUE"""),86.93)</f>
        <v>86.93</v>
      </c>
      <c r="AA528" s="3">
        <f ca="1">IFERROR(__xludf.DUMMYFUNCTION("""COMPUTED_VALUE"""),38.12)</f>
        <v>38.119999999999997</v>
      </c>
      <c r="AB528" s="3">
        <f ca="1">IFERROR(__xludf.DUMMYFUNCTION("""COMPUTED_VALUE"""),46.97)</f>
        <v>46.97</v>
      </c>
      <c r="AC528" s="3">
        <f ca="1">IFERROR(__xludf.DUMMYFUNCTION("""COMPUTED_VALUE"""),61.47)</f>
        <v>61.47</v>
      </c>
      <c r="AD528" s="3">
        <f ca="1">IFERROR(__xludf.DUMMYFUNCTION("""COMPUTED_VALUE"""),13.73)</f>
        <v>13.73</v>
      </c>
      <c r="AE528" s="3">
        <f ca="1">IFERROR(__xludf.DUMMYFUNCTION("""COMPUTED_VALUE"""),20.42)</f>
        <v>20.420000000000002</v>
      </c>
      <c r="AF528" s="3">
        <f ca="1">IFERROR(__xludf.DUMMYFUNCTION("""COMPUTED_VALUE"""),3.66)</f>
        <v>3.66</v>
      </c>
      <c r="AG528" s="3">
        <f ca="1">IFERROR(__xludf.DUMMYFUNCTION("""COMPUTED_VALUE"""),33.27)</f>
        <v>33.270000000000003</v>
      </c>
    </row>
    <row r="529" spans="1:33" ht="12.75" x14ac:dyDescent="0.2">
      <c r="A529" s="4">
        <f ca="1">IFERROR(__xludf.DUMMYFUNCTION("""COMPUTED_VALUE"""),45329.6666666666)</f>
        <v>45329.666666666599</v>
      </c>
      <c r="B529" s="3">
        <f ca="1">IFERROR(__xludf.DUMMYFUNCTION("""COMPUTED_VALUE"""),204.44)</f>
        <v>204.44</v>
      </c>
      <c r="C529" s="3">
        <f ca="1">IFERROR(__xludf.DUMMYFUNCTION("""COMPUTED_VALUE"""),511.06)</f>
        <v>511.06</v>
      </c>
      <c r="D529" s="3">
        <f ca="1">IFERROR(__xludf.DUMMYFUNCTION("""COMPUTED_VALUE"""),133.4)</f>
        <v>133.4</v>
      </c>
      <c r="E529" s="3">
        <f ca="1">IFERROR(__xludf.DUMMYFUNCTION("""COMPUTED_VALUE"""),202.24)</f>
        <v>202.24</v>
      </c>
      <c r="F529" s="3">
        <f ca="1">IFERROR(__xludf.DUMMYFUNCTION("""COMPUTED_VALUE"""),64.68)</f>
        <v>64.680000000000007</v>
      </c>
      <c r="G529" s="3">
        <f ca="1">IFERROR(__xludf.DUMMYFUNCTION("""COMPUTED_VALUE"""),29.32)</f>
        <v>29.32</v>
      </c>
      <c r="H529" s="3">
        <f ca="1">IFERROR(__xludf.DUMMYFUNCTION("""COMPUTED_VALUE"""),26.97)</f>
        <v>26.97</v>
      </c>
      <c r="I529" s="3">
        <f ca="1">IFERROR(__xludf.DUMMYFUNCTION("""COMPUTED_VALUE"""),144.37)</f>
        <v>144.37</v>
      </c>
      <c r="J529" s="3">
        <f ca="1">IFERROR(__xludf.DUMMYFUNCTION("""COMPUTED_VALUE"""),263.51)</f>
        <v>263.51</v>
      </c>
      <c r="K529" s="3">
        <f ca="1">IFERROR(__xludf.DUMMYFUNCTION("""COMPUTED_VALUE"""),133.72)</f>
        <v>133.72</v>
      </c>
      <c r="L529" s="3">
        <f ca="1">IFERROR(__xludf.DUMMYFUNCTION("""COMPUTED_VALUE"""),88.07)</f>
        <v>88.07</v>
      </c>
      <c r="M529" s="3">
        <f ca="1">IFERROR(__xludf.DUMMYFUNCTION("""COMPUTED_VALUE"""),63.55)</f>
        <v>63.55</v>
      </c>
      <c r="N529" s="3">
        <f ca="1">IFERROR(__xludf.DUMMYFUNCTION("""COMPUTED_VALUE"""),67.95)</f>
        <v>67.95</v>
      </c>
      <c r="O529" s="3">
        <f ca="1">IFERROR(__xludf.DUMMYFUNCTION("""COMPUTED_VALUE"""),43.96)</f>
        <v>43.96</v>
      </c>
      <c r="P529" s="3">
        <f ca="1">IFERROR(__xludf.DUMMYFUNCTION("""COMPUTED_VALUE"""),83.75)</f>
        <v>83.75</v>
      </c>
      <c r="Q529" s="3">
        <f ca="1">IFERROR(__xludf.DUMMYFUNCTION("""COMPUTED_VALUE"""),116.43)</f>
        <v>116.43</v>
      </c>
      <c r="R529" s="3">
        <f ca="1">IFERROR(__xludf.DUMMYFUNCTION("""COMPUTED_VALUE"""),83.07)</f>
        <v>83.07</v>
      </c>
      <c r="S529" s="3">
        <f ca="1">IFERROR(__xludf.DUMMYFUNCTION("""COMPUTED_VALUE"""),56.08)</f>
        <v>56.08</v>
      </c>
      <c r="T529" s="3">
        <f ca="1">IFERROR(__xludf.DUMMYFUNCTION("""COMPUTED_VALUE"""),22.08)</f>
        <v>22.08</v>
      </c>
      <c r="U529" s="3">
        <f ca="1">IFERROR(__xludf.DUMMYFUNCTION("""COMPUTED_VALUE"""),69.42)</f>
        <v>69.42</v>
      </c>
      <c r="V529" s="3">
        <f ca="1">IFERROR(__xludf.DUMMYFUNCTION("""COMPUTED_VALUE"""),44.16)</f>
        <v>44.16</v>
      </c>
      <c r="W529" s="3">
        <f ca="1">IFERROR(__xludf.DUMMYFUNCTION("""COMPUTED_VALUE"""),39.12)</f>
        <v>39.119999999999997</v>
      </c>
      <c r="X529" s="3">
        <f ca="1">IFERROR(__xludf.DUMMYFUNCTION("""COMPUTED_VALUE"""),94.53)</f>
        <v>94.53</v>
      </c>
      <c r="Y529" s="3">
        <f ca="1">IFERROR(__xludf.DUMMYFUNCTION("""COMPUTED_VALUE"""),43.02)</f>
        <v>43.02</v>
      </c>
      <c r="Z529" s="3">
        <f ca="1">IFERROR(__xludf.DUMMYFUNCTION("""COMPUTED_VALUE"""),87.53)</f>
        <v>87.53</v>
      </c>
      <c r="AA529" s="3">
        <f ca="1">IFERROR(__xludf.DUMMYFUNCTION("""COMPUTED_VALUE"""),38.1)</f>
        <v>38.1</v>
      </c>
      <c r="AB529" s="3">
        <f ca="1">IFERROR(__xludf.DUMMYFUNCTION("""COMPUTED_VALUE"""),46.85)</f>
        <v>46.85</v>
      </c>
      <c r="AC529" s="3">
        <f ca="1">IFERROR(__xludf.DUMMYFUNCTION("""COMPUTED_VALUE"""),61.81)</f>
        <v>61.81</v>
      </c>
      <c r="AD529" s="3">
        <f ca="1">IFERROR(__xludf.DUMMYFUNCTION("""COMPUTED_VALUE"""),14.06)</f>
        <v>14.06</v>
      </c>
      <c r="AE529" s="3">
        <f ca="1">IFERROR(__xludf.DUMMYFUNCTION("""COMPUTED_VALUE"""),20.95)</f>
        <v>20.95</v>
      </c>
      <c r="AF529" s="3">
        <f ca="1">IFERROR(__xludf.DUMMYFUNCTION("""COMPUTED_VALUE"""),3.5)</f>
        <v>3.5</v>
      </c>
      <c r="AG529" s="3">
        <f ca="1">IFERROR(__xludf.DUMMYFUNCTION("""COMPUTED_VALUE"""),34.41)</f>
        <v>34.409999999999997</v>
      </c>
    </row>
    <row r="530" spans="1:33" ht="12.75" x14ac:dyDescent="0.2">
      <c r="A530" s="4">
        <f ca="1">IFERROR(__xludf.DUMMYFUNCTION("""COMPUTED_VALUE"""),45330.6666666666)</f>
        <v>45330.666666666599</v>
      </c>
      <c r="B530" s="3">
        <f ca="1">IFERROR(__xludf.DUMMYFUNCTION("""COMPUTED_VALUE"""),205.08)</f>
        <v>205.08</v>
      </c>
      <c r="C530" s="3">
        <f ca="1">IFERROR(__xludf.DUMMYFUNCTION("""COMPUTED_VALUE"""),513.65)</f>
        <v>513.65</v>
      </c>
      <c r="D530" s="3">
        <f ca="1">IFERROR(__xludf.DUMMYFUNCTION("""COMPUTED_VALUE"""),133.4)</f>
        <v>133.4</v>
      </c>
      <c r="E530" s="3">
        <f ca="1">IFERROR(__xludf.DUMMYFUNCTION("""COMPUTED_VALUE"""),205.71)</f>
        <v>205.71</v>
      </c>
      <c r="F530" s="3">
        <f ca="1">IFERROR(__xludf.DUMMYFUNCTION("""COMPUTED_VALUE"""),65.45)</f>
        <v>65.45</v>
      </c>
      <c r="G530" s="3">
        <f ca="1">IFERROR(__xludf.DUMMYFUNCTION("""COMPUTED_VALUE"""),29.37)</f>
        <v>29.37</v>
      </c>
      <c r="H530" s="3">
        <f ca="1">IFERROR(__xludf.DUMMYFUNCTION("""COMPUTED_VALUE"""),27.28)</f>
        <v>27.28</v>
      </c>
      <c r="I530" s="3">
        <f ca="1">IFERROR(__xludf.DUMMYFUNCTION("""COMPUTED_VALUE"""),144.12)</f>
        <v>144.12</v>
      </c>
      <c r="J530" s="3">
        <f ca="1">IFERROR(__xludf.DUMMYFUNCTION("""COMPUTED_VALUE"""),263.45)</f>
        <v>263.45</v>
      </c>
      <c r="K530" s="3">
        <f ca="1">IFERROR(__xludf.DUMMYFUNCTION("""COMPUTED_VALUE"""),134.25)</f>
        <v>134.25</v>
      </c>
      <c r="L530" s="3">
        <f ca="1">IFERROR(__xludf.DUMMYFUNCTION("""COMPUTED_VALUE"""),89.22)</f>
        <v>89.22</v>
      </c>
      <c r="M530" s="3">
        <f ca="1">IFERROR(__xludf.DUMMYFUNCTION("""COMPUTED_VALUE"""),63.88)</f>
        <v>63.88</v>
      </c>
      <c r="N530" s="3">
        <f ca="1">IFERROR(__xludf.DUMMYFUNCTION("""COMPUTED_VALUE"""),67.95)</f>
        <v>67.95</v>
      </c>
      <c r="O530" s="3">
        <f ca="1">IFERROR(__xludf.DUMMYFUNCTION("""COMPUTED_VALUE"""),44.4)</f>
        <v>44.4</v>
      </c>
      <c r="P530" s="3">
        <f ca="1">IFERROR(__xludf.DUMMYFUNCTION("""COMPUTED_VALUE"""),84.61)</f>
        <v>84.61</v>
      </c>
      <c r="Q530" s="3">
        <f ca="1">IFERROR(__xludf.DUMMYFUNCTION("""COMPUTED_VALUE"""),117.68)</f>
        <v>117.68</v>
      </c>
      <c r="R530" s="3">
        <f ca="1">IFERROR(__xludf.DUMMYFUNCTION("""COMPUTED_VALUE"""),82.96)</f>
        <v>82.96</v>
      </c>
      <c r="S530" s="3">
        <f ca="1">IFERROR(__xludf.DUMMYFUNCTION("""COMPUTED_VALUE"""),56.23)</f>
        <v>56.23</v>
      </c>
      <c r="T530" s="3">
        <f ca="1">IFERROR(__xludf.DUMMYFUNCTION("""COMPUTED_VALUE"""),22.2)</f>
        <v>22.2</v>
      </c>
      <c r="U530" s="3">
        <f ca="1">IFERROR(__xludf.DUMMYFUNCTION("""COMPUTED_VALUE"""),71.52)</f>
        <v>71.52</v>
      </c>
      <c r="V530" s="3">
        <f ca="1">IFERROR(__xludf.DUMMYFUNCTION("""COMPUTED_VALUE"""),44.1)</f>
        <v>44.1</v>
      </c>
      <c r="W530" s="3">
        <f ca="1">IFERROR(__xludf.DUMMYFUNCTION("""COMPUTED_VALUE"""),38.97)</f>
        <v>38.97</v>
      </c>
      <c r="X530" s="3">
        <f ca="1">IFERROR(__xludf.DUMMYFUNCTION("""COMPUTED_VALUE"""),94.33)</f>
        <v>94.33</v>
      </c>
      <c r="Y530" s="3">
        <f ca="1">IFERROR(__xludf.DUMMYFUNCTION("""COMPUTED_VALUE"""),43.15)</f>
        <v>43.15</v>
      </c>
      <c r="Z530" s="3">
        <f ca="1">IFERROR(__xludf.DUMMYFUNCTION("""COMPUTED_VALUE"""),87.42)</f>
        <v>87.42</v>
      </c>
      <c r="AA530" s="3">
        <f ca="1">IFERROR(__xludf.DUMMYFUNCTION("""COMPUTED_VALUE"""),38.31)</f>
        <v>38.31</v>
      </c>
      <c r="AB530" s="3">
        <f ca="1">IFERROR(__xludf.DUMMYFUNCTION("""COMPUTED_VALUE"""),47.04)</f>
        <v>47.04</v>
      </c>
      <c r="AC530" s="3">
        <f ca="1">IFERROR(__xludf.DUMMYFUNCTION("""COMPUTED_VALUE"""),61.81)</f>
        <v>61.81</v>
      </c>
      <c r="AD530" s="3">
        <f ca="1">IFERROR(__xludf.DUMMYFUNCTION("""COMPUTED_VALUE"""),14.28)</f>
        <v>14.28</v>
      </c>
      <c r="AE530" s="3">
        <f ca="1">IFERROR(__xludf.DUMMYFUNCTION("""COMPUTED_VALUE"""),21.58)</f>
        <v>21.58</v>
      </c>
      <c r="AF530" s="3">
        <f ca="1">IFERROR(__xludf.DUMMYFUNCTION("""COMPUTED_VALUE"""),3.55)</f>
        <v>3.55</v>
      </c>
      <c r="AG530" s="3">
        <f ca="1">IFERROR(__xludf.DUMMYFUNCTION("""COMPUTED_VALUE"""),38.34)</f>
        <v>38.340000000000003</v>
      </c>
    </row>
    <row r="531" spans="1:33" ht="12.75" x14ac:dyDescent="0.2">
      <c r="A531" s="4">
        <f ca="1">IFERROR(__xludf.DUMMYFUNCTION("""COMPUTED_VALUE"""),45331.6666666666)</f>
        <v>45331.666666666599</v>
      </c>
      <c r="B531" s="3">
        <f ca="1">IFERROR(__xludf.DUMMYFUNCTION("""COMPUTED_VALUE"""),207.84)</f>
        <v>207.84</v>
      </c>
      <c r="C531" s="3">
        <f ca="1">IFERROR(__xludf.DUMMYFUNCTION("""COMPUTED_VALUE"""),521.44)</f>
        <v>521.44000000000005</v>
      </c>
      <c r="D531" s="3">
        <f ca="1">IFERROR(__xludf.DUMMYFUNCTION("""COMPUTED_VALUE"""),132.71)</f>
        <v>132.71</v>
      </c>
      <c r="E531" s="3">
        <f ca="1">IFERROR(__xludf.DUMMYFUNCTION("""COMPUTED_VALUE"""),209.81)</f>
        <v>209.81</v>
      </c>
      <c r="F531" s="3">
        <f ca="1">IFERROR(__xludf.DUMMYFUNCTION("""COMPUTED_VALUE"""),67.19)</f>
        <v>67.19</v>
      </c>
      <c r="G531" s="3">
        <f ca="1">IFERROR(__xludf.DUMMYFUNCTION("""COMPUTED_VALUE"""),29.91)</f>
        <v>29.91</v>
      </c>
      <c r="H531" s="3">
        <f ca="1">IFERROR(__xludf.DUMMYFUNCTION("""COMPUTED_VALUE"""),27.52)</f>
        <v>27.52</v>
      </c>
      <c r="I531" s="3">
        <f ca="1">IFERROR(__xludf.DUMMYFUNCTION("""COMPUTED_VALUE"""),144.01)</f>
        <v>144.01</v>
      </c>
      <c r="J531" s="3">
        <f ca="1">IFERROR(__xludf.DUMMYFUNCTION("""COMPUTED_VALUE"""),263.45)</f>
        <v>263.45</v>
      </c>
      <c r="K531" s="3">
        <f ca="1">IFERROR(__xludf.DUMMYFUNCTION("""COMPUTED_VALUE"""),134.59)</f>
        <v>134.59</v>
      </c>
      <c r="L531" s="3">
        <f ca="1">IFERROR(__xludf.DUMMYFUNCTION("""COMPUTED_VALUE"""),91.04)</f>
        <v>91.04</v>
      </c>
      <c r="M531" s="3">
        <f ca="1">IFERROR(__xludf.DUMMYFUNCTION("""COMPUTED_VALUE"""),64.15)</f>
        <v>64.150000000000006</v>
      </c>
      <c r="N531" s="3">
        <f ca="1">IFERROR(__xludf.DUMMYFUNCTION("""COMPUTED_VALUE"""),67.93)</f>
        <v>67.930000000000007</v>
      </c>
      <c r="O531" s="3">
        <f ca="1">IFERROR(__xludf.DUMMYFUNCTION("""COMPUTED_VALUE"""),44.84)</f>
        <v>44.84</v>
      </c>
      <c r="P531" s="3">
        <f ca="1">IFERROR(__xludf.DUMMYFUNCTION("""COMPUTED_VALUE"""),83.31)</f>
        <v>83.31</v>
      </c>
      <c r="Q531" s="3">
        <f ca="1">IFERROR(__xludf.DUMMYFUNCTION("""COMPUTED_VALUE"""),116.01)</f>
        <v>116.01</v>
      </c>
      <c r="R531" s="3">
        <f ca="1">IFERROR(__xludf.DUMMYFUNCTION("""COMPUTED_VALUE"""),83.14)</f>
        <v>83.14</v>
      </c>
      <c r="S531" s="3">
        <f ca="1">IFERROR(__xludf.DUMMYFUNCTION("""COMPUTED_VALUE"""),56.19)</f>
        <v>56.19</v>
      </c>
      <c r="T531" s="3">
        <f ca="1">IFERROR(__xludf.DUMMYFUNCTION("""COMPUTED_VALUE"""),22.26)</f>
        <v>22.26</v>
      </c>
      <c r="U531" s="3">
        <f ca="1">IFERROR(__xludf.DUMMYFUNCTION("""COMPUTED_VALUE"""),71.67)</f>
        <v>71.67</v>
      </c>
      <c r="V531" s="3">
        <f ca="1">IFERROR(__xludf.DUMMYFUNCTION("""COMPUTED_VALUE"""),45.49)</f>
        <v>45.49</v>
      </c>
      <c r="W531" s="3">
        <f ca="1">IFERROR(__xludf.DUMMYFUNCTION("""COMPUTED_VALUE"""),39.08)</f>
        <v>39.08</v>
      </c>
      <c r="X531" s="3">
        <f ca="1">IFERROR(__xludf.DUMMYFUNCTION("""COMPUTED_VALUE"""),94.75)</f>
        <v>94.75</v>
      </c>
      <c r="Y531" s="3">
        <f ca="1">IFERROR(__xludf.DUMMYFUNCTION("""COMPUTED_VALUE"""),43.71)</f>
        <v>43.71</v>
      </c>
      <c r="Z531" s="3">
        <f ca="1">IFERROR(__xludf.DUMMYFUNCTION("""COMPUTED_VALUE"""),87.81)</f>
        <v>87.81</v>
      </c>
      <c r="AA531" s="3">
        <f ca="1">IFERROR(__xludf.DUMMYFUNCTION("""COMPUTED_VALUE"""),38.41)</f>
        <v>38.409999999999997</v>
      </c>
      <c r="AB531" s="3">
        <f ca="1">IFERROR(__xludf.DUMMYFUNCTION("""COMPUTED_VALUE"""),47.87)</f>
        <v>47.87</v>
      </c>
      <c r="AC531" s="3">
        <f ca="1">IFERROR(__xludf.DUMMYFUNCTION("""COMPUTED_VALUE"""),61.45)</f>
        <v>61.45</v>
      </c>
      <c r="AD531" s="3">
        <f ca="1">IFERROR(__xludf.DUMMYFUNCTION("""COMPUTED_VALUE"""),14.78)</f>
        <v>14.78</v>
      </c>
      <c r="AE531" s="3">
        <f ca="1">IFERROR(__xludf.DUMMYFUNCTION("""COMPUTED_VALUE"""),22.54)</f>
        <v>22.54</v>
      </c>
      <c r="AF531" s="3">
        <f ca="1">IFERROR(__xludf.DUMMYFUNCTION("""COMPUTED_VALUE"""),3.68)</f>
        <v>3.68</v>
      </c>
      <c r="AG531" s="3">
        <f ca="1">IFERROR(__xludf.DUMMYFUNCTION("""COMPUTED_VALUE"""),42.9)</f>
        <v>42.9</v>
      </c>
    </row>
    <row r="532" spans="1:33" ht="12.75" x14ac:dyDescent="0.2">
      <c r="A532" s="4">
        <f ca="1">IFERROR(__xludf.DUMMYFUNCTION("""COMPUTED_VALUE"""),45334.6666666666)</f>
        <v>45334.666666666599</v>
      </c>
      <c r="B532" s="3">
        <f ca="1">IFERROR(__xludf.DUMMYFUNCTION("""COMPUTED_VALUE"""),206.26)</f>
        <v>206.26</v>
      </c>
      <c r="C532" s="3">
        <f ca="1">IFERROR(__xludf.DUMMYFUNCTION("""COMPUTED_VALUE"""),518.19)</f>
        <v>518.19000000000005</v>
      </c>
      <c r="D532" s="3">
        <f ca="1">IFERROR(__xludf.DUMMYFUNCTION("""COMPUTED_VALUE"""),132.42)</f>
        <v>132.41999999999999</v>
      </c>
      <c r="E532" s="3">
        <f ca="1">IFERROR(__xludf.DUMMYFUNCTION("""COMPUTED_VALUE"""),209.43)</f>
        <v>209.43</v>
      </c>
      <c r="F532" s="3">
        <f ca="1">IFERROR(__xludf.DUMMYFUNCTION("""COMPUTED_VALUE"""),66.66)</f>
        <v>66.66</v>
      </c>
      <c r="G532" s="3">
        <f ca="1">IFERROR(__xludf.DUMMYFUNCTION("""COMPUTED_VALUE"""),29.99)</f>
        <v>29.99</v>
      </c>
      <c r="H532" s="3">
        <f ca="1">IFERROR(__xludf.DUMMYFUNCTION("""COMPUTED_VALUE"""),27.66)</f>
        <v>27.66</v>
      </c>
      <c r="I532" s="3">
        <f ca="1">IFERROR(__xludf.DUMMYFUNCTION("""COMPUTED_VALUE"""),144.2)</f>
        <v>144.19999999999999</v>
      </c>
      <c r="J532" s="3">
        <f ca="1">IFERROR(__xludf.DUMMYFUNCTION("""COMPUTED_VALUE"""),264.25)</f>
        <v>264.25</v>
      </c>
      <c r="K532" s="3">
        <f ca="1">IFERROR(__xludf.DUMMYFUNCTION("""COMPUTED_VALUE"""),135.76)</f>
        <v>135.76</v>
      </c>
      <c r="L532" s="3">
        <f ca="1">IFERROR(__xludf.DUMMYFUNCTION("""COMPUTED_VALUE"""),93.1)</f>
        <v>93.1</v>
      </c>
      <c r="M532" s="3">
        <f ca="1">IFERROR(__xludf.DUMMYFUNCTION("""COMPUTED_VALUE"""),64.71)</f>
        <v>64.709999999999994</v>
      </c>
      <c r="N532" s="3">
        <f ca="1">IFERROR(__xludf.DUMMYFUNCTION("""COMPUTED_VALUE"""),68.18)</f>
        <v>68.180000000000007</v>
      </c>
      <c r="O532" s="3">
        <f ca="1">IFERROR(__xludf.DUMMYFUNCTION("""COMPUTED_VALUE"""),46.04)</f>
        <v>46.04</v>
      </c>
      <c r="P532" s="3">
        <f ca="1">IFERROR(__xludf.DUMMYFUNCTION("""COMPUTED_VALUE"""),84.23)</f>
        <v>84.23</v>
      </c>
      <c r="Q532" s="3">
        <f ca="1">IFERROR(__xludf.DUMMYFUNCTION("""COMPUTED_VALUE"""),117.33)</f>
        <v>117.33</v>
      </c>
      <c r="R532" s="3">
        <f ca="1">IFERROR(__xludf.DUMMYFUNCTION("""COMPUTED_VALUE"""),83.8)</f>
        <v>83.8</v>
      </c>
      <c r="S532" s="3">
        <f ca="1">IFERROR(__xludf.DUMMYFUNCTION("""COMPUTED_VALUE"""),56.81)</f>
        <v>56.81</v>
      </c>
      <c r="T532" s="3">
        <f ca="1">IFERROR(__xludf.DUMMYFUNCTION("""COMPUTED_VALUE"""),22.27)</f>
        <v>22.27</v>
      </c>
      <c r="U532" s="3">
        <f ca="1">IFERROR(__xludf.DUMMYFUNCTION("""COMPUTED_VALUE"""),72.11)</f>
        <v>72.11</v>
      </c>
      <c r="V532" s="3">
        <f ca="1">IFERROR(__xludf.DUMMYFUNCTION("""COMPUTED_VALUE"""),47.3)</f>
        <v>47.3</v>
      </c>
      <c r="W532" s="3">
        <f ca="1">IFERROR(__xludf.DUMMYFUNCTION("""COMPUTED_VALUE"""),39.26)</f>
        <v>39.26</v>
      </c>
      <c r="X532" s="3">
        <f ca="1">IFERROR(__xludf.DUMMYFUNCTION("""COMPUTED_VALUE"""),95.38)</f>
        <v>95.38</v>
      </c>
      <c r="Y532" s="3">
        <f ca="1">IFERROR(__xludf.DUMMYFUNCTION("""COMPUTED_VALUE"""),44.44)</f>
        <v>44.44</v>
      </c>
      <c r="Z532" s="3">
        <f ca="1">IFERROR(__xludf.DUMMYFUNCTION("""COMPUTED_VALUE"""),88.41)</f>
        <v>88.41</v>
      </c>
      <c r="AA532" s="3">
        <f ca="1">IFERROR(__xludf.DUMMYFUNCTION("""COMPUTED_VALUE"""),38.29)</f>
        <v>38.29</v>
      </c>
      <c r="AB532" s="3">
        <f ca="1">IFERROR(__xludf.DUMMYFUNCTION("""COMPUTED_VALUE"""),48.9)</f>
        <v>48.9</v>
      </c>
      <c r="AC532" s="3">
        <f ca="1">IFERROR(__xludf.DUMMYFUNCTION("""COMPUTED_VALUE"""),62.53)</f>
        <v>62.53</v>
      </c>
      <c r="AD532" s="3">
        <f ca="1">IFERROR(__xludf.DUMMYFUNCTION("""COMPUTED_VALUE"""),15.61)</f>
        <v>15.61</v>
      </c>
      <c r="AE532" s="3">
        <f ca="1">IFERROR(__xludf.DUMMYFUNCTION("""COMPUTED_VALUE"""),23.82)</f>
        <v>23.82</v>
      </c>
      <c r="AF532" s="3">
        <f ca="1">IFERROR(__xludf.DUMMYFUNCTION("""COMPUTED_VALUE"""),4.1)</f>
        <v>4.0999999999999996</v>
      </c>
      <c r="AG532" s="3">
        <f ca="1">IFERROR(__xludf.DUMMYFUNCTION("""COMPUTED_VALUE"""),47.23)</f>
        <v>47.23</v>
      </c>
    </row>
    <row r="533" spans="1:33" ht="12.75" x14ac:dyDescent="0.2">
      <c r="A533" s="4">
        <f ca="1">IFERROR(__xludf.DUMMYFUNCTION("""COMPUTED_VALUE"""),45335.6666666666)</f>
        <v>45335.666666666599</v>
      </c>
      <c r="B533" s="3">
        <f ca="1">IFERROR(__xludf.DUMMYFUNCTION("""COMPUTED_VALUE"""),202.76)</f>
        <v>202.76</v>
      </c>
      <c r="C533" s="3">
        <f ca="1">IFERROR(__xludf.DUMMYFUNCTION("""COMPUTED_VALUE"""),508.06)</f>
        <v>508.06</v>
      </c>
      <c r="D533" s="3">
        <f ca="1">IFERROR(__xludf.DUMMYFUNCTION("""COMPUTED_VALUE"""),130.95)</f>
        <v>130.94999999999999</v>
      </c>
      <c r="E533" s="3">
        <f ca="1">IFERROR(__xludf.DUMMYFUNCTION("""COMPUTED_VALUE"""),205.13)</f>
        <v>205.13</v>
      </c>
      <c r="F533" s="3">
        <f ca="1">IFERROR(__xludf.DUMMYFUNCTION("""COMPUTED_VALUE"""),65.62)</f>
        <v>65.62</v>
      </c>
      <c r="G533" s="3">
        <f ca="1">IFERROR(__xludf.DUMMYFUNCTION("""COMPUTED_VALUE"""),29.28)</f>
        <v>29.28</v>
      </c>
      <c r="H533" s="3">
        <f ca="1">IFERROR(__xludf.DUMMYFUNCTION("""COMPUTED_VALUE"""),27.16)</f>
        <v>27.16</v>
      </c>
      <c r="I533" s="3">
        <f ca="1">IFERROR(__xludf.DUMMYFUNCTION("""COMPUTED_VALUE"""),142.86)</f>
        <v>142.86000000000001</v>
      </c>
      <c r="J533" s="3">
        <f ca="1">IFERROR(__xludf.DUMMYFUNCTION("""COMPUTED_VALUE"""),261.35)</f>
        <v>261.35000000000002</v>
      </c>
      <c r="K533" s="3">
        <f ca="1">IFERROR(__xludf.DUMMYFUNCTION("""COMPUTED_VALUE"""),132.3)</f>
        <v>132.30000000000001</v>
      </c>
      <c r="L533" s="3">
        <f ca="1">IFERROR(__xludf.DUMMYFUNCTION("""COMPUTED_VALUE"""),88.72)</f>
        <v>88.72</v>
      </c>
      <c r="M533" s="3">
        <f ca="1">IFERROR(__xludf.DUMMYFUNCTION("""COMPUTED_VALUE"""),62.39)</f>
        <v>62.39</v>
      </c>
      <c r="N533" s="3">
        <f ca="1">IFERROR(__xludf.DUMMYFUNCTION("""COMPUTED_VALUE"""),67.37)</f>
        <v>67.37</v>
      </c>
      <c r="O533" s="3">
        <f ca="1">IFERROR(__xludf.DUMMYFUNCTION("""COMPUTED_VALUE"""),43.56)</f>
        <v>43.56</v>
      </c>
      <c r="P533" s="3">
        <f ca="1">IFERROR(__xludf.DUMMYFUNCTION("""COMPUTED_VALUE"""),83.38)</f>
        <v>83.38</v>
      </c>
      <c r="Q533" s="3">
        <f ca="1">IFERROR(__xludf.DUMMYFUNCTION("""COMPUTED_VALUE"""),116.07)</f>
        <v>116.07</v>
      </c>
      <c r="R533" s="3">
        <f ca="1">IFERROR(__xludf.DUMMYFUNCTION("""COMPUTED_VALUE"""),82.62)</f>
        <v>82.62</v>
      </c>
      <c r="S533" s="3">
        <f ca="1">IFERROR(__xludf.DUMMYFUNCTION("""COMPUTED_VALUE"""),54.61)</f>
        <v>54.61</v>
      </c>
      <c r="T533" s="3">
        <f ca="1">IFERROR(__xludf.DUMMYFUNCTION("""COMPUTED_VALUE"""),22.14)</f>
        <v>22.14</v>
      </c>
      <c r="U533" s="3">
        <f ca="1">IFERROR(__xludf.DUMMYFUNCTION("""COMPUTED_VALUE"""),72.65)</f>
        <v>72.650000000000006</v>
      </c>
      <c r="V533" s="3">
        <f ca="1">IFERROR(__xludf.DUMMYFUNCTION("""COMPUTED_VALUE"""),44.49)</f>
        <v>44.49</v>
      </c>
      <c r="W533" s="3">
        <f ca="1">IFERROR(__xludf.DUMMYFUNCTION("""COMPUTED_VALUE"""),38.73)</f>
        <v>38.729999999999997</v>
      </c>
      <c r="X533" s="3">
        <f ca="1">IFERROR(__xludf.DUMMYFUNCTION("""COMPUTED_VALUE"""),93.88)</f>
        <v>93.88</v>
      </c>
      <c r="Y533" s="3">
        <f ca="1">IFERROR(__xludf.DUMMYFUNCTION("""COMPUTED_VALUE"""),42.85)</f>
        <v>42.85</v>
      </c>
      <c r="Z533" s="3">
        <f ca="1">IFERROR(__xludf.DUMMYFUNCTION("""COMPUTED_VALUE"""),86.94)</f>
        <v>86.94</v>
      </c>
      <c r="AA533" s="3">
        <f ca="1">IFERROR(__xludf.DUMMYFUNCTION("""COMPUTED_VALUE"""),37.59)</f>
        <v>37.590000000000003</v>
      </c>
      <c r="AB533" s="3">
        <f ca="1">IFERROR(__xludf.DUMMYFUNCTION("""COMPUTED_VALUE"""),46.83)</f>
        <v>46.83</v>
      </c>
      <c r="AC533" s="3">
        <f ca="1">IFERROR(__xludf.DUMMYFUNCTION("""COMPUTED_VALUE"""),62.41)</f>
        <v>62.41</v>
      </c>
      <c r="AD533" s="3">
        <f ca="1">IFERROR(__xludf.DUMMYFUNCTION("""COMPUTED_VALUE"""),15.46)</f>
        <v>15.46</v>
      </c>
      <c r="AE533" s="3">
        <f ca="1">IFERROR(__xludf.DUMMYFUNCTION("""COMPUTED_VALUE"""),23.43)</f>
        <v>23.43</v>
      </c>
      <c r="AF533" s="3">
        <f ca="1">IFERROR(__xludf.DUMMYFUNCTION("""COMPUTED_VALUE"""),4.33)</f>
        <v>4.33</v>
      </c>
      <c r="AG533" s="3">
        <f ca="1">IFERROR(__xludf.DUMMYFUNCTION("""COMPUTED_VALUE"""),45.23)</f>
        <v>45.23</v>
      </c>
    </row>
    <row r="534" spans="1:33" ht="12.75" x14ac:dyDescent="0.2">
      <c r="A534" s="4">
        <f ca="1">IFERROR(__xludf.DUMMYFUNCTION("""COMPUTED_VALUE"""),45336.6666666666)</f>
        <v>45336.666666666599</v>
      </c>
      <c r="B534" s="3">
        <f ca="1">IFERROR(__xludf.DUMMYFUNCTION("""COMPUTED_VALUE"""),204.88)</f>
        <v>204.88</v>
      </c>
      <c r="C534" s="3">
        <f ca="1">IFERROR(__xludf.DUMMYFUNCTION("""COMPUTED_VALUE"""),514.85)</f>
        <v>514.85</v>
      </c>
      <c r="D534" s="3">
        <f ca="1">IFERROR(__xludf.DUMMYFUNCTION("""COMPUTED_VALUE"""),129.64)</f>
        <v>129.63999999999999</v>
      </c>
      <c r="E534" s="3">
        <f ca="1">IFERROR(__xludf.DUMMYFUNCTION("""COMPUTED_VALUE"""),209.76)</f>
        <v>209.76</v>
      </c>
      <c r="F534" s="3">
        <f ca="1">IFERROR(__xludf.DUMMYFUNCTION("""COMPUTED_VALUE"""),66.7)</f>
        <v>66.7</v>
      </c>
      <c r="G534" s="3">
        <f ca="1">IFERROR(__xludf.DUMMYFUNCTION("""COMPUTED_VALUE"""),29.89)</f>
        <v>29.89</v>
      </c>
      <c r="H534" s="3">
        <f ca="1">IFERROR(__xludf.DUMMYFUNCTION("""COMPUTED_VALUE"""),27.69)</f>
        <v>27.69</v>
      </c>
      <c r="I534" s="3">
        <f ca="1">IFERROR(__xludf.DUMMYFUNCTION("""COMPUTED_VALUE"""),144.1)</f>
        <v>144.1</v>
      </c>
      <c r="J534" s="3">
        <f ca="1">IFERROR(__xludf.DUMMYFUNCTION("""COMPUTED_VALUE"""),263.86)</f>
        <v>263.86</v>
      </c>
      <c r="K534" s="3">
        <f ca="1">IFERROR(__xludf.DUMMYFUNCTION("""COMPUTED_VALUE"""),134.8)</f>
        <v>134.80000000000001</v>
      </c>
      <c r="L534" s="3">
        <f ca="1">IFERROR(__xludf.DUMMYFUNCTION("""COMPUTED_VALUE"""),91.14)</f>
        <v>91.14</v>
      </c>
      <c r="M534" s="3">
        <f ca="1">IFERROR(__xludf.DUMMYFUNCTION("""COMPUTED_VALUE"""),63.52)</f>
        <v>63.52</v>
      </c>
      <c r="N534" s="3">
        <f ca="1">IFERROR(__xludf.DUMMYFUNCTION("""COMPUTED_VALUE"""),68.05)</f>
        <v>68.05</v>
      </c>
      <c r="O534" s="3">
        <f ca="1">IFERROR(__xludf.DUMMYFUNCTION("""COMPUTED_VALUE"""),45)</f>
        <v>45</v>
      </c>
      <c r="P534" s="3">
        <f ca="1">IFERROR(__xludf.DUMMYFUNCTION("""COMPUTED_VALUE"""),83.3)</f>
        <v>83.3</v>
      </c>
      <c r="Q534" s="3">
        <f ca="1">IFERROR(__xludf.DUMMYFUNCTION("""COMPUTED_VALUE"""),115.96)</f>
        <v>115.96</v>
      </c>
      <c r="R534" s="3">
        <f ca="1">IFERROR(__xludf.DUMMYFUNCTION("""COMPUTED_VALUE"""),83.15)</f>
        <v>83.15</v>
      </c>
      <c r="S534" s="3">
        <f ca="1">IFERROR(__xludf.DUMMYFUNCTION("""COMPUTED_VALUE"""),55.64)</f>
        <v>55.64</v>
      </c>
      <c r="T534" s="3">
        <f ca="1">IFERROR(__xludf.DUMMYFUNCTION("""COMPUTED_VALUE"""),21.93)</f>
        <v>21.93</v>
      </c>
      <c r="U534" s="3">
        <f ca="1">IFERROR(__xludf.DUMMYFUNCTION("""COMPUTED_VALUE"""),71.55)</f>
        <v>71.55</v>
      </c>
      <c r="V534" s="3">
        <f ca="1">IFERROR(__xludf.DUMMYFUNCTION("""COMPUTED_VALUE"""),46.63)</f>
        <v>46.63</v>
      </c>
      <c r="W534" s="3">
        <f ca="1">IFERROR(__xludf.DUMMYFUNCTION("""COMPUTED_VALUE"""),39.1)</f>
        <v>39.1</v>
      </c>
      <c r="X534" s="3">
        <f ca="1">IFERROR(__xludf.DUMMYFUNCTION("""COMPUTED_VALUE"""),94.93)</f>
        <v>94.93</v>
      </c>
      <c r="Y534" s="3">
        <f ca="1">IFERROR(__xludf.DUMMYFUNCTION("""COMPUTED_VALUE"""),43.67)</f>
        <v>43.67</v>
      </c>
      <c r="Z534" s="3">
        <f ca="1">IFERROR(__xludf.DUMMYFUNCTION("""COMPUTED_VALUE"""),87.89)</f>
        <v>87.89</v>
      </c>
      <c r="AA534" s="3">
        <f ca="1">IFERROR(__xludf.DUMMYFUNCTION("""COMPUTED_VALUE"""),37.84)</f>
        <v>37.840000000000003</v>
      </c>
      <c r="AB534" s="3">
        <f ca="1">IFERROR(__xludf.DUMMYFUNCTION("""COMPUTED_VALUE"""),47.7)</f>
        <v>47.7</v>
      </c>
      <c r="AC534" s="3">
        <f ca="1">IFERROR(__xludf.DUMMYFUNCTION("""COMPUTED_VALUE"""),62.16)</f>
        <v>62.16</v>
      </c>
      <c r="AD534" s="3">
        <f ca="1">IFERROR(__xludf.DUMMYFUNCTION("""COMPUTED_VALUE"""),16.23)</f>
        <v>16.23</v>
      </c>
      <c r="AE534" s="3">
        <f ca="1">IFERROR(__xludf.DUMMYFUNCTION("""COMPUTED_VALUE"""),24.56)</f>
        <v>24.56</v>
      </c>
      <c r="AF534" s="3">
        <f ca="1">IFERROR(__xludf.DUMMYFUNCTION("""COMPUTED_VALUE"""),4.67)</f>
        <v>4.67</v>
      </c>
      <c r="AG534" s="3">
        <f ca="1">IFERROR(__xludf.DUMMYFUNCTION("""COMPUTED_VALUE"""),50.88)</f>
        <v>50.88</v>
      </c>
    </row>
    <row r="535" spans="1:33" ht="12.75" x14ac:dyDescent="0.2">
      <c r="A535" s="4">
        <f ca="1">IFERROR(__xludf.DUMMYFUNCTION("""COMPUTED_VALUE"""),45337.6666666666)</f>
        <v>45337.666666666599</v>
      </c>
      <c r="B535" s="3">
        <f ca="1">IFERROR(__xludf.DUMMYFUNCTION("""COMPUTED_VALUE"""),204.45)</f>
        <v>204.45</v>
      </c>
      <c r="C535" s="3">
        <f ca="1">IFERROR(__xludf.DUMMYFUNCTION("""COMPUTED_VALUE"""),514.45)</f>
        <v>514.45000000000005</v>
      </c>
      <c r="D535" s="3">
        <f ca="1">IFERROR(__xludf.DUMMYFUNCTION("""COMPUTED_VALUE"""),128.64)</f>
        <v>128.63999999999999</v>
      </c>
      <c r="E535" s="3">
        <f ca="1">IFERROR(__xludf.DUMMYFUNCTION("""COMPUTED_VALUE"""),209.56)</f>
        <v>209.56</v>
      </c>
      <c r="F535" s="3">
        <f ca="1">IFERROR(__xludf.DUMMYFUNCTION("""COMPUTED_VALUE"""),66.01)</f>
        <v>66.010000000000005</v>
      </c>
      <c r="G535" s="3">
        <f ca="1">IFERROR(__xludf.DUMMYFUNCTION("""COMPUTED_VALUE"""),30.14)</f>
        <v>30.14</v>
      </c>
      <c r="H535" s="3">
        <f ca="1">IFERROR(__xludf.DUMMYFUNCTION("""COMPUTED_VALUE"""),28.21)</f>
        <v>28.21</v>
      </c>
      <c r="I535" s="3">
        <f ca="1">IFERROR(__xludf.DUMMYFUNCTION("""COMPUTED_VALUE"""),145.15)</f>
        <v>145.15</v>
      </c>
      <c r="J535" s="3">
        <f ca="1">IFERROR(__xludf.DUMMYFUNCTION("""COMPUTED_VALUE"""),265.99)</f>
        <v>265.99</v>
      </c>
      <c r="K535" s="3">
        <f ca="1">IFERROR(__xludf.DUMMYFUNCTION("""COMPUTED_VALUE"""),136.52)</f>
        <v>136.52000000000001</v>
      </c>
      <c r="L535" s="3">
        <f ca="1">IFERROR(__xludf.DUMMYFUNCTION("""COMPUTED_VALUE"""),93.27)</f>
        <v>93.27</v>
      </c>
      <c r="M535" s="3">
        <f ca="1">IFERROR(__xludf.DUMMYFUNCTION("""COMPUTED_VALUE"""),64.97)</f>
        <v>64.97</v>
      </c>
      <c r="N535" s="3">
        <f ca="1">IFERROR(__xludf.DUMMYFUNCTION("""COMPUTED_VALUE"""),68.55)</f>
        <v>68.55</v>
      </c>
      <c r="O535" s="3">
        <f ca="1">IFERROR(__xludf.DUMMYFUNCTION("""COMPUTED_VALUE"""),45.76)</f>
        <v>45.76</v>
      </c>
      <c r="P535" s="3">
        <f ca="1">IFERROR(__xludf.DUMMYFUNCTION("""COMPUTED_VALUE"""),85.62)</f>
        <v>85.62</v>
      </c>
      <c r="Q535" s="3">
        <f ca="1">IFERROR(__xludf.DUMMYFUNCTION("""COMPUTED_VALUE"""),119.23)</f>
        <v>119.23</v>
      </c>
      <c r="R535" s="3">
        <f ca="1">IFERROR(__xludf.DUMMYFUNCTION("""COMPUTED_VALUE"""),84.72)</f>
        <v>84.72</v>
      </c>
      <c r="S535" s="3">
        <f ca="1">IFERROR(__xludf.DUMMYFUNCTION("""COMPUTED_VALUE"""),57.1)</f>
        <v>57.1</v>
      </c>
      <c r="T535" s="3">
        <f ca="1">IFERROR(__xludf.DUMMYFUNCTION("""COMPUTED_VALUE"""),21.98)</f>
        <v>21.98</v>
      </c>
      <c r="U535" s="3">
        <f ca="1">IFERROR(__xludf.DUMMYFUNCTION("""COMPUTED_VALUE"""),72.84)</f>
        <v>72.84</v>
      </c>
      <c r="V535" s="3">
        <f ca="1">IFERROR(__xludf.DUMMYFUNCTION("""COMPUTED_VALUE"""),47.4)</f>
        <v>47.4</v>
      </c>
      <c r="W535" s="3">
        <f ca="1">IFERROR(__xludf.DUMMYFUNCTION("""COMPUTED_VALUE"""),39.77)</f>
        <v>39.770000000000003</v>
      </c>
      <c r="X535" s="3">
        <f ca="1">IFERROR(__xludf.DUMMYFUNCTION("""COMPUTED_VALUE"""),96.6)</f>
        <v>96.6</v>
      </c>
      <c r="Y535" s="3">
        <f ca="1">IFERROR(__xludf.DUMMYFUNCTION("""COMPUTED_VALUE"""),44.84)</f>
        <v>44.84</v>
      </c>
      <c r="Z535" s="3">
        <f ca="1">IFERROR(__xludf.DUMMYFUNCTION("""COMPUTED_VALUE"""),89.48)</f>
        <v>89.48</v>
      </c>
      <c r="AA535" s="3">
        <f ca="1">IFERROR(__xludf.DUMMYFUNCTION("""COMPUTED_VALUE"""),38.75)</f>
        <v>38.75</v>
      </c>
      <c r="AB535" s="3">
        <f ca="1">IFERROR(__xludf.DUMMYFUNCTION("""COMPUTED_VALUE"""),49.22)</f>
        <v>49.22</v>
      </c>
      <c r="AC535" s="3">
        <f ca="1">IFERROR(__xludf.DUMMYFUNCTION("""COMPUTED_VALUE"""),62.31)</f>
        <v>62.31</v>
      </c>
      <c r="AD535" s="3">
        <f ca="1">IFERROR(__xludf.DUMMYFUNCTION("""COMPUTED_VALUE"""),16.42)</f>
        <v>16.420000000000002</v>
      </c>
      <c r="AE535" s="3">
        <f ca="1">IFERROR(__xludf.DUMMYFUNCTION("""COMPUTED_VALUE"""),24.56)</f>
        <v>24.56</v>
      </c>
      <c r="AF535" s="3">
        <f ca="1">IFERROR(__xludf.DUMMYFUNCTION("""COMPUTED_VALUE"""),4.51)</f>
        <v>4.51</v>
      </c>
      <c r="AG535" s="3">
        <f ca="1">IFERROR(__xludf.DUMMYFUNCTION("""COMPUTED_VALUE"""),49.83)</f>
        <v>49.83</v>
      </c>
    </row>
    <row r="536" spans="1:33" ht="12.75" x14ac:dyDescent="0.2">
      <c r="A536" s="4">
        <f ca="1">IFERROR(__xludf.DUMMYFUNCTION("""COMPUTED_VALUE"""),45338.6666666666)</f>
        <v>45338.666666666599</v>
      </c>
      <c r="B536" s="3">
        <f ca="1">IFERROR(__xludf.DUMMYFUNCTION("""COMPUTED_VALUE"""),202.57)</f>
        <v>202.57</v>
      </c>
      <c r="C536" s="3">
        <f ca="1">IFERROR(__xludf.DUMMYFUNCTION("""COMPUTED_VALUE"""),509)</f>
        <v>509</v>
      </c>
      <c r="D536" s="3">
        <f ca="1">IFERROR(__xludf.DUMMYFUNCTION("""COMPUTED_VALUE"""),132.95)</f>
        <v>132.94999999999999</v>
      </c>
      <c r="E536" s="3">
        <f ca="1">IFERROR(__xludf.DUMMYFUNCTION("""COMPUTED_VALUE"""),208.37)</f>
        <v>208.37</v>
      </c>
      <c r="F536" s="3">
        <f ca="1">IFERROR(__xludf.DUMMYFUNCTION("""COMPUTED_VALUE"""),65.09)</f>
        <v>65.09</v>
      </c>
      <c r="G536" s="3">
        <f ca="1">IFERROR(__xludf.DUMMYFUNCTION("""COMPUTED_VALUE"""),29.97)</f>
        <v>29.97</v>
      </c>
      <c r="H536" s="3">
        <f ca="1">IFERROR(__xludf.DUMMYFUNCTION("""COMPUTED_VALUE"""),27.78)</f>
        <v>27.78</v>
      </c>
      <c r="I536" s="3">
        <f ca="1">IFERROR(__xludf.DUMMYFUNCTION("""COMPUTED_VALUE"""),145.62)</f>
        <v>145.62</v>
      </c>
      <c r="J536" s="3">
        <f ca="1">IFERROR(__xludf.DUMMYFUNCTION("""COMPUTED_VALUE"""),266.66)</f>
        <v>266.66000000000003</v>
      </c>
      <c r="K536" s="3">
        <f ca="1">IFERROR(__xludf.DUMMYFUNCTION("""COMPUTED_VALUE"""),135.73)</f>
        <v>135.72999999999999</v>
      </c>
      <c r="L536" s="3">
        <f ca="1">IFERROR(__xludf.DUMMYFUNCTION("""COMPUTED_VALUE"""),93.15)</f>
        <v>93.15</v>
      </c>
      <c r="M536" s="3">
        <f ca="1">IFERROR(__xludf.DUMMYFUNCTION("""COMPUTED_VALUE"""),64.64)</f>
        <v>64.64</v>
      </c>
      <c r="N536" s="3">
        <f ca="1">IFERROR(__xludf.DUMMYFUNCTION("""COMPUTED_VALUE"""),68.78)</f>
        <v>68.78</v>
      </c>
      <c r="O536" s="3">
        <f ca="1">IFERROR(__xludf.DUMMYFUNCTION("""COMPUTED_VALUE"""),45.72)</f>
        <v>45.72</v>
      </c>
      <c r="P536" s="3">
        <f ca="1">IFERROR(__xludf.DUMMYFUNCTION("""COMPUTED_VALUE"""),85.57)</f>
        <v>85.57</v>
      </c>
      <c r="Q536" s="3">
        <f ca="1">IFERROR(__xludf.DUMMYFUNCTION("""COMPUTED_VALUE"""),119.28)</f>
        <v>119.28</v>
      </c>
      <c r="R536" s="3">
        <f ca="1">IFERROR(__xludf.DUMMYFUNCTION("""COMPUTED_VALUE"""),85.17)</f>
        <v>85.17</v>
      </c>
      <c r="S536" s="3">
        <f ca="1">IFERROR(__xludf.DUMMYFUNCTION("""COMPUTED_VALUE"""),56.66)</f>
        <v>56.66</v>
      </c>
      <c r="T536" s="3">
        <f ca="1">IFERROR(__xludf.DUMMYFUNCTION("""COMPUTED_VALUE"""),22.03)</f>
        <v>22.03</v>
      </c>
      <c r="U536" s="3">
        <f ca="1">IFERROR(__xludf.DUMMYFUNCTION("""COMPUTED_VALUE"""),73.41)</f>
        <v>73.41</v>
      </c>
      <c r="V536" s="3">
        <f ca="1">IFERROR(__xludf.DUMMYFUNCTION("""COMPUTED_VALUE"""),46.86)</f>
        <v>46.86</v>
      </c>
      <c r="W536" s="3">
        <f ca="1">IFERROR(__xludf.DUMMYFUNCTION("""COMPUTED_VALUE"""),39.63)</f>
        <v>39.630000000000003</v>
      </c>
      <c r="X536" s="3">
        <f ca="1">IFERROR(__xludf.DUMMYFUNCTION("""COMPUTED_VALUE"""),96.27)</f>
        <v>96.27</v>
      </c>
      <c r="Y536" s="3">
        <f ca="1">IFERROR(__xludf.DUMMYFUNCTION("""COMPUTED_VALUE"""),44.44)</f>
        <v>44.44</v>
      </c>
      <c r="Z536" s="3">
        <f ca="1">IFERROR(__xludf.DUMMYFUNCTION("""COMPUTED_VALUE"""),89.3)</f>
        <v>89.3</v>
      </c>
      <c r="AA536" s="3">
        <f ca="1">IFERROR(__xludf.DUMMYFUNCTION("""COMPUTED_VALUE"""),38.35)</f>
        <v>38.35</v>
      </c>
      <c r="AB536" s="3">
        <f ca="1">IFERROR(__xludf.DUMMYFUNCTION("""COMPUTED_VALUE"""),48.71)</f>
        <v>48.71</v>
      </c>
      <c r="AC536" s="3">
        <f ca="1">IFERROR(__xludf.DUMMYFUNCTION("""COMPUTED_VALUE"""),63.19)</f>
        <v>63.19</v>
      </c>
      <c r="AD536" s="3">
        <f ca="1">IFERROR(__xludf.DUMMYFUNCTION("""COMPUTED_VALUE"""),16.27)</f>
        <v>16.27</v>
      </c>
      <c r="AE536" s="3">
        <f ca="1">IFERROR(__xludf.DUMMYFUNCTION("""COMPUTED_VALUE"""),24.61)</f>
        <v>24.61</v>
      </c>
      <c r="AF536" s="3">
        <f ca="1">IFERROR(__xludf.DUMMYFUNCTION("""COMPUTED_VALUE"""),5.12)</f>
        <v>5.12</v>
      </c>
      <c r="AG536" s="3">
        <f ca="1">IFERROR(__xludf.DUMMYFUNCTION("""COMPUTED_VALUE"""),50.43)</f>
        <v>50.43</v>
      </c>
    </row>
    <row r="537" spans="1:33" ht="12.75" x14ac:dyDescent="0.2">
      <c r="A537" s="4">
        <f ca="1">IFERROR(__xludf.DUMMYFUNCTION("""COMPUTED_VALUE"""),45342.6666666666)</f>
        <v>45342.666666666599</v>
      </c>
      <c r="B537" s="3">
        <f ca="1">IFERROR(__xludf.DUMMYFUNCTION("""COMPUTED_VALUE"""),200.51)</f>
        <v>200.51</v>
      </c>
      <c r="C537" s="3">
        <f ca="1">IFERROR(__xludf.DUMMYFUNCTION("""COMPUTED_VALUE"""),502.99)</f>
        <v>502.99</v>
      </c>
      <c r="D537" s="3">
        <f ca="1">IFERROR(__xludf.DUMMYFUNCTION("""COMPUTED_VALUE"""),132.68)</f>
        <v>132.68</v>
      </c>
      <c r="E537" s="3">
        <f ca="1">IFERROR(__xludf.DUMMYFUNCTION("""COMPUTED_VALUE"""),204.87)</f>
        <v>204.87</v>
      </c>
      <c r="F537" s="3">
        <f ca="1">IFERROR(__xludf.DUMMYFUNCTION("""COMPUTED_VALUE"""),64.44)</f>
        <v>64.44</v>
      </c>
      <c r="G537" s="3">
        <f ca="1">IFERROR(__xludf.DUMMYFUNCTION("""COMPUTED_VALUE"""),29.82)</f>
        <v>29.82</v>
      </c>
      <c r="H537" s="3">
        <f ca="1">IFERROR(__xludf.DUMMYFUNCTION("""COMPUTED_VALUE"""),27.58)</f>
        <v>27.58</v>
      </c>
      <c r="I537" s="3">
        <f ca="1">IFERROR(__xludf.DUMMYFUNCTION("""COMPUTED_VALUE"""),145.13)</f>
        <v>145.13</v>
      </c>
      <c r="J537" s="3">
        <f ca="1">IFERROR(__xludf.DUMMYFUNCTION("""COMPUTED_VALUE"""),265.47)</f>
        <v>265.47000000000003</v>
      </c>
      <c r="K537" s="3">
        <f ca="1">IFERROR(__xludf.DUMMYFUNCTION("""COMPUTED_VALUE"""),134.87)</f>
        <v>134.87</v>
      </c>
      <c r="L537" s="3">
        <f ca="1">IFERROR(__xludf.DUMMYFUNCTION("""COMPUTED_VALUE"""),92.38)</f>
        <v>92.38</v>
      </c>
      <c r="M537" s="3">
        <f ca="1">IFERROR(__xludf.DUMMYFUNCTION("""COMPUTED_VALUE"""),64.04)</f>
        <v>64.040000000000006</v>
      </c>
      <c r="N537" s="3">
        <f ca="1">IFERROR(__xludf.DUMMYFUNCTION("""COMPUTED_VALUE"""),68.45)</f>
        <v>68.45</v>
      </c>
      <c r="O537" s="3">
        <f ca="1">IFERROR(__xludf.DUMMYFUNCTION("""COMPUTED_VALUE"""),45.04)</f>
        <v>45.04</v>
      </c>
      <c r="P537" s="3">
        <f ca="1">IFERROR(__xludf.DUMMYFUNCTION("""COMPUTED_VALUE"""),84.79)</f>
        <v>84.79</v>
      </c>
      <c r="Q537" s="3">
        <f ca="1">IFERROR(__xludf.DUMMYFUNCTION("""COMPUTED_VALUE"""),118.17)</f>
        <v>118.17</v>
      </c>
      <c r="R537" s="3">
        <f ca="1">IFERROR(__xludf.DUMMYFUNCTION("""COMPUTED_VALUE"""),84.99)</f>
        <v>84.99</v>
      </c>
      <c r="S537" s="3">
        <f ca="1">IFERROR(__xludf.DUMMYFUNCTION("""COMPUTED_VALUE"""),55.52)</f>
        <v>55.52</v>
      </c>
      <c r="T537" s="3">
        <f ca="1">IFERROR(__xludf.DUMMYFUNCTION("""COMPUTED_VALUE"""),21.91)</f>
        <v>21.91</v>
      </c>
      <c r="U537" s="3">
        <f ca="1">IFERROR(__xludf.DUMMYFUNCTION("""COMPUTED_VALUE"""),72.42)</f>
        <v>72.42</v>
      </c>
      <c r="V537" s="3">
        <f ca="1">IFERROR(__xludf.DUMMYFUNCTION("""COMPUTED_VALUE"""),45.81)</f>
        <v>45.81</v>
      </c>
      <c r="W537" s="3">
        <f ca="1">IFERROR(__xludf.DUMMYFUNCTION("""COMPUTED_VALUE"""),39.52)</f>
        <v>39.520000000000003</v>
      </c>
      <c r="X537" s="3">
        <f ca="1">IFERROR(__xludf.DUMMYFUNCTION("""COMPUTED_VALUE"""),95.88)</f>
        <v>95.88</v>
      </c>
      <c r="Y537" s="3">
        <f ca="1">IFERROR(__xludf.DUMMYFUNCTION("""COMPUTED_VALUE"""),44.15)</f>
        <v>44.15</v>
      </c>
      <c r="Z537" s="3">
        <f ca="1">IFERROR(__xludf.DUMMYFUNCTION("""COMPUTED_VALUE"""),89.2)</f>
        <v>89.2</v>
      </c>
      <c r="AA537" s="3">
        <f ca="1">IFERROR(__xludf.DUMMYFUNCTION("""COMPUTED_VALUE"""),38.29)</f>
        <v>38.29</v>
      </c>
      <c r="AB537" s="3">
        <f ca="1">IFERROR(__xludf.DUMMYFUNCTION("""COMPUTED_VALUE"""),48.33)</f>
        <v>48.33</v>
      </c>
      <c r="AC537" s="3">
        <f ca="1">IFERROR(__xludf.DUMMYFUNCTION("""COMPUTED_VALUE"""),63.36)</f>
        <v>63.36</v>
      </c>
      <c r="AD537" s="3">
        <f ca="1">IFERROR(__xludf.DUMMYFUNCTION("""COMPUTED_VALUE"""),16.86)</f>
        <v>16.86</v>
      </c>
      <c r="AE537" s="3">
        <f ca="1">IFERROR(__xludf.DUMMYFUNCTION("""COMPUTED_VALUE"""),24.66)</f>
        <v>24.66</v>
      </c>
      <c r="AF537" s="3">
        <f ca="1">IFERROR(__xludf.DUMMYFUNCTION("""COMPUTED_VALUE"""),5.01)</f>
        <v>5.01</v>
      </c>
      <c r="AG537" s="3">
        <f ca="1">IFERROR(__xludf.DUMMYFUNCTION("""COMPUTED_VALUE"""),47.6)</f>
        <v>47.6</v>
      </c>
    </row>
    <row r="538" spans="1:33" ht="12.75" x14ac:dyDescent="0.2">
      <c r="A538" s="4">
        <f ca="1">IFERROR(__xludf.DUMMYFUNCTION("""COMPUTED_VALUE"""),45343.6666666666)</f>
        <v>45343.666666666599</v>
      </c>
      <c r="B538" s="3">
        <f ca="1">IFERROR(__xludf.DUMMYFUNCTION("""COMPUTED_VALUE"""),199.25)</f>
        <v>199.25</v>
      </c>
      <c r="C538" s="3">
        <f ca="1">IFERROR(__xludf.DUMMYFUNCTION("""COMPUTED_VALUE"""),498.7)</f>
        <v>498.7</v>
      </c>
      <c r="D538" s="3">
        <f ca="1">IFERROR(__xludf.DUMMYFUNCTION("""COMPUTED_VALUE"""),132.36)</f>
        <v>132.36000000000001</v>
      </c>
      <c r="E538" s="3">
        <f ca="1">IFERROR(__xludf.DUMMYFUNCTION("""COMPUTED_VALUE"""),204.4)</f>
        <v>204.4</v>
      </c>
      <c r="F538" s="3">
        <f ca="1">IFERROR(__xludf.DUMMYFUNCTION("""COMPUTED_VALUE"""),61.23)</f>
        <v>61.23</v>
      </c>
      <c r="G538" s="3">
        <f ca="1">IFERROR(__xludf.DUMMYFUNCTION("""COMPUTED_VALUE"""),29.46)</f>
        <v>29.46</v>
      </c>
      <c r="H538" s="3">
        <f ca="1">IFERROR(__xludf.DUMMYFUNCTION("""COMPUTED_VALUE"""),27.45)</f>
        <v>27.45</v>
      </c>
      <c r="I538" s="3">
        <f ca="1">IFERROR(__xludf.DUMMYFUNCTION("""COMPUTED_VALUE"""),145.45)</f>
        <v>145.44999999999999</v>
      </c>
      <c r="J538" s="3">
        <f ca="1">IFERROR(__xludf.DUMMYFUNCTION("""COMPUTED_VALUE"""),266.06)</f>
        <v>266.06</v>
      </c>
      <c r="K538" s="3">
        <f ca="1">IFERROR(__xludf.DUMMYFUNCTION("""COMPUTED_VALUE"""),135.26)</f>
        <v>135.26</v>
      </c>
      <c r="L538" s="3">
        <f ca="1">IFERROR(__xludf.DUMMYFUNCTION("""COMPUTED_VALUE"""),92.47)</f>
        <v>92.47</v>
      </c>
      <c r="M538" s="3">
        <f ca="1">IFERROR(__xludf.DUMMYFUNCTION("""COMPUTED_VALUE"""),63.59)</f>
        <v>63.59</v>
      </c>
      <c r="N538" s="3">
        <f ca="1">IFERROR(__xludf.DUMMYFUNCTION("""COMPUTED_VALUE"""),68.61)</f>
        <v>68.61</v>
      </c>
      <c r="O538" s="3">
        <f ca="1">IFERROR(__xludf.DUMMYFUNCTION("""COMPUTED_VALUE"""),45.08)</f>
        <v>45.08</v>
      </c>
      <c r="P538" s="3">
        <f ca="1">IFERROR(__xludf.DUMMYFUNCTION("""COMPUTED_VALUE"""),86.38)</f>
        <v>86.38</v>
      </c>
      <c r="Q538" s="3">
        <f ca="1">IFERROR(__xludf.DUMMYFUNCTION("""COMPUTED_VALUE"""),120.53)</f>
        <v>120.53</v>
      </c>
      <c r="R538" s="3">
        <f ca="1">IFERROR(__xludf.DUMMYFUNCTION("""COMPUTED_VALUE"""),85.46)</f>
        <v>85.46</v>
      </c>
      <c r="S538" s="3">
        <f ca="1">IFERROR(__xludf.DUMMYFUNCTION("""COMPUTED_VALUE"""),55.99)</f>
        <v>55.99</v>
      </c>
      <c r="T538" s="3">
        <f ca="1">IFERROR(__xludf.DUMMYFUNCTION("""COMPUTED_VALUE"""),22)</f>
        <v>22</v>
      </c>
      <c r="U538" s="3">
        <f ca="1">IFERROR(__xludf.DUMMYFUNCTION("""COMPUTED_VALUE"""),73.2)</f>
        <v>73.2</v>
      </c>
      <c r="V538" s="3">
        <f ca="1">IFERROR(__xludf.DUMMYFUNCTION("""COMPUTED_VALUE"""),44.76)</f>
        <v>44.76</v>
      </c>
      <c r="W538" s="3">
        <f ca="1">IFERROR(__xludf.DUMMYFUNCTION("""COMPUTED_VALUE"""),39.64)</f>
        <v>39.64</v>
      </c>
      <c r="X538" s="3">
        <f ca="1">IFERROR(__xludf.DUMMYFUNCTION("""COMPUTED_VALUE"""),95.99)</f>
        <v>95.99</v>
      </c>
      <c r="Y538" s="3">
        <f ca="1">IFERROR(__xludf.DUMMYFUNCTION("""COMPUTED_VALUE"""),43.96)</f>
        <v>43.96</v>
      </c>
      <c r="Z538" s="3">
        <f ca="1">IFERROR(__xludf.DUMMYFUNCTION("""COMPUTED_VALUE"""),89.31)</f>
        <v>89.31</v>
      </c>
      <c r="AA538" s="3">
        <f ca="1">IFERROR(__xludf.DUMMYFUNCTION("""COMPUTED_VALUE"""),38.57)</f>
        <v>38.57</v>
      </c>
      <c r="AB538" s="3">
        <f ca="1">IFERROR(__xludf.DUMMYFUNCTION("""COMPUTED_VALUE"""),48.01)</f>
        <v>48.01</v>
      </c>
      <c r="AC538" s="3">
        <f ca="1">IFERROR(__xludf.DUMMYFUNCTION("""COMPUTED_VALUE"""),63.1)</f>
        <v>63.1</v>
      </c>
      <c r="AD538" s="3">
        <f ca="1">IFERROR(__xludf.DUMMYFUNCTION("""COMPUTED_VALUE"""),16.4)</f>
        <v>16.399999999999999</v>
      </c>
      <c r="AE538" s="3">
        <f ca="1">IFERROR(__xludf.DUMMYFUNCTION("""COMPUTED_VALUE"""),24.1)</f>
        <v>24.1</v>
      </c>
      <c r="AF538" s="3">
        <f ca="1">IFERROR(__xludf.DUMMYFUNCTION("""COMPUTED_VALUE"""),4.85)</f>
        <v>4.8499999999999996</v>
      </c>
      <c r="AG538" s="3">
        <f ca="1">IFERROR(__xludf.DUMMYFUNCTION("""COMPUTED_VALUE"""),44.86)</f>
        <v>44.86</v>
      </c>
    </row>
    <row r="539" spans="1:33" ht="12.75" x14ac:dyDescent="0.2">
      <c r="A539" s="4">
        <f ca="1">IFERROR(__xludf.DUMMYFUNCTION("""COMPUTED_VALUE"""),45344.6666666666)</f>
        <v>45344.666666666599</v>
      </c>
      <c r="B539" s="3">
        <f ca="1">IFERROR(__xludf.DUMMYFUNCTION("""COMPUTED_VALUE"""),205.77)</f>
        <v>205.77</v>
      </c>
      <c r="C539" s="3">
        <f ca="1">IFERROR(__xludf.DUMMYFUNCTION("""COMPUTED_VALUE"""),514.92)</f>
        <v>514.91999999999996</v>
      </c>
      <c r="D539" s="3">
        <f ca="1">IFERROR(__xludf.DUMMYFUNCTION("""COMPUTED_VALUE"""),132.69)</f>
        <v>132.69</v>
      </c>
      <c r="E539" s="3">
        <f ca="1">IFERROR(__xludf.DUMMYFUNCTION("""COMPUTED_VALUE"""),214.47)</f>
        <v>214.47</v>
      </c>
      <c r="F539" s="3">
        <f ca="1">IFERROR(__xludf.DUMMYFUNCTION("""COMPUTED_VALUE"""),62.83)</f>
        <v>62.83</v>
      </c>
      <c r="G539" s="3">
        <f ca="1">IFERROR(__xludf.DUMMYFUNCTION("""COMPUTED_VALUE"""),30.76)</f>
        <v>30.76</v>
      </c>
      <c r="H539" s="3">
        <f ca="1">IFERROR(__xludf.DUMMYFUNCTION("""COMPUTED_VALUE"""),28.06)</f>
        <v>28.06</v>
      </c>
      <c r="I539" s="3">
        <f ca="1">IFERROR(__xludf.DUMMYFUNCTION("""COMPUTED_VALUE"""),147.16)</f>
        <v>147.16</v>
      </c>
      <c r="J539" s="3">
        <f ca="1">IFERROR(__xludf.DUMMYFUNCTION("""COMPUTED_VALUE"""),269.14)</f>
        <v>269.14</v>
      </c>
      <c r="K539" s="3">
        <f ca="1">IFERROR(__xludf.DUMMYFUNCTION("""COMPUTED_VALUE"""),137.17)</f>
        <v>137.16999999999999</v>
      </c>
      <c r="L539" s="3">
        <f ca="1">IFERROR(__xludf.DUMMYFUNCTION("""COMPUTED_VALUE"""),94.15)</f>
        <v>94.15</v>
      </c>
      <c r="M539" s="3">
        <f ca="1">IFERROR(__xludf.DUMMYFUNCTION("""COMPUTED_VALUE"""),63.99)</f>
        <v>63.99</v>
      </c>
      <c r="N539" s="3">
        <f ca="1">IFERROR(__xludf.DUMMYFUNCTION("""COMPUTED_VALUE"""),69.39)</f>
        <v>69.39</v>
      </c>
      <c r="O539" s="3">
        <f ca="1">IFERROR(__xludf.DUMMYFUNCTION("""COMPUTED_VALUE"""),45.84)</f>
        <v>45.84</v>
      </c>
      <c r="P539" s="3">
        <f ca="1">IFERROR(__xludf.DUMMYFUNCTION("""COMPUTED_VALUE"""),86.53)</f>
        <v>86.53</v>
      </c>
      <c r="Q539" s="3">
        <f ca="1">IFERROR(__xludf.DUMMYFUNCTION("""COMPUTED_VALUE"""),120.64)</f>
        <v>120.64</v>
      </c>
      <c r="R539" s="3">
        <f ca="1">IFERROR(__xludf.DUMMYFUNCTION("""COMPUTED_VALUE"""),86.32)</f>
        <v>86.32</v>
      </c>
      <c r="S539" s="3">
        <f ca="1">IFERROR(__xludf.DUMMYFUNCTION("""COMPUTED_VALUE"""),56.06)</f>
        <v>56.06</v>
      </c>
      <c r="T539" s="3">
        <f ca="1">IFERROR(__xludf.DUMMYFUNCTION("""COMPUTED_VALUE"""),22.06)</f>
        <v>22.06</v>
      </c>
      <c r="U539" s="3">
        <f ca="1">IFERROR(__xludf.DUMMYFUNCTION("""COMPUTED_VALUE"""),73.6)</f>
        <v>73.599999999999994</v>
      </c>
      <c r="V539" s="3">
        <f ca="1">IFERROR(__xludf.DUMMYFUNCTION("""COMPUTED_VALUE"""),42.65)</f>
        <v>42.65</v>
      </c>
      <c r="W539" s="3">
        <f ca="1">IFERROR(__xludf.DUMMYFUNCTION("""COMPUTED_VALUE"""),40.1)</f>
        <v>40.1</v>
      </c>
      <c r="X539" s="3">
        <f ca="1">IFERROR(__xludf.DUMMYFUNCTION("""COMPUTED_VALUE"""),97.17)</f>
        <v>97.17</v>
      </c>
      <c r="Y539" s="3">
        <f ca="1">IFERROR(__xludf.DUMMYFUNCTION("""COMPUTED_VALUE"""),44.06)</f>
        <v>44.06</v>
      </c>
      <c r="Z539" s="3">
        <f ca="1">IFERROR(__xludf.DUMMYFUNCTION("""COMPUTED_VALUE"""),90.28)</f>
        <v>90.28</v>
      </c>
      <c r="AA539" s="3">
        <f ca="1">IFERROR(__xludf.DUMMYFUNCTION("""COMPUTED_VALUE"""),38.67)</f>
        <v>38.67</v>
      </c>
      <c r="AB539" s="3">
        <f ca="1">IFERROR(__xludf.DUMMYFUNCTION("""COMPUTED_VALUE"""),47.97)</f>
        <v>47.97</v>
      </c>
      <c r="AC539" s="3">
        <f ca="1">IFERROR(__xludf.DUMMYFUNCTION("""COMPUTED_VALUE"""),63.28)</f>
        <v>63.28</v>
      </c>
      <c r="AD539" s="3">
        <f ca="1">IFERROR(__xludf.DUMMYFUNCTION("""COMPUTED_VALUE"""),16.92)</f>
        <v>16.920000000000002</v>
      </c>
      <c r="AE539" s="3">
        <f ca="1">IFERROR(__xludf.DUMMYFUNCTION("""COMPUTED_VALUE"""),24.6)</f>
        <v>24.6</v>
      </c>
      <c r="AF539" s="3">
        <f ca="1">IFERROR(__xludf.DUMMYFUNCTION("""COMPUTED_VALUE"""),4.83)</f>
        <v>4.83</v>
      </c>
      <c r="AG539" s="3">
        <f ca="1">IFERROR(__xludf.DUMMYFUNCTION("""COMPUTED_VALUE"""),46.99)</f>
        <v>46.99</v>
      </c>
    </row>
    <row r="540" spans="1:33" ht="12.75" x14ac:dyDescent="0.2">
      <c r="A540" s="4">
        <f ca="1">IFERROR(__xludf.DUMMYFUNCTION("""COMPUTED_VALUE"""),45345.6666666666)</f>
        <v>45345.666666666599</v>
      </c>
      <c r="B540" s="3">
        <f ca="1">IFERROR(__xludf.DUMMYFUNCTION("""COMPUTED_VALUE"""),205.29)</f>
        <v>205.29</v>
      </c>
      <c r="C540" s="3">
        <f ca="1">IFERROR(__xludf.DUMMYFUNCTION("""COMPUTED_VALUE"""),513.18)</f>
        <v>513.17999999999995</v>
      </c>
      <c r="D540" s="3">
        <f ca="1">IFERROR(__xludf.DUMMYFUNCTION("""COMPUTED_VALUE"""),131.8)</f>
        <v>131.80000000000001</v>
      </c>
      <c r="E540" s="3">
        <f ca="1">IFERROR(__xludf.DUMMYFUNCTION("""COMPUTED_VALUE"""),212.16)</f>
        <v>212.16</v>
      </c>
      <c r="F540" s="3">
        <f ca="1">IFERROR(__xludf.DUMMYFUNCTION("""COMPUTED_VALUE"""),63.42)</f>
        <v>63.42</v>
      </c>
      <c r="G540" s="3">
        <f ca="1">IFERROR(__xludf.DUMMYFUNCTION("""COMPUTED_VALUE"""),30.73)</f>
        <v>30.73</v>
      </c>
      <c r="H540" s="3">
        <f ca="1">IFERROR(__xludf.DUMMYFUNCTION("""COMPUTED_VALUE"""),27.95)</f>
        <v>27.95</v>
      </c>
      <c r="I540" s="3">
        <f ca="1">IFERROR(__xludf.DUMMYFUNCTION("""COMPUTED_VALUE"""),147.86)</f>
        <v>147.86000000000001</v>
      </c>
      <c r="J540" s="3">
        <f ca="1">IFERROR(__xludf.DUMMYFUNCTION("""COMPUTED_VALUE"""),270.43)</f>
        <v>270.43</v>
      </c>
      <c r="K540" s="3">
        <f ca="1">IFERROR(__xludf.DUMMYFUNCTION("""COMPUTED_VALUE"""),138.19)</f>
        <v>138.19</v>
      </c>
      <c r="L540" s="3">
        <f ca="1">IFERROR(__xludf.DUMMYFUNCTION("""COMPUTED_VALUE"""),94.75)</f>
        <v>94.75</v>
      </c>
      <c r="M540" s="3">
        <f ca="1">IFERROR(__xludf.DUMMYFUNCTION("""COMPUTED_VALUE"""),64.6)</f>
        <v>64.599999999999994</v>
      </c>
      <c r="N540" s="3">
        <f ca="1">IFERROR(__xludf.DUMMYFUNCTION("""COMPUTED_VALUE"""),69.66)</f>
        <v>69.66</v>
      </c>
      <c r="O540" s="3">
        <f ca="1">IFERROR(__xludf.DUMMYFUNCTION("""COMPUTED_VALUE"""),45.84)</f>
        <v>45.84</v>
      </c>
      <c r="P540" s="3">
        <f ca="1">IFERROR(__xludf.DUMMYFUNCTION("""COMPUTED_VALUE"""),85.96)</f>
        <v>85.96</v>
      </c>
      <c r="Q540" s="3">
        <f ca="1">IFERROR(__xludf.DUMMYFUNCTION("""COMPUTED_VALUE"""),119.87)</f>
        <v>119.87</v>
      </c>
      <c r="R540" s="3">
        <f ca="1">IFERROR(__xludf.DUMMYFUNCTION("""COMPUTED_VALUE"""),86.83)</f>
        <v>86.83</v>
      </c>
      <c r="S540" s="3">
        <f ca="1">IFERROR(__xludf.DUMMYFUNCTION("""COMPUTED_VALUE"""),56.12)</f>
        <v>56.12</v>
      </c>
      <c r="T540" s="3">
        <f ca="1">IFERROR(__xludf.DUMMYFUNCTION("""COMPUTED_VALUE"""),21.74)</f>
        <v>21.74</v>
      </c>
      <c r="U540" s="3">
        <f ca="1">IFERROR(__xludf.DUMMYFUNCTION("""COMPUTED_VALUE"""),71.92)</f>
        <v>71.92</v>
      </c>
      <c r="V540" s="3">
        <f ca="1">IFERROR(__xludf.DUMMYFUNCTION("""COMPUTED_VALUE"""),41.99)</f>
        <v>41.99</v>
      </c>
      <c r="W540" s="3">
        <f ca="1">IFERROR(__xludf.DUMMYFUNCTION("""COMPUTED_VALUE"""),40.3)</f>
        <v>40.299999999999997</v>
      </c>
      <c r="X540" s="3">
        <f ca="1">IFERROR(__xludf.DUMMYFUNCTION("""COMPUTED_VALUE"""),97.53)</f>
        <v>97.53</v>
      </c>
      <c r="Y540" s="3">
        <f ca="1">IFERROR(__xludf.DUMMYFUNCTION("""COMPUTED_VALUE"""),44.09)</f>
        <v>44.09</v>
      </c>
      <c r="Z540" s="3">
        <f ca="1">IFERROR(__xludf.DUMMYFUNCTION("""COMPUTED_VALUE"""),90.56)</f>
        <v>90.56</v>
      </c>
      <c r="AA540" s="3">
        <f ca="1">IFERROR(__xludf.DUMMYFUNCTION("""COMPUTED_VALUE"""),38.72)</f>
        <v>38.72</v>
      </c>
      <c r="AB540" s="3">
        <f ca="1">IFERROR(__xludf.DUMMYFUNCTION("""COMPUTED_VALUE"""),47.87)</f>
        <v>47.87</v>
      </c>
      <c r="AC540" s="3">
        <f ca="1">IFERROR(__xludf.DUMMYFUNCTION("""COMPUTED_VALUE"""),63.53)</f>
        <v>63.53</v>
      </c>
      <c r="AD540" s="3">
        <f ca="1">IFERROR(__xludf.DUMMYFUNCTION("""COMPUTED_VALUE"""),16.6)</f>
        <v>16.600000000000001</v>
      </c>
      <c r="AE540" s="3">
        <f ca="1">IFERROR(__xludf.DUMMYFUNCTION("""COMPUTED_VALUE"""),24.15)</f>
        <v>24.15</v>
      </c>
      <c r="AF540" s="3">
        <f ca="1">IFERROR(__xludf.DUMMYFUNCTION("""COMPUTED_VALUE"""),4.65)</f>
        <v>4.6500000000000004</v>
      </c>
      <c r="AG540" s="3">
        <f ca="1">IFERROR(__xludf.DUMMYFUNCTION("""COMPUTED_VALUE"""),45.35)</f>
        <v>45.35</v>
      </c>
    </row>
    <row r="541" spans="1:33" ht="12.75" x14ac:dyDescent="0.2">
      <c r="A541" s="4">
        <f ca="1">IFERROR(__xludf.DUMMYFUNCTION("""COMPUTED_VALUE"""),45348.6666666666)</f>
        <v>45348.666666666599</v>
      </c>
      <c r="B541" s="3">
        <f ca="1">IFERROR(__xludf.DUMMYFUNCTION("""COMPUTED_VALUE"""),205.49)</f>
        <v>205.49</v>
      </c>
      <c r="C541" s="3">
        <f ca="1">IFERROR(__xludf.DUMMYFUNCTION("""COMPUTED_VALUE"""),514.52)</f>
        <v>514.52</v>
      </c>
      <c r="D541" s="3">
        <f ca="1">IFERROR(__xludf.DUMMYFUNCTION("""COMPUTED_VALUE"""),133.29)</f>
        <v>133.29</v>
      </c>
      <c r="E541" s="3">
        <f ca="1">IFERROR(__xludf.DUMMYFUNCTION("""COMPUTED_VALUE"""),214.25)</f>
        <v>214.25</v>
      </c>
      <c r="F541" s="3">
        <f ca="1">IFERROR(__xludf.DUMMYFUNCTION("""COMPUTED_VALUE"""),64.09)</f>
        <v>64.09</v>
      </c>
      <c r="G541" s="3">
        <f ca="1">IFERROR(__xludf.DUMMYFUNCTION("""COMPUTED_VALUE"""),31.01)</f>
        <v>31.01</v>
      </c>
      <c r="H541" s="3">
        <f ca="1">IFERROR(__xludf.DUMMYFUNCTION("""COMPUTED_VALUE"""),27.92)</f>
        <v>27.92</v>
      </c>
      <c r="I541" s="3">
        <f ca="1">IFERROR(__xludf.DUMMYFUNCTION("""COMPUTED_VALUE"""),147.1)</f>
        <v>147.1</v>
      </c>
      <c r="J541" s="3">
        <f ca="1">IFERROR(__xludf.DUMMYFUNCTION("""COMPUTED_VALUE"""),269.29)</f>
        <v>269.29000000000002</v>
      </c>
      <c r="K541" s="3">
        <f ca="1">IFERROR(__xludf.DUMMYFUNCTION("""COMPUTED_VALUE"""),139.16)</f>
        <v>139.16</v>
      </c>
      <c r="L541" s="3">
        <f ca="1">IFERROR(__xludf.DUMMYFUNCTION("""COMPUTED_VALUE"""),97.34)</f>
        <v>97.34</v>
      </c>
      <c r="M541" s="3">
        <f ca="1">IFERROR(__xludf.DUMMYFUNCTION("""COMPUTED_VALUE"""),65.89)</f>
        <v>65.89</v>
      </c>
      <c r="N541" s="3">
        <f ca="1">IFERROR(__xludf.DUMMYFUNCTION("""COMPUTED_VALUE"""),69.49)</f>
        <v>69.489999999999995</v>
      </c>
      <c r="O541" s="3">
        <f ca="1">IFERROR(__xludf.DUMMYFUNCTION("""COMPUTED_VALUE"""),46.8)</f>
        <v>46.8</v>
      </c>
      <c r="P541" s="3">
        <f ca="1">IFERROR(__xludf.DUMMYFUNCTION("""COMPUTED_VALUE"""),86.26)</f>
        <v>86.26</v>
      </c>
      <c r="Q541" s="3">
        <f ca="1">IFERROR(__xludf.DUMMYFUNCTION("""COMPUTED_VALUE"""),120.26)</f>
        <v>120.26</v>
      </c>
      <c r="R541" s="3">
        <f ca="1">IFERROR(__xludf.DUMMYFUNCTION("""COMPUTED_VALUE"""),86.31)</f>
        <v>86.31</v>
      </c>
      <c r="S541" s="3">
        <f ca="1">IFERROR(__xludf.DUMMYFUNCTION("""COMPUTED_VALUE"""),56.42)</f>
        <v>56.42</v>
      </c>
      <c r="T541" s="3">
        <f ca="1">IFERROR(__xludf.DUMMYFUNCTION("""COMPUTED_VALUE"""),21.94)</f>
        <v>21.94</v>
      </c>
      <c r="U541" s="3">
        <f ca="1">IFERROR(__xludf.DUMMYFUNCTION("""COMPUTED_VALUE"""),72.79)</f>
        <v>72.790000000000006</v>
      </c>
      <c r="V541" s="3">
        <f ca="1">IFERROR(__xludf.DUMMYFUNCTION("""COMPUTED_VALUE"""),41.98)</f>
        <v>41.98</v>
      </c>
      <c r="W541" s="3">
        <f ca="1">IFERROR(__xludf.DUMMYFUNCTION("""COMPUTED_VALUE"""),40.1)</f>
        <v>40.1</v>
      </c>
      <c r="X541" s="3">
        <f ca="1">IFERROR(__xludf.DUMMYFUNCTION("""COMPUTED_VALUE"""),97.24)</f>
        <v>97.24</v>
      </c>
      <c r="Y541" s="3">
        <f ca="1">IFERROR(__xludf.DUMMYFUNCTION("""COMPUTED_VALUE"""),43.71)</f>
        <v>43.71</v>
      </c>
      <c r="Z541" s="3">
        <f ca="1">IFERROR(__xludf.DUMMYFUNCTION("""COMPUTED_VALUE"""),90.18)</f>
        <v>90.18</v>
      </c>
      <c r="AA541" s="3">
        <f ca="1">IFERROR(__xludf.DUMMYFUNCTION("""COMPUTED_VALUE"""),38.28)</f>
        <v>38.28</v>
      </c>
      <c r="AB541" s="3">
        <f ca="1">IFERROR(__xludf.DUMMYFUNCTION("""COMPUTED_VALUE"""),47.42)</f>
        <v>47.42</v>
      </c>
      <c r="AC541" s="3">
        <f ca="1">IFERROR(__xludf.DUMMYFUNCTION("""COMPUTED_VALUE"""),63.67)</f>
        <v>63.67</v>
      </c>
      <c r="AD541" s="3">
        <f ca="1">IFERROR(__xludf.DUMMYFUNCTION("""COMPUTED_VALUE"""),17.85)</f>
        <v>17.850000000000001</v>
      </c>
      <c r="AE541" s="3">
        <f ca="1">IFERROR(__xludf.DUMMYFUNCTION("""COMPUTED_VALUE"""),25.8)</f>
        <v>25.8</v>
      </c>
      <c r="AF541" s="3">
        <f ca="1">IFERROR(__xludf.DUMMYFUNCTION("""COMPUTED_VALUE"""),4.56)</f>
        <v>4.5599999999999996</v>
      </c>
      <c r="AG541" s="3">
        <f ca="1">IFERROR(__xludf.DUMMYFUNCTION("""COMPUTED_VALUE"""),52.98)</f>
        <v>52.98</v>
      </c>
    </row>
    <row r="542" spans="1:33" ht="12.75" x14ac:dyDescent="0.2">
      <c r="A542" s="4">
        <f ca="1">IFERROR(__xludf.DUMMYFUNCTION("""COMPUTED_VALUE"""),45349.6666666666)</f>
        <v>45349.666666666599</v>
      </c>
      <c r="B542" s="3">
        <f ca="1">IFERROR(__xludf.DUMMYFUNCTION("""COMPUTED_VALUE"""),205.67)</f>
        <v>205.67</v>
      </c>
      <c r="C542" s="3">
        <f ca="1">IFERROR(__xludf.DUMMYFUNCTION("""COMPUTED_VALUE"""),515.27)</f>
        <v>515.27</v>
      </c>
      <c r="D542" s="3">
        <f ca="1">IFERROR(__xludf.DUMMYFUNCTION("""COMPUTED_VALUE"""),135.41)</f>
        <v>135.41</v>
      </c>
      <c r="E542" s="3">
        <f ca="1">IFERROR(__xludf.DUMMYFUNCTION("""COMPUTED_VALUE"""),214.04)</f>
        <v>214.04</v>
      </c>
      <c r="F542" s="3">
        <f ca="1">IFERROR(__xludf.DUMMYFUNCTION("""COMPUTED_VALUE"""),64.33)</f>
        <v>64.33</v>
      </c>
      <c r="G542" s="3">
        <f ca="1">IFERROR(__xludf.DUMMYFUNCTION("""COMPUTED_VALUE"""),31.14)</f>
        <v>31.14</v>
      </c>
      <c r="H542" s="3">
        <f ca="1">IFERROR(__xludf.DUMMYFUNCTION("""COMPUTED_VALUE"""),28.06)</f>
        <v>28.06</v>
      </c>
      <c r="I542" s="3">
        <f ca="1">IFERROR(__xludf.DUMMYFUNCTION("""COMPUTED_VALUE"""),146.74)</f>
        <v>146.74</v>
      </c>
      <c r="J542" s="3">
        <f ca="1">IFERROR(__xludf.DUMMYFUNCTION("""COMPUTED_VALUE"""),269.62)</f>
        <v>269.62</v>
      </c>
      <c r="K542" s="3">
        <f ca="1">IFERROR(__xludf.DUMMYFUNCTION("""COMPUTED_VALUE"""),140.89)</f>
        <v>140.88999999999999</v>
      </c>
      <c r="L542" s="3">
        <f ca="1">IFERROR(__xludf.DUMMYFUNCTION("""COMPUTED_VALUE"""),102.89)</f>
        <v>102.89</v>
      </c>
      <c r="M542" s="3">
        <f ca="1">IFERROR(__xludf.DUMMYFUNCTION("""COMPUTED_VALUE"""),66.67)</f>
        <v>66.67</v>
      </c>
      <c r="N542" s="3">
        <f ca="1">IFERROR(__xludf.DUMMYFUNCTION("""COMPUTED_VALUE"""),69.46)</f>
        <v>69.459999999999994</v>
      </c>
      <c r="O542" s="3">
        <f ca="1">IFERROR(__xludf.DUMMYFUNCTION("""COMPUTED_VALUE"""),48.92)</f>
        <v>48.92</v>
      </c>
      <c r="P542" s="3">
        <f ca="1">IFERROR(__xludf.DUMMYFUNCTION("""COMPUTED_VALUE"""),85.89)</f>
        <v>85.89</v>
      </c>
      <c r="Q542" s="3">
        <f ca="1">IFERROR(__xludf.DUMMYFUNCTION("""COMPUTED_VALUE"""),119.82)</f>
        <v>119.82</v>
      </c>
      <c r="R542" s="3">
        <f ca="1">IFERROR(__xludf.DUMMYFUNCTION("""COMPUTED_VALUE"""),86.63)</f>
        <v>86.63</v>
      </c>
      <c r="S542" s="3">
        <f ca="1">IFERROR(__xludf.DUMMYFUNCTION("""COMPUTED_VALUE"""),57.03)</f>
        <v>57.03</v>
      </c>
      <c r="T542" s="3">
        <f ca="1">IFERROR(__xludf.DUMMYFUNCTION("""COMPUTED_VALUE"""),22.11)</f>
        <v>22.11</v>
      </c>
      <c r="U542" s="3">
        <f ca="1">IFERROR(__xludf.DUMMYFUNCTION("""COMPUTED_VALUE"""),73.85)</f>
        <v>73.849999999999994</v>
      </c>
      <c r="V542" s="3">
        <f ca="1">IFERROR(__xludf.DUMMYFUNCTION("""COMPUTED_VALUE"""),42.56)</f>
        <v>42.56</v>
      </c>
      <c r="W542" s="3">
        <f ca="1">IFERROR(__xludf.DUMMYFUNCTION("""COMPUTED_VALUE"""),40.21)</f>
        <v>40.21</v>
      </c>
      <c r="X542" s="3">
        <f ca="1">IFERROR(__xludf.DUMMYFUNCTION("""COMPUTED_VALUE"""),97.58)</f>
        <v>97.58</v>
      </c>
      <c r="Y542" s="3">
        <f ca="1">IFERROR(__xludf.DUMMYFUNCTION("""COMPUTED_VALUE"""),44.19)</f>
        <v>44.19</v>
      </c>
      <c r="Z542" s="3">
        <f ca="1">IFERROR(__xludf.DUMMYFUNCTION("""COMPUTED_VALUE"""),90.51)</f>
        <v>90.51</v>
      </c>
      <c r="AA542" s="3">
        <f ca="1">IFERROR(__xludf.DUMMYFUNCTION("""COMPUTED_VALUE"""),38.31)</f>
        <v>38.31</v>
      </c>
      <c r="AB542" s="3">
        <f ca="1">IFERROR(__xludf.DUMMYFUNCTION("""COMPUTED_VALUE"""),48.01)</f>
        <v>48.01</v>
      </c>
      <c r="AC542" s="3">
        <f ca="1">IFERROR(__xludf.DUMMYFUNCTION("""COMPUTED_VALUE"""),63.56)</f>
        <v>63.56</v>
      </c>
      <c r="AD542" s="3">
        <f ca="1">IFERROR(__xludf.DUMMYFUNCTION("""COMPUTED_VALUE"""),18.34)</f>
        <v>18.34</v>
      </c>
      <c r="AE542" s="3">
        <f ca="1">IFERROR(__xludf.DUMMYFUNCTION("""COMPUTED_VALUE"""),26.93)</f>
        <v>26.93</v>
      </c>
      <c r="AF542" s="3">
        <f ca="1">IFERROR(__xludf.DUMMYFUNCTION("""COMPUTED_VALUE"""),4.5)</f>
        <v>4.5</v>
      </c>
      <c r="AG542" s="3">
        <f ca="1">IFERROR(__xludf.DUMMYFUNCTION("""COMPUTED_VALUE"""),53.73)</f>
        <v>53.73</v>
      </c>
    </row>
    <row r="543" spans="1:33" ht="12.75" x14ac:dyDescent="0.2">
      <c r="A543" s="4">
        <f ca="1">IFERROR(__xludf.DUMMYFUNCTION("""COMPUTED_VALUE"""),45350.6666666666)</f>
        <v>45350.666666666599</v>
      </c>
      <c r="B543" s="3">
        <f ca="1">IFERROR(__xludf.DUMMYFUNCTION("""COMPUTED_VALUE"""),204.7)</f>
        <v>204.7</v>
      </c>
      <c r="C543" s="3">
        <f ca="1">IFERROR(__xludf.DUMMYFUNCTION("""COMPUTED_VALUE"""),512.88)</f>
        <v>512.88</v>
      </c>
      <c r="D543" s="3">
        <f ca="1">IFERROR(__xludf.DUMMYFUNCTION("""COMPUTED_VALUE"""),135.04)</f>
        <v>135.04</v>
      </c>
      <c r="E543" s="3">
        <f ca="1">IFERROR(__xludf.DUMMYFUNCTION("""COMPUTED_VALUE"""),211.63)</f>
        <v>211.63</v>
      </c>
      <c r="F543" s="3">
        <f ca="1">IFERROR(__xludf.DUMMYFUNCTION("""COMPUTED_VALUE"""),64.28)</f>
        <v>64.28</v>
      </c>
      <c r="G543" s="3">
        <f ca="1">IFERROR(__xludf.DUMMYFUNCTION("""COMPUTED_VALUE"""),30.81)</f>
        <v>30.81</v>
      </c>
      <c r="H543" s="3">
        <f ca="1">IFERROR(__xludf.DUMMYFUNCTION("""COMPUTED_VALUE"""),27.96)</f>
        <v>27.96</v>
      </c>
      <c r="I543" s="3">
        <f ca="1">IFERROR(__xludf.DUMMYFUNCTION("""COMPUTED_VALUE"""),146.01)</f>
        <v>146.01</v>
      </c>
      <c r="J543" s="3">
        <f ca="1">IFERROR(__xludf.DUMMYFUNCTION("""COMPUTED_VALUE"""),267.97)</f>
        <v>267.97000000000003</v>
      </c>
      <c r="K543" s="3">
        <f ca="1">IFERROR(__xludf.DUMMYFUNCTION("""COMPUTED_VALUE"""),139.42)</f>
        <v>139.41999999999999</v>
      </c>
      <c r="L543" s="3">
        <f ca="1">IFERROR(__xludf.DUMMYFUNCTION("""COMPUTED_VALUE"""),101.53)</f>
        <v>101.53</v>
      </c>
      <c r="M543" s="3">
        <f ca="1">IFERROR(__xludf.DUMMYFUNCTION("""COMPUTED_VALUE"""),66.39)</f>
        <v>66.39</v>
      </c>
      <c r="N543" s="3">
        <f ca="1">IFERROR(__xludf.DUMMYFUNCTION("""COMPUTED_VALUE"""),69.04)</f>
        <v>69.040000000000006</v>
      </c>
      <c r="O543" s="3">
        <f ca="1">IFERROR(__xludf.DUMMYFUNCTION("""COMPUTED_VALUE"""),48.88)</f>
        <v>48.88</v>
      </c>
      <c r="P543" s="3">
        <f ca="1">IFERROR(__xludf.DUMMYFUNCTION("""COMPUTED_VALUE"""),85.72)</f>
        <v>85.72</v>
      </c>
      <c r="Q543" s="3">
        <f ca="1">IFERROR(__xludf.DUMMYFUNCTION("""COMPUTED_VALUE"""),119.57)</f>
        <v>119.57</v>
      </c>
      <c r="R543" s="3">
        <f ca="1">IFERROR(__xludf.DUMMYFUNCTION("""COMPUTED_VALUE"""),86.9)</f>
        <v>86.9</v>
      </c>
      <c r="S543" s="3">
        <f ca="1">IFERROR(__xludf.DUMMYFUNCTION("""COMPUTED_VALUE"""),55.56)</f>
        <v>55.56</v>
      </c>
      <c r="T543" s="3">
        <f ca="1">IFERROR(__xludf.DUMMYFUNCTION("""COMPUTED_VALUE"""),22.02)</f>
        <v>22.02</v>
      </c>
      <c r="U543" s="3">
        <f ca="1">IFERROR(__xludf.DUMMYFUNCTION("""COMPUTED_VALUE"""),73.62)</f>
        <v>73.62</v>
      </c>
      <c r="V543" s="3">
        <f ca="1">IFERROR(__xludf.DUMMYFUNCTION("""COMPUTED_VALUE"""),42.01)</f>
        <v>42.01</v>
      </c>
      <c r="W543" s="3">
        <f ca="1">IFERROR(__xludf.DUMMYFUNCTION("""COMPUTED_VALUE"""),40.36)</f>
        <v>40.36</v>
      </c>
      <c r="X543" s="3">
        <f ca="1">IFERROR(__xludf.DUMMYFUNCTION("""COMPUTED_VALUE"""),97.85)</f>
        <v>97.85</v>
      </c>
      <c r="Y543" s="3">
        <f ca="1">IFERROR(__xludf.DUMMYFUNCTION("""COMPUTED_VALUE"""),43.88)</f>
        <v>43.88</v>
      </c>
      <c r="Z543" s="3">
        <f ca="1">IFERROR(__xludf.DUMMYFUNCTION("""COMPUTED_VALUE"""),90.79)</f>
        <v>90.79</v>
      </c>
      <c r="AA543" s="3">
        <f ca="1">IFERROR(__xludf.DUMMYFUNCTION("""COMPUTED_VALUE"""),38.8)</f>
        <v>38.799999999999997</v>
      </c>
      <c r="AB543" s="3">
        <f ca="1">IFERROR(__xludf.DUMMYFUNCTION("""COMPUTED_VALUE"""),47.49)</f>
        <v>47.49</v>
      </c>
      <c r="AC543" s="3">
        <f ca="1">IFERROR(__xludf.DUMMYFUNCTION("""COMPUTED_VALUE"""),63.74)</f>
        <v>63.74</v>
      </c>
      <c r="AD543" s="3">
        <f ca="1">IFERROR(__xludf.DUMMYFUNCTION("""COMPUTED_VALUE"""),18.98)</f>
        <v>18.98</v>
      </c>
      <c r="AE543" s="3">
        <f ca="1">IFERROR(__xludf.DUMMYFUNCTION("""COMPUTED_VALUE"""),28.45)</f>
        <v>28.45</v>
      </c>
      <c r="AF543" s="3">
        <f ca="1">IFERROR(__xludf.DUMMYFUNCTION("""COMPUTED_VALUE"""),4.44)</f>
        <v>4.4400000000000004</v>
      </c>
      <c r="AG543" s="3">
        <f ca="1">IFERROR(__xludf.DUMMYFUNCTION("""COMPUTED_VALUE"""),51.24)</f>
        <v>51.24</v>
      </c>
    </row>
    <row r="544" spans="1:33" ht="12.75" x14ac:dyDescent="0.2">
      <c r="A544" s="4">
        <f ca="1">IFERROR(__xludf.DUMMYFUNCTION("""COMPUTED_VALUE"""),45351.6666666666)</f>
        <v>45351.666666666599</v>
      </c>
      <c r="B544" s="3">
        <f ca="1">IFERROR(__xludf.DUMMYFUNCTION("""COMPUTED_VALUE"""),206.98)</f>
        <v>206.98</v>
      </c>
      <c r="C544" s="3">
        <f ca="1">IFERROR(__xludf.DUMMYFUNCTION("""COMPUTED_VALUE"""),517.79)</f>
        <v>517.79</v>
      </c>
      <c r="D544" s="3">
        <f ca="1">IFERROR(__xludf.DUMMYFUNCTION("""COMPUTED_VALUE"""),131.87)</f>
        <v>131.87</v>
      </c>
      <c r="E544" s="3">
        <f ca="1">IFERROR(__xludf.DUMMYFUNCTION("""COMPUTED_VALUE"""),217.36)</f>
        <v>217.36</v>
      </c>
      <c r="F544" s="3">
        <f ca="1">IFERROR(__xludf.DUMMYFUNCTION("""COMPUTED_VALUE"""),65.22)</f>
        <v>65.22</v>
      </c>
      <c r="G544" s="3">
        <f ca="1">IFERROR(__xludf.DUMMYFUNCTION("""COMPUTED_VALUE"""),31.18)</f>
        <v>31.18</v>
      </c>
      <c r="H544" s="3">
        <f ca="1">IFERROR(__xludf.DUMMYFUNCTION("""COMPUTED_VALUE"""),28.2)</f>
        <v>28.2</v>
      </c>
      <c r="I544" s="3">
        <f ca="1">IFERROR(__xludf.DUMMYFUNCTION("""COMPUTED_VALUE"""),144.82)</f>
        <v>144.82</v>
      </c>
      <c r="J544" s="3">
        <f ca="1">IFERROR(__xludf.DUMMYFUNCTION("""COMPUTED_VALUE"""),265.41)</f>
        <v>265.41000000000003</v>
      </c>
      <c r="K544" s="3">
        <f ca="1">IFERROR(__xludf.DUMMYFUNCTION("""COMPUTED_VALUE"""),136.84)</f>
        <v>136.84</v>
      </c>
      <c r="L544" s="3">
        <f ca="1">IFERROR(__xludf.DUMMYFUNCTION("""COMPUTED_VALUE"""),98.42)</f>
        <v>98.42</v>
      </c>
      <c r="M544" s="3">
        <f ca="1">IFERROR(__xludf.DUMMYFUNCTION("""COMPUTED_VALUE"""),65.56)</f>
        <v>65.56</v>
      </c>
      <c r="N544" s="3">
        <f ca="1">IFERROR(__xludf.DUMMYFUNCTION("""COMPUTED_VALUE"""),68.4)</f>
        <v>68.400000000000006</v>
      </c>
      <c r="O544" s="3">
        <f ca="1">IFERROR(__xludf.DUMMYFUNCTION("""COMPUTED_VALUE"""),47.92)</f>
        <v>47.92</v>
      </c>
      <c r="P544" s="3">
        <f ca="1">IFERROR(__xludf.DUMMYFUNCTION("""COMPUTED_VALUE"""),86.14)</f>
        <v>86.14</v>
      </c>
      <c r="Q544" s="3">
        <f ca="1">IFERROR(__xludf.DUMMYFUNCTION("""COMPUTED_VALUE"""),120.08)</f>
        <v>120.08</v>
      </c>
      <c r="R544" s="3">
        <f ca="1">IFERROR(__xludf.DUMMYFUNCTION("""COMPUTED_VALUE"""),87.56)</f>
        <v>87.56</v>
      </c>
      <c r="S544" s="3">
        <f ca="1">IFERROR(__xludf.DUMMYFUNCTION("""COMPUTED_VALUE"""),56.49)</f>
        <v>56.49</v>
      </c>
      <c r="T544" s="3">
        <f ca="1">IFERROR(__xludf.DUMMYFUNCTION("""COMPUTED_VALUE"""),21.99)</f>
        <v>21.99</v>
      </c>
      <c r="U544" s="3">
        <f ca="1">IFERROR(__xludf.DUMMYFUNCTION("""COMPUTED_VALUE"""),73.36)</f>
        <v>73.36</v>
      </c>
      <c r="V544" s="3">
        <f ca="1">IFERROR(__xludf.DUMMYFUNCTION("""COMPUTED_VALUE"""),43.15)</f>
        <v>43.15</v>
      </c>
      <c r="W544" s="3">
        <f ca="1">IFERROR(__xludf.DUMMYFUNCTION("""COMPUTED_VALUE"""),40.34)</f>
        <v>40.340000000000003</v>
      </c>
      <c r="X544" s="3">
        <f ca="1">IFERROR(__xludf.DUMMYFUNCTION("""COMPUTED_VALUE"""),97.93)</f>
        <v>97.93</v>
      </c>
      <c r="Y544" s="3">
        <f ca="1">IFERROR(__xludf.DUMMYFUNCTION("""COMPUTED_VALUE"""),44.42)</f>
        <v>44.42</v>
      </c>
      <c r="Z544" s="3">
        <f ca="1">IFERROR(__xludf.DUMMYFUNCTION("""COMPUTED_VALUE"""),91)</f>
        <v>91</v>
      </c>
      <c r="AA544" s="3">
        <f ca="1">IFERROR(__xludf.DUMMYFUNCTION("""COMPUTED_VALUE"""),39.11)</f>
        <v>39.11</v>
      </c>
      <c r="AB544" s="3">
        <f ca="1">IFERROR(__xludf.DUMMYFUNCTION("""COMPUTED_VALUE"""),48.14)</f>
        <v>48.14</v>
      </c>
      <c r="AC544" s="3">
        <f ca="1">IFERROR(__xludf.DUMMYFUNCTION("""COMPUTED_VALUE"""),63.76)</f>
        <v>63.76</v>
      </c>
      <c r="AD544" s="3">
        <f ca="1">IFERROR(__xludf.DUMMYFUNCTION("""COMPUTED_VALUE"""),19.58)</f>
        <v>19.579999999999998</v>
      </c>
      <c r="AE544" s="3">
        <f ca="1">IFERROR(__xludf.DUMMYFUNCTION("""COMPUTED_VALUE"""),29.23)</f>
        <v>29.23</v>
      </c>
      <c r="AF544" s="3">
        <f ca="1">IFERROR(__xludf.DUMMYFUNCTION("""COMPUTED_VALUE"""),5.14)</f>
        <v>5.14</v>
      </c>
      <c r="AG544" s="3">
        <f ca="1">IFERROR(__xludf.DUMMYFUNCTION("""COMPUTED_VALUE"""),47.01)</f>
        <v>47.01</v>
      </c>
    </row>
    <row r="545" spans="1:33" ht="12.75" x14ac:dyDescent="0.2">
      <c r="A545" s="4">
        <f ca="1">IFERROR(__xludf.DUMMYFUNCTION("""COMPUTED_VALUE"""),45352.6666666666)</f>
        <v>45352.666666666599</v>
      </c>
      <c r="B545" s="3">
        <f ca="1">IFERROR(__xludf.DUMMYFUNCTION("""COMPUTED_VALUE"""),210.76)</f>
        <v>210.76</v>
      </c>
      <c r="C545" s="3">
        <f ca="1">IFERROR(__xludf.DUMMYFUNCTION("""COMPUTED_VALUE"""),527.39)</f>
        <v>527.39</v>
      </c>
      <c r="D545" s="3">
        <f ca="1">IFERROR(__xludf.DUMMYFUNCTION("""COMPUTED_VALUE"""),133.05)</f>
        <v>133.05000000000001</v>
      </c>
      <c r="E545" s="3">
        <f ca="1">IFERROR(__xludf.DUMMYFUNCTION("""COMPUTED_VALUE"""),226.61)</f>
        <v>226.61</v>
      </c>
      <c r="F545" s="3">
        <f ca="1">IFERROR(__xludf.DUMMYFUNCTION("""COMPUTED_VALUE"""),65.33)</f>
        <v>65.33</v>
      </c>
      <c r="G545" s="3">
        <f ca="1">IFERROR(__xludf.DUMMYFUNCTION("""COMPUTED_VALUE"""),31.74)</f>
        <v>31.74</v>
      </c>
      <c r="H545" s="3">
        <f ca="1">IFERROR(__xludf.DUMMYFUNCTION("""COMPUTED_VALUE"""),28.6)</f>
        <v>28.6</v>
      </c>
      <c r="I545" s="3">
        <f ca="1">IFERROR(__xludf.DUMMYFUNCTION("""COMPUTED_VALUE"""),146.34)</f>
        <v>146.34</v>
      </c>
      <c r="J545" s="3">
        <f ca="1">IFERROR(__xludf.DUMMYFUNCTION("""COMPUTED_VALUE"""),268.5)</f>
        <v>268.5</v>
      </c>
      <c r="K545" s="3">
        <f ca="1">IFERROR(__xludf.DUMMYFUNCTION("""COMPUTED_VALUE"""),139.81)</f>
        <v>139.81</v>
      </c>
      <c r="L545" s="3">
        <f ca="1">IFERROR(__xludf.DUMMYFUNCTION("""COMPUTED_VALUE"""),101.53)</f>
        <v>101.53</v>
      </c>
      <c r="M545" s="3">
        <f ca="1">IFERROR(__xludf.DUMMYFUNCTION("""COMPUTED_VALUE"""),67.29)</f>
        <v>67.290000000000006</v>
      </c>
      <c r="N545" s="3">
        <f ca="1">IFERROR(__xludf.DUMMYFUNCTION("""COMPUTED_VALUE"""),69.23)</f>
        <v>69.23</v>
      </c>
      <c r="O545" s="3">
        <f ca="1">IFERROR(__xludf.DUMMYFUNCTION("""COMPUTED_VALUE"""),49.16)</f>
        <v>49.16</v>
      </c>
      <c r="P545" s="3">
        <f ca="1">IFERROR(__xludf.DUMMYFUNCTION("""COMPUTED_VALUE"""),87.14)</f>
        <v>87.14</v>
      </c>
      <c r="Q545" s="3">
        <f ca="1">IFERROR(__xludf.DUMMYFUNCTION("""COMPUTED_VALUE"""),121.68)</f>
        <v>121.68</v>
      </c>
      <c r="R545" s="3">
        <f ca="1">IFERROR(__xludf.DUMMYFUNCTION("""COMPUTED_VALUE"""),87.96)</f>
        <v>87.96</v>
      </c>
      <c r="S545" s="3">
        <f ca="1">IFERROR(__xludf.DUMMYFUNCTION("""COMPUTED_VALUE"""),57.37)</f>
        <v>57.37</v>
      </c>
      <c r="T545" s="3">
        <f ca="1">IFERROR(__xludf.DUMMYFUNCTION("""COMPUTED_VALUE"""),22.1)</f>
        <v>22.1</v>
      </c>
      <c r="U545" s="3">
        <f ca="1">IFERROR(__xludf.DUMMYFUNCTION("""COMPUTED_VALUE"""),74.96)</f>
        <v>74.959999999999994</v>
      </c>
      <c r="V545" s="3">
        <f ca="1">IFERROR(__xludf.DUMMYFUNCTION("""COMPUTED_VALUE"""),44.18)</f>
        <v>44.18</v>
      </c>
      <c r="W545" s="3">
        <f ca="1">IFERROR(__xludf.DUMMYFUNCTION("""COMPUTED_VALUE"""),40.29)</f>
        <v>40.29</v>
      </c>
      <c r="X545" s="3">
        <f ca="1">IFERROR(__xludf.DUMMYFUNCTION("""COMPUTED_VALUE"""),97.91)</f>
        <v>97.91</v>
      </c>
      <c r="Y545" s="3">
        <f ca="1">IFERROR(__xludf.DUMMYFUNCTION("""COMPUTED_VALUE"""),44.09)</f>
        <v>44.09</v>
      </c>
      <c r="Z545" s="3">
        <f ca="1">IFERROR(__xludf.DUMMYFUNCTION("""COMPUTED_VALUE"""),90.79)</f>
        <v>90.79</v>
      </c>
      <c r="AA545" s="3">
        <f ca="1">IFERROR(__xludf.DUMMYFUNCTION("""COMPUTED_VALUE"""),39.54)</f>
        <v>39.54</v>
      </c>
      <c r="AB545" s="3">
        <f ca="1">IFERROR(__xludf.DUMMYFUNCTION("""COMPUTED_VALUE"""),47.61)</f>
        <v>47.61</v>
      </c>
      <c r="AC545" s="3">
        <f ca="1">IFERROR(__xludf.DUMMYFUNCTION("""COMPUTED_VALUE"""),63.97)</f>
        <v>63.97</v>
      </c>
      <c r="AD545" s="3">
        <f ca="1">IFERROR(__xludf.DUMMYFUNCTION("""COMPUTED_VALUE"""),19.9)</f>
        <v>19.899999999999999</v>
      </c>
      <c r="AE545" s="3">
        <f ca="1">IFERROR(__xludf.DUMMYFUNCTION("""COMPUTED_VALUE"""),29)</f>
        <v>29</v>
      </c>
      <c r="AF545" s="3">
        <f ca="1">IFERROR(__xludf.DUMMYFUNCTION("""COMPUTED_VALUE"""),5.2)</f>
        <v>5.2</v>
      </c>
      <c r="AG545" s="3">
        <f ca="1">IFERROR(__xludf.DUMMYFUNCTION("""COMPUTED_VALUE"""),48.6)</f>
        <v>48.6</v>
      </c>
    </row>
    <row r="546" spans="1:33" ht="12.75" x14ac:dyDescent="0.2">
      <c r="A546" s="4">
        <f ca="1">IFERROR(__xludf.DUMMYFUNCTION("""COMPUTED_VALUE"""),45355.6666666666)</f>
        <v>45355.666666666599</v>
      </c>
      <c r="B546" s="3">
        <f ca="1">IFERROR(__xludf.DUMMYFUNCTION("""COMPUTED_VALUE"""),210.76)</f>
        <v>210.76</v>
      </c>
      <c r="C546" s="3">
        <f ca="1">IFERROR(__xludf.DUMMYFUNCTION("""COMPUTED_VALUE"""),528.37)</f>
        <v>528.37</v>
      </c>
      <c r="D546" s="3">
        <f ca="1">IFERROR(__xludf.DUMMYFUNCTION("""COMPUTED_VALUE"""),135.42)</f>
        <v>135.41999999999999</v>
      </c>
      <c r="E546" s="3">
        <f ca="1">IFERROR(__xludf.DUMMYFUNCTION("""COMPUTED_VALUE"""),228.84)</f>
        <v>228.84</v>
      </c>
      <c r="F546" s="3">
        <f ca="1">IFERROR(__xludf.DUMMYFUNCTION("""COMPUTED_VALUE"""),65.37)</f>
        <v>65.37</v>
      </c>
      <c r="G546" s="3">
        <f ca="1">IFERROR(__xludf.DUMMYFUNCTION("""COMPUTED_VALUE"""),31.97)</f>
        <v>31.97</v>
      </c>
      <c r="H546" s="3">
        <f ca="1">IFERROR(__xludf.DUMMYFUNCTION("""COMPUTED_VALUE"""),28.7)</f>
        <v>28.7</v>
      </c>
      <c r="I546" s="3">
        <f ca="1">IFERROR(__xludf.DUMMYFUNCTION("""COMPUTED_VALUE"""),146.12)</f>
        <v>146.12</v>
      </c>
      <c r="J546" s="3">
        <f ca="1">IFERROR(__xludf.DUMMYFUNCTION("""COMPUTED_VALUE"""),267.92)</f>
        <v>267.92</v>
      </c>
      <c r="K546" s="3">
        <f ca="1">IFERROR(__xludf.DUMMYFUNCTION("""COMPUTED_VALUE"""),138.51)</f>
        <v>138.51</v>
      </c>
      <c r="L546" s="3">
        <f ca="1">IFERROR(__xludf.DUMMYFUNCTION("""COMPUTED_VALUE"""),100.73)</f>
        <v>100.73</v>
      </c>
      <c r="M546" s="3">
        <f ca="1">IFERROR(__xludf.DUMMYFUNCTION("""COMPUTED_VALUE"""),66.74)</f>
        <v>66.739999999999995</v>
      </c>
      <c r="N546" s="3">
        <f ca="1">IFERROR(__xludf.DUMMYFUNCTION("""COMPUTED_VALUE"""),69.1)</f>
        <v>69.099999999999994</v>
      </c>
      <c r="O546" s="3">
        <f ca="1">IFERROR(__xludf.DUMMYFUNCTION("""COMPUTED_VALUE"""),48.28)</f>
        <v>48.28</v>
      </c>
      <c r="P546" s="3">
        <f ca="1">IFERROR(__xludf.DUMMYFUNCTION("""COMPUTED_VALUE"""),86.21)</f>
        <v>86.21</v>
      </c>
      <c r="Q546" s="3">
        <f ca="1">IFERROR(__xludf.DUMMYFUNCTION("""COMPUTED_VALUE"""),120.31)</f>
        <v>120.31</v>
      </c>
      <c r="R546" s="3">
        <f ca="1">IFERROR(__xludf.DUMMYFUNCTION("""COMPUTED_VALUE"""),88.6)</f>
        <v>88.6</v>
      </c>
      <c r="S546" s="3">
        <f ca="1">IFERROR(__xludf.DUMMYFUNCTION("""COMPUTED_VALUE"""),57.51)</f>
        <v>57.51</v>
      </c>
      <c r="T546" s="3">
        <f ca="1">IFERROR(__xludf.DUMMYFUNCTION("""COMPUTED_VALUE"""),22.17)</f>
        <v>22.17</v>
      </c>
      <c r="U546" s="3">
        <f ca="1">IFERROR(__xludf.DUMMYFUNCTION("""COMPUTED_VALUE"""),74.01)</f>
        <v>74.010000000000005</v>
      </c>
      <c r="V546" s="3">
        <f ca="1">IFERROR(__xludf.DUMMYFUNCTION("""COMPUTED_VALUE"""),43.39)</f>
        <v>43.39</v>
      </c>
      <c r="W546" s="3">
        <f ca="1">IFERROR(__xludf.DUMMYFUNCTION("""COMPUTED_VALUE"""),40.39)</f>
        <v>40.39</v>
      </c>
      <c r="X546" s="3">
        <f ca="1">IFERROR(__xludf.DUMMYFUNCTION("""COMPUTED_VALUE"""),98.08)</f>
        <v>98.08</v>
      </c>
      <c r="Y546" s="3">
        <f ca="1">IFERROR(__xludf.DUMMYFUNCTION("""COMPUTED_VALUE"""),44.13)</f>
        <v>44.13</v>
      </c>
      <c r="Z546" s="3">
        <f ca="1">IFERROR(__xludf.DUMMYFUNCTION("""COMPUTED_VALUE"""),91.36)</f>
        <v>91.36</v>
      </c>
      <c r="AA546" s="3">
        <f ca="1">IFERROR(__xludf.DUMMYFUNCTION("""COMPUTED_VALUE"""),39.99)</f>
        <v>39.99</v>
      </c>
      <c r="AB546" s="3">
        <f ca="1">IFERROR(__xludf.DUMMYFUNCTION("""COMPUTED_VALUE"""),47.6)</f>
        <v>47.6</v>
      </c>
      <c r="AC546" s="3">
        <f ca="1">IFERROR(__xludf.DUMMYFUNCTION("""COMPUTED_VALUE"""),63.91)</f>
        <v>63.91</v>
      </c>
      <c r="AD546" s="3">
        <f ca="1">IFERROR(__xludf.DUMMYFUNCTION("""COMPUTED_VALUE"""),21.01)</f>
        <v>21.01</v>
      </c>
      <c r="AE546" s="3">
        <f ca="1">IFERROR(__xludf.DUMMYFUNCTION("""COMPUTED_VALUE"""),31.14)</f>
        <v>31.14</v>
      </c>
      <c r="AF546" s="3">
        <f ca="1">IFERROR(__xludf.DUMMYFUNCTION("""COMPUTED_VALUE"""),5.25)</f>
        <v>5.25</v>
      </c>
      <c r="AG546" s="3">
        <f ca="1">IFERROR(__xludf.DUMMYFUNCTION("""COMPUTED_VALUE"""),47.44)</f>
        <v>47.44</v>
      </c>
    </row>
    <row r="547" spans="1:33" ht="12.75" x14ac:dyDescent="0.2">
      <c r="A547" s="4">
        <f ca="1">IFERROR(__xludf.DUMMYFUNCTION("""COMPUTED_VALUE"""),45356.6666666666)</f>
        <v>45356.666666666599</v>
      </c>
      <c r="B547" s="3">
        <f ca="1">IFERROR(__xludf.DUMMYFUNCTION("""COMPUTED_VALUE"""),205.58)</f>
        <v>205.58</v>
      </c>
      <c r="C547" s="3">
        <f ca="1">IFERROR(__xludf.DUMMYFUNCTION("""COMPUTED_VALUE"""),515.68)</f>
        <v>515.67999999999995</v>
      </c>
      <c r="D547" s="3">
        <f ca="1">IFERROR(__xludf.DUMMYFUNCTION("""COMPUTED_VALUE"""),133.51)</f>
        <v>133.51</v>
      </c>
      <c r="E547" s="3">
        <f ca="1">IFERROR(__xludf.DUMMYFUNCTION("""COMPUTED_VALUE"""),224.35)</f>
        <v>224.35</v>
      </c>
      <c r="F547" s="3">
        <f ca="1">IFERROR(__xludf.DUMMYFUNCTION("""COMPUTED_VALUE"""),63.62)</f>
        <v>63.62</v>
      </c>
      <c r="G547" s="3">
        <f ca="1">IFERROR(__xludf.DUMMYFUNCTION("""COMPUTED_VALUE"""),31.7)</f>
        <v>31.7</v>
      </c>
      <c r="H547" s="3">
        <f ca="1">IFERROR(__xludf.DUMMYFUNCTION("""COMPUTED_VALUE"""),28.33)</f>
        <v>28.33</v>
      </c>
      <c r="I547" s="3">
        <f ca="1">IFERROR(__xludf.DUMMYFUNCTION("""COMPUTED_VALUE"""),145.03)</f>
        <v>145.03</v>
      </c>
      <c r="J547" s="3">
        <f ca="1">IFERROR(__xludf.DUMMYFUNCTION("""COMPUTED_VALUE"""),265.76)</f>
        <v>265.76</v>
      </c>
      <c r="K547" s="3">
        <f ca="1">IFERROR(__xludf.DUMMYFUNCTION("""COMPUTED_VALUE"""),137.34)</f>
        <v>137.34</v>
      </c>
      <c r="L547" s="3">
        <f ca="1">IFERROR(__xludf.DUMMYFUNCTION("""COMPUTED_VALUE"""),99.46)</f>
        <v>99.46</v>
      </c>
      <c r="M547" s="3">
        <f ca="1">IFERROR(__xludf.DUMMYFUNCTION("""COMPUTED_VALUE"""),66.32)</f>
        <v>66.319999999999993</v>
      </c>
      <c r="N547" s="3">
        <f ca="1">IFERROR(__xludf.DUMMYFUNCTION("""COMPUTED_VALUE"""),68.57)</f>
        <v>68.569999999999993</v>
      </c>
      <c r="O547" s="3">
        <f ca="1">IFERROR(__xludf.DUMMYFUNCTION("""COMPUTED_VALUE"""),47.56)</f>
        <v>47.56</v>
      </c>
      <c r="P547" s="3">
        <f ca="1">IFERROR(__xludf.DUMMYFUNCTION("""COMPUTED_VALUE"""),86.85)</f>
        <v>86.85</v>
      </c>
      <c r="Q547" s="3">
        <f ca="1">IFERROR(__xludf.DUMMYFUNCTION("""COMPUTED_VALUE"""),121.12)</f>
        <v>121.12</v>
      </c>
      <c r="R547" s="3">
        <f ca="1">IFERROR(__xludf.DUMMYFUNCTION("""COMPUTED_VALUE"""),88.13)</f>
        <v>88.13</v>
      </c>
      <c r="S547" s="3">
        <f ca="1">IFERROR(__xludf.DUMMYFUNCTION("""COMPUTED_VALUE"""),56.71)</f>
        <v>56.71</v>
      </c>
      <c r="T547" s="3">
        <f ca="1">IFERROR(__xludf.DUMMYFUNCTION("""COMPUTED_VALUE"""),22)</f>
        <v>22</v>
      </c>
      <c r="U547" s="3">
        <f ca="1">IFERROR(__xludf.DUMMYFUNCTION("""COMPUTED_VALUE"""),73.45)</f>
        <v>73.45</v>
      </c>
      <c r="V547" s="3">
        <f ca="1">IFERROR(__xludf.DUMMYFUNCTION("""COMPUTED_VALUE"""),43)</f>
        <v>43</v>
      </c>
      <c r="W547" s="3">
        <f ca="1">IFERROR(__xludf.DUMMYFUNCTION("""COMPUTED_VALUE"""),40.4)</f>
        <v>40.4</v>
      </c>
      <c r="X547" s="3">
        <f ca="1">IFERROR(__xludf.DUMMYFUNCTION("""COMPUTED_VALUE"""),98.27)</f>
        <v>98.27</v>
      </c>
      <c r="Y547" s="3">
        <f ca="1">IFERROR(__xludf.DUMMYFUNCTION("""COMPUTED_VALUE"""),45.46)</f>
        <v>45.46</v>
      </c>
      <c r="Z547" s="3">
        <f ca="1">IFERROR(__xludf.DUMMYFUNCTION("""COMPUTED_VALUE"""),91.47)</f>
        <v>91.47</v>
      </c>
      <c r="AA547" s="3">
        <f ca="1">IFERROR(__xludf.DUMMYFUNCTION("""COMPUTED_VALUE"""),39.48)</f>
        <v>39.479999999999997</v>
      </c>
      <c r="AB547" s="3">
        <f ca="1">IFERROR(__xludf.DUMMYFUNCTION("""COMPUTED_VALUE"""),49.52)</f>
        <v>49.52</v>
      </c>
      <c r="AC547" s="3">
        <f ca="1">IFERROR(__xludf.DUMMYFUNCTION("""COMPUTED_VALUE"""),64.04)</f>
        <v>64.040000000000006</v>
      </c>
      <c r="AD547" s="3">
        <f ca="1">IFERROR(__xludf.DUMMYFUNCTION("""COMPUTED_VALUE"""),19.52)</f>
        <v>19.52</v>
      </c>
      <c r="AE547" s="3">
        <f ca="1">IFERROR(__xludf.DUMMYFUNCTION("""COMPUTED_VALUE"""),28.46)</f>
        <v>28.46</v>
      </c>
      <c r="AF547" s="3">
        <f ca="1">IFERROR(__xludf.DUMMYFUNCTION("""COMPUTED_VALUE"""),4.88)</f>
        <v>4.88</v>
      </c>
      <c r="AG547" s="3">
        <f ca="1">IFERROR(__xludf.DUMMYFUNCTION("""COMPUTED_VALUE"""),44.12)</f>
        <v>44.12</v>
      </c>
    </row>
    <row r="548" spans="1:33" ht="12.75" x14ac:dyDescent="0.2">
      <c r="A548" s="4">
        <f ca="1">IFERROR(__xludf.DUMMYFUNCTION("""COMPUTED_VALUE"""),45357.6666666666)</f>
        <v>45357.666666666599</v>
      </c>
      <c r="B548" s="3">
        <f ca="1">IFERROR(__xludf.DUMMYFUNCTION("""COMPUTED_VALUE"""),207.21)</f>
        <v>207.21</v>
      </c>
      <c r="C548" s="3">
        <f ca="1">IFERROR(__xludf.DUMMYFUNCTION("""COMPUTED_VALUE"""),521.4)</f>
        <v>521.4</v>
      </c>
      <c r="D548" s="3">
        <f ca="1">IFERROR(__xludf.DUMMYFUNCTION("""COMPUTED_VALUE"""),132.95)</f>
        <v>132.94999999999999</v>
      </c>
      <c r="E548" s="3">
        <f ca="1">IFERROR(__xludf.DUMMYFUNCTION("""COMPUTED_VALUE"""),229.87)</f>
        <v>229.87</v>
      </c>
      <c r="F548" s="3">
        <f ca="1">IFERROR(__xludf.DUMMYFUNCTION("""COMPUTED_VALUE"""),64.36)</f>
        <v>64.36</v>
      </c>
      <c r="G548" s="3">
        <f ca="1">IFERROR(__xludf.DUMMYFUNCTION("""COMPUTED_VALUE"""),32.35)</f>
        <v>32.35</v>
      </c>
      <c r="H548" s="3">
        <f ca="1">IFERROR(__xludf.DUMMYFUNCTION("""COMPUTED_VALUE"""),28.62)</f>
        <v>28.62</v>
      </c>
      <c r="I548" s="3">
        <f ca="1">IFERROR(__xludf.DUMMYFUNCTION("""COMPUTED_VALUE"""),146.02)</f>
        <v>146.02000000000001</v>
      </c>
      <c r="J548" s="3">
        <f ca="1">IFERROR(__xludf.DUMMYFUNCTION("""COMPUTED_VALUE"""),267.59)</f>
        <v>267.58999999999997</v>
      </c>
      <c r="K548" s="3">
        <f ca="1">IFERROR(__xludf.DUMMYFUNCTION("""COMPUTED_VALUE"""),137.87)</f>
        <v>137.87</v>
      </c>
      <c r="L548" s="3">
        <f ca="1">IFERROR(__xludf.DUMMYFUNCTION("""COMPUTED_VALUE"""),100.12)</f>
        <v>100.12</v>
      </c>
      <c r="M548" s="3">
        <f ca="1">IFERROR(__xludf.DUMMYFUNCTION("""COMPUTED_VALUE"""),66.23)</f>
        <v>66.23</v>
      </c>
      <c r="N548" s="3">
        <f ca="1">IFERROR(__xludf.DUMMYFUNCTION("""COMPUTED_VALUE"""),69.06)</f>
        <v>69.06</v>
      </c>
      <c r="O548" s="3">
        <f ca="1">IFERROR(__xludf.DUMMYFUNCTION("""COMPUTED_VALUE"""),47.8)</f>
        <v>47.8</v>
      </c>
      <c r="P548" s="3">
        <f ca="1">IFERROR(__xludf.DUMMYFUNCTION("""COMPUTED_VALUE"""),87.12)</f>
        <v>87.12</v>
      </c>
      <c r="Q548" s="3">
        <f ca="1">IFERROR(__xludf.DUMMYFUNCTION("""COMPUTED_VALUE"""),121.48)</f>
        <v>121.48</v>
      </c>
      <c r="R548" s="3">
        <f ca="1">IFERROR(__xludf.DUMMYFUNCTION("""COMPUTED_VALUE"""),88.78)</f>
        <v>88.78</v>
      </c>
      <c r="S548" s="3">
        <f ca="1">IFERROR(__xludf.DUMMYFUNCTION("""COMPUTED_VALUE"""),57.5)</f>
        <v>57.5</v>
      </c>
      <c r="T548" s="3">
        <f ca="1">IFERROR(__xludf.DUMMYFUNCTION("""COMPUTED_VALUE"""),22.18)</f>
        <v>22.18</v>
      </c>
      <c r="U548" s="3">
        <f ca="1">IFERROR(__xludf.DUMMYFUNCTION("""COMPUTED_VALUE"""),74.34)</f>
        <v>74.34</v>
      </c>
      <c r="V548" s="3">
        <f ca="1">IFERROR(__xludf.DUMMYFUNCTION("""COMPUTED_VALUE"""),43.94)</f>
        <v>43.94</v>
      </c>
      <c r="W548" s="3">
        <f ca="1">IFERROR(__xludf.DUMMYFUNCTION("""COMPUTED_VALUE"""),40.61)</f>
        <v>40.61</v>
      </c>
      <c r="X548" s="3">
        <f ca="1">IFERROR(__xludf.DUMMYFUNCTION("""COMPUTED_VALUE"""),98.78)</f>
        <v>98.78</v>
      </c>
      <c r="Y548" s="3">
        <f ca="1">IFERROR(__xludf.DUMMYFUNCTION("""COMPUTED_VALUE"""),45.35)</f>
        <v>45.35</v>
      </c>
      <c r="Z548" s="3">
        <f ca="1">IFERROR(__xludf.DUMMYFUNCTION("""COMPUTED_VALUE"""),91.99)</f>
        <v>91.99</v>
      </c>
      <c r="AA548" s="3">
        <f ca="1">IFERROR(__xludf.DUMMYFUNCTION("""COMPUTED_VALUE"""),39.7)</f>
        <v>39.700000000000003</v>
      </c>
      <c r="AB548" s="3">
        <f ca="1">IFERROR(__xludf.DUMMYFUNCTION("""COMPUTED_VALUE"""),49.46)</f>
        <v>49.46</v>
      </c>
      <c r="AC548" s="3">
        <f ca="1">IFERROR(__xludf.DUMMYFUNCTION("""COMPUTED_VALUE"""),64.08)</f>
        <v>64.08</v>
      </c>
      <c r="AD548" s="3">
        <f ca="1">IFERROR(__xludf.DUMMYFUNCTION("""COMPUTED_VALUE"""),21.68)</f>
        <v>21.68</v>
      </c>
      <c r="AE548" s="3">
        <f ca="1">IFERROR(__xludf.DUMMYFUNCTION("""COMPUTED_VALUE"""),30.83)</f>
        <v>30.83</v>
      </c>
      <c r="AF548" s="3">
        <f ca="1">IFERROR(__xludf.DUMMYFUNCTION("""COMPUTED_VALUE"""),5.08)</f>
        <v>5.08</v>
      </c>
      <c r="AG548" s="3">
        <f ca="1">IFERROR(__xludf.DUMMYFUNCTION("""COMPUTED_VALUE"""),46.25)</f>
        <v>46.25</v>
      </c>
    </row>
    <row r="549" spans="1:33" ht="12.75" x14ac:dyDescent="0.2">
      <c r="A549" s="4">
        <f ca="1">IFERROR(__xludf.DUMMYFUNCTION("""COMPUTED_VALUE"""),45358.6666666666)</f>
        <v>45358.666666666599</v>
      </c>
      <c r="B549" s="3">
        <f ca="1">IFERROR(__xludf.DUMMYFUNCTION("""COMPUTED_VALUE"""),210.48)</f>
        <v>210.48</v>
      </c>
      <c r="C549" s="3">
        <f ca="1">IFERROR(__xludf.DUMMYFUNCTION("""COMPUTED_VALUE"""),530.16)</f>
        <v>530.16</v>
      </c>
      <c r="D549" s="3">
        <f ca="1">IFERROR(__xludf.DUMMYFUNCTION("""COMPUTED_VALUE"""),135.6)</f>
        <v>135.6</v>
      </c>
      <c r="E549" s="3">
        <f ca="1">IFERROR(__xludf.DUMMYFUNCTION("""COMPUTED_VALUE"""),237.75)</f>
        <v>237.75</v>
      </c>
      <c r="F549" s="3">
        <f ca="1">IFERROR(__xludf.DUMMYFUNCTION("""COMPUTED_VALUE"""),65.23)</f>
        <v>65.23</v>
      </c>
      <c r="G549" s="3">
        <f ca="1">IFERROR(__xludf.DUMMYFUNCTION("""COMPUTED_VALUE"""),32.89)</f>
        <v>32.89</v>
      </c>
      <c r="H549" s="3">
        <f ca="1">IFERROR(__xludf.DUMMYFUNCTION("""COMPUTED_VALUE"""),28.96)</f>
        <v>28.96</v>
      </c>
      <c r="I549" s="3">
        <f ca="1">IFERROR(__xludf.DUMMYFUNCTION("""COMPUTED_VALUE"""),146.7)</f>
        <v>146.69999999999999</v>
      </c>
      <c r="J549" s="3">
        <f ca="1">IFERROR(__xludf.DUMMYFUNCTION("""COMPUTED_VALUE"""),269.01)</f>
        <v>269.01</v>
      </c>
      <c r="K549" s="3">
        <f ca="1">IFERROR(__xludf.DUMMYFUNCTION("""COMPUTED_VALUE"""),138.32)</f>
        <v>138.32</v>
      </c>
      <c r="L549" s="3">
        <f ca="1">IFERROR(__xludf.DUMMYFUNCTION("""COMPUTED_VALUE"""),98.79)</f>
        <v>98.79</v>
      </c>
      <c r="M549" s="3">
        <f ca="1">IFERROR(__xludf.DUMMYFUNCTION("""COMPUTED_VALUE"""),66.68)</f>
        <v>66.680000000000007</v>
      </c>
      <c r="N549" s="3">
        <f ca="1">IFERROR(__xludf.DUMMYFUNCTION("""COMPUTED_VALUE"""),69.38)</f>
        <v>69.38</v>
      </c>
      <c r="O549" s="3">
        <f ca="1">IFERROR(__xludf.DUMMYFUNCTION("""COMPUTED_VALUE"""),47.68)</f>
        <v>47.68</v>
      </c>
      <c r="P549" s="3">
        <f ca="1">IFERROR(__xludf.DUMMYFUNCTION("""COMPUTED_VALUE"""),87.86)</f>
        <v>87.86</v>
      </c>
      <c r="Q549" s="3">
        <f ca="1">IFERROR(__xludf.DUMMYFUNCTION("""COMPUTED_VALUE"""),122.51)</f>
        <v>122.51</v>
      </c>
      <c r="R549" s="3">
        <f ca="1">IFERROR(__xludf.DUMMYFUNCTION("""COMPUTED_VALUE"""),89.87)</f>
        <v>89.87</v>
      </c>
      <c r="S549" s="3">
        <f ca="1">IFERROR(__xludf.DUMMYFUNCTION("""COMPUTED_VALUE"""),58.99)</f>
        <v>58.99</v>
      </c>
      <c r="T549" s="3">
        <f ca="1">IFERROR(__xludf.DUMMYFUNCTION("""COMPUTED_VALUE"""),22.24)</f>
        <v>22.24</v>
      </c>
      <c r="U549" s="3">
        <f ca="1">IFERROR(__xludf.DUMMYFUNCTION("""COMPUTED_VALUE"""),74.23)</f>
        <v>74.23</v>
      </c>
      <c r="V549" s="3">
        <f ca="1">IFERROR(__xludf.DUMMYFUNCTION("""COMPUTED_VALUE"""),44.97)</f>
        <v>44.97</v>
      </c>
      <c r="W549" s="3">
        <f ca="1">IFERROR(__xludf.DUMMYFUNCTION("""COMPUTED_VALUE"""),40.55)</f>
        <v>40.549999999999997</v>
      </c>
      <c r="X549" s="3">
        <f ca="1">IFERROR(__xludf.DUMMYFUNCTION("""COMPUTED_VALUE"""),98.69)</f>
        <v>98.69</v>
      </c>
      <c r="Y549" s="3">
        <f ca="1">IFERROR(__xludf.DUMMYFUNCTION("""COMPUTED_VALUE"""),45.42)</f>
        <v>45.42</v>
      </c>
      <c r="Z549" s="3">
        <f ca="1">IFERROR(__xludf.DUMMYFUNCTION("""COMPUTED_VALUE"""),91.95)</f>
        <v>91.95</v>
      </c>
      <c r="AA549" s="3">
        <f ca="1">IFERROR(__xludf.DUMMYFUNCTION("""COMPUTED_VALUE"""),39.7)</f>
        <v>39.700000000000003</v>
      </c>
      <c r="AB549" s="3">
        <f ca="1">IFERROR(__xludf.DUMMYFUNCTION("""COMPUTED_VALUE"""),49.53)</f>
        <v>49.53</v>
      </c>
      <c r="AC549" s="3">
        <f ca="1">IFERROR(__xludf.DUMMYFUNCTION("""COMPUTED_VALUE"""),64.35)</f>
        <v>64.349999999999994</v>
      </c>
      <c r="AD549" s="3">
        <f ca="1">IFERROR(__xludf.DUMMYFUNCTION("""COMPUTED_VALUE"""),22.01)</f>
        <v>22.01</v>
      </c>
      <c r="AE549" s="3">
        <f ca="1">IFERROR(__xludf.DUMMYFUNCTION("""COMPUTED_VALUE"""),31.11)</f>
        <v>31.11</v>
      </c>
      <c r="AF549" s="3">
        <f ca="1">IFERROR(__xludf.DUMMYFUNCTION("""COMPUTED_VALUE"""),5.09)</f>
        <v>5.09</v>
      </c>
      <c r="AG549" s="3">
        <f ca="1">IFERROR(__xludf.DUMMYFUNCTION("""COMPUTED_VALUE"""),46.49)</f>
        <v>46.49</v>
      </c>
    </row>
    <row r="550" spans="1:33" ht="12.75" x14ac:dyDescent="0.2">
      <c r="A550" s="4">
        <f ca="1">IFERROR(__xludf.DUMMYFUNCTION("""COMPUTED_VALUE"""),45359.6666666666)</f>
        <v>45359.666666666599</v>
      </c>
      <c r="B550" s="3">
        <f ca="1">IFERROR(__xludf.DUMMYFUNCTION("""COMPUTED_VALUE"""),207.35)</f>
        <v>207.35</v>
      </c>
      <c r="C550" s="3">
        <f ca="1">IFERROR(__xludf.DUMMYFUNCTION("""COMPUTED_VALUE"""),521.49)</f>
        <v>521.49</v>
      </c>
      <c r="D550" s="3">
        <f ca="1">IFERROR(__xludf.DUMMYFUNCTION("""COMPUTED_VALUE"""),134.41)</f>
        <v>134.41</v>
      </c>
      <c r="E550" s="3">
        <f ca="1">IFERROR(__xludf.DUMMYFUNCTION("""COMPUTED_VALUE"""),228.13)</f>
        <v>228.13</v>
      </c>
      <c r="F550" s="3">
        <f ca="1">IFERROR(__xludf.DUMMYFUNCTION("""COMPUTED_VALUE"""),64.52)</f>
        <v>64.52</v>
      </c>
      <c r="G550" s="3">
        <f ca="1">IFERROR(__xludf.DUMMYFUNCTION("""COMPUTED_VALUE"""),32.38)</f>
        <v>32.380000000000003</v>
      </c>
      <c r="H550" s="3">
        <f ca="1">IFERROR(__xludf.DUMMYFUNCTION("""COMPUTED_VALUE"""),28.82)</f>
        <v>28.82</v>
      </c>
      <c r="I550" s="3">
        <f ca="1">IFERROR(__xludf.DUMMYFUNCTION("""COMPUTED_VALUE"""),146.43)</f>
        <v>146.43</v>
      </c>
      <c r="J550" s="3">
        <f ca="1">IFERROR(__xludf.DUMMYFUNCTION("""COMPUTED_VALUE"""),268.53)</f>
        <v>268.52999999999997</v>
      </c>
      <c r="K550" s="3">
        <f ca="1">IFERROR(__xludf.DUMMYFUNCTION("""COMPUTED_VALUE"""),138.65)</f>
        <v>138.65</v>
      </c>
      <c r="L550" s="3">
        <f ca="1">IFERROR(__xludf.DUMMYFUNCTION("""COMPUTED_VALUE"""),98.95)</f>
        <v>98.95</v>
      </c>
      <c r="M550" s="3">
        <f ca="1">IFERROR(__xludf.DUMMYFUNCTION("""COMPUTED_VALUE"""),66.88)</f>
        <v>66.88</v>
      </c>
      <c r="N550" s="3">
        <f ca="1">IFERROR(__xludf.DUMMYFUNCTION("""COMPUTED_VALUE"""),69.25)</f>
        <v>69.25</v>
      </c>
      <c r="O550" s="3">
        <f ca="1">IFERROR(__xludf.DUMMYFUNCTION("""COMPUTED_VALUE"""),47.64)</f>
        <v>47.64</v>
      </c>
      <c r="P550" s="3">
        <f ca="1">IFERROR(__xludf.DUMMYFUNCTION("""COMPUTED_VALUE"""),88.17)</f>
        <v>88.17</v>
      </c>
      <c r="Q550" s="3">
        <f ca="1">IFERROR(__xludf.DUMMYFUNCTION("""COMPUTED_VALUE"""),122.91)</f>
        <v>122.91</v>
      </c>
      <c r="R550" s="3">
        <f ca="1">IFERROR(__xludf.DUMMYFUNCTION("""COMPUTED_VALUE"""),89.35)</f>
        <v>89.35</v>
      </c>
      <c r="S550" s="3">
        <f ca="1">IFERROR(__xludf.DUMMYFUNCTION("""COMPUTED_VALUE"""),58.57)</f>
        <v>58.57</v>
      </c>
      <c r="T550" s="3">
        <f ca="1">IFERROR(__xludf.DUMMYFUNCTION("""COMPUTED_VALUE"""),22.17)</f>
        <v>22.17</v>
      </c>
      <c r="U550" s="3">
        <f ca="1">IFERROR(__xludf.DUMMYFUNCTION("""COMPUTED_VALUE"""),73.36)</f>
        <v>73.36</v>
      </c>
      <c r="V550" s="3">
        <f ca="1">IFERROR(__xludf.DUMMYFUNCTION("""COMPUTED_VALUE"""),45.77)</f>
        <v>45.77</v>
      </c>
      <c r="W550" s="3">
        <f ca="1">IFERROR(__xludf.DUMMYFUNCTION("""COMPUTED_VALUE"""),40.62)</f>
        <v>40.619999999999997</v>
      </c>
      <c r="X550" s="3">
        <f ca="1">IFERROR(__xludf.DUMMYFUNCTION("""COMPUTED_VALUE"""),98.92)</f>
        <v>98.92</v>
      </c>
      <c r="Y550" s="3">
        <f ca="1">IFERROR(__xludf.DUMMYFUNCTION("""COMPUTED_VALUE"""),45.4)</f>
        <v>45.4</v>
      </c>
      <c r="Z550" s="3">
        <f ca="1">IFERROR(__xludf.DUMMYFUNCTION("""COMPUTED_VALUE"""),91.97)</f>
        <v>91.97</v>
      </c>
      <c r="AA550" s="3">
        <f ca="1">IFERROR(__xludf.DUMMYFUNCTION("""COMPUTED_VALUE"""),40.17)</f>
        <v>40.17</v>
      </c>
      <c r="AB550" s="3">
        <f ca="1">IFERROR(__xludf.DUMMYFUNCTION("""COMPUTED_VALUE"""),49.57)</f>
        <v>49.57</v>
      </c>
      <c r="AC550" s="3">
        <f ca="1">IFERROR(__xludf.DUMMYFUNCTION("""COMPUTED_VALUE"""),64.68)</f>
        <v>64.680000000000007</v>
      </c>
      <c r="AD550" s="3">
        <f ca="1">IFERROR(__xludf.DUMMYFUNCTION("""COMPUTED_VALUE"""),22.3)</f>
        <v>22.3</v>
      </c>
      <c r="AE550" s="3">
        <f ca="1">IFERROR(__xludf.DUMMYFUNCTION("""COMPUTED_VALUE"""),31.8)</f>
        <v>31.8</v>
      </c>
      <c r="AF550" s="3">
        <f ca="1">IFERROR(__xludf.DUMMYFUNCTION("""COMPUTED_VALUE"""),4.81)</f>
        <v>4.8099999999999996</v>
      </c>
      <c r="AG550" s="3">
        <f ca="1">IFERROR(__xludf.DUMMYFUNCTION("""COMPUTED_VALUE"""),49.64)</f>
        <v>49.64</v>
      </c>
    </row>
    <row r="551" spans="1:33" ht="12.75" x14ac:dyDescent="0.2">
      <c r="A551" s="4">
        <f ca="1">IFERROR(__xludf.DUMMYFUNCTION("""COMPUTED_VALUE"""),45362.6666666666)</f>
        <v>45362.666666666599</v>
      </c>
      <c r="B551" s="3">
        <f ca="1">IFERROR(__xludf.DUMMYFUNCTION("""COMPUTED_VALUE"""),206.78)</f>
        <v>206.78</v>
      </c>
      <c r="C551" s="3">
        <f ca="1">IFERROR(__xludf.DUMMYFUNCTION("""COMPUTED_VALUE"""),519.26)</f>
        <v>519.26</v>
      </c>
      <c r="D551" s="3">
        <f ca="1">IFERROR(__xludf.DUMMYFUNCTION("""COMPUTED_VALUE"""),134.52)</f>
        <v>134.52000000000001</v>
      </c>
      <c r="E551" s="3">
        <f ca="1">IFERROR(__xludf.DUMMYFUNCTION("""COMPUTED_VALUE"""),225.1)</f>
        <v>225.1</v>
      </c>
      <c r="F551" s="3">
        <f ca="1">IFERROR(__xludf.DUMMYFUNCTION("""COMPUTED_VALUE"""),64.58)</f>
        <v>64.58</v>
      </c>
      <c r="G551" s="3">
        <f ca="1">IFERROR(__xludf.DUMMYFUNCTION("""COMPUTED_VALUE"""),31.84)</f>
        <v>31.84</v>
      </c>
      <c r="H551" s="3">
        <f ca="1">IFERROR(__xludf.DUMMYFUNCTION("""COMPUTED_VALUE"""),28.77)</f>
        <v>28.77</v>
      </c>
      <c r="I551" s="3">
        <f ca="1">IFERROR(__xludf.DUMMYFUNCTION("""COMPUTED_VALUE"""),146.35)</f>
        <v>146.35</v>
      </c>
      <c r="J551" s="3">
        <f ca="1">IFERROR(__xludf.DUMMYFUNCTION("""COMPUTED_VALUE"""),267.97)</f>
        <v>267.97000000000003</v>
      </c>
      <c r="K551" s="3">
        <f ca="1">IFERROR(__xludf.DUMMYFUNCTION("""COMPUTED_VALUE"""),138.7)</f>
        <v>138.69999999999999</v>
      </c>
      <c r="L551" s="3">
        <f ca="1">IFERROR(__xludf.DUMMYFUNCTION("""COMPUTED_VALUE"""),96.83)</f>
        <v>96.83</v>
      </c>
      <c r="M551" s="3">
        <f ca="1">IFERROR(__xludf.DUMMYFUNCTION("""COMPUTED_VALUE"""),66.1)</f>
        <v>66.099999999999994</v>
      </c>
      <c r="N551" s="3">
        <f ca="1">IFERROR(__xludf.DUMMYFUNCTION("""COMPUTED_VALUE"""),69.06)</f>
        <v>69.06</v>
      </c>
      <c r="O551" s="3">
        <f ca="1">IFERROR(__xludf.DUMMYFUNCTION("""COMPUTED_VALUE"""),47.36)</f>
        <v>47.36</v>
      </c>
      <c r="P551" s="3">
        <f ca="1">IFERROR(__xludf.DUMMYFUNCTION("""COMPUTED_VALUE"""),89.08)</f>
        <v>89.08</v>
      </c>
      <c r="Q551" s="3">
        <f ca="1">IFERROR(__xludf.DUMMYFUNCTION("""COMPUTED_VALUE"""),124.16)</f>
        <v>124.16</v>
      </c>
      <c r="R551" s="3">
        <f ca="1">IFERROR(__xludf.DUMMYFUNCTION("""COMPUTED_VALUE"""),90.36)</f>
        <v>90.36</v>
      </c>
      <c r="S551" s="3">
        <f ca="1">IFERROR(__xludf.DUMMYFUNCTION("""COMPUTED_VALUE"""),58.06)</f>
        <v>58.06</v>
      </c>
      <c r="T551" s="3">
        <f ca="1">IFERROR(__xludf.DUMMYFUNCTION("""COMPUTED_VALUE"""),22.36)</f>
        <v>22.36</v>
      </c>
      <c r="U551" s="3">
        <f ca="1">IFERROR(__xludf.DUMMYFUNCTION("""COMPUTED_VALUE"""),73.62)</f>
        <v>73.62</v>
      </c>
      <c r="V551" s="3">
        <f ca="1">IFERROR(__xludf.DUMMYFUNCTION("""COMPUTED_VALUE"""),46.38)</f>
        <v>46.38</v>
      </c>
      <c r="W551" s="3">
        <f ca="1">IFERROR(__xludf.DUMMYFUNCTION("""COMPUTED_VALUE"""),40.69)</f>
        <v>40.69</v>
      </c>
      <c r="X551" s="3">
        <f ca="1">IFERROR(__xludf.DUMMYFUNCTION("""COMPUTED_VALUE"""),99.04)</f>
        <v>99.04</v>
      </c>
      <c r="Y551" s="3">
        <f ca="1">IFERROR(__xludf.DUMMYFUNCTION("""COMPUTED_VALUE"""),45.43)</f>
        <v>45.43</v>
      </c>
      <c r="Z551" s="3">
        <f ca="1">IFERROR(__xludf.DUMMYFUNCTION("""COMPUTED_VALUE"""),92.22)</f>
        <v>92.22</v>
      </c>
      <c r="AA551" s="3">
        <f ca="1">IFERROR(__xludf.DUMMYFUNCTION("""COMPUTED_VALUE"""),39.97)</f>
        <v>39.97</v>
      </c>
      <c r="AB551" s="3">
        <f ca="1">IFERROR(__xludf.DUMMYFUNCTION("""COMPUTED_VALUE"""),49.32)</f>
        <v>49.32</v>
      </c>
      <c r="AC551" s="3">
        <f ca="1">IFERROR(__xludf.DUMMYFUNCTION("""COMPUTED_VALUE"""),64.03)</f>
        <v>64.03</v>
      </c>
      <c r="AD551" s="3">
        <f ca="1">IFERROR(__xludf.DUMMYFUNCTION("""COMPUTED_VALUE"""),22.98)</f>
        <v>22.98</v>
      </c>
      <c r="AE551" s="3">
        <f ca="1">IFERROR(__xludf.DUMMYFUNCTION("""COMPUTED_VALUE"""),33.17)</f>
        <v>33.17</v>
      </c>
      <c r="AF551" s="3">
        <f ca="1">IFERROR(__xludf.DUMMYFUNCTION("""COMPUTED_VALUE"""),4.79)</f>
        <v>4.79</v>
      </c>
      <c r="AG551" s="3">
        <f ca="1">IFERROR(__xludf.DUMMYFUNCTION("""COMPUTED_VALUE"""),45.78)</f>
        <v>45.78</v>
      </c>
    </row>
    <row r="552" spans="1:33" ht="12.75" x14ac:dyDescent="0.2">
      <c r="A552" s="4">
        <f ca="1">IFERROR(__xludf.DUMMYFUNCTION("""COMPUTED_VALUE"""),45363.6666666666)</f>
        <v>45363.666666666599</v>
      </c>
      <c r="B552" s="3">
        <f ca="1">IFERROR(__xludf.DUMMYFUNCTION("""COMPUTED_VALUE"""),211.02)</f>
        <v>211.02</v>
      </c>
      <c r="C552" s="3">
        <f ca="1">IFERROR(__xludf.DUMMYFUNCTION("""COMPUTED_VALUE"""),530)</f>
        <v>530</v>
      </c>
      <c r="D552" s="3">
        <f ca="1">IFERROR(__xludf.DUMMYFUNCTION("""COMPUTED_VALUE"""),132.43)</f>
        <v>132.43</v>
      </c>
      <c r="E552" s="3">
        <f ca="1">IFERROR(__xludf.DUMMYFUNCTION("""COMPUTED_VALUE"""),229.77)</f>
        <v>229.77</v>
      </c>
      <c r="F552" s="3">
        <f ca="1">IFERROR(__xludf.DUMMYFUNCTION("""COMPUTED_VALUE"""),64.9)</f>
        <v>64.900000000000006</v>
      </c>
      <c r="G552" s="3">
        <f ca="1">IFERROR(__xludf.DUMMYFUNCTION("""COMPUTED_VALUE"""),32.35)</f>
        <v>32.35</v>
      </c>
      <c r="H552" s="3">
        <f ca="1">IFERROR(__xludf.DUMMYFUNCTION("""COMPUTED_VALUE"""),28.93)</f>
        <v>28.93</v>
      </c>
      <c r="I552" s="3">
        <f ca="1">IFERROR(__xludf.DUMMYFUNCTION("""COMPUTED_VALUE"""),147.03)</f>
        <v>147.03</v>
      </c>
      <c r="J552" s="3">
        <f ca="1">IFERROR(__xludf.DUMMYFUNCTION("""COMPUTED_VALUE"""),269)</f>
        <v>269</v>
      </c>
      <c r="K552" s="3">
        <f ca="1">IFERROR(__xludf.DUMMYFUNCTION("""COMPUTED_VALUE"""),138.04)</f>
        <v>138.04</v>
      </c>
      <c r="L552" s="3">
        <f ca="1">IFERROR(__xludf.DUMMYFUNCTION("""COMPUTED_VALUE"""),96.2)</f>
        <v>96.2</v>
      </c>
      <c r="M552" s="3">
        <f ca="1">IFERROR(__xludf.DUMMYFUNCTION("""COMPUTED_VALUE"""),65.46)</f>
        <v>65.459999999999994</v>
      </c>
      <c r="N552" s="3">
        <f ca="1">IFERROR(__xludf.DUMMYFUNCTION("""COMPUTED_VALUE"""),69.33)</f>
        <v>69.33</v>
      </c>
      <c r="O552" s="3">
        <f ca="1">IFERROR(__xludf.DUMMYFUNCTION("""COMPUTED_VALUE"""),46.48)</f>
        <v>46.48</v>
      </c>
      <c r="P552" s="3">
        <f ca="1">IFERROR(__xludf.DUMMYFUNCTION("""COMPUTED_VALUE"""),88.94)</f>
        <v>88.94</v>
      </c>
      <c r="Q552" s="3">
        <f ca="1">IFERROR(__xludf.DUMMYFUNCTION("""COMPUTED_VALUE"""),123.99)</f>
        <v>123.99</v>
      </c>
      <c r="R552" s="3">
        <f ca="1">IFERROR(__xludf.DUMMYFUNCTION("""COMPUTED_VALUE"""),90.35)</f>
        <v>90.35</v>
      </c>
      <c r="S552" s="3">
        <f ca="1">IFERROR(__xludf.DUMMYFUNCTION("""COMPUTED_VALUE"""),57.05)</f>
        <v>57.05</v>
      </c>
      <c r="T552" s="3">
        <f ca="1">IFERROR(__xludf.DUMMYFUNCTION("""COMPUTED_VALUE"""),22.3)</f>
        <v>22.3</v>
      </c>
      <c r="U552" s="3">
        <f ca="1">IFERROR(__xludf.DUMMYFUNCTION("""COMPUTED_VALUE"""),73.35)</f>
        <v>73.349999999999994</v>
      </c>
      <c r="V552" s="3">
        <f ca="1">IFERROR(__xludf.DUMMYFUNCTION("""COMPUTED_VALUE"""),44.62)</f>
        <v>44.62</v>
      </c>
      <c r="W552" s="3">
        <f ca="1">IFERROR(__xludf.DUMMYFUNCTION("""COMPUTED_VALUE"""),40.86)</f>
        <v>40.86</v>
      </c>
      <c r="X552" s="3">
        <f ca="1">IFERROR(__xludf.DUMMYFUNCTION("""COMPUTED_VALUE"""),99.4)</f>
        <v>99.4</v>
      </c>
      <c r="Y552" s="3">
        <f ca="1">IFERROR(__xludf.DUMMYFUNCTION("""COMPUTED_VALUE"""),45.2)</f>
        <v>45.2</v>
      </c>
      <c r="Z552" s="3">
        <f ca="1">IFERROR(__xludf.DUMMYFUNCTION("""COMPUTED_VALUE"""),92.45)</f>
        <v>92.45</v>
      </c>
      <c r="AA552" s="3">
        <f ca="1">IFERROR(__xludf.DUMMYFUNCTION("""COMPUTED_VALUE"""),39.87)</f>
        <v>39.869999999999997</v>
      </c>
      <c r="AB552" s="3">
        <f ca="1">IFERROR(__xludf.DUMMYFUNCTION("""COMPUTED_VALUE"""),48.83)</f>
        <v>48.83</v>
      </c>
      <c r="AC552" s="3">
        <f ca="1">IFERROR(__xludf.DUMMYFUNCTION("""COMPUTED_VALUE"""),64.04)</f>
        <v>64.040000000000006</v>
      </c>
      <c r="AD552" s="3">
        <f ca="1">IFERROR(__xludf.DUMMYFUNCTION("""COMPUTED_VALUE"""),22.66)</f>
        <v>22.66</v>
      </c>
      <c r="AE552" s="3">
        <f ca="1">IFERROR(__xludf.DUMMYFUNCTION("""COMPUTED_VALUE"""),32.79)</f>
        <v>32.79</v>
      </c>
      <c r="AF552" s="3">
        <f ca="1">IFERROR(__xludf.DUMMYFUNCTION("""COMPUTED_VALUE"""),4.81)</f>
        <v>4.8099999999999996</v>
      </c>
      <c r="AG552" s="3">
        <f ca="1">IFERROR(__xludf.DUMMYFUNCTION("""COMPUTED_VALUE"""),44.96)</f>
        <v>44.96</v>
      </c>
    </row>
    <row r="553" spans="1:33" ht="12.75" x14ac:dyDescent="0.2">
      <c r="A553" s="4">
        <f ca="1">IFERROR(__xludf.DUMMYFUNCTION("""COMPUTED_VALUE"""),45364.6666666666)</f>
        <v>45364.666666666599</v>
      </c>
      <c r="B553" s="3">
        <f ca="1">IFERROR(__xludf.DUMMYFUNCTION("""COMPUTED_VALUE"""),208.74)</f>
        <v>208.74</v>
      </c>
      <c r="C553" s="3">
        <f ca="1">IFERROR(__xludf.DUMMYFUNCTION("""COMPUTED_VALUE"""),524.39)</f>
        <v>524.39</v>
      </c>
      <c r="D553" s="3">
        <f ca="1">IFERROR(__xludf.DUMMYFUNCTION("""COMPUTED_VALUE"""),133.53)</f>
        <v>133.53</v>
      </c>
      <c r="E553" s="3">
        <f ca="1">IFERROR(__xludf.DUMMYFUNCTION("""COMPUTED_VALUE"""),224.17)</f>
        <v>224.17</v>
      </c>
      <c r="F553" s="3">
        <f ca="1">IFERROR(__xludf.DUMMYFUNCTION("""COMPUTED_VALUE"""),64.74)</f>
        <v>64.739999999999995</v>
      </c>
      <c r="G553" s="3">
        <f ca="1">IFERROR(__xludf.DUMMYFUNCTION("""COMPUTED_VALUE"""),32.08)</f>
        <v>32.08</v>
      </c>
      <c r="H553" s="3">
        <f ca="1">IFERROR(__xludf.DUMMYFUNCTION("""COMPUTED_VALUE"""),28.93)</f>
        <v>28.93</v>
      </c>
      <c r="I553" s="3">
        <f ca="1">IFERROR(__xludf.DUMMYFUNCTION("""COMPUTED_VALUE"""),146.46)</f>
        <v>146.46</v>
      </c>
      <c r="J553" s="3">
        <f ca="1">IFERROR(__xludf.DUMMYFUNCTION("""COMPUTED_VALUE"""),268.03)</f>
        <v>268.02999999999997</v>
      </c>
      <c r="K553" s="3">
        <f ca="1">IFERROR(__xludf.DUMMYFUNCTION("""COMPUTED_VALUE"""),138.26)</f>
        <v>138.26</v>
      </c>
      <c r="L553" s="3">
        <f ca="1">IFERROR(__xludf.DUMMYFUNCTION("""COMPUTED_VALUE"""),97.1)</f>
        <v>97.1</v>
      </c>
      <c r="M553" s="3">
        <f ca="1">IFERROR(__xludf.DUMMYFUNCTION("""COMPUTED_VALUE"""),65.41)</f>
        <v>65.41</v>
      </c>
      <c r="N553" s="3">
        <f ca="1">IFERROR(__xludf.DUMMYFUNCTION("""COMPUTED_VALUE"""),69.18)</f>
        <v>69.180000000000007</v>
      </c>
      <c r="O553" s="3">
        <f ca="1">IFERROR(__xludf.DUMMYFUNCTION("""COMPUTED_VALUE"""),47.04)</f>
        <v>47.04</v>
      </c>
      <c r="P553" s="3">
        <f ca="1">IFERROR(__xludf.DUMMYFUNCTION("""COMPUTED_VALUE"""),90.36)</f>
        <v>90.36</v>
      </c>
      <c r="Q553" s="3">
        <f ca="1">IFERROR(__xludf.DUMMYFUNCTION("""COMPUTED_VALUE"""),125.89)</f>
        <v>125.89</v>
      </c>
      <c r="R553" s="3">
        <f ca="1">IFERROR(__xludf.DUMMYFUNCTION("""COMPUTED_VALUE"""),91.24)</f>
        <v>91.24</v>
      </c>
      <c r="S553" s="3">
        <f ca="1">IFERROR(__xludf.DUMMYFUNCTION("""COMPUTED_VALUE"""),57.08)</f>
        <v>57.08</v>
      </c>
      <c r="T553" s="3">
        <f ca="1">IFERROR(__xludf.DUMMYFUNCTION("""COMPUTED_VALUE"""),22.61)</f>
        <v>22.61</v>
      </c>
      <c r="U553" s="3">
        <f ca="1">IFERROR(__xludf.DUMMYFUNCTION("""COMPUTED_VALUE"""),75.09)</f>
        <v>75.09</v>
      </c>
      <c r="V553" s="3">
        <f ca="1">IFERROR(__xludf.DUMMYFUNCTION("""COMPUTED_VALUE"""),43.87)</f>
        <v>43.87</v>
      </c>
      <c r="W553" s="3">
        <f ca="1">IFERROR(__xludf.DUMMYFUNCTION("""COMPUTED_VALUE"""),41.16)</f>
        <v>41.16</v>
      </c>
      <c r="X553" s="3">
        <f ca="1">IFERROR(__xludf.DUMMYFUNCTION("""COMPUTED_VALUE"""),99.91)</f>
        <v>99.91</v>
      </c>
      <c r="Y553" s="3">
        <f ca="1">IFERROR(__xludf.DUMMYFUNCTION("""COMPUTED_VALUE"""),45.3)</f>
        <v>45.3</v>
      </c>
      <c r="Z553" s="3">
        <f ca="1">IFERROR(__xludf.DUMMYFUNCTION("""COMPUTED_VALUE"""),92.94)</f>
        <v>92.94</v>
      </c>
      <c r="AA553" s="3">
        <f ca="1">IFERROR(__xludf.DUMMYFUNCTION("""COMPUTED_VALUE"""),39.62)</f>
        <v>39.619999999999997</v>
      </c>
      <c r="AB553" s="3">
        <f ca="1">IFERROR(__xludf.DUMMYFUNCTION("""COMPUTED_VALUE"""),48.88)</f>
        <v>48.88</v>
      </c>
      <c r="AC553" s="3">
        <f ca="1">IFERROR(__xludf.DUMMYFUNCTION("""COMPUTED_VALUE"""),64.31)</f>
        <v>64.31</v>
      </c>
      <c r="AD553" s="3">
        <f ca="1">IFERROR(__xludf.DUMMYFUNCTION("""COMPUTED_VALUE"""),23.07)</f>
        <v>23.07</v>
      </c>
      <c r="AE553" s="3">
        <f ca="1">IFERROR(__xludf.DUMMYFUNCTION("""COMPUTED_VALUE"""),33.65)</f>
        <v>33.65</v>
      </c>
      <c r="AF553" s="3">
        <f ca="1">IFERROR(__xludf.DUMMYFUNCTION("""COMPUTED_VALUE"""),5.07)</f>
        <v>5.07</v>
      </c>
      <c r="AG553" s="3">
        <f ca="1">IFERROR(__xludf.DUMMYFUNCTION("""COMPUTED_VALUE"""),45.32)</f>
        <v>45.32</v>
      </c>
    </row>
    <row r="554" spans="1:33" ht="12.75" x14ac:dyDescent="0.2">
      <c r="A554" s="4">
        <f ca="1">IFERROR(__xludf.DUMMYFUNCTION("""COMPUTED_VALUE"""),45365.6666666666)</f>
        <v>45365.666666666599</v>
      </c>
      <c r="B554" s="3">
        <f ca="1">IFERROR(__xludf.DUMMYFUNCTION("""COMPUTED_VALUE"""),208.78)</f>
        <v>208.78</v>
      </c>
      <c r="C554" s="3">
        <f ca="1">IFERROR(__xludf.DUMMYFUNCTION("""COMPUTED_VALUE"""),522.42)</f>
        <v>522.41999999999996</v>
      </c>
      <c r="D554" s="3">
        <f ca="1">IFERROR(__xludf.DUMMYFUNCTION("""COMPUTED_VALUE"""),134.14)</f>
        <v>134.13999999999999</v>
      </c>
      <c r="E554" s="3">
        <f ca="1">IFERROR(__xludf.DUMMYFUNCTION("""COMPUTED_VALUE"""),220.34)</f>
        <v>220.34</v>
      </c>
      <c r="F554" s="3">
        <f ca="1">IFERROR(__xludf.DUMMYFUNCTION("""COMPUTED_VALUE"""),63.86)</f>
        <v>63.86</v>
      </c>
      <c r="G554" s="3">
        <f ca="1">IFERROR(__xludf.DUMMYFUNCTION("""COMPUTED_VALUE"""),31.56)</f>
        <v>31.56</v>
      </c>
      <c r="H554" s="3">
        <f ca="1">IFERROR(__xludf.DUMMYFUNCTION("""COMPUTED_VALUE"""),28.52)</f>
        <v>28.52</v>
      </c>
      <c r="I554" s="3">
        <f ca="1">IFERROR(__xludf.DUMMYFUNCTION("""COMPUTED_VALUE"""),145.94)</f>
        <v>145.94</v>
      </c>
      <c r="J554" s="3">
        <f ca="1">IFERROR(__xludf.DUMMYFUNCTION("""COMPUTED_VALUE"""),266.7)</f>
        <v>266.7</v>
      </c>
      <c r="K554" s="3">
        <f ca="1">IFERROR(__xludf.DUMMYFUNCTION("""COMPUTED_VALUE"""),135.71)</f>
        <v>135.71</v>
      </c>
      <c r="L554" s="3">
        <f ca="1">IFERROR(__xludf.DUMMYFUNCTION("""COMPUTED_VALUE"""),94.45)</f>
        <v>94.45</v>
      </c>
      <c r="M554" s="3">
        <f ca="1">IFERROR(__xludf.DUMMYFUNCTION("""COMPUTED_VALUE"""),64.04)</f>
        <v>64.040000000000006</v>
      </c>
      <c r="N554" s="3">
        <f ca="1">IFERROR(__xludf.DUMMYFUNCTION("""COMPUTED_VALUE"""),68.77)</f>
        <v>68.77</v>
      </c>
      <c r="O554" s="3">
        <f ca="1">IFERROR(__xludf.DUMMYFUNCTION("""COMPUTED_VALUE"""),45.48)</f>
        <v>45.48</v>
      </c>
      <c r="P554" s="3">
        <f ca="1">IFERROR(__xludf.DUMMYFUNCTION("""COMPUTED_VALUE"""),91.29)</f>
        <v>91.29</v>
      </c>
      <c r="Q554" s="3">
        <f ca="1">IFERROR(__xludf.DUMMYFUNCTION("""COMPUTED_VALUE"""),127.18)</f>
        <v>127.18</v>
      </c>
      <c r="R554" s="3">
        <f ca="1">IFERROR(__xludf.DUMMYFUNCTION("""COMPUTED_VALUE"""),90.76)</f>
        <v>90.76</v>
      </c>
      <c r="S554" s="3">
        <f ca="1">IFERROR(__xludf.DUMMYFUNCTION("""COMPUTED_VALUE"""),55.99)</f>
        <v>55.99</v>
      </c>
      <c r="T554" s="3">
        <f ca="1">IFERROR(__xludf.DUMMYFUNCTION("""COMPUTED_VALUE"""),22.68)</f>
        <v>22.68</v>
      </c>
      <c r="U554" s="3">
        <f ca="1">IFERROR(__xludf.DUMMYFUNCTION("""COMPUTED_VALUE"""),76.3)</f>
        <v>76.3</v>
      </c>
      <c r="V554" s="3">
        <f ca="1">IFERROR(__xludf.DUMMYFUNCTION("""COMPUTED_VALUE"""),42.69)</f>
        <v>42.69</v>
      </c>
      <c r="W554" s="3">
        <f ca="1">IFERROR(__xludf.DUMMYFUNCTION("""COMPUTED_VALUE"""),40.83)</f>
        <v>40.83</v>
      </c>
      <c r="X554" s="3">
        <f ca="1">IFERROR(__xludf.DUMMYFUNCTION("""COMPUTED_VALUE"""),99.09)</f>
        <v>99.09</v>
      </c>
      <c r="Y554" s="3">
        <f ca="1">IFERROR(__xludf.DUMMYFUNCTION("""COMPUTED_VALUE"""),44.41)</f>
        <v>44.41</v>
      </c>
      <c r="Z554" s="3">
        <f ca="1">IFERROR(__xludf.DUMMYFUNCTION("""COMPUTED_VALUE"""),92.01)</f>
        <v>92.01</v>
      </c>
      <c r="AA554" s="3">
        <f ca="1">IFERROR(__xludf.DUMMYFUNCTION("""COMPUTED_VALUE"""),39.06)</f>
        <v>39.06</v>
      </c>
      <c r="AB554" s="3">
        <f ca="1">IFERROR(__xludf.DUMMYFUNCTION("""COMPUTED_VALUE"""),47.61)</f>
        <v>47.61</v>
      </c>
      <c r="AC554" s="3">
        <f ca="1">IFERROR(__xludf.DUMMYFUNCTION("""COMPUTED_VALUE"""),64.62)</f>
        <v>64.62</v>
      </c>
      <c r="AD554" s="3">
        <f ca="1">IFERROR(__xludf.DUMMYFUNCTION("""COMPUTED_VALUE"""),21.73)</f>
        <v>21.73</v>
      </c>
      <c r="AE554" s="3">
        <f ca="1">IFERROR(__xludf.DUMMYFUNCTION("""COMPUTED_VALUE"""),31.77)</f>
        <v>31.77</v>
      </c>
      <c r="AF554" s="3">
        <f ca="1">IFERROR(__xludf.DUMMYFUNCTION("""COMPUTED_VALUE"""),5.02)</f>
        <v>5.0199999999999996</v>
      </c>
      <c r="AG554" s="3">
        <f ca="1">IFERROR(__xludf.DUMMYFUNCTION("""COMPUTED_VALUE"""),42.44)</f>
        <v>42.44</v>
      </c>
    </row>
    <row r="555" spans="1:33" ht="12.75" x14ac:dyDescent="0.2">
      <c r="A555" s="4">
        <f ca="1">IFERROR(__xludf.DUMMYFUNCTION("""COMPUTED_VALUE"""),45366.6666666666)</f>
        <v>45366.666666666599</v>
      </c>
      <c r="B555" s="3">
        <f ca="1">IFERROR(__xludf.DUMMYFUNCTION("""COMPUTED_VALUE"""),205.63)</f>
        <v>205.63</v>
      </c>
      <c r="C555" s="3">
        <f ca="1">IFERROR(__xludf.DUMMYFUNCTION("""COMPUTED_VALUE"""),515.56)</f>
        <v>515.55999999999995</v>
      </c>
      <c r="D555" s="3">
        <f ca="1">IFERROR(__xludf.DUMMYFUNCTION("""COMPUTED_VALUE"""),135.85)</f>
        <v>135.85</v>
      </c>
      <c r="E555" s="3">
        <f ca="1">IFERROR(__xludf.DUMMYFUNCTION("""COMPUTED_VALUE"""),218.76)</f>
        <v>218.76</v>
      </c>
      <c r="F555" s="3">
        <f ca="1">IFERROR(__xludf.DUMMYFUNCTION("""COMPUTED_VALUE"""),62.86)</f>
        <v>62.86</v>
      </c>
      <c r="G555" s="3">
        <f ca="1">IFERROR(__xludf.DUMMYFUNCTION("""COMPUTED_VALUE"""),31.65)</f>
        <v>31.65</v>
      </c>
      <c r="H555" s="3">
        <f ca="1">IFERROR(__xludf.DUMMYFUNCTION("""COMPUTED_VALUE"""),28.3)</f>
        <v>28.3</v>
      </c>
      <c r="I555" s="3">
        <f ca="1">IFERROR(__xludf.DUMMYFUNCTION("""COMPUTED_VALUE"""),145.36)</f>
        <v>145.36000000000001</v>
      </c>
      <c r="J555" s="3">
        <f ca="1">IFERROR(__xludf.DUMMYFUNCTION("""COMPUTED_VALUE"""),265.84)</f>
        <v>265.83999999999997</v>
      </c>
      <c r="K555" s="3">
        <f ca="1">IFERROR(__xludf.DUMMYFUNCTION("""COMPUTED_VALUE"""),135.92)</f>
        <v>135.91999999999999</v>
      </c>
      <c r="L555" s="3">
        <f ca="1">IFERROR(__xludf.DUMMYFUNCTION("""COMPUTED_VALUE"""),94.71)</f>
        <v>94.71</v>
      </c>
      <c r="M555" s="3">
        <f ca="1">IFERROR(__xludf.DUMMYFUNCTION("""COMPUTED_VALUE"""),64.07)</f>
        <v>64.069999999999993</v>
      </c>
      <c r="N555" s="3">
        <f ca="1">IFERROR(__xludf.DUMMYFUNCTION("""COMPUTED_VALUE"""),68.31)</f>
        <v>68.31</v>
      </c>
      <c r="O555" s="3">
        <f ca="1">IFERROR(__xludf.DUMMYFUNCTION("""COMPUTED_VALUE"""),45.88)</f>
        <v>45.88</v>
      </c>
      <c r="P555" s="3">
        <f ca="1">IFERROR(__xludf.DUMMYFUNCTION("""COMPUTED_VALUE"""),91.56)</f>
        <v>91.56</v>
      </c>
      <c r="Q555" s="3">
        <f ca="1">IFERROR(__xludf.DUMMYFUNCTION("""COMPUTED_VALUE"""),127.59)</f>
        <v>127.59</v>
      </c>
      <c r="R555" s="3">
        <f ca="1">IFERROR(__xludf.DUMMYFUNCTION("""COMPUTED_VALUE"""),90.8)</f>
        <v>90.8</v>
      </c>
      <c r="S555" s="3">
        <f ca="1">IFERROR(__xludf.DUMMYFUNCTION("""COMPUTED_VALUE"""),56.52)</f>
        <v>56.52</v>
      </c>
      <c r="T555" s="3">
        <f ca="1">IFERROR(__xludf.DUMMYFUNCTION("""COMPUTED_VALUE"""),22.76)</f>
        <v>22.76</v>
      </c>
      <c r="U555" s="3">
        <f ca="1">IFERROR(__xludf.DUMMYFUNCTION("""COMPUTED_VALUE"""),76.33)</f>
        <v>76.33</v>
      </c>
      <c r="V555" s="3">
        <f ca="1">IFERROR(__xludf.DUMMYFUNCTION("""COMPUTED_VALUE"""),42.55)</f>
        <v>42.55</v>
      </c>
      <c r="W555" s="3">
        <f ca="1">IFERROR(__xludf.DUMMYFUNCTION("""COMPUTED_VALUE"""),40.79)</f>
        <v>40.79</v>
      </c>
      <c r="X555" s="3">
        <f ca="1">IFERROR(__xludf.DUMMYFUNCTION("""COMPUTED_VALUE"""),99.05)</f>
        <v>99.05</v>
      </c>
      <c r="Y555" s="3">
        <f ca="1">IFERROR(__xludf.DUMMYFUNCTION("""COMPUTED_VALUE"""),44.57)</f>
        <v>44.57</v>
      </c>
      <c r="Z555" s="3">
        <f ca="1">IFERROR(__xludf.DUMMYFUNCTION("""COMPUTED_VALUE"""),92.23)</f>
        <v>92.23</v>
      </c>
      <c r="AA555" s="3">
        <f ca="1">IFERROR(__xludf.DUMMYFUNCTION("""COMPUTED_VALUE"""),39.04)</f>
        <v>39.04</v>
      </c>
      <c r="AB555" s="3">
        <f ca="1">IFERROR(__xludf.DUMMYFUNCTION("""COMPUTED_VALUE"""),47.86)</f>
        <v>47.86</v>
      </c>
      <c r="AC555" s="3">
        <f ca="1">IFERROR(__xludf.DUMMYFUNCTION("""COMPUTED_VALUE"""),65.61)</f>
        <v>65.61</v>
      </c>
      <c r="AD555" s="3">
        <f ca="1">IFERROR(__xludf.DUMMYFUNCTION("""COMPUTED_VALUE"""),21.41)</f>
        <v>21.41</v>
      </c>
      <c r="AE555" s="3">
        <f ca="1">IFERROR(__xludf.DUMMYFUNCTION("""COMPUTED_VALUE"""),31.68)</f>
        <v>31.68</v>
      </c>
      <c r="AF555" s="3">
        <f ca="1">IFERROR(__xludf.DUMMYFUNCTION("""COMPUTED_VALUE"""),5)</f>
        <v>5</v>
      </c>
      <c r="AG555" s="3">
        <f ca="1">IFERROR(__xludf.DUMMYFUNCTION("""COMPUTED_VALUE"""),44.71)</f>
        <v>44.71</v>
      </c>
    </row>
    <row r="556" spans="1:33" ht="12.75" x14ac:dyDescent="0.2">
      <c r="A556" s="4">
        <f ca="1">IFERROR(__xludf.DUMMYFUNCTION("""COMPUTED_VALUE"""),45369.6666666666)</f>
        <v>45369.666666666599</v>
      </c>
      <c r="B556" s="3">
        <f ca="1">IFERROR(__xludf.DUMMYFUNCTION("""COMPUTED_VALUE"""),206.3)</f>
        <v>206.3</v>
      </c>
      <c r="C556" s="3">
        <f ca="1">IFERROR(__xludf.DUMMYFUNCTION("""COMPUTED_VALUE"""),517.98)</f>
        <v>517.98</v>
      </c>
      <c r="D556" s="3">
        <f ca="1">IFERROR(__xludf.DUMMYFUNCTION("""COMPUTED_VALUE"""),136.14)</f>
        <v>136.13999999999999</v>
      </c>
      <c r="E556" s="3">
        <f ca="1">IFERROR(__xludf.DUMMYFUNCTION("""COMPUTED_VALUE"""),218.59)</f>
        <v>218.59</v>
      </c>
      <c r="F556" s="3">
        <f ca="1">IFERROR(__xludf.DUMMYFUNCTION("""COMPUTED_VALUE"""),63.34)</f>
        <v>63.34</v>
      </c>
      <c r="G556" s="3">
        <f ca="1">IFERROR(__xludf.DUMMYFUNCTION("""COMPUTED_VALUE"""),31.87)</f>
        <v>31.87</v>
      </c>
      <c r="H556" s="3">
        <f ca="1">IFERROR(__xludf.DUMMYFUNCTION("""COMPUTED_VALUE"""),28.2)</f>
        <v>28.2</v>
      </c>
      <c r="I556" s="3">
        <f ca="1">IFERROR(__xludf.DUMMYFUNCTION("""COMPUTED_VALUE"""),144.82)</f>
        <v>144.82</v>
      </c>
      <c r="J556" s="3">
        <f ca="1">IFERROR(__xludf.DUMMYFUNCTION("""COMPUTED_VALUE"""),265.63)</f>
        <v>265.63</v>
      </c>
      <c r="K556" s="3">
        <f ca="1">IFERROR(__xludf.DUMMYFUNCTION("""COMPUTED_VALUE"""),135.26)</f>
        <v>135.26</v>
      </c>
      <c r="L556" s="3">
        <f ca="1">IFERROR(__xludf.DUMMYFUNCTION("""COMPUTED_VALUE"""),92.95)</f>
        <v>92.95</v>
      </c>
      <c r="M556" s="3">
        <f ca="1">IFERROR(__xludf.DUMMYFUNCTION("""COMPUTED_VALUE"""),64.02)</f>
        <v>64.02</v>
      </c>
      <c r="N556" s="3">
        <f ca="1">IFERROR(__xludf.DUMMYFUNCTION("""COMPUTED_VALUE"""),68.33)</f>
        <v>68.33</v>
      </c>
      <c r="O556" s="3">
        <f ca="1">IFERROR(__xludf.DUMMYFUNCTION("""COMPUTED_VALUE"""),45.4)</f>
        <v>45.4</v>
      </c>
      <c r="P556" s="3">
        <f ca="1">IFERROR(__xludf.DUMMYFUNCTION("""COMPUTED_VALUE"""),91.14)</f>
        <v>91.14</v>
      </c>
      <c r="Q556" s="3">
        <f ca="1">IFERROR(__xludf.DUMMYFUNCTION("""COMPUTED_VALUE"""),128.01)</f>
        <v>128.01</v>
      </c>
      <c r="R556" s="3">
        <f ca="1">IFERROR(__xludf.DUMMYFUNCTION("""COMPUTED_VALUE"""),90.64)</f>
        <v>90.64</v>
      </c>
      <c r="S556" s="3">
        <f ca="1">IFERROR(__xludf.DUMMYFUNCTION("""COMPUTED_VALUE"""),56.2)</f>
        <v>56.2</v>
      </c>
      <c r="T556" s="3">
        <f ca="1">IFERROR(__xludf.DUMMYFUNCTION("""COMPUTED_VALUE"""),22.97)</f>
        <v>22.97</v>
      </c>
      <c r="U556" s="3">
        <f ca="1">IFERROR(__xludf.DUMMYFUNCTION("""COMPUTED_VALUE"""),77.98)</f>
        <v>77.98</v>
      </c>
      <c r="V556" s="3">
        <f ca="1">IFERROR(__xludf.DUMMYFUNCTION("""COMPUTED_VALUE"""),42.8)</f>
        <v>42.8</v>
      </c>
      <c r="W556" s="3">
        <f ca="1">IFERROR(__xludf.DUMMYFUNCTION("""COMPUTED_VALUE"""),40.87)</f>
        <v>40.869999999999997</v>
      </c>
      <c r="X556" s="3">
        <f ca="1">IFERROR(__xludf.DUMMYFUNCTION("""COMPUTED_VALUE"""),99.34)</f>
        <v>99.34</v>
      </c>
      <c r="Y556" s="3">
        <f ca="1">IFERROR(__xludf.DUMMYFUNCTION("""COMPUTED_VALUE"""),44.14)</f>
        <v>44.14</v>
      </c>
      <c r="Z556" s="3">
        <f ca="1">IFERROR(__xludf.DUMMYFUNCTION("""COMPUTED_VALUE"""),92.43)</f>
        <v>92.43</v>
      </c>
      <c r="AA556" s="3">
        <f ca="1">IFERROR(__xludf.DUMMYFUNCTION("""COMPUTED_VALUE"""),38.77)</f>
        <v>38.770000000000003</v>
      </c>
      <c r="AB556" s="3">
        <f ca="1">IFERROR(__xludf.DUMMYFUNCTION("""COMPUTED_VALUE"""),47.18)</f>
        <v>47.18</v>
      </c>
      <c r="AC556" s="3">
        <f ca="1">IFERROR(__xludf.DUMMYFUNCTION("""COMPUTED_VALUE"""),66.19)</f>
        <v>66.19</v>
      </c>
      <c r="AD556" s="3">
        <f ca="1">IFERROR(__xludf.DUMMYFUNCTION("""COMPUTED_VALUE"""),20.47)</f>
        <v>20.47</v>
      </c>
      <c r="AE556" s="3">
        <f ca="1">IFERROR(__xludf.DUMMYFUNCTION("""COMPUTED_VALUE"""),30.62)</f>
        <v>30.62</v>
      </c>
      <c r="AF556" s="3">
        <f ca="1">IFERROR(__xludf.DUMMYFUNCTION("""COMPUTED_VALUE"""),5.12)</f>
        <v>5.12</v>
      </c>
      <c r="AG556" s="3">
        <f ca="1">IFERROR(__xludf.DUMMYFUNCTION("""COMPUTED_VALUE"""),44.53)</f>
        <v>44.53</v>
      </c>
    </row>
    <row r="557" spans="1:33" ht="12.75" x14ac:dyDescent="0.2">
      <c r="A557" s="4">
        <f ca="1">IFERROR(__xludf.DUMMYFUNCTION("""COMPUTED_VALUE"""),45370.6666666666)</f>
        <v>45370.666666666599</v>
      </c>
      <c r="B557" s="3">
        <f ca="1">IFERROR(__xludf.DUMMYFUNCTION("""COMPUTED_VALUE"""),207.37)</f>
        <v>207.37</v>
      </c>
      <c r="C557" s="3">
        <f ca="1">IFERROR(__xludf.DUMMYFUNCTION("""COMPUTED_VALUE"""),520.17)</f>
        <v>520.16999999999996</v>
      </c>
      <c r="D557" s="3">
        <f ca="1">IFERROR(__xludf.DUMMYFUNCTION("""COMPUTED_VALUE"""),136.59)</f>
        <v>136.59</v>
      </c>
      <c r="E557" s="3">
        <f ca="1">IFERROR(__xludf.DUMMYFUNCTION("""COMPUTED_VALUE"""),216.76)</f>
        <v>216.76</v>
      </c>
      <c r="F557" s="3">
        <f ca="1">IFERROR(__xludf.DUMMYFUNCTION("""COMPUTED_VALUE"""),63.36)</f>
        <v>63.36</v>
      </c>
      <c r="G557" s="3">
        <f ca="1">IFERROR(__xludf.DUMMYFUNCTION("""COMPUTED_VALUE"""),31.89)</f>
        <v>31.89</v>
      </c>
      <c r="H557" s="3">
        <f ca="1">IFERROR(__xludf.DUMMYFUNCTION("""COMPUTED_VALUE"""),28.21)</f>
        <v>28.21</v>
      </c>
      <c r="I557" s="3">
        <f ca="1">IFERROR(__xludf.DUMMYFUNCTION("""COMPUTED_VALUE"""),145.78)</f>
        <v>145.78</v>
      </c>
      <c r="J557" s="3">
        <f ca="1">IFERROR(__xludf.DUMMYFUNCTION("""COMPUTED_VALUE"""),267.57)</f>
        <v>267.57</v>
      </c>
      <c r="K557" s="3">
        <f ca="1">IFERROR(__xludf.DUMMYFUNCTION("""COMPUTED_VALUE"""),136.14)</f>
        <v>136.13999999999999</v>
      </c>
      <c r="L557" s="3">
        <f ca="1">IFERROR(__xludf.DUMMYFUNCTION("""COMPUTED_VALUE"""),93.85)</f>
        <v>93.85</v>
      </c>
      <c r="M557" s="3">
        <f ca="1">IFERROR(__xludf.DUMMYFUNCTION("""COMPUTED_VALUE"""),64.59)</f>
        <v>64.59</v>
      </c>
      <c r="N557" s="3">
        <f ca="1">IFERROR(__xludf.DUMMYFUNCTION("""COMPUTED_VALUE"""),68.82)</f>
        <v>68.819999999999993</v>
      </c>
      <c r="O557" s="3">
        <f ca="1">IFERROR(__xludf.DUMMYFUNCTION("""COMPUTED_VALUE"""),45.56)</f>
        <v>45.56</v>
      </c>
      <c r="P557" s="3">
        <f ca="1">IFERROR(__xludf.DUMMYFUNCTION("""COMPUTED_VALUE"""),92.18)</f>
        <v>92.18</v>
      </c>
      <c r="Q557" s="3">
        <f ca="1">IFERROR(__xludf.DUMMYFUNCTION("""COMPUTED_VALUE"""),129.51)</f>
        <v>129.51</v>
      </c>
      <c r="R557" s="3">
        <f ca="1">IFERROR(__xludf.DUMMYFUNCTION("""COMPUTED_VALUE"""),90.65)</f>
        <v>90.65</v>
      </c>
      <c r="S557" s="3">
        <f ca="1">IFERROR(__xludf.DUMMYFUNCTION("""COMPUTED_VALUE"""),56.41)</f>
        <v>56.41</v>
      </c>
      <c r="T557" s="3">
        <f ca="1">IFERROR(__xludf.DUMMYFUNCTION("""COMPUTED_VALUE"""),22.96)</f>
        <v>22.96</v>
      </c>
      <c r="U557" s="3">
        <f ca="1">IFERROR(__xludf.DUMMYFUNCTION("""COMPUTED_VALUE"""),78.43)</f>
        <v>78.430000000000007</v>
      </c>
      <c r="V557" s="3">
        <f ca="1">IFERROR(__xludf.DUMMYFUNCTION("""COMPUTED_VALUE"""),43.05)</f>
        <v>43.05</v>
      </c>
      <c r="W557" s="3">
        <f ca="1">IFERROR(__xludf.DUMMYFUNCTION("""COMPUTED_VALUE"""),41.07)</f>
        <v>41.07</v>
      </c>
      <c r="X557" s="3">
        <f ca="1">IFERROR(__xludf.DUMMYFUNCTION("""COMPUTED_VALUE"""),99.85)</f>
        <v>99.85</v>
      </c>
      <c r="Y557" s="3">
        <f ca="1">IFERROR(__xludf.DUMMYFUNCTION("""COMPUTED_VALUE"""),44.34)</f>
        <v>44.34</v>
      </c>
      <c r="Z557" s="3">
        <f ca="1">IFERROR(__xludf.DUMMYFUNCTION("""COMPUTED_VALUE"""),92.78)</f>
        <v>92.78</v>
      </c>
      <c r="AA557" s="3">
        <f ca="1">IFERROR(__xludf.DUMMYFUNCTION("""COMPUTED_VALUE"""),38.77)</f>
        <v>38.770000000000003</v>
      </c>
      <c r="AB557" s="3">
        <f ca="1">IFERROR(__xludf.DUMMYFUNCTION("""COMPUTED_VALUE"""),47.34)</f>
        <v>47.34</v>
      </c>
      <c r="AC557" s="3">
        <f ca="1">IFERROR(__xludf.DUMMYFUNCTION("""COMPUTED_VALUE"""),65.22)</f>
        <v>65.22</v>
      </c>
      <c r="AD557" s="3">
        <f ca="1">IFERROR(__xludf.DUMMYFUNCTION("""COMPUTED_VALUE"""),19.65)</f>
        <v>19.649999999999999</v>
      </c>
      <c r="AE557" s="3">
        <f ca="1">IFERROR(__xludf.DUMMYFUNCTION("""COMPUTED_VALUE"""),29.42)</f>
        <v>29.42</v>
      </c>
      <c r="AF557" s="3">
        <f ca="1">IFERROR(__xludf.DUMMYFUNCTION("""COMPUTED_VALUE"""),4.79)</f>
        <v>4.79</v>
      </c>
      <c r="AG557" s="3">
        <f ca="1">IFERROR(__xludf.DUMMYFUNCTION("""COMPUTED_VALUE"""),43.36)</f>
        <v>43.36</v>
      </c>
    </row>
    <row r="558" spans="1:33" ht="12.75" x14ac:dyDescent="0.2">
      <c r="A558" s="4">
        <f ca="1">IFERROR(__xludf.DUMMYFUNCTION("""COMPUTED_VALUE"""),45371.6666666666)</f>
        <v>45371.666666666599</v>
      </c>
      <c r="B558" s="3">
        <f ca="1">IFERROR(__xludf.DUMMYFUNCTION("""COMPUTED_VALUE"""),209.69)</f>
        <v>209.69</v>
      </c>
      <c r="C558" s="3">
        <f ca="1">IFERROR(__xludf.DUMMYFUNCTION("""COMPUTED_VALUE"""),527.22)</f>
        <v>527.22</v>
      </c>
      <c r="D558" s="3">
        <f ca="1">IFERROR(__xludf.DUMMYFUNCTION("""COMPUTED_VALUE"""),135.9)</f>
        <v>135.9</v>
      </c>
      <c r="E558" s="3">
        <f ca="1">IFERROR(__xludf.DUMMYFUNCTION("""COMPUTED_VALUE"""),220.45)</f>
        <v>220.45</v>
      </c>
      <c r="F558" s="3">
        <f ca="1">IFERROR(__xludf.DUMMYFUNCTION("""COMPUTED_VALUE"""),64.17)</f>
        <v>64.17</v>
      </c>
      <c r="G558" s="3">
        <f ca="1">IFERROR(__xludf.DUMMYFUNCTION("""COMPUTED_VALUE"""),32.27)</f>
        <v>32.270000000000003</v>
      </c>
      <c r="H558" s="3">
        <f ca="1">IFERROR(__xludf.DUMMYFUNCTION("""COMPUTED_VALUE"""),28.49)</f>
        <v>28.49</v>
      </c>
      <c r="I558" s="3">
        <f ca="1">IFERROR(__xludf.DUMMYFUNCTION("""COMPUTED_VALUE"""),145.45)</f>
        <v>145.44999999999999</v>
      </c>
      <c r="J558" s="3">
        <f ca="1">IFERROR(__xludf.DUMMYFUNCTION("""COMPUTED_VALUE"""),267.26)</f>
        <v>267.26</v>
      </c>
      <c r="K558" s="3">
        <f ca="1">IFERROR(__xludf.DUMMYFUNCTION("""COMPUTED_VALUE"""),136.49)</f>
        <v>136.49</v>
      </c>
      <c r="L558" s="3">
        <f ca="1">IFERROR(__xludf.DUMMYFUNCTION("""COMPUTED_VALUE"""),95.16)</f>
        <v>95.16</v>
      </c>
      <c r="M558" s="3">
        <f ca="1">IFERROR(__xludf.DUMMYFUNCTION("""COMPUTED_VALUE"""),64.94)</f>
        <v>64.94</v>
      </c>
      <c r="N558" s="3">
        <f ca="1">IFERROR(__xludf.DUMMYFUNCTION("""COMPUTED_VALUE"""),68.76)</f>
        <v>68.760000000000005</v>
      </c>
      <c r="O558" s="3">
        <f ca="1">IFERROR(__xludf.DUMMYFUNCTION("""COMPUTED_VALUE"""),45.8)</f>
        <v>45.8</v>
      </c>
      <c r="P558" s="3">
        <f ca="1">IFERROR(__xludf.DUMMYFUNCTION("""COMPUTED_VALUE"""),92.05)</f>
        <v>92.05</v>
      </c>
      <c r="Q558" s="3">
        <f ca="1">IFERROR(__xludf.DUMMYFUNCTION("""COMPUTED_VALUE"""),129.48)</f>
        <v>129.47999999999999</v>
      </c>
      <c r="R558" s="3">
        <f ca="1">IFERROR(__xludf.DUMMYFUNCTION("""COMPUTED_VALUE"""),91.56)</f>
        <v>91.56</v>
      </c>
      <c r="S558" s="3">
        <f ca="1">IFERROR(__xludf.DUMMYFUNCTION("""COMPUTED_VALUE"""),57.77)</f>
        <v>57.77</v>
      </c>
      <c r="T558" s="3">
        <f ca="1">IFERROR(__xludf.DUMMYFUNCTION("""COMPUTED_VALUE"""),22.9)</f>
        <v>22.9</v>
      </c>
      <c r="U558" s="3">
        <f ca="1">IFERROR(__xludf.DUMMYFUNCTION("""COMPUTED_VALUE"""),77.25)</f>
        <v>77.25</v>
      </c>
      <c r="V558" s="3">
        <f ca="1">IFERROR(__xludf.DUMMYFUNCTION("""COMPUTED_VALUE"""),44.09)</f>
        <v>44.09</v>
      </c>
      <c r="W558" s="3">
        <f ca="1">IFERROR(__xludf.DUMMYFUNCTION("""COMPUTED_VALUE"""),41.56)</f>
        <v>41.56</v>
      </c>
      <c r="X558" s="3">
        <f ca="1">IFERROR(__xludf.DUMMYFUNCTION("""COMPUTED_VALUE"""),101.25)</f>
        <v>101.25</v>
      </c>
      <c r="Y558" s="3">
        <f ca="1">IFERROR(__xludf.DUMMYFUNCTION("""COMPUTED_VALUE"""),45.65)</f>
        <v>45.65</v>
      </c>
      <c r="Z558" s="3">
        <f ca="1">IFERROR(__xludf.DUMMYFUNCTION("""COMPUTED_VALUE"""),94.09)</f>
        <v>94.09</v>
      </c>
      <c r="AA558" s="3">
        <f ca="1">IFERROR(__xludf.DUMMYFUNCTION("""COMPUTED_VALUE"""),38.93)</f>
        <v>38.93</v>
      </c>
      <c r="AB558" s="3">
        <f ca="1">IFERROR(__xludf.DUMMYFUNCTION("""COMPUTED_VALUE"""),48.82)</f>
        <v>48.82</v>
      </c>
      <c r="AC558" s="3">
        <f ca="1">IFERROR(__xludf.DUMMYFUNCTION("""COMPUTED_VALUE"""),65.04)</f>
        <v>65.040000000000006</v>
      </c>
      <c r="AD558" s="3">
        <f ca="1">IFERROR(__xludf.DUMMYFUNCTION("""COMPUTED_VALUE"""),19.92)</f>
        <v>19.920000000000002</v>
      </c>
      <c r="AE558" s="3">
        <f ca="1">IFERROR(__xludf.DUMMYFUNCTION("""COMPUTED_VALUE"""),30.11)</f>
        <v>30.11</v>
      </c>
      <c r="AF558" s="3">
        <f ca="1">IFERROR(__xludf.DUMMYFUNCTION("""COMPUTED_VALUE"""),5.07)</f>
        <v>5.07</v>
      </c>
      <c r="AG558" s="3">
        <f ca="1">IFERROR(__xludf.DUMMYFUNCTION("""COMPUTED_VALUE"""),49.61)</f>
        <v>49.61</v>
      </c>
    </row>
    <row r="559" spans="1:33" ht="12.75" x14ac:dyDescent="0.2">
      <c r="A559" s="4">
        <f ca="1">IFERROR(__xludf.DUMMYFUNCTION("""COMPUTED_VALUE"""),45372.6666666666)</f>
        <v>45372.666666666599</v>
      </c>
      <c r="B559" s="3">
        <f ca="1">IFERROR(__xludf.DUMMYFUNCTION("""COMPUTED_VALUE"""),209.84)</f>
        <v>209.84</v>
      </c>
      <c r="C559" s="3">
        <f ca="1">IFERROR(__xludf.DUMMYFUNCTION("""COMPUTED_VALUE"""),528.7)</f>
        <v>528.70000000000005</v>
      </c>
      <c r="D559" s="3">
        <f ca="1">IFERROR(__xludf.DUMMYFUNCTION("""COMPUTED_VALUE"""),135.21)</f>
        <v>135.21</v>
      </c>
      <c r="E559" s="3">
        <f ca="1">IFERROR(__xludf.DUMMYFUNCTION("""COMPUTED_VALUE"""),225.18)</f>
        <v>225.18</v>
      </c>
      <c r="F559" s="3">
        <f ca="1">IFERROR(__xludf.DUMMYFUNCTION("""COMPUTED_VALUE"""),64.51)</f>
        <v>64.510000000000005</v>
      </c>
      <c r="G559" s="3">
        <f ca="1">IFERROR(__xludf.DUMMYFUNCTION("""COMPUTED_VALUE"""),32.24)</f>
        <v>32.24</v>
      </c>
      <c r="H559" s="3">
        <f ca="1">IFERROR(__xludf.DUMMYFUNCTION("""COMPUTED_VALUE"""),28.75)</f>
        <v>28.75</v>
      </c>
      <c r="I559" s="3">
        <f ca="1">IFERROR(__xludf.DUMMYFUNCTION("""COMPUTED_VALUE"""),145.64)</f>
        <v>145.63999999999999</v>
      </c>
      <c r="J559" s="3">
        <f ca="1">IFERROR(__xludf.DUMMYFUNCTION("""COMPUTED_VALUE"""),267.61)</f>
        <v>267.61</v>
      </c>
      <c r="K559" s="3">
        <f ca="1">IFERROR(__xludf.DUMMYFUNCTION("""COMPUTED_VALUE"""),137.23)</f>
        <v>137.22999999999999</v>
      </c>
      <c r="L559" s="3">
        <f ca="1">IFERROR(__xludf.DUMMYFUNCTION("""COMPUTED_VALUE"""),95.2)</f>
        <v>95.2</v>
      </c>
      <c r="M559" s="3">
        <f ca="1">IFERROR(__xludf.DUMMYFUNCTION("""COMPUTED_VALUE"""),65.18)</f>
        <v>65.180000000000007</v>
      </c>
      <c r="N559" s="3">
        <f ca="1">IFERROR(__xludf.DUMMYFUNCTION("""COMPUTED_VALUE"""),68.78)</f>
        <v>68.78</v>
      </c>
      <c r="O559" s="3">
        <f ca="1">IFERROR(__xludf.DUMMYFUNCTION("""COMPUTED_VALUE"""),45.84)</f>
        <v>45.84</v>
      </c>
      <c r="P559" s="3">
        <f ca="1">IFERROR(__xludf.DUMMYFUNCTION("""COMPUTED_VALUE"""),92.6)</f>
        <v>92.6</v>
      </c>
      <c r="Q559" s="3">
        <f ca="1">IFERROR(__xludf.DUMMYFUNCTION("""COMPUTED_VALUE"""),130.12)</f>
        <v>130.12</v>
      </c>
      <c r="R559" s="3">
        <f ca="1">IFERROR(__xludf.DUMMYFUNCTION("""COMPUTED_VALUE"""),91.94)</f>
        <v>91.94</v>
      </c>
      <c r="S559" s="3">
        <f ca="1">IFERROR(__xludf.DUMMYFUNCTION("""COMPUTED_VALUE"""),58.47)</f>
        <v>58.47</v>
      </c>
      <c r="T559" s="3">
        <f ca="1">IFERROR(__xludf.DUMMYFUNCTION("""COMPUTED_VALUE"""),22.87)</f>
        <v>22.87</v>
      </c>
      <c r="U559" s="3">
        <f ca="1">IFERROR(__xludf.DUMMYFUNCTION("""COMPUTED_VALUE"""),76.82)</f>
        <v>76.819999999999993</v>
      </c>
      <c r="V559" s="3">
        <f ca="1">IFERROR(__xludf.DUMMYFUNCTION("""COMPUTED_VALUE"""),44.39)</f>
        <v>44.39</v>
      </c>
      <c r="W559" s="3">
        <f ca="1">IFERROR(__xludf.DUMMYFUNCTION("""COMPUTED_VALUE"""),41.9)</f>
        <v>41.9</v>
      </c>
      <c r="X559" s="3">
        <f ca="1">IFERROR(__xludf.DUMMYFUNCTION("""COMPUTED_VALUE"""),102.26)</f>
        <v>102.26</v>
      </c>
      <c r="Y559" s="3">
        <f ca="1">IFERROR(__xludf.DUMMYFUNCTION("""COMPUTED_VALUE"""),46.31)</f>
        <v>46.31</v>
      </c>
      <c r="Z559" s="3">
        <f ca="1">IFERROR(__xludf.DUMMYFUNCTION("""COMPUTED_VALUE"""),94.81)</f>
        <v>94.81</v>
      </c>
      <c r="AA559" s="3">
        <f ca="1">IFERROR(__xludf.DUMMYFUNCTION("""COMPUTED_VALUE"""),39.08)</f>
        <v>39.08</v>
      </c>
      <c r="AB559" s="3">
        <f ca="1">IFERROR(__xludf.DUMMYFUNCTION("""COMPUTED_VALUE"""),49.54)</f>
        <v>49.54</v>
      </c>
      <c r="AC559" s="3">
        <f ca="1">IFERROR(__xludf.DUMMYFUNCTION("""COMPUTED_VALUE"""),65.14)</f>
        <v>65.14</v>
      </c>
      <c r="AD559" s="3">
        <f ca="1">IFERROR(__xludf.DUMMYFUNCTION("""COMPUTED_VALUE"""),19.97)</f>
        <v>19.97</v>
      </c>
      <c r="AE559" s="3">
        <f ca="1">IFERROR(__xludf.DUMMYFUNCTION("""COMPUTED_VALUE"""),29.8)</f>
        <v>29.8</v>
      </c>
      <c r="AF559" s="3">
        <f ca="1">IFERROR(__xludf.DUMMYFUNCTION("""COMPUTED_VALUE"""),4.84)</f>
        <v>4.84</v>
      </c>
      <c r="AG559" s="3">
        <f ca="1">IFERROR(__xludf.DUMMYFUNCTION("""COMPUTED_VALUE"""),50.13)</f>
        <v>50.13</v>
      </c>
    </row>
    <row r="560" spans="1:33" ht="12.75" x14ac:dyDescent="0.2">
      <c r="A560" s="4">
        <f ca="1">IFERROR(__xludf.DUMMYFUNCTION("""COMPUTED_VALUE"""),45373.6666666666)</f>
        <v>45373.666666666599</v>
      </c>
      <c r="B560" s="3">
        <f ca="1">IFERROR(__xludf.DUMMYFUNCTION("""COMPUTED_VALUE"""),209.91)</f>
        <v>209.91</v>
      </c>
      <c r="C560" s="3">
        <f ca="1">IFERROR(__xludf.DUMMYFUNCTION("""COMPUTED_VALUE"""),528.28)</f>
        <v>528.28</v>
      </c>
      <c r="D560" s="3">
        <f ca="1">IFERROR(__xludf.DUMMYFUNCTION("""COMPUTED_VALUE"""),135.34)</f>
        <v>135.34</v>
      </c>
      <c r="E560" s="3">
        <f ca="1">IFERROR(__xludf.DUMMYFUNCTION("""COMPUTED_VALUE"""),225.45)</f>
        <v>225.45</v>
      </c>
      <c r="F560" s="3">
        <f ca="1">IFERROR(__xludf.DUMMYFUNCTION("""COMPUTED_VALUE"""),64.24)</f>
        <v>64.239999999999995</v>
      </c>
      <c r="G560" s="3">
        <f ca="1">IFERROR(__xludf.DUMMYFUNCTION("""COMPUTED_VALUE"""),32.14)</f>
        <v>32.14</v>
      </c>
      <c r="H560" s="3">
        <f ca="1">IFERROR(__xludf.DUMMYFUNCTION("""COMPUTED_VALUE"""),28.61)</f>
        <v>28.61</v>
      </c>
      <c r="I560" s="3">
        <f ca="1">IFERROR(__xludf.DUMMYFUNCTION("""COMPUTED_VALUE"""),145.44)</f>
        <v>145.44</v>
      </c>
      <c r="J560" s="3">
        <f ca="1">IFERROR(__xludf.DUMMYFUNCTION("""COMPUTED_VALUE"""),266.16)</f>
        <v>266.16000000000003</v>
      </c>
      <c r="K560" s="3">
        <f ca="1">IFERROR(__xludf.DUMMYFUNCTION("""COMPUTED_VALUE"""),136.25)</f>
        <v>136.25</v>
      </c>
      <c r="L560" s="3">
        <f ca="1">IFERROR(__xludf.DUMMYFUNCTION("""COMPUTED_VALUE"""),93.56)</f>
        <v>93.56</v>
      </c>
      <c r="M560" s="3">
        <f ca="1">IFERROR(__xludf.DUMMYFUNCTION("""COMPUTED_VALUE"""),64.88)</f>
        <v>64.88</v>
      </c>
      <c r="N560" s="3">
        <f ca="1">IFERROR(__xludf.DUMMYFUNCTION("""COMPUTED_VALUE"""),68.67)</f>
        <v>68.67</v>
      </c>
      <c r="O560" s="3">
        <f ca="1">IFERROR(__xludf.DUMMYFUNCTION("""COMPUTED_VALUE"""),45.28)</f>
        <v>45.28</v>
      </c>
      <c r="P560" s="3">
        <f ca="1">IFERROR(__xludf.DUMMYFUNCTION("""COMPUTED_VALUE"""),92.4)</f>
        <v>92.4</v>
      </c>
      <c r="Q560" s="3">
        <f ca="1">IFERROR(__xludf.DUMMYFUNCTION("""COMPUTED_VALUE"""),128.9)</f>
        <v>128.9</v>
      </c>
      <c r="R560" s="3">
        <f ca="1">IFERROR(__xludf.DUMMYFUNCTION("""COMPUTED_VALUE"""),91.37)</f>
        <v>91.37</v>
      </c>
      <c r="S560" s="3">
        <f ca="1">IFERROR(__xludf.DUMMYFUNCTION("""COMPUTED_VALUE"""),57.94)</f>
        <v>57.94</v>
      </c>
      <c r="T560" s="3">
        <f ca="1">IFERROR(__xludf.DUMMYFUNCTION("""COMPUTED_VALUE"""),22.71)</f>
        <v>22.71</v>
      </c>
      <c r="U560" s="3">
        <f ca="1">IFERROR(__xludf.DUMMYFUNCTION("""COMPUTED_VALUE"""),76.68)</f>
        <v>76.680000000000007</v>
      </c>
      <c r="V560" s="3">
        <f ca="1">IFERROR(__xludf.DUMMYFUNCTION("""COMPUTED_VALUE"""),44.03)</f>
        <v>44.03</v>
      </c>
      <c r="W560" s="3">
        <f ca="1">IFERROR(__xludf.DUMMYFUNCTION("""COMPUTED_VALUE"""),41.42)</f>
        <v>41.42</v>
      </c>
      <c r="X560" s="3">
        <f ca="1">IFERROR(__xludf.DUMMYFUNCTION("""COMPUTED_VALUE"""),100.49)</f>
        <v>100.49</v>
      </c>
      <c r="Y560" s="3">
        <f ca="1">IFERROR(__xludf.DUMMYFUNCTION("""COMPUTED_VALUE"""),45.41)</f>
        <v>45.41</v>
      </c>
      <c r="Z560" s="3">
        <f ca="1">IFERROR(__xludf.DUMMYFUNCTION("""COMPUTED_VALUE"""),93.78)</f>
        <v>93.78</v>
      </c>
      <c r="AA560" s="3">
        <f ca="1">IFERROR(__xludf.DUMMYFUNCTION("""COMPUTED_VALUE"""),38.62)</f>
        <v>38.619999999999997</v>
      </c>
      <c r="AB560" s="3">
        <f ca="1">IFERROR(__xludf.DUMMYFUNCTION("""COMPUTED_VALUE"""),48.47)</f>
        <v>48.47</v>
      </c>
      <c r="AC560" s="3">
        <f ca="1">IFERROR(__xludf.DUMMYFUNCTION("""COMPUTED_VALUE"""),65.97)</f>
        <v>65.97</v>
      </c>
      <c r="AD560" s="3">
        <f ca="1">IFERROR(__xludf.DUMMYFUNCTION("""COMPUTED_VALUE"""),19.45)</f>
        <v>19.45</v>
      </c>
      <c r="AE560" s="3">
        <f ca="1">IFERROR(__xludf.DUMMYFUNCTION("""COMPUTED_VALUE"""),29.16)</f>
        <v>29.16</v>
      </c>
      <c r="AF560" s="3">
        <f ca="1">IFERROR(__xludf.DUMMYFUNCTION("""COMPUTED_VALUE"""),4.61)</f>
        <v>4.6100000000000003</v>
      </c>
      <c r="AG560" s="3">
        <f ca="1">IFERROR(__xludf.DUMMYFUNCTION("""COMPUTED_VALUE"""),47.84)</f>
        <v>47.84</v>
      </c>
    </row>
    <row r="561" spans="1:33" ht="12.75" x14ac:dyDescent="0.2">
      <c r="A561" s="4">
        <f ca="1">IFERROR(__xludf.DUMMYFUNCTION("""COMPUTED_VALUE"""),45376.6666666666)</f>
        <v>45376.666666666599</v>
      </c>
      <c r="B561" s="3">
        <f ca="1">IFERROR(__xludf.DUMMYFUNCTION("""COMPUTED_VALUE"""),208.52)</f>
        <v>208.52</v>
      </c>
      <c r="C561" s="3">
        <f ca="1">IFERROR(__xludf.DUMMYFUNCTION("""COMPUTED_VALUE"""),526.15)</f>
        <v>526.15</v>
      </c>
      <c r="D561" s="3">
        <f ca="1">IFERROR(__xludf.DUMMYFUNCTION("""COMPUTED_VALUE"""),135.06)</f>
        <v>135.06</v>
      </c>
      <c r="E561" s="3">
        <f ca="1">IFERROR(__xludf.DUMMYFUNCTION("""COMPUTED_VALUE"""),224.57)</f>
        <v>224.57</v>
      </c>
      <c r="F561" s="3">
        <f ca="1">IFERROR(__xludf.DUMMYFUNCTION("""COMPUTED_VALUE"""),63.86)</f>
        <v>63.86</v>
      </c>
      <c r="G561" s="3">
        <f ca="1">IFERROR(__xludf.DUMMYFUNCTION("""COMPUTED_VALUE"""),31.94)</f>
        <v>31.94</v>
      </c>
      <c r="H561" s="3">
        <f ca="1">IFERROR(__xludf.DUMMYFUNCTION("""COMPUTED_VALUE"""),28.64)</f>
        <v>28.64</v>
      </c>
      <c r="I561" s="3">
        <f ca="1">IFERROR(__xludf.DUMMYFUNCTION("""COMPUTED_VALUE"""),145.24)</f>
        <v>145.24</v>
      </c>
      <c r="J561" s="3">
        <f ca="1">IFERROR(__xludf.DUMMYFUNCTION("""COMPUTED_VALUE"""),265.69)</f>
        <v>265.69</v>
      </c>
      <c r="K561" s="3">
        <f ca="1">IFERROR(__xludf.DUMMYFUNCTION("""COMPUTED_VALUE"""),136.01)</f>
        <v>136.01</v>
      </c>
      <c r="L561" s="3">
        <f ca="1">IFERROR(__xludf.DUMMYFUNCTION("""COMPUTED_VALUE"""),92.67)</f>
        <v>92.67</v>
      </c>
      <c r="M561" s="3">
        <f ca="1">IFERROR(__xludf.DUMMYFUNCTION("""COMPUTED_VALUE"""),64.68)</f>
        <v>64.680000000000007</v>
      </c>
      <c r="N561" s="3">
        <f ca="1">IFERROR(__xludf.DUMMYFUNCTION("""COMPUTED_VALUE"""),68.51)</f>
        <v>68.510000000000005</v>
      </c>
      <c r="O561" s="3">
        <f ca="1">IFERROR(__xludf.DUMMYFUNCTION("""COMPUTED_VALUE"""),45.16)</f>
        <v>45.16</v>
      </c>
      <c r="P561" s="3">
        <f ca="1">IFERROR(__xludf.DUMMYFUNCTION("""COMPUTED_VALUE"""),93.26)</f>
        <v>93.26</v>
      </c>
      <c r="Q561" s="3">
        <f ca="1">IFERROR(__xludf.DUMMYFUNCTION("""COMPUTED_VALUE"""),130)</f>
        <v>130</v>
      </c>
      <c r="R561" s="3">
        <f ca="1">IFERROR(__xludf.DUMMYFUNCTION("""COMPUTED_VALUE"""),91.4)</f>
        <v>91.4</v>
      </c>
      <c r="S561" s="3">
        <f ca="1">IFERROR(__xludf.DUMMYFUNCTION("""COMPUTED_VALUE"""),58.14)</f>
        <v>58.14</v>
      </c>
      <c r="T561" s="3">
        <f ca="1">IFERROR(__xludf.DUMMYFUNCTION("""COMPUTED_VALUE"""),22.9)</f>
        <v>22.9</v>
      </c>
      <c r="U561" s="3">
        <f ca="1">IFERROR(__xludf.DUMMYFUNCTION("""COMPUTED_VALUE"""),77.76)</f>
        <v>77.760000000000005</v>
      </c>
      <c r="V561" s="3">
        <f ca="1">IFERROR(__xludf.DUMMYFUNCTION("""COMPUTED_VALUE"""),43.45)</f>
        <v>43.45</v>
      </c>
      <c r="W561" s="3">
        <f ca="1">IFERROR(__xludf.DUMMYFUNCTION("""COMPUTED_VALUE"""),41.26)</f>
        <v>41.26</v>
      </c>
      <c r="X561" s="3">
        <f ca="1">IFERROR(__xludf.DUMMYFUNCTION("""COMPUTED_VALUE"""),100.49)</f>
        <v>100.49</v>
      </c>
      <c r="Y561" s="3">
        <f ca="1">IFERROR(__xludf.DUMMYFUNCTION("""COMPUTED_VALUE"""),45.51)</f>
        <v>45.51</v>
      </c>
      <c r="Z561" s="3">
        <f ca="1">IFERROR(__xludf.DUMMYFUNCTION("""COMPUTED_VALUE"""),93.79)</f>
        <v>93.79</v>
      </c>
      <c r="AA561" s="3">
        <f ca="1">IFERROR(__xludf.DUMMYFUNCTION("""COMPUTED_VALUE"""),38.47)</f>
        <v>38.47</v>
      </c>
      <c r="AB561" s="3">
        <f ca="1">IFERROR(__xludf.DUMMYFUNCTION("""COMPUTED_VALUE"""),48.54)</f>
        <v>48.54</v>
      </c>
      <c r="AC561" s="3">
        <f ca="1">IFERROR(__xludf.DUMMYFUNCTION("""COMPUTED_VALUE"""),66.3)</f>
        <v>66.3</v>
      </c>
      <c r="AD561" s="3">
        <f ca="1">IFERROR(__xludf.DUMMYFUNCTION("""COMPUTED_VALUE"""),21.42)</f>
        <v>21.42</v>
      </c>
      <c r="AE561" s="3">
        <f ca="1">IFERROR(__xludf.DUMMYFUNCTION("""COMPUTED_VALUE"""),32.48)</f>
        <v>32.479999999999997</v>
      </c>
      <c r="AF561" s="3">
        <f ca="1">IFERROR(__xludf.DUMMYFUNCTION("""COMPUTED_VALUE"""),5.32)</f>
        <v>5.32</v>
      </c>
      <c r="AG561" s="3">
        <f ca="1">IFERROR(__xludf.DUMMYFUNCTION("""COMPUTED_VALUE"""),51.59)</f>
        <v>51.59</v>
      </c>
    </row>
    <row r="562" spans="1:33" ht="12.75" x14ac:dyDescent="0.2">
      <c r="A562" s="4">
        <f ca="1">IFERROR(__xludf.DUMMYFUNCTION("""COMPUTED_VALUE"""),45377.6666666666)</f>
        <v>45377.666666666599</v>
      </c>
      <c r="B562" s="3">
        <f ca="1">IFERROR(__xludf.DUMMYFUNCTION("""COMPUTED_VALUE"""),207.66)</f>
        <v>207.66</v>
      </c>
      <c r="C562" s="3">
        <f ca="1">IFERROR(__xludf.DUMMYFUNCTION("""COMPUTED_VALUE"""),523.84)</f>
        <v>523.84</v>
      </c>
      <c r="D562" s="3">
        <f ca="1">IFERROR(__xludf.DUMMYFUNCTION("""COMPUTED_VALUE"""),135.55)</f>
        <v>135.55000000000001</v>
      </c>
      <c r="E562" s="3">
        <f ca="1">IFERROR(__xludf.DUMMYFUNCTION("""COMPUTED_VALUE"""),222.88)</f>
        <v>222.88</v>
      </c>
      <c r="F562" s="3">
        <f ca="1">IFERROR(__xludf.DUMMYFUNCTION("""COMPUTED_VALUE"""),63.86)</f>
        <v>63.86</v>
      </c>
      <c r="G562" s="3">
        <f ca="1">IFERROR(__xludf.DUMMYFUNCTION("""COMPUTED_VALUE"""),31.92)</f>
        <v>31.92</v>
      </c>
      <c r="H562" s="3">
        <f ca="1">IFERROR(__xludf.DUMMYFUNCTION("""COMPUTED_VALUE"""),28.67)</f>
        <v>28.67</v>
      </c>
      <c r="I562" s="3">
        <f ca="1">IFERROR(__xludf.DUMMYFUNCTION("""COMPUTED_VALUE"""),145.77)</f>
        <v>145.77000000000001</v>
      </c>
      <c r="J562" s="3">
        <f ca="1">IFERROR(__xludf.DUMMYFUNCTION("""COMPUTED_VALUE"""),266.9)</f>
        <v>266.89999999999998</v>
      </c>
      <c r="K562" s="3">
        <f ca="1">IFERROR(__xludf.DUMMYFUNCTION("""COMPUTED_VALUE"""),135.87)</f>
        <v>135.87</v>
      </c>
      <c r="L562" s="3">
        <f ca="1">IFERROR(__xludf.DUMMYFUNCTION("""COMPUTED_VALUE"""),92.69)</f>
        <v>92.69</v>
      </c>
      <c r="M562" s="3">
        <f ca="1">IFERROR(__xludf.DUMMYFUNCTION("""COMPUTED_VALUE"""),64.51)</f>
        <v>64.510000000000005</v>
      </c>
      <c r="N562" s="3">
        <f ca="1">IFERROR(__xludf.DUMMYFUNCTION("""COMPUTED_VALUE"""),68.76)</f>
        <v>68.760000000000005</v>
      </c>
      <c r="O562" s="3">
        <f ca="1">IFERROR(__xludf.DUMMYFUNCTION("""COMPUTED_VALUE"""),44.8)</f>
        <v>44.8</v>
      </c>
      <c r="P562" s="3">
        <f ca="1">IFERROR(__xludf.DUMMYFUNCTION("""COMPUTED_VALUE"""),92.54)</f>
        <v>92.54</v>
      </c>
      <c r="Q562" s="3">
        <f ca="1">IFERROR(__xludf.DUMMYFUNCTION("""COMPUTED_VALUE"""),129.02)</f>
        <v>129.02000000000001</v>
      </c>
      <c r="R562" s="3">
        <f ca="1">IFERROR(__xludf.DUMMYFUNCTION("""COMPUTED_VALUE"""),91.33)</f>
        <v>91.33</v>
      </c>
      <c r="S562" s="3">
        <f ca="1">IFERROR(__xludf.DUMMYFUNCTION("""COMPUTED_VALUE"""),57.7)</f>
        <v>57.7</v>
      </c>
      <c r="T562" s="3">
        <f ca="1">IFERROR(__xludf.DUMMYFUNCTION("""COMPUTED_VALUE"""),22.72)</f>
        <v>22.72</v>
      </c>
      <c r="U562" s="3">
        <f ca="1">IFERROR(__xludf.DUMMYFUNCTION("""COMPUTED_VALUE"""),77.29)</f>
        <v>77.290000000000006</v>
      </c>
      <c r="V562" s="3">
        <f ca="1">IFERROR(__xludf.DUMMYFUNCTION("""COMPUTED_VALUE"""),43.02)</f>
        <v>43.02</v>
      </c>
      <c r="W562" s="3">
        <f ca="1">IFERROR(__xludf.DUMMYFUNCTION("""COMPUTED_VALUE"""),41.4)</f>
        <v>41.4</v>
      </c>
      <c r="X562" s="3">
        <f ca="1">IFERROR(__xludf.DUMMYFUNCTION("""COMPUTED_VALUE"""),100.58)</f>
        <v>100.58</v>
      </c>
      <c r="Y562" s="3">
        <f ca="1">IFERROR(__xludf.DUMMYFUNCTION("""COMPUTED_VALUE"""),45.39)</f>
        <v>45.39</v>
      </c>
      <c r="Z562" s="3">
        <f ca="1">IFERROR(__xludf.DUMMYFUNCTION("""COMPUTED_VALUE"""),93.93)</f>
        <v>93.93</v>
      </c>
      <c r="AA562" s="3">
        <f ca="1">IFERROR(__xludf.DUMMYFUNCTION("""COMPUTED_VALUE"""),38.31)</f>
        <v>38.31</v>
      </c>
      <c r="AB562" s="3">
        <f ca="1">IFERROR(__xludf.DUMMYFUNCTION("""COMPUTED_VALUE"""),48.24)</f>
        <v>48.24</v>
      </c>
      <c r="AC562" s="3">
        <f ca="1">IFERROR(__xludf.DUMMYFUNCTION("""COMPUTED_VALUE"""),65.89)</f>
        <v>65.89</v>
      </c>
      <c r="AD562" s="3">
        <f ca="1">IFERROR(__xludf.DUMMYFUNCTION("""COMPUTED_VALUE"""),20.94)</f>
        <v>20.94</v>
      </c>
      <c r="AE562" s="3">
        <f ca="1">IFERROR(__xludf.DUMMYFUNCTION("""COMPUTED_VALUE"""),31.71)</f>
        <v>31.71</v>
      </c>
      <c r="AF562" s="3">
        <f ca="1">IFERROR(__xludf.DUMMYFUNCTION("""COMPUTED_VALUE"""),5.41)</f>
        <v>5.41</v>
      </c>
      <c r="AG562" s="3">
        <f ca="1">IFERROR(__xludf.DUMMYFUNCTION("""COMPUTED_VALUE"""),50.68)</f>
        <v>50.68</v>
      </c>
    </row>
    <row r="563" spans="1:33" ht="12.75" x14ac:dyDescent="0.2">
      <c r="A563" s="4">
        <f ca="1">IFERROR(__xludf.DUMMYFUNCTION("""COMPUTED_VALUE"""),45378.6666666666)</f>
        <v>45378.666666666599</v>
      </c>
      <c r="B563" s="3">
        <f ca="1">IFERROR(__xludf.DUMMYFUNCTION("""COMPUTED_VALUE"""),208.72)</f>
        <v>208.72</v>
      </c>
      <c r="C563" s="3">
        <f ca="1">IFERROR(__xludf.DUMMYFUNCTION("""COMPUTED_VALUE"""),525.08)</f>
        <v>525.08000000000004</v>
      </c>
      <c r="D563" s="3">
        <f ca="1">IFERROR(__xludf.DUMMYFUNCTION("""COMPUTED_VALUE"""),134.49)</f>
        <v>134.49</v>
      </c>
      <c r="E563" s="3">
        <f ca="1">IFERROR(__xludf.DUMMYFUNCTION("""COMPUTED_VALUE"""),225.68)</f>
        <v>225.68</v>
      </c>
      <c r="F563" s="3">
        <f ca="1">IFERROR(__xludf.DUMMYFUNCTION("""COMPUTED_VALUE"""),63.76)</f>
        <v>63.76</v>
      </c>
      <c r="G563" s="3">
        <f ca="1">IFERROR(__xludf.DUMMYFUNCTION("""COMPUTED_VALUE"""),31.82)</f>
        <v>31.82</v>
      </c>
      <c r="H563" s="3">
        <f ca="1">IFERROR(__xludf.DUMMYFUNCTION("""COMPUTED_VALUE"""),28.92)</f>
        <v>28.92</v>
      </c>
      <c r="I563" s="3">
        <f ca="1">IFERROR(__xludf.DUMMYFUNCTION("""COMPUTED_VALUE"""),147.71)</f>
        <v>147.71</v>
      </c>
      <c r="J563" s="3">
        <f ca="1">IFERROR(__xludf.DUMMYFUNCTION("""COMPUTED_VALUE"""),270.54)</f>
        <v>270.54000000000002</v>
      </c>
      <c r="K563" s="3">
        <f ca="1">IFERROR(__xludf.DUMMYFUNCTION("""COMPUTED_VALUE"""),137.79)</f>
        <v>137.79</v>
      </c>
      <c r="L563" s="3">
        <f ca="1">IFERROR(__xludf.DUMMYFUNCTION("""COMPUTED_VALUE"""),94.91)</f>
        <v>94.91</v>
      </c>
      <c r="M563" s="3">
        <f ca="1">IFERROR(__xludf.DUMMYFUNCTION("""COMPUTED_VALUE"""),65.14)</f>
        <v>65.14</v>
      </c>
      <c r="N563" s="3">
        <f ca="1">IFERROR(__xludf.DUMMYFUNCTION("""COMPUTED_VALUE"""),69.71)</f>
        <v>69.709999999999994</v>
      </c>
      <c r="O563" s="3">
        <f ca="1">IFERROR(__xludf.DUMMYFUNCTION("""COMPUTED_VALUE"""),45.72)</f>
        <v>45.72</v>
      </c>
      <c r="P563" s="3">
        <f ca="1">IFERROR(__xludf.DUMMYFUNCTION("""COMPUTED_VALUE"""),93.4)</f>
        <v>93.4</v>
      </c>
      <c r="Q563" s="3">
        <f ca="1">IFERROR(__xludf.DUMMYFUNCTION("""COMPUTED_VALUE"""),130.28)</f>
        <v>130.28</v>
      </c>
      <c r="R563" s="3">
        <f ca="1">IFERROR(__xludf.DUMMYFUNCTION("""COMPUTED_VALUE"""),92.64)</f>
        <v>92.64</v>
      </c>
      <c r="S563" s="3">
        <f ca="1">IFERROR(__xludf.DUMMYFUNCTION("""COMPUTED_VALUE"""),59.56)</f>
        <v>59.56</v>
      </c>
      <c r="T563" s="3">
        <f ca="1">IFERROR(__xludf.DUMMYFUNCTION("""COMPUTED_VALUE"""),22.7)</f>
        <v>22.7</v>
      </c>
      <c r="U563" s="3">
        <f ca="1">IFERROR(__xludf.DUMMYFUNCTION("""COMPUTED_VALUE"""),77.51)</f>
        <v>77.510000000000005</v>
      </c>
      <c r="V563" s="3">
        <f ca="1">IFERROR(__xludf.DUMMYFUNCTION("""COMPUTED_VALUE"""),45.39)</f>
        <v>45.39</v>
      </c>
      <c r="W563" s="3">
        <f ca="1">IFERROR(__xludf.DUMMYFUNCTION("""COMPUTED_VALUE"""),41.89)</f>
        <v>41.89</v>
      </c>
      <c r="X563" s="3">
        <f ca="1">IFERROR(__xludf.DUMMYFUNCTION("""COMPUTED_VALUE"""),101.93)</f>
        <v>101.93</v>
      </c>
      <c r="Y563" s="3">
        <f ca="1">IFERROR(__xludf.DUMMYFUNCTION("""COMPUTED_VALUE"""),46.85)</f>
        <v>46.85</v>
      </c>
      <c r="Z563" s="3">
        <f ca="1">IFERROR(__xludf.DUMMYFUNCTION("""COMPUTED_VALUE"""),95.2)</f>
        <v>95.2</v>
      </c>
      <c r="AA563" s="3">
        <f ca="1">IFERROR(__xludf.DUMMYFUNCTION("""COMPUTED_VALUE"""),39.28)</f>
        <v>39.28</v>
      </c>
      <c r="AB563" s="3">
        <f ca="1">IFERROR(__xludf.DUMMYFUNCTION("""COMPUTED_VALUE"""),50.02)</f>
        <v>50.02</v>
      </c>
      <c r="AC563" s="3">
        <f ca="1">IFERROR(__xludf.DUMMYFUNCTION("""COMPUTED_VALUE"""),65.53)</f>
        <v>65.53</v>
      </c>
      <c r="AD563" s="3">
        <f ca="1">IFERROR(__xludf.DUMMYFUNCTION("""COMPUTED_VALUE"""),20.57)</f>
        <v>20.57</v>
      </c>
      <c r="AE563" s="3">
        <f ca="1">IFERROR(__xludf.DUMMYFUNCTION("""COMPUTED_VALUE"""),31.26)</f>
        <v>31.26</v>
      </c>
      <c r="AF563" s="3">
        <f ca="1">IFERROR(__xludf.DUMMYFUNCTION("""COMPUTED_VALUE"""),5.36)</f>
        <v>5.36</v>
      </c>
      <c r="AG563" s="3">
        <f ca="1">IFERROR(__xludf.DUMMYFUNCTION("""COMPUTED_VALUE"""),50.63)</f>
        <v>50.63</v>
      </c>
    </row>
    <row r="564" spans="1:33" ht="12.75" x14ac:dyDescent="0.2">
      <c r="A564" s="4">
        <f ca="1">IFERROR(__xludf.DUMMYFUNCTION("""COMPUTED_VALUE"""),45379.6666666666)</f>
        <v>45379.666666666599</v>
      </c>
      <c r="B564" s="3">
        <f ca="1">IFERROR(__xludf.DUMMYFUNCTION("""COMPUTED_VALUE"""),208.27)</f>
        <v>208.27</v>
      </c>
      <c r="C564" s="3">
        <f ca="1">IFERROR(__xludf.DUMMYFUNCTION("""COMPUTED_VALUE"""),524.34)</f>
        <v>524.34</v>
      </c>
      <c r="D564" s="3">
        <f ca="1">IFERROR(__xludf.DUMMYFUNCTION("""COMPUTED_VALUE"""),134.77)</f>
        <v>134.77000000000001</v>
      </c>
      <c r="E564" s="3">
        <f ca="1">IFERROR(__xludf.DUMMYFUNCTION("""COMPUTED_VALUE"""),225.92)</f>
        <v>225.92</v>
      </c>
      <c r="F564" s="3">
        <f ca="1">IFERROR(__xludf.DUMMYFUNCTION("""COMPUTED_VALUE"""),64.11)</f>
        <v>64.11</v>
      </c>
      <c r="G564" s="3">
        <f ca="1">IFERROR(__xludf.DUMMYFUNCTION("""COMPUTED_VALUE"""),31.81)</f>
        <v>31.81</v>
      </c>
      <c r="H564" s="3">
        <f ca="1">IFERROR(__xludf.DUMMYFUNCTION("""COMPUTED_VALUE"""),28.91)</f>
        <v>28.91</v>
      </c>
      <c r="I564" s="3">
        <f ca="1">IFERROR(__xludf.DUMMYFUNCTION("""COMPUTED_VALUE"""),147.73)</f>
        <v>147.72999999999999</v>
      </c>
      <c r="J564" s="3">
        <f ca="1">IFERROR(__xludf.DUMMYFUNCTION("""COMPUTED_VALUE"""),270.52)</f>
        <v>270.52</v>
      </c>
      <c r="K564" s="3">
        <f ca="1">IFERROR(__xludf.DUMMYFUNCTION("""COMPUTED_VALUE"""),137.22)</f>
        <v>137.22</v>
      </c>
      <c r="L564" s="3">
        <f ca="1">IFERROR(__xludf.DUMMYFUNCTION("""COMPUTED_VALUE"""),94.89)</f>
        <v>94.89</v>
      </c>
      <c r="M564" s="3">
        <f ca="1">IFERROR(__xludf.DUMMYFUNCTION("""COMPUTED_VALUE"""),64.72)</f>
        <v>64.72</v>
      </c>
      <c r="N564" s="3">
        <f ca="1">IFERROR(__xludf.DUMMYFUNCTION("""COMPUTED_VALUE"""),69.77)</f>
        <v>69.77</v>
      </c>
      <c r="O564" s="3">
        <f ca="1">IFERROR(__xludf.DUMMYFUNCTION("""COMPUTED_VALUE"""),45.52)</f>
        <v>45.52</v>
      </c>
      <c r="P564" s="3">
        <f ca="1">IFERROR(__xludf.DUMMYFUNCTION("""COMPUTED_VALUE"""),94.41)</f>
        <v>94.41</v>
      </c>
      <c r="Q564" s="3">
        <f ca="1">IFERROR(__xludf.DUMMYFUNCTION("""COMPUTED_VALUE"""),131.7)</f>
        <v>131.69999999999999</v>
      </c>
      <c r="R564" s="3">
        <f ca="1">IFERROR(__xludf.DUMMYFUNCTION("""COMPUTED_VALUE"""),92.89)</f>
        <v>92.89</v>
      </c>
      <c r="S564" s="3">
        <f ca="1">IFERROR(__xludf.DUMMYFUNCTION("""COMPUTED_VALUE"""),60.28)</f>
        <v>60.28</v>
      </c>
      <c r="T564" s="3">
        <f ca="1">IFERROR(__xludf.DUMMYFUNCTION("""COMPUTED_VALUE"""),22.97)</f>
        <v>22.97</v>
      </c>
      <c r="U564" s="3">
        <f ca="1">IFERROR(__xludf.DUMMYFUNCTION("""COMPUTED_VALUE"""),78.73)</f>
        <v>78.73</v>
      </c>
      <c r="V564" s="3">
        <f ca="1">IFERROR(__xludf.DUMMYFUNCTION("""COMPUTED_VALUE"""),45.37)</f>
        <v>45.37</v>
      </c>
      <c r="W564" s="3">
        <f ca="1">IFERROR(__xludf.DUMMYFUNCTION("""COMPUTED_VALUE"""),42.12)</f>
        <v>42.12</v>
      </c>
      <c r="X564" s="3">
        <f ca="1">IFERROR(__xludf.DUMMYFUNCTION("""COMPUTED_VALUE"""),102.39)</f>
        <v>102.39</v>
      </c>
      <c r="Y564" s="3">
        <f ca="1">IFERROR(__xludf.DUMMYFUNCTION("""COMPUTED_VALUE"""),47.1)</f>
        <v>47.1</v>
      </c>
      <c r="Z564" s="3">
        <f ca="1">IFERROR(__xludf.DUMMYFUNCTION("""COMPUTED_VALUE"""),95.65)</f>
        <v>95.65</v>
      </c>
      <c r="AA564" s="3">
        <f ca="1">IFERROR(__xludf.DUMMYFUNCTION("""COMPUTED_VALUE"""),39.53)</f>
        <v>39.53</v>
      </c>
      <c r="AB564" s="3">
        <f ca="1">IFERROR(__xludf.DUMMYFUNCTION("""COMPUTED_VALUE"""),50.28)</f>
        <v>50.28</v>
      </c>
      <c r="AC564" s="3">
        <f ca="1">IFERROR(__xludf.DUMMYFUNCTION("""COMPUTED_VALUE"""),65.52)</f>
        <v>65.52</v>
      </c>
      <c r="AD564" s="3">
        <f ca="1">IFERROR(__xludf.DUMMYFUNCTION("""COMPUTED_VALUE"""),21.16)</f>
        <v>21.16</v>
      </c>
      <c r="AE564" s="3">
        <f ca="1">IFERROR(__xludf.DUMMYFUNCTION("""COMPUTED_VALUE"""),32.3)</f>
        <v>32.299999999999997</v>
      </c>
      <c r="AF564" s="3">
        <f ca="1">IFERROR(__xludf.DUMMYFUNCTION("""COMPUTED_VALUE"""),5.63)</f>
        <v>5.63</v>
      </c>
      <c r="AG564" s="3">
        <f ca="1">IFERROR(__xludf.DUMMYFUNCTION("""COMPUTED_VALUE"""),50.98)</f>
        <v>50.98</v>
      </c>
    </row>
    <row r="565" spans="1:33" ht="12.75" x14ac:dyDescent="0.2">
      <c r="A565" s="4">
        <f ca="1">IFERROR(__xludf.DUMMYFUNCTION("""COMPUTED_VALUE"""),45383.6666666666)</f>
        <v>45383.666666666599</v>
      </c>
      <c r="B565" s="3">
        <f ca="1">IFERROR(__xludf.DUMMYFUNCTION("""COMPUTED_VALUE"""),208.85)</f>
        <v>208.85</v>
      </c>
      <c r="C565" s="3">
        <f ca="1">IFERROR(__xludf.DUMMYFUNCTION("""COMPUTED_VALUE"""),525.42)</f>
        <v>525.41999999999996</v>
      </c>
      <c r="D565" s="3">
        <f ca="1">IFERROR(__xludf.DUMMYFUNCTION("""COMPUTED_VALUE"""),132.51)</f>
        <v>132.51</v>
      </c>
      <c r="E565" s="3">
        <f ca="1">IFERROR(__xludf.DUMMYFUNCTION("""COMPUTED_VALUE"""),228.3)</f>
        <v>228.3</v>
      </c>
      <c r="F565" s="3">
        <f ca="1">IFERROR(__xludf.DUMMYFUNCTION("""COMPUTED_VALUE"""),64.23)</f>
        <v>64.23</v>
      </c>
      <c r="G565" s="3">
        <f ca="1">IFERROR(__xludf.DUMMYFUNCTION("""COMPUTED_VALUE"""),31.63)</f>
        <v>31.63</v>
      </c>
      <c r="H565" s="3">
        <f ca="1">IFERROR(__xludf.DUMMYFUNCTION("""COMPUTED_VALUE"""),28.84)</f>
        <v>28.84</v>
      </c>
      <c r="I565" s="3">
        <f ca="1">IFERROR(__xludf.DUMMYFUNCTION("""COMPUTED_VALUE"""),146.47)</f>
        <v>146.47</v>
      </c>
      <c r="J565" s="3">
        <f ca="1">IFERROR(__xludf.DUMMYFUNCTION("""COMPUTED_VALUE"""),268.18)</f>
        <v>268.18</v>
      </c>
      <c r="K565" s="3">
        <f ca="1">IFERROR(__xludf.DUMMYFUNCTION("""COMPUTED_VALUE"""),136.81)</f>
        <v>136.81</v>
      </c>
      <c r="L565" s="3">
        <f ca="1">IFERROR(__xludf.DUMMYFUNCTION("""COMPUTED_VALUE"""),93.85)</f>
        <v>93.85</v>
      </c>
      <c r="M565" s="3">
        <f ca="1">IFERROR(__xludf.DUMMYFUNCTION("""COMPUTED_VALUE"""),64.42)</f>
        <v>64.42</v>
      </c>
      <c r="N565" s="3">
        <f ca="1">IFERROR(__xludf.DUMMYFUNCTION("""COMPUTED_VALUE"""),69.13)</f>
        <v>69.13</v>
      </c>
      <c r="O565" s="3">
        <f ca="1">IFERROR(__xludf.DUMMYFUNCTION("""COMPUTED_VALUE"""),45.44)</f>
        <v>45.44</v>
      </c>
      <c r="P565" s="3">
        <f ca="1">IFERROR(__xludf.DUMMYFUNCTION("""COMPUTED_VALUE"""),95.11)</f>
        <v>95.11</v>
      </c>
      <c r="Q565" s="3">
        <f ca="1">IFERROR(__xludf.DUMMYFUNCTION("""COMPUTED_VALUE"""),132.57)</f>
        <v>132.57</v>
      </c>
      <c r="R565" s="3">
        <f ca="1">IFERROR(__xludf.DUMMYFUNCTION("""COMPUTED_VALUE"""),92.67)</f>
        <v>92.67</v>
      </c>
      <c r="S565" s="3">
        <f ca="1">IFERROR(__xludf.DUMMYFUNCTION("""COMPUTED_VALUE"""),60.83)</f>
        <v>60.83</v>
      </c>
      <c r="T565" s="3">
        <f ca="1">IFERROR(__xludf.DUMMYFUNCTION("""COMPUTED_VALUE"""),23.08)</f>
        <v>23.08</v>
      </c>
      <c r="U565" s="3">
        <f ca="1">IFERROR(__xludf.DUMMYFUNCTION("""COMPUTED_VALUE"""),79.67)</f>
        <v>79.67</v>
      </c>
      <c r="V565" s="3">
        <f ca="1">IFERROR(__xludf.DUMMYFUNCTION("""COMPUTED_VALUE"""),45.07)</f>
        <v>45.07</v>
      </c>
      <c r="W565" s="3">
        <f ca="1">IFERROR(__xludf.DUMMYFUNCTION("""COMPUTED_VALUE"""),41.89)</f>
        <v>41.89</v>
      </c>
      <c r="X565" s="3">
        <f ca="1">IFERROR(__xludf.DUMMYFUNCTION("""COMPUTED_VALUE"""),101.53)</f>
        <v>101.53</v>
      </c>
      <c r="Y565" s="3">
        <f ca="1">IFERROR(__xludf.DUMMYFUNCTION("""COMPUTED_VALUE"""),46.27)</f>
        <v>46.27</v>
      </c>
      <c r="Z565" s="3">
        <f ca="1">IFERROR(__xludf.DUMMYFUNCTION("""COMPUTED_VALUE"""),95.03)</f>
        <v>95.03</v>
      </c>
      <c r="AA565" s="3">
        <f ca="1">IFERROR(__xludf.DUMMYFUNCTION("""COMPUTED_VALUE"""),38.84)</f>
        <v>38.840000000000003</v>
      </c>
      <c r="AB565" s="3">
        <f ca="1">IFERROR(__xludf.DUMMYFUNCTION("""COMPUTED_VALUE"""),49.29)</f>
        <v>49.29</v>
      </c>
      <c r="AC565" s="3">
        <f ca="1">IFERROR(__xludf.DUMMYFUNCTION("""COMPUTED_VALUE"""),64.82)</f>
        <v>64.819999999999993</v>
      </c>
      <c r="AD565" s="3">
        <f ca="1">IFERROR(__xludf.DUMMYFUNCTION("""COMPUTED_VALUE"""),20.69)</f>
        <v>20.69</v>
      </c>
      <c r="AE565" s="3">
        <f ca="1">IFERROR(__xludf.DUMMYFUNCTION("""COMPUTED_VALUE"""),30.64)</f>
        <v>30.64</v>
      </c>
      <c r="AF565" s="3">
        <f ca="1">IFERROR(__xludf.DUMMYFUNCTION("""COMPUTED_VALUE"""),5.59)</f>
        <v>5.59</v>
      </c>
      <c r="AG565" s="3">
        <f ca="1">IFERROR(__xludf.DUMMYFUNCTION("""COMPUTED_VALUE"""),48.4)</f>
        <v>48.4</v>
      </c>
    </row>
    <row r="566" spans="1:33" ht="12.75" x14ac:dyDescent="0.2">
      <c r="A566" s="4">
        <f ca="1">IFERROR(__xludf.DUMMYFUNCTION("""COMPUTED_VALUE"""),45384.6666666666)</f>
        <v>45384.666666666599</v>
      </c>
      <c r="B566" s="3">
        <f ca="1">IFERROR(__xludf.DUMMYFUNCTION("""COMPUTED_VALUE"""),206.84)</f>
        <v>206.84</v>
      </c>
      <c r="C566" s="3">
        <f ca="1">IFERROR(__xludf.DUMMYFUNCTION("""COMPUTED_VALUE"""),519.49)</f>
        <v>519.49</v>
      </c>
      <c r="D566" s="3">
        <f ca="1">IFERROR(__xludf.DUMMYFUNCTION("""COMPUTED_VALUE"""),134.37)</f>
        <v>134.37</v>
      </c>
      <c r="E566" s="3">
        <f ca="1">IFERROR(__xludf.DUMMYFUNCTION("""COMPUTED_VALUE"""),224.78)</f>
        <v>224.78</v>
      </c>
      <c r="F566" s="3">
        <f ca="1">IFERROR(__xludf.DUMMYFUNCTION("""COMPUTED_VALUE"""),63.76)</f>
        <v>63.76</v>
      </c>
      <c r="G566" s="3">
        <f ca="1">IFERROR(__xludf.DUMMYFUNCTION("""COMPUTED_VALUE"""),31.05)</f>
        <v>31.05</v>
      </c>
      <c r="H566" s="3">
        <f ca="1">IFERROR(__xludf.DUMMYFUNCTION("""COMPUTED_VALUE"""),28.49)</f>
        <v>28.49</v>
      </c>
      <c r="I566" s="3">
        <f ca="1">IFERROR(__xludf.DUMMYFUNCTION("""COMPUTED_VALUE"""),144.19)</f>
        <v>144.19</v>
      </c>
      <c r="J566" s="3">
        <f ca="1">IFERROR(__xludf.DUMMYFUNCTION("""COMPUTED_VALUE"""),263.75)</f>
        <v>263.75</v>
      </c>
      <c r="K566" s="3">
        <f ca="1">IFERROR(__xludf.DUMMYFUNCTION("""COMPUTED_VALUE"""),133.89)</f>
        <v>133.88999999999999</v>
      </c>
      <c r="L566" s="3">
        <f ca="1">IFERROR(__xludf.DUMMYFUNCTION("""COMPUTED_VALUE"""),90.68)</f>
        <v>90.68</v>
      </c>
      <c r="M566" s="3">
        <f ca="1">IFERROR(__xludf.DUMMYFUNCTION("""COMPUTED_VALUE"""),63.17)</f>
        <v>63.17</v>
      </c>
      <c r="N566" s="3">
        <f ca="1">IFERROR(__xludf.DUMMYFUNCTION("""COMPUTED_VALUE"""),67.97)</f>
        <v>67.97</v>
      </c>
      <c r="O566" s="3">
        <f ca="1">IFERROR(__xludf.DUMMYFUNCTION("""COMPUTED_VALUE"""),43.8)</f>
        <v>43.8</v>
      </c>
      <c r="P566" s="3">
        <f ca="1">IFERROR(__xludf.DUMMYFUNCTION("""COMPUTED_VALUE"""),96.44)</f>
        <v>96.44</v>
      </c>
      <c r="Q566" s="3">
        <f ca="1">IFERROR(__xludf.DUMMYFUNCTION("""COMPUTED_VALUE"""),134.33)</f>
        <v>134.33000000000001</v>
      </c>
      <c r="R566" s="3">
        <f ca="1">IFERROR(__xludf.DUMMYFUNCTION("""COMPUTED_VALUE"""),92.33)</f>
        <v>92.33</v>
      </c>
      <c r="S566" s="3">
        <f ca="1">IFERROR(__xludf.DUMMYFUNCTION("""COMPUTED_VALUE"""),60.84)</f>
        <v>60.84</v>
      </c>
      <c r="T566" s="3">
        <f ca="1">IFERROR(__xludf.DUMMYFUNCTION("""COMPUTED_VALUE"""),23.29)</f>
        <v>23.29</v>
      </c>
      <c r="U566" s="3">
        <f ca="1">IFERROR(__xludf.DUMMYFUNCTION("""COMPUTED_VALUE"""),80.79)</f>
        <v>80.790000000000006</v>
      </c>
      <c r="V566" s="3">
        <f ca="1">IFERROR(__xludf.DUMMYFUNCTION("""COMPUTED_VALUE"""),43.39)</f>
        <v>43.39</v>
      </c>
      <c r="W566" s="3">
        <f ca="1">IFERROR(__xludf.DUMMYFUNCTION("""COMPUTED_VALUE"""),41.67)</f>
        <v>41.67</v>
      </c>
      <c r="X566" s="3">
        <f ca="1">IFERROR(__xludf.DUMMYFUNCTION("""COMPUTED_VALUE"""),100.94)</f>
        <v>100.94</v>
      </c>
      <c r="Y566" s="3">
        <f ca="1">IFERROR(__xludf.DUMMYFUNCTION("""COMPUTED_VALUE"""),45.54)</f>
        <v>45.54</v>
      </c>
      <c r="Z566" s="3">
        <f ca="1">IFERROR(__xludf.DUMMYFUNCTION("""COMPUTED_VALUE"""),94.47)</f>
        <v>94.47</v>
      </c>
      <c r="AA566" s="3">
        <f ca="1">IFERROR(__xludf.DUMMYFUNCTION("""COMPUTED_VALUE"""),38.41)</f>
        <v>38.409999999999997</v>
      </c>
      <c r="AB566" s="3">
        <f ca="1">IFERROR(__xludf.DUMMYFUNCTION("""COMPUTED_VALUE"""),48.38)</f>
        <v>48.38</v>
      </c>
      <c r="AC566" s="3">
        <f ca="1">IFERROR(__xludf.DUMMYFUNCTION("""COMPUTED_VALUE"""),65.33)</f>
        <v>65.33</v>
      </c>
      <c r="AD566" s="3">
        <f ca="1">IFERROR(__xludf.DUMMYFUNCTION("""COMPUTED_VALUE"""),19.5)</f>
        <v>19.5</v>
      </c>
      <c r="AE566" s="3">
        <f ca="1">IFERROR(__xludf.DUMMYFUNCTION("""COMPUTED_VALUE"""),28.91)</f>
        <v>28.91</v>
      </c>
      <c r="AF566" s="3">
        <f ca="1">IFERROR(__xludf.DUMMYFUNCTION("""COMPUTED_VALUE"""),5.55)</f>
        <v>5.55</v>
      </c>
      <c r="AG566" s="3">
        <f ca="1">IFERROR(__xludf.DUMMYFUNCTION("""COMPUTED_VALUE"""),45.4)</f>
        <v>45.4</v>
      </c>
    </row>
    <row r="567" spans="1:33" ht="12.75" x14ac:dyDescent="0.2">
      <c r="A567" s="4">
        <f ca="1">IFERROR(__xludf.DUMMYFUNCTION("""COMPUTED_VALUE"""),45385.6666666666)</f>
        <v>45385.666666666599</v>
      </c>
      <c r="B567" s="3">
        <f ca="1">IFERROR(__xludf.DUMMYFUNCTION("""COMPUTED_VALUE"""),207.39)</f>
        <v>207.39</v>
      </c>
      <c r="C567" s="3">
        <f ca="1">IFERROR(__xludf.DUMMYFUNCTION("""COMPUTED_VALUE"""),520.56)</f>
        <v>520.55999999999995</v>
      </c>
      <c r="D567" s="3">
        <f ca="1">IFERROR(__xludf.DUMMYFUNCTION("""COMPUTED_VALUE"""),134.13)</f>
        <v>134.13</v>
      </c>
      <c r="E567" s="3">
        <f ca="1">IFERROR(__xludf.DUMMYFUNCTION("""COMPUTED_VALUE"""),225.41)</f>
        <v>225.41</v>
      </c>
      <c r="F567" s="3">
        <f ca="1">IFERROR(__xludf.DUMMYFUNCTION("""COMPUTED_VALUE"""),63.75)</f>
        <v>63.75</v>
      </c>
      <c r="G567" s="3">
        <f ca="1">IFERROR(__xludf.DUMMYFUNCTION("""COMPUTED_VALUE"""),31.09)</f>
        <v>31.09</v>
      </c>
      <c r="H567" s="3">
        <f ca="1">IFERROR(__xludf.DUMMYFUNCTION("""COMPUTED_VALUE"""),28.48)</f>
        <v>28.48</v>
      </c>
      <c r="I567" s="3">
        <f ca="1">IFERROR(__xludf.DUMMYFUNCTION("""COMPUTED_VALUE"""),144.03)</f>
        <v>144.03</v>
      </c>
      <c r="J567" s="3">
        <f ca="1">IFERROR(__xludf.DUMMYFUNCTION("""COMPUTED_VALUE"""),263.78)</f>
        <v>263.77999999999997</v>
      </c>
      <c r="K567" s="3">
        <f ca="1">IFERROR(__xludf.DUMMYFUNCTION("""COMPUTED_VALUE"""),133.53)</f>
        <v>133.53</v>
      </c>
      <c r="L567" s="3">
        <f ca="1">IFERROR(__xludf.DUMMYFUNCTION("""COMPUTED_VALUE"""),91.04)</f>
        <v>91.04</v>
      </c>
      <c r="M567" s="3">
        <f ca="1">IFERROR(__xludf.DUMMYFUNCTION("""COMPUTED_VALUE"""),63.28)</f>
        <v>63.28</v>
      </c>
      <c r="N567" s="3">
        <f ca="1">IFERROR(__xludf.DUMMYFUNCTION("""COMPUTED_VALUE"""),68)</f>
        <v>68</v>
      </c>
      <c r="O567" s="3">
        <f ca="1">IFERROR(__xludf.DUMMYFUNCTION("""COMPUTED_VALUE"""),43.68)</f>
        <v>43.68</v>
      </c>
      <c r="P567" s="3">
        <f ca="1">IFERROR(__xludf.DUMMYFUNCTION("""COMPUTED_VALUE"""),97.1)</f>
        <v>97.1</v>
      </c>
      <c r="Q567" s="3">
        <f ca="1">IFERROR(__xludf.DUMMYFUNCTION("""COMPUTED_VALUE"""),135.4)</f>
        <v>135.4</v>
      </c>
      <c r="R567" s="3">
        <f ca="1">IFERROR(__xludf.DUMMYFUNCTION("""COMPUTED_VALUE"""),92.88)</f>
        <v>92.88</v>
      </c>
      <c r="S567" s="3">
        <f ca="1">IFERROR(__xludf.DUMMYFUNCTION("""COMPUTED_VALUE"""),62.17)</f>
        <v>62.17</v>
      </c>
      <c r="T567" s="3">
        <f ca="1">IFERROR(__xludf.DUMMYFUNCTION("""COMPUTED_VALUE"""),23.57)</f>
        <v>23.57</v>
      </c>
      <c r="U567" s="3">
        <f ca="1">IFERROR(__xludf.DUMMYFUNCTION("""COMPUTED_VALUE"""),81.25)</f>
        <v>81.25</v>
      </c>
      <c r="V567" s="3">
        <f ca="1">IFERROR(__xludf.DUMMYFUNCTION("""COMPUTED_VALUE"""),43.88)</f>
        <v>43.88</v>
      </c>
      <c r="W567" s="3">
        <f ca="1">IFERROR(__xludf.DUMMYFUNCTION("""COMPUTED_VALUE"""),41.65)</f>
        <v>41.65</v>
      </c>
      <c r="X567" s="3">
        <f ca="1">IFERROR(__xludf.DUMMYFUNCTION("""COMPUTED_VALUE"""),100.96)</f>
        <v>100.96</v>
      </c>
      <c r="Y567" s="3">
        <f ca="1">IFERROR(__xludf.DUMMYFUNCTION("""COMPUTED_VALUE"""),45.51)</f>
        <v>45.51</v>
      </c>
      <c r="Z567" s="3">
        <f ca="1">IFERROR(__xludf.DUMMYFUNCTION("""COMPUTED_VALUE"""),94.52)</f>
        <v>94.52</v>
      </c>
      <c r="AA567" s="3">
        <f ca="1">IFERROR(__xludf.DUMMYFUNCTION("""COMPUTED_VALUE"""),38.43)</f>
        <v>38.43</v>
      </c>
      <c r="AB567" s="3">
        <f ca="1">IFERROR(__xludf.DUMMYFUNCTION("""COMPUTED_VALUE"""),48.28)</f>
        <v>48.28</v>
      </c>
      <c r="AC567" s="3">
        <f ca="1">IFERROR(__xludf.DUMMYFUNCTION("""COMPUTED_VALUE"""),65.81)</f>
        <v>65.81</v>
      </c>
      <c r="AD567" s="3">
        <f ca="1">IFERROR(__xludf.DUMMYFUNCTION("""COMPUTED_VALUE"""),19.6)</f>
        <v>19.600000000000001</v>
      </c>
      <c r="AE567" s="3">
        <f ca="1">IFERROR(__xludf.DUMMYFUNCTION("""COMPUTED_VALUE"""),28.89)</f>
        <v>28.89</v>
      </c>
      <c r="AF567" s="3">
        <f ca="1">IFERROR(__xludf.DUMMYFUNCTION("""COMPUTED_VALUE"""),5.15)</f>
        <v>5.15</v>
      </c>
      <c r="AG567" s="3">
        <f ca="1">IFERROR(__xludf.DUMMYFUNCTION("""COMPUTED_VALUE"""),44.9)</f>
        <v>44.9</v>
      </c>
    </row>
    <row r="568" spans="1:33" ht="12.75" x14ac:dyDescent="0.2">
      <c r="A568" s="4">
        <f ca="1">IFERROR(__xludf.DUMMYFUNCTION("""COMPUTED_VALUE"""),45386.6666666666)</f>
        <v>45386.666666666599</v>
      </c>
      <c r="B568" s="3">
        <f ca="1">IFERROR(__xludf.DUMMYFUNCTION("""COMPUTED_VALUE"""),204.11)</f>
        <v>204.11</v>
      </c>
      <c r="C568" s="3">
        <f ca="1">IFERROR(__xludf.DUMMYFUNCTION("""COMPUTED_VALUE"""),512.15)</f>
        <v>512.15</v>
      </c>
      <c r="D568" s="3">
        <f ca="1">IFERROR(__xludf.DUMMYFUNCTION("""COMPUTED_VALUE"""),134.4)</f>
        <v>134.4</v>
      </c>
      <c r="E568" s="3">
        <f ca="1">IFERROR(__xludf.DUMMYFUNCTION("""COMPUTED_VALUE"""),219.03)</f>
        <v>219.03</v>
      </c>
      <c r="F568" s="3">
        <f ca="1">IFERROR(__xludf.DUMMYFUNCTION("""COMPUTED_VALUE"""),62.84)</f>
        <v>62.84</v>
      </c>
      <c r="G568" s="3">
        <f ca="1">IFERROR(__xludf.DUMMYFUNCTION("""COMPUTED_VALUE"""),30.57)</f>
        <v>30.57</v>
      </c>
      <c r="H568" s="3">
        <f ca="1">IFERROR(__xludf.DUMMYFUNCTION("""COMPUTED_VALUE"""),28.2)</f>
        <v>28.2</v>
      </c>
      <c r="I568" s="3">
        <f ca="1">IFERROR(__xludf.DUMMYFUNCTION("""COMPUTED_VALUE"""),141.95)</f>
        <v>141.94999999999999</v>
      </c>
      <c r="J568" s="3">
        <f ca="1">IFERROR(__xludf.DUMMYFUNCTION("""COMPUTED_VALUE"""),260.22)</f>
        <v>260.22000000000003</v>
      </c>
      <c r="K568" s="3">
        <f ca="1">IFERROR(__xludf.DUMMYFUNCTION("""COMPUTED_VALUE"""),131.63)</f>
        <v>131.63</v>
      </c>
      <c r="L568" s="3">
        <f ca="1">IFERROR(__xludf.DUMMYFUNCTION("""COMPUTED_VALUE"""),89.49)</f>
        <v>89.49</v>
      </c>
      <c r="M568" s="3">
        <f ca="1">IFERROR(__xludf.DUMMYFUNCTION("""COMPUTED_VALUE"""),62.57)</f>
        <v>62.57</v>
      </c>
      <c r="N568" s="3">
        <f ca="1">IFERROR(__xludf.DUMMYFUNCTION("""COMPUTED_VALUE"""),67.1)</f>
        <v>67.099999999999994</v>
      </c>
      <c r="O568" s="3">
        <f ca="1">IFERROR(__xludf.DUMMYFUNCTION("""COMPUTED_VALUE"""),43.08)</f>
        <v>43.08</v>
      </c>
      <c r="P568" s="3">
        <f ca="1">IFERROR(__xludf.DUMMYFUNCTION("""COMPUTED_VALUE"""),97.04)</f>
        <v>97.04</v>
      </c>
      <c r="Q568" s="3">
        <f ca="1">IFERROR(__xludf.DUMMYFUNCTION("""COMPUTED_VALUE"""),135.23)</f>
        <v>135.22999999999999</v>
      </c>
      <c r="R568" s="3">
        <f ca="1">IFERROR(__xludf.DUMMYFUNCTION("""COMPUTED_VALUE"""),91.94)</f>
        <v>91.94</v>
      </c>
      <c r="S568" s="3">
        <f ca="1">IFERROR(__xludf.DUMMYFUNCTION("""COMPUTED_VALUE"""),61.15)</f>
        <v>61.15</v>
      </c>
      <c r="T568" s="3">
        <f ca="1">IFERROR(__xludf.DUMMYFUNCTION("""COMPUTED_VALUE"""),23.63)</f>
        <v>23.63</v>
      </c>
      <c r="U568" s="3">
        <f ca="1">IFERROR(__xludf.DUMMYFUNCTION("""COMPUTED_VALUE"""),82.27)</f>
        <v>82.27</v>
      </c>
      <c r="V568" s="3">
        <f ca="1">IFERROR(__xludf.DUMMYFUNCTION("""COMPUTED_VALUE"""),43.72)</f>
        <v>43.72</v>
      </c>
      <c r="W568" s="3">
        <f ca="1">IFERROR(__xludf.DUMMYFUNCTION("""COMPUTED_VALUE"""),41.18)</f>
        <v>41.18</v>
      </c>
      <c r="X568" s="3">
        <f ca="1">IFERROR(__xludf.DUMMYFUNCTION("""COMPUTED_VALUE"""),99.83)</f>
        <v>99.83</v>
      </c>
      <c r="Y568" s="3">
        <f ca="1">IFERROR(__xludf.DUMMYFUNCTION("""COMPUTED_VALUE"""),45.22)</f>
        <v>45.22</v>
      </c>
      <c r="Z568" s="3">
        <f ca="1">IFERROR(__xludf.DUMMYFUNCTION("""COMPUTED_VALUE"""),93.51)</f>
        <v>93.51</v>
      </c>
      <c r="AA568" s="3">
        <f ca="1">IFERROR(__xludf.DUMMYFUNCTION("""COMPUTED_VALUE"""),38.13)</f>
        <v>38.130000000000003</v>
      </c>
      <c r="AB568" s="3">
        <f ca="1">IFERROR(__xludf.DUMMYFUNCTION("""COMPUTED_VALUE"""),48.18)</f>
        <v>48.18</v>
      </c>
      <c r="AC568" s="3">
        <f ca="1">IFERROR(__xludf.DUMMYFUNCTION("""COMPUTED_VALUE"""),65.49)</f>
        <v>65.489999999999995</v>
      </c>
      <c r="AD568" s="3">
        <f ca="1">IFERROR(__xludf.DUMMYFUNCTION("""COMPUTED_VALUE"""),20.13)</f>
        <v>20.13</v>
      </c>
      <c r="AE568" s="3">
        <f ca="1">IFERROR(__xludf.DUMMYFUNCTION("""COMPUTED_VALUE"""),30.03)</f>
        <v>30.03</v>
      </c>
      <c r="AF568" s="3">
        <f ca="1">IFERROR(__xludf.DUMMYFUNCTION("""COMPUTED_VALUE"""),5.05)</f>
        <v>5.05</v>
      </c>
      <c r="AG568" s="3">
        <f ca="1">IFERROR(__xludf.DUMMYFUNCTION("""COMPUTED_VALUE"""),44.33)</f>
        <v>44.33</v>
      </c>
    </row>
    <row r="569" spans="1:33" ht="12.75" x14ac:dyDescent="0.2">
      <c r="A569" s="4">
        <f ca="1">IFERROR(__xludf.DUMMYFUNCTION("""COMPUTED_VALUE"""),45387.6666666666)</f>
        <v>45387.666666666599</v>
      </c>
      <c r="B569" s="3">
        <f ca="1">IFERROR(__xludf.DUMMYFUNCTION("""COMPUTED_VALUE"""),206.45)</f>
        <v>206.45</v>
      </c>
      <c r="C569" s="3">
        <f ca="1">IFERROR(__xludf.DUMMYFUNCTION("""COMPUTED_VALUE"""),518.38)</f>
        <v>518.38</v>
      </c>
      <c r="D569" s="3">
        <f ca="1">IFERROR(__xludf.DUMMYFUNCTION("""COMPUTED_VALUE"""),133.44)</f>
        <v>133.44</v>
      </c>
      <c r="E569" s="3">
        <f ca="1">IFERROR(__xludf.DUMMYFUNCTION("""COMPUTED_VALUE"""),221.63)</f>
        <v>221.63</v>
      </c>
      <c r="F569" s="3">
        <f ca="1">IFERROR(__xludf.DUMMYFUNCTION("""COMPUTED_VALUE"""),63.54)</f>
        <v>63.54</v>
      </c>
      <c r="G569" s="3">
        <f ca="1">IFERROR(__xludf.DUMMYFUNCTION("""COMPUTED_VALUE"""),30.7)</f>
        <v>30.7</v>
      </c>
      <c r="H569" s="3">
        <f ca="1">IFERROR(__xludf.DUMMYFUNCTION("""COMPUTED_VALUE"""),28.37)</f>
        <v>28.37</v>
      </c>
      <c r="I569" s="3">
        <f ca="1">IFERROR(__xludf.DUMMYFUNCTION("""COMPUTED_VALUE"""),143.22)</f>
        <v>143.22</v>
      </c>
      <c r="J569" s="3">
        <f ca="1">IFERROR(__xludf.DUMMYFUNCTION("""COMPUTED_VALUE"""),262.38)</f>
        <v>262.38</v>
      </c>
      <c r="K569" s="3">
        <f ca="1">IFERROR(__xludf.DUMMYFUNCTION("""COMPUTED_VALUE"""),132.51)</f>
        <v>132.51</v>
      </c>
      <c r="L569" s="3">
        <f ca="1">IFERROR(__xludf.DUMMYFUNCTION("""COMPUTED_VALUE"""),90.18)</f>
        <v>90.18</v>
      </c>
      <c r="M569" s="3">
        <f ca="1">IFERROR(__xludf.DUMMYFUNCTION("""COMPUTED_VALUE"""),62.83)</f>
        <v>62.83</v>
      </c>
      <c r="N569" s="3">
        <f ca="1">IFERROR(__xludf.DUMMYFUNCTION("""COMPUTED_VALUE"""),67.64)</f>
        <v>67.64</v>
      </c>
      <c r="O569" s="3">
        <f ca="1">IFERROR(__xludf.DUMMYFUNCTION("""COMPUTED_VALUE"""),43.48)</f>
        <v>43.48</v>
      </c>
      <c r="P569" s="3">
        <f ca="1">IFERROR(__xludf.DUMMYFUNCTION("""COMPUTED_VALUE"""),98.08)</f>
        <v>98.08</v>
      </c>
      <c r="Q569" s="3">
        <f ca="1">IFERROR(__xludf.DUMMYFUNCTION("""COMPUTED_VALUE"""),136.7)</f>
        <v>136.69999999999999</v>
      </c>
      <c r="R569" s="3">
        <f ca="1">IFERROR(__xludf.DUMMYFUNCTION("""COMPUTED_VALUE"""),92.77)</f>
        <v>92.77</v>
      </c>
      <c r="S569" s="3">
        <f ca="1">IFERROR(__xludf.DUMMYFUNCTION("""COMPUTED_VALUE"""),62.02)</f>
        <v>62.02</v>
      </c>
      <c r="T569" s="3">
        <f ca="1">IFERROR(__xludf.DUMMYFUNCTION("""COMPUTED_VALUE"""),23.75)</f>
        <v>23.75</v>
      </c>
      <c r="U569" s="3">
        <f ca="1">IFERROR(__xludf.DUMMYFUNCTION("""COMPUTED_VALUE"""),82.4)</f>
        <v>82.4</v>
      </c>
      <c r="V569" s="3">
        <f ca="1">IFERROR(__xludf.DUMMYFUNCTION("""COMPUTED_VALUE"""),43.13)</f>
        <v>43.13</v>
      </c>
      <c r="W569" s="3">
        <f ca="1">IFERROR(__xludf.DUMMYFUNCTION("""COMPUTED_VALUE"""),41.57)</f>
        <v>41.57</v>
      </c>
      <c r="X569" s="3">
        <f ca="1">IFERROR(__xludf.DUMMYFUNCTION("""COMPUTED_VALUE"""),100.68)</f>
        <v>100.68</v>
      </c>
      <c r="Y569" s="3">
        <f ca="1">IFERROR(__xludf.DUMMYFUNCTION("""COMPUTED_VALUE"""),45.37)</f>
        <v>45.37</v>
      </c>
      <c r="Z569" s="3">
        <f ca="1">IFERROR(__xludf.DUMMYFUNCTION("""COMPUTED_VALUE"""),94.24)</f>
        <v>94.24</v>
      </c>
      <c r="AA569" s="3">
        <f ca="1">IFERROR(__xludf.DUMMYFUNCTION("""COMPUTED_VALUE"""),38.38)</f>
        <v>38.380000000000003</v>
      </c>
      <c r="AB569" s="3">
        <f ca="1">IFERROR(__xludf.DUMMYFUNCTION("""COMPUTED_VALUE"""),48.21)</f>
        <v>48.21</v>
      </c>
      <c r="AC569" s="3">
        <f ca="1">IFERROR(__xludf.DUMMYFUNCTION("""COMPUTED_VALUE"""),64.42)</f>
        <v>64.42</v>
      </c>
      <c r="AD569" s="3">
        <f ca="1">IFERROR(__xludf.DUMMYFUNCTION("""COMPUTED_VALUE"""),19.82)</f>
        <v>19.82</v>
      </c>
      <c r="AE569" s="3">
        <f ca="1">IFERROR(__xludf.DUMMYFUNCTION("""COMPUTED_VALUE"""),29.51)</f>
        <v>29.51</v>
      </c>
      <c r="AF569" s="3">
        <f ca="1">IFERROR(__xludf.DUMMYFUNCTION("""COMPUTED_VALUE"""),4.98)</f>
        <v>4.9800000000000004</v>
      </c>
      <c r="AG569" s="3">
        <f ca="1">IFERROR(__xludf.DUMMYFUNCTION("""COMPUTED_VALUE"""),43.75)</f>
        <v>43.75</v>
      </c>
    </row>
    <row r="570" spans="1:33" ht="12.75" x14ac:dyDescent="0.2">
      <c r="A570" s="4">
        <f ca="1">IFERROR(__xludf.DUMMYFUNCTION("""COMPUTED_VALUE"""),45390.6666666666)</f>
        <v>45390.666666666599</v>
      </c>
      <c r="B570" s="3">
        <f ca="1">IFERROR(__xludf.DUMMYFUNCTION("""COMPUTED_VALUE"""),206.21)</f>
        <v>206.21</v>
      </c>
      <c r="C570" s="3">
        <f ca="1">IFERROR(__xludf.DUMMYFUNCTION("""COMPUTED_VALUE"""),517.63)</f>
        <v>517.63</v>
      </c>
      <c r="D570" s="3">
        <f ca="1">IFERROR(__xludf.DUMMYFUNCTION("""COMPUTED_VALUE"""),136.27)</f>
        <v>136.27000000000001</v>
      </c>
      <c r="E570" s="3">
        <f ca="1">IFERROR(__xludf.DUMMYFUNCTION("""COMPUTED_VALUE"""),222.2)</f>
        <v>222.2</v>
      </c>
      <c r="F570" s="3">
        <f ca="1">IFERROR(__xludf.DUMMYFUNCTION("""COMPUTED_VALUE"""),63.48)</f>
        <v>63.48</v>
      </c>
      <c r="G570" s="3">
        <f ca="1">IFERROR(__xludf.DUMMYFUNCTION("""COMPUTED_VALUE"""),30.77)</f>
        <v>30.77</v>
      </c>
      <c r="H570" s="3">
        <f ca="1">IFERROR(__xludf.DUMMYFUNCTION("""COMPUTED_VALUE"""),28.45)</f>
        <v>28.45</v>
      </c>
      <c r="I570" s="3">
        <f ca="1">IFERROR(__xludf.DUMMYFUNCTION("""COMPUTED_VALUE"""),142.76)</f>
        <v>142.76</v>
      </c>
      <c r="J570" s="3">
        <f ca="1">IFERROR(__xludf.DUMMYFUNCTION("""COMPUTED_VALUE"""),261.72)</f>
        <v>261.72000000000003</v>
      </c>
      <c r="K570" s="3">
        <f ca="1">IFERROR(__xludf.DUMMYFUNCTION("""COMPUTED_VALUE"""),132.67)</f>
        <v>132.66999999999999</v>
      </c>
      <c r="L570" s="3">
        <f ca="1">IFERROR(__xludf.DUMMYFUNCTION("""COMPUTED_VALUE"""),90.4)</f>
        <v>90.4</v>
      </c>
      <c r="M570" s="3">
        <f ca="1">IFERROR(__xludf.DUMMYFUNCTION("""COMPUTED_VALUE"""),62.97)</f>
        <v>62.97</v>
      </c>
      <c r="N570" s="3">
        <f ca="1">IFERROR(__xludf.DUMMYFUNCTION("""COMPUTED_VALUE"""),67.52)</f>
        <v>67.52</v>
      </c>
      <c r="O570" s="3">
        <f ca="1">IFERROR(__xludf.DUMMYFUNCTION("""COMPUTED_VALUE"""),43.48)</f>
        <v>43.48</v>
      </c>
      <c r="P570" s="3">
        <f ca="1">IFERROR(__xludf.DUMMYFUNCTION("""COMPUTED_VALUE"""),97.46)</f>
        <v>97.46</v>
      </c>
      <c r="Q570" s="3">
        <f ca="1">IFERROR(__xludf.DUMMYFUNCTION("""COMPUTED_VALUE"""),135.87)</f>
        <v>135.87</v>
      </c>
      <c r="R570" s="3">
        <f ca="1">IFERROR(__xludf.DUMMYFUNCTION("""COMPUTED_VALUE"""),92.84)</f>
        <v>92.84</v>
      </c>
      <c r="S570" s="3">
        <f ca="1">IFERROR(__xludf.DUMMYFUNCTION("""COMPUTED_VALUE"""),62.18)</f>
        <v>62.18</v>
      </c>
      <c r="T570" s="3">
        <f ca="1">IFERROR(__xludf.DUMMYFUNCTION("""COMPUTED_VALUE"""),23.74)</f>
        <v>23.74</v>
      </c>
      <c r="U570" s="3">
        <f ca="1">IFERROR(__xludf.DUMMYFUNCTION("""COMPUTED_VALUE"""),82.2)</f>
        <v>82.2</v>
      </c>
      <c r="V570" s="3">
        <f ca="1">IFERROR(__xludf.DUMMYFUNCTION("""COMPUTED_VALUE"""),43.74)</f>
        <v>43.74</v>
      </c>
      <c r="W570" s="3">
        <f ca="1">IFERROR(__xludf.DUMMYFUNCTION("""COMPUTED_VALUE"""),41.75)</f>
        <v>41.75</v>
      </c>
      <c r="X570" s="3">
        <f ca="1">IFERROR(__xludf.DUMMYFUNCTION("""COMPUTED_VALUE"""),101.37)</f>
        <v>101.37</v>
      </c>
      <c r="Y570" s="3">
        <f ca="1">IFERROR(__xludf.DUMMYFUNCTION("""COMPUTED_VALUE"""),46.07)</f>
        <v>46.07</v>
      </c>
      <c r="Z570" s="3">
        <f ca="1">IFERROR(__xludf.DUMMYFUNCTION("""COMPUTED_VALUE"""),94.81)</f>
        <v>94.81</v>
      </c>
      <c r="AA570" s="3">
        <f ca="1">IFERROR(__xludf.DUMMYFUNCTION("""COMPUTED_VALUE"""),38.71)</f>
        <v>38.71</v>
      </c>
      <c r="AB570" s="3">
        <f ca="1">IFERROR(__xludf.DUMMYFUNCTION("""COMPUTED_VALUE"""),49.03)</f>
        <v>49.03</v>
      </c>
      <c r="AC570" s="3">
        <f ca="1">IFERROR(__xludf.DUMMYFUNCTION("""COMPUTED_VALUE"""),64.3)</f>
        <v>64.3</v>
      </c>
      <c r="AD570" s="3">
        <f ca="1">IFERROR(__xludf.DUMMYFUNCTION("""COMPUTED_VALUE"""),21.67)</f>
        <v>21.67</v>
      </c>
      <c r="AE570" s="3">
        <f ca="1">IFERROR(__xludf.DUMMYFUNCTION("""COMPUTED_VALUE"""),31.49)</f>
        <v>31.49</v>
      </c>
      <c r="AF570" s="3">
        <f ca="1">IFERROR(__xludf.DUMMYFUNCTION("""COMPUTED_VALUE"""),4.92)</f>
        <v>4.92</v>
      </c>
      <c r="AG570" s="3">
        <f ca="1">IFERROR(__xludf.DUMMYFUNCTION("""COMPUTED_VALUE"""),44.21)</f>
        <v>44.21</v>
      </c>
    </row>
    <row r="571" spans="1:33" ht="12.75" x14ac:dyDescent="0.2">
      <c r="A571" s="4">
        <f ca="1">IFERROR(__xludf.DUMMYFUNCTION("""COMPUTED_VALUE"""),45391.6666666666)</f>
        <v>45391.666666666599</v>
      </c>
      <c r="B571" s="3">
        <f ca="1">IFERROR(__xludf.DUMMYFUNCTION("""COMPUTED_VALUE"""),207.25)</f>
        <v>207.25</v>
      </c>
      <c r="C571" s="3">
        <f ca="1">IFERROR(__xludf.DUMMYFUNCTION("""COMPUTED_VALUE"""),518.8)</f>
        <v>518.79999999999995</v>
      </c>
      <c r="D571" s="3">
        <f ca="1">IFERROR(__xludf.DUMMYFUNCTION("""COMPUTED_VALUE"""),133.95)</f>
        <v>133.94999999999999</v>
      </c>
      <c r="E571" s="3">
        <f ca="1">IFERROR(__xludf.DUMMYFUNCTION("""COMPUTED_VALUE"""),224.59)</f>
        <v>224.59</v>
      </c>
      <c r="F571" s="3">
        <f ca="1">IFERROR(__xludf.DUMMYFUNCTION("""COMPUTED_VALUE"""),63.9)</f>
        <v>63.9</v>
      </c>
      <c r="G571" s="3">
        <f ca="1">IFERROR(__xludf.DUMMYFUNCTION("""COMPUTED_VALUE"""),31.02)</f>
        <v>31.02</v>
      </c>
      <c r="H571" s="3">
        <f ca="1">IFERROR(__xludf.DUMMYFUNCTION("""COMPUTED_VALUE"""),28.65)</f>
        <v>28.65</v>
      </c>
      <c r="I571" s="3">
        <f ca="1">IFERROR(__xludf.DUMMYFUNCTION("""COMPUTED_VALUE"""),143.27)</f>
        <v>143.27000000000001</v>
      </c>
      <c r="J571" s="3">
        <f ca="1">IFERROR(__xludf.DUMMYFUNCTION("""COMPUTED_VALUE"""),262.95)</f>
        <v>262.95</v>
      </c>
      <c r="K571" s="3">
        <f ca="1">IFERROR(__xludf.DUMMYFUNCTION("""COMPUTED_VALUE"""),134.27)</f>
        <v>134.27000000000001</v>
      </c>
      <c r="L571" s="3">
        <f ca="1">IFERROR(__xludf.DUMMYFUNCTION("""COMPUTED_VALUE"""),91.64)</f>
        <v>91.64</v>
      </c>
      <c r="M571" s="3">
        <f ca="1">IFERROR(__xludf.DUMMYFUNCTION("""COMPUTED_VALUE"""),63.61)</f>
        <v>63.61</v>
      </c>
      <c r="N571" s="3">
        <f ca="1">IFERROR(__xludf.DUMMYFUNCTION("""COMPUTED_VALUE"""),67.83)</f>
        <v>67.83</v>
      </c>
      <c r="O571" s="3">
        <f ca="1">IFERROR(__xludf.DUMMYFUNCTION("""COMPUTED_VALUE"""),44.72)</f>
        <v>44.72</v>
      </c>
      <c r="P571" s="3">
        <f ca="1">IFERROR(__xludf.DUMMYFUNCTION("""COMPUTED_VALUE"""),97.49)</f>
        <v>97.49</v>
      </c>
      <c r="Q571" s="3">
        <f ca="1">IFERROR(__xludf.DUMMYFUNCTION("""COMPUTED_VALUE"""),135.81)</f>
        <v>135.81</v>
      </c>
      <c r="R571" s="3">
        <f ca="1">IFERROR(__xludf.DUMMYFUNCTION("""COMPUTED_VALUE"""),93.06)</f>
        <v>93.06</v>
      </c>
      <c r="S571" s="3">
        <f ca="1">IFERROR(__xludf.DUMMYFUNCTION("""COMPUTED_VALUE"""),62.86)</f>
        <v>62.86</v>
      </c>
      <c r="T571" s="3">
        <f ca="1">IFERROR(__xludf.DUMMYFUNCTION("""COMPUTED_VALUE"""),23.61)</f>
        <v>23.61</v>
      </c>
      <c r="U571" s="3">
        <f ca="1">IFERROR(__xludf.DUMMYFUNCTION("""COMPUTED_VALUE"""),81.15)</f>
        <v>81.150000000000006</v>
      </c>
      <c r="V571" s="3">
        <f ca="1">IFERROR(__xludf.DUMMYFUNCTION("""COMPUTED_VALUE"""),45.52)</f>
        <v>45.52</v>
      </c>
      <c r="W571" s="3">
        <f ca="1">IFERROR(__xludf.DUMMYFUNCTION("""COMPUTED_VALUE"""),41.51)</f>
        <v>41.51</v>
      </c>
      <c r="X571" s="3">
        <f ca="1">IFERROR(__xludf.DUMMYFUNCTION("""COMPUTED_VALUE"""),100.76)</f>
        <v>100.76</v>
      </c>
      <c r="Y571" s="3">
        <f ca="1">IFERROR(__xludf.DUMMYFUNCTION("""COMPUTED_VALUE"""),46.19)</f>
        <v>46.19</v>
      </c>
      <c r="Z571" s="3">
        <f ca="1">IFERROR(__xludf.DUMMYFUNCTION("""COMPUTED_VALUE"""),94.26)</f>
        <v>94.26</v>
      </c>
      <c r="AA571" s="3">
        <f ca="1">IFERROR(__xludf.DUMMYFUNCTION("""COMPUTED_VALUE"""),39.2)</f>
        <v>39.200000000000003</v>
      </c>
      <c r="AB571" s="3">
        <f ca="1">IFERROR(__xludf.DUMMYFUNCTION("""COMPUTED_VALUE"""),49.35)</f>
        <v>49.35</v>
      </c>
      <c r="AC571" s="3">
        <f ca="1">IFERROR(__xludf.DUMMYFUNCTION("""COMPUTED_VALUE"""),63.21)</f>
        <v>63.21</v>
      </c>
      <c r="AD571" s="3">
        <f ca="1">IFERROR(__xludf.DUMMYFUNCTION("""COMPUTED_VALUE"""),20.6)</f>
        <v>20.6</v>
      </c>
      <c r="AE571" s="3">
        <f ca="1">IFERROR(__xludf.DUMMYFUNCTION("""COMPUTED_VALUE"""),30.22)</f>
        <v>30.22</v>
      </c>
      <c r="AF571" s="3">
        <f ca="1">IFERROR(__xludf.DUMMYFUNCTION("""COMPUTED_VALUE"""),4.92)</f>
        <v>4.92</v>
      </c>
      <c r="AG571" s="3">
        <f ca="1">IFERROR(__xludf.DUMMYFUNCTION("""COMPUTED_VALUE"""),42.82)</f>
        <v>42.82</v>
      </c>
    </row>
    <row r="572" spans="1:33" ht="12.75" x14ac:dyDescent="0.2">
      <c r="A572" s="4">
        <f ca="1">IFERROR(__xludf.DUMMYFUNCTION("""COMPUTED_VALUE"""),45392.6666666666)</f>
        <v>45392.666666666599</v>
      </c>
      <c r="B572" s="3">
        <f ca="1">IFERROR(__xludf.DUMMYFUNCTION("""COMPUTED_VALUE"""),204.71)</f>
        <v>204.71</v>
      </c>
      <c r="C572" s="3">
        <f ca="1">IFERROR(__xludf.DUMMYFUNCTION("""COMPUTED_VALUE"""),514.08)</f>
        <v>514.08000000000004</v>
      </c>
      <c r="D572" s="3">
        <f ca="1">IFERROR(__xludf.DUMMYFUNCTION("""COMPUTED_VALUE"""),131.14)</f>
        <v>131.13999999999999</v>
      </c>
      <c r="E572" s="3">
        <f ca="1">IFERROR(__xludf.DUMMYFUNCTION("""COMPUTED_VALUE"""),220.49)</f>
        <v>220.49</v>
      </c>
      <c r="F572" s="3">
        <f ca="1">IFERROR(__xludf.DUMMYFUNCTION("""COMPUTED_VALUE"""),63.44)</f>
        <v>63.44</v>
      </c>
      <c r="G572" s="3">
        <f ca="1">IFERROR(__xludf.DUMMYFUNCTION("""COMPUTED_VALUE"""),30.55)</f>
        <v>30.55</v>
      </c>
      <c r="H572" s="3">
        <f ca="1">IFERROR(__xludf.DUMMYFUNCTION("""COMPUTED_VALUE"""),28.23)</f>
        <v>28.23</v>
      </c>
      <c r="I572" s="3">
        <f ca="1">IFERROR(__xludf.DUMMYFUNCTION("""COMPUTED_VALUE"""),141.59)</f>
        <v>141.59</v>
      </c>
      <c r="J572" s="3">
        <f ca="1">IFERROR(__xludf.DUMMYFUNCTION("""COMPUTED_VALUE"""),259.74)</f>
        <v>259.74</v>
      </c>
      <c r="K572" s="3">
        <f ca="1">IFERROR(__xludf.DUMMYFUNCTION("""COMPUTED_VALUE"""),131.85)</f>
        <v>131.85</v>
      </c>
      <c r="L572" s="3">
        <f ca="1">IFERROR(__xludf.DUMMYFUNCTION("""COMPUTED_VALUE"""),89.95)</f>
        <v>89.95</v>
      </c>
      <c r="M572" s="3">
        <f ca="1">IFERROR(__xludf.DUMMYFUNCTION("""COMPUTED_VALUE"""),62.65)</f>
        <v>62.65</v>
      </c>
      <c r="N572" s="3">
        <f ca="1">IFERROR(__xludf.DUMMYFUNCTION("""COMPUTED_VALUE"""),66.98)</f>
        <v>66.98</v>
      </c>
      <c r="O572" s="3">
        <f ca="1">IFERROR(__xludf.DUMMYFUNCTION("""COMPUTED_VALUE"""),43.36)</f>
        <v>43.36</v>
      </c>
      <c r="P572" s="3">
        <f ca="1">IFERROR(__xludf.DUMMYFUNCTION("""COMPUTED_VALUE"""),97.79)</f>
        <v>97.79</v>
      </c>
      <c r="Q572" s="3">
        <f ca="1">IFERROR(__xludf.DUMMYFUNCTION("""COMPUTED_VALUE"""),136.29)</f>
        <v>136.29</v>
      </c>
      <c r="R572" s="3">
        <f ca="1">IFERROR(__xludf.DUMMYFUNCTION("""COMPUTED_VALUE"""),91.61)</f>
        <v>91.61</v>
      </c>
      <c r="S572" s="3">
        <f ca="1">IFERROR(__xludf.DUMMYFUNCTION("""COMPUTED_VALUE"""),62.21)</f>
        <v>62.21</v>
      </c>
      <c r="T572" s="3">
        <f ca="1">IFERROR(__xludf.DUMMYFUNCTION("""COMPUTED_VALUE"""),23.73)</f>
        <v>23.73</v>
      </c>
      <c r="U572" s="3">
        <f ca="1">IFERROR(__xludf.DUMMYFUNCTION("""COMPUTED_VALUE"""),82.09)</f>
        <v>82.09</v>
      </c>
      <c r="V572" s="3">
        <f ca="1">IFERROR(__xludf.DUMMYFUNCTION("""COMPUTED_VALUE"""),43.97)</f>
        <v>43.97</v>
      </c>
      <c r="W572" s="3">
        <f ca="1">IFERROR(__xludf.DUMMYFUNCTION("""COMPUTED_VALUE"""),40.89)</f>
        <v>40.89</v>
      </c>
      <c r="X572" s="3">
        <f ca="1">IFERROR(__xludf.DUMMYFUNCTION("""COMPUTED_VALUE"""),99.11)</f>
        <v>99.11</v>
      </c>
      <c r="Y572" s="3">
        <f ca="1">IFERROR(__xludf.DUMMYFUNCTION("""COMPUTED_VALUE"""),44.28)</f>
        <v>44.28</v>
      </c>
      <c r="Z572" s="3">
        <f ca="1">IFERROR(__xludf.DUMMYFUNCTION("""COMPUTED_VALUE"""),92.74)</f>
        <v>92.74</v>
      </c>
      <c r="AA572" s="3">
        <f ca="1">IFERROR(__xludf.DUMMYFUNCTION("""COMPUTED_VALUE"""),37.59)</f>
        <v>37.590000000000003</v>
      </c>
      <c r="AB572" s="3">
        <f ca="1">IFERROR(__xludf.DUMMYFUNCTION("""COMPUTED_VALUE"""),46.9)</f>
        <v>46.9</v>
      </c>
      <c r="AC572" s="3">
        <f ca="1">IFERROR(__xludf.DUMMYFUNCTION("""COMPUTED_VALUE"""),62.75)</f>
        <v>62.75</v>
      </c>
      <c r="AD572" s="3">
        <f ca="1">IFERROR(__xludf.DUMMYFUNCTION("""COMPUTED_VALUE"""),20.79)</f>
        <v>20.79</v>
      </c>
      <c r="AE572" s="3">
        <f ca="1">IFERROR(__xludf.DUMMYFUNCTION("""COMPUTED_VALUE"""),30.7)</f>
        <v>30.7</v>
      </c>
      <c r="AF572" s="3">
        <f ca="1">IFERROR(__xludf.DUMMYFUNCTION("""COMPUTED_VALUE"""),4.89)</f>
        <v>4.8899999999999997</v>
      </c>
      <c r="AG572" s="3">
        <f ca="1">IFERROR(__xludf.DUMMYFUNCTION("""COMPUTED_VALUE"""),42.52)</f>
        <v>42.52</v>
      </c>
    </row>
    <row r="573" spans="1:33" ht="12.75" x14ac:dyDescent="0.2">
      <c r="A573" s="4">
        <f ca="1">IFERROR(__xludf.DUMMYFUNCTION("""COMPUTED_VALUE"""),45393.6666666666)</f>
        <v>45393.666666666599</v>
      </c>
      <c r="B573" s="3">
        <f ca="1">IFERROR(__xludf.DUMMYFUNCTION("""COMPUTED_VALUE"""),208.8)</f>
        <v>208.8</v>
      </c>
      <c r="C573" s="3">
        <f ca="1">IFERROR(__xludf.DUMMYFUNCTION("""COMPUTED_VALUE"""),524)</f>
        <v>524</v>
      </c>
      <c r="D573" s="3">
        <f ca="1">IFERROR(__xludf.DUMMYFUNCTION("""COMPUTED_VALUE"""),131.38)</f>
        <v>131.38</v>
      </c>
      <c r="E573" s="3">
        <f ca="1">IFERROR(__xludf.DUMMYFUNCTION("""COMPUTED_VALUE"""),225.47)</f>
        <v>225.47</v>
      </c>
      <c r="F573" s="3">
        <f ca="1">IFERROR(__xludf.DUMMYFUNCTION("""COMPUTED_VALUE"""),64.01)</f>
        <v>64.010000000000005</v>
      </c>
      <c r="G573" s="3">
        <f ca="1">IFERROR(__xludf.DUMMYFUNCTION("""COMPUTED_VALUE"""),30.89)</f>
        <v>30.89</v>
      </c>
      <c r="H573" s="3">
        <f ca="1">IFERROR(__xludf.DUMMYFUNCTION("""COMPUTED_VALUE"""),28.34)</f>
        <v>28.34</v>
      </c>
      <c r="I573" s="3">
        <f ca="1">IFERROR(__xludf.DUMMYFUNCTION("""COMPUTED_VALUE"""),141.01)</f>
        <v>141.01</v>
      </c>
      <c r="J573" s="3">
        <f ca="1">IFERROR(__xludf.DUMMYFUNCTION("""COMPUTED_VALUE"""),258.62)</f>
        <v>258.62</v>
      </c>
      <c r="K573" s="3">
        <f ca="1">IFERROR(__xludf.DUMMYFUNCTION("""COMPUTED_VALUE"""),132.33)</f>
        <v>132.33000000000001</v>
      </c>
      <c r="L573" s="3">
        <f ca="1">IFERROR(__xludf.DUMMYFUNCTION("""COMPUTED_VALUE"""),91.28)</f>
        <v>91.28</v>
      </c>
      <c r="M573" s="3">
        <f ca="1">IFERROR(__xludf.DUMMYFUNCTION("""COMPUTED_VALUE"""),62.67)</f>
        <v>62.67</v>
      </c>
      <c r="N573" s="3">
        <f ca="1">IFERROR(__xludf.DUMMYFUNCTION("""COMPUTED_VALUE"""),66.73)</f>
        <v>66.73</v>
      </c>
      <c r="O573" s="3">
        <f ca="1">IFERROR(__xludf.DUMMYFUNCTION("""COMPUTED_VALUE"""),43.52)</f>
        <v>43.52</v>
      </c>
      <c r="P573" s="3">
        <f ca="1">IFERROR(__xludf.DUMMYFUNCTION("""COMPUTED_VALUE"""),97.72)</f>
        <v>97.72</v>
      </c>
      <c r="Q573" s="3">
        <f ca="1">IFERROR(__xludf.DUMMYFUNCTION("""COMPUTED_VALUE"""),135.96)</f>
        <v>135.96</v>
      </c>
      <c r="R573" s="3">
        <f ca="1">IFERROR(__xludf.DUMMYFUNCTION("""COMPUTED_VALUE"""),91.54)</f>
        <v>91.54</v>
      </c>
      <c r="S573" s="3">
        <f ca="1">IFERROR(__xludf.DUMMYFUNCTION("""COMPUTED_VALUE"""),62.43)</f>
        <v>62.43</v>
      </c>
      <c r="T573" s="3">
        <f ca="1">IFERROR(__xludf.DUMMYFUNCTION("""COMPUTED_VALUE"""),23.69)</f>
        <v>23.69</v>
      </c>
      <c r="U573" s="3">
        <f ca="1">IFERROR(__xludf.DUMMYFUNCTION("""COMPUTED_VALUE"""),81.55)</f>
        <v>81.55</v>
      </c>
      <c r="V573" s="3">
        <f ca="1">IFERROR(__xludf.DUMMYFUNCTION("""COMPUTED_VALUE"""),43.68)</f>
        <v>43.68</v>
      </c>
      <c r="W573" s="3">
        <f ca="1">IFERROR(__xludf.DUMMYFUNCTION("""COMPUTED_VALUE"""),40.6)</f>
        <v>40.6</v>
      </c>
      <c r="X573" s="3">
        <f ca="1">IFERROR(__xludf.DUMMYFUNCTION("""COMPUTED_VALUE"""),98.62)</f>
        <v>98.62</v>
      </c>
      <c r="Y573" s="3">
        <f ca="1">IFERROR(__xludf.DUMMYFUNCTION("""COMPUTED_VALUE"""),44.23)</f>
        <v>44.23</v>
      </c>
      <c r="Z573" s="3">
        <f ca="1">IFERROR(__xludf.DUMMYFUNCTION("""COMPUTED_VALUE"""),92.11)</f>
        <v>92.11</v>
      </c>
      <c r="AA573" s="3">
        <f ca="1">IFERROR(__xludf.DUMMYFUNCTION("""COMPUTED_VALUE"""),37.63)</f>
        <v>37.630000000000003</v>
      </c>
      <c r="AB573" s="3">
        <f ca="1">IFERROR(__xludf.DUMMYFUNCTION("""COMPUTED_VALUE"""),46.94)</f>
        <v>46.94</v>
      </c>
      <c r="AC573" s="3">
        <f ca="1">IFERROR(__xludf.DUMMYFUNCTION("""COMPUTED_VALUE"""),62.27)</f>
        <v>62.27</v>
      </c>
      <c r="AD573" s="3">
        <f ca="1">IFERROR(__xludf.DUMMYFUNCTION("""COMPUTED_VALUE"""),20.84)</f>
        <v>20.84</v>
      </c>
      <c r="AE573" s="3">
        <f ca="1">IFERROR(__xludf.DUMMYFUNCTION("""COMPUTED_VALUE"""),30.9)</f>
        <v>30.9</v>
      </c>
      <c r="AF573" s="3">
        <f ca="1">IFERROR(__xludf.DUMMYFUNCTION("""COMPUTED_VALUE"""),4.71)</f>
        <v>4.71</v>
      </c>
      <c r="AG573" s="3">
        <f ca="1">IFERROR(__xludf.DUMMYFUNCTION("""COMPUTED_VALUE"""),43.74)</f>
        <v>43.74</v>
      </c>
    </row>
    <row r="574" spans="1:33" ht="12.75" x14ac:dyDescent="0.2">
      <c r="A574" s="4">
        <f ca="1">IFERROR(__xludf.DUMMYFUNCTION("""COMPUTED_VALUE"""),45394.6666666666)</f>
        <v>45394.666666666599</v>
      </c>
      <c r="B574" s="3">
        <f ca="1">IFERROR(__xludf.DUMMYFUNCTION("""COMPUTED_VALUE"""),205.42)</f>
        <v>205.42</v>
      </c>
      <c r="C574" s="3">
        <f ca="1">IFERROR(__xludf.DUMMYFUNCTION("""COMPUTED_VALUE"""),514.68)</f>
        <v>514.67999999999995</v>
      </c>
      <c r="D574" s="3">
        <f ca="1">IFERROR(__xludf.DUMMYFUNCTION("""COMPUTED_VALUE"""),129.34)</f>
        <v>129.34</v>
      </c>
      <c r="E574" s="3">
        <f ca="1">IFERROR(__xludf.DUMMYFUNCTION("""COMPUTED_VALUE"""),218.07)</f>
        <v>218.07</v>
      </c>
      <c r="F574" s="3">
        <f ca="1">IFERROR(__xludf.DUMMYFUNCTION("""COMPUTED_VALUE"""),62.85)</f>
        <v>62.85</v>
      </c>
      <c r="G574" s="3">
        <f ca="1">IFERROR(__xludf.DUMMYFUNCTION("""COMPUTED_VALUE"""),30.09)</f>
        <v>30.09</v>
      </c>
      <c r="H574" s="3">
        <f ca="1">IFERROR(__xludf.DUMMYFUNCTION("""COMPUTED_VALUE"""),27.69)</f>
        <v>27.69</v>
      </c>
      <c r="I574" s="3">
        <f ca="1">IFERROR(__xludf.DUMMYFUNCTION("""COMPUTED_VALUE"""),138.91)</f>
        <v>138.91</v>
      </c>
      <c r="J574" s="3">
        <f ca="1">IFERROR(__xludf.DUMMYFUNCTION("""COMPUTED_VALUE"""),254.77)</f>
        <v>254.77</v>
      </c>
      <c r="K574" s="3">
        <f ca="1">IFERROR(__xludf.DUMMYFUNCTION("""COMPUTED_VALUE"""),129.58)</f>
        <v>129.58000000000001</v>
      </c>
      <c r="L574" s="3">
        <f ca="1">IFERROR(__xludf.DUMMYFUNCTION("""COMPUTED_VALUE"""),88.15)</f>
        <v>88.15</v>
      </c>
      <c r="M574" s="3">
        <f ca="1">IFERROR(__xludf.DUMMYFUNCTION("""COMPUTED_VALUE"""),61.33)</f>
        <v>61.33</v>
      </c>
      <c r="N574" s="3">
        <f ca="1">IFERROR(__xludf.DUMMYFUNCTION("""COMPUTED_VALUE"""),65.67)</f>
        <v>65.67</v>
      </c>
      <c r="O574" s="3">
        <f ca="1">IFERROR(__xludf.DUMMYFUNCTION("""COMPUTED_VALUE"""),42.2)</f>
        <v>42.2</v>
      </c>
      <c r="P574" s="3">
        <f ca="1">IFERROR(__xludf.DUMMYFUNCTION("""COMPUTED_VALUE"""),96.13)</f>
        <v>96.13</v>
      </c>
      <c r="Q574" s="3">
        <f ca="1">IFERROR(__xludf.DUMMYFUNCTION("""COMPUTED_VALUE"""),134.02)</f>
        <v>134.02000000000001</v>
      </c>
      <c r="R574" s="3">
        <f ca="1">IFERROR(__xludf.DUMMYFUNCTION("""COMPUTED_VALUE"""),89.92)</f>
        <v>89.92</v>
      </c>
      <c r="S574" s="3">
        <f ca="1">IFERROR(__xludf.DUMMYFUNCTION("""COMPUTED_VALUE"""),61.4)</f>
        <v>61.4</v>
      </c>
      <c r="T574" s="3">
        <f ca="1">IFERROR(__xludf.DUMMYFUNCTION("""COMPUTED_VALUE"""),23.72)</f>
        <v>23.72</v>
      </c>
      <c r="U574" s="3">
        <f ca="1">IFERROR(__xludf.DUMMYFUNCTION("""COMPUTED_VALUE"""),81.53)</f>
        <v>81.53</v>
      </c>
      <c r="V574" s="3">
        <f ca="1">IFERROR(__xludf.DUMMYFUNCTION("""COMPUTED_VALUE"""),41.99)</f>
        <v>41.99</v>
      </c>
      <c r="W574" s="3">
        <f ca="1">IFERROR(__xludf.DUMMYFUNCTION("""COMPUTED_VALUE"""),40.06)</f>
        <v>40.06</v>
      </c>
      <c r="X574" s="3">
        <f ca="1">IFERROR(__xludf.DUMMYFUNCTION("""COMPUTED_VALUE"""),97.18)</f>
        <v>97.18</v>
      </c>
      <c r="Y574" s="3">
        <f ca="1">IFERROR(__xludf.DUMMYFUNCTION("""COMPUTED_VALUE"""),43.79)</f>
        <v>43.79</v>
      </c>
      <c r="Z574" s="3">
        <f ca="1">IFERROR(__xludf.DUMMYFUNCTION("""COMPUTED_VALUE"""),90.55)</f>
        <v>90.55</v>
      </c>
      <c r="AA574" s="3">
        <f ca="1">IFERROR(__xludf.DUMMYFUNCTION("""COMPUTED_VALUE"""),37.24)</f>
        <v>37.24</v>
      </c>
      <c r="AB574" s="3">
        <f ca="1">IFERROR(__xludf.DUMMYFUNCTION("""COMPUTED_VALUE"""),46.52)</f>
        <v>46.52</v>
      </c>
      <c r="AC574" s="3">
        <f ca="1">IFERROR(__xludf.DUMMYFUNCTION("""COMPUTED_VALUE"""),62.48)</f>
        <v>62.48</v>
      </c>
      <c r="AD574" s="3">
        <f ca="1">IFERROR(__xludf.DUMMYFUNCTION("""COMPUTED_VALUE"""),19.38)</f>
        <v>19.38</v>
      </c>
      <c r="AE574" s="3">
        <f ca="1">IFERROR(__xludf.DUMMYFUNCTION("""COMPUTED_VALUE"""),29.28)</f>
        <v>29.28</v>
      </c>
      <c r="AF574" s="3">
        <f ca="1">IFERROR(__xludf.DUMMYFUNCTION("""COMPUTED_VALUE"""),4.88)</f>
        <v>4.88</v>
      </c>
      <c r="AG574" s="3">
        <f ca="1">IFERROR(__xludf.DUMMYFUNCTION("""COMPUTED_VALUE"""),40.88)</f>
        <v>40.880000000000003</v>
      </c>
    </row>
    <row r="575" spans="1:33" ht="12.75" x14ac:dyDescent="0.2">
      <c r="A575" s="4">
        <f ca="1">IFERROR(__xludf.DUMMYFUNCTION("""COMPUTED_VALUE"""),45397.6666666666)</f>
        <v>45397.666666666599</v>
      </c>
      <c r="B575" s="3">
        <f ca="1">IFERROR(__xludf.DUMMYFUNCTION("""COMPUTED_VALUE"""),201.52)</f>
        <v>201.52</v>
      </c>
      <c r="C575" s="3">
        <f ca="1">IFERROR(__xludf.DUMMYFUNCTION("""COMPUTED_VALUE"""),504.89)</f>
        <v>504.89</v>
      </c>
      <c r="D575" s="3">
        <f ca="1">IFERROR(__xludf.DUMMYFUNCTION("""COMPUTED_VALUE"""),128.41)</f>
        <v>128.41</v>
      </c>
      <c r="E575" s="3">
        <f ca="1">IFERROR(__xludf.DUMMYFUNCTION("""COMPUTED_VALUE"""),215.31)</f>
        <v>215.31</v>
      </c>
      <c r="F575" s="3">
        <f ca="1">IFERROR(__xludf.DUMMYFUNCTION("""COMPUTED_VALUE"""),61.34)</f>
        <v>61.34</v>
      </c>
      <c r="G575" s="3">
        <f ca="1">IFERROR(__xludf.DUMMYFUNCTION("""COMPUTED_VALUE"""),29.51)</f>
        <v>29.51</v>
      </c>
      <c r="H575" s="3">
        <f ca="1">IFERROR(__xludf.DUMMYFUNCTION("""COMPUTED_VALUE"""),27.29)</f>
        <v>27.29</v>
      </c>
      <c r="I575" s="3">
        <f ca="1">IFERROR(__xludf.DUMMYFUNCTION("""COMPUTED_VALUE"""),138.63)</f>
        <v>138.63</v>
      </c>
      <c r="J575" s="3">
        <f ca="1">IFERROR(__xludf.DUMMYFUNCTION("""COMPUTED_VALUE"""),253.59)</f>
        <v>253.59</v>
      </c>
      <c r="K575" s="3">
        <f ca="1">IFERROR(__xludf.DUMMYFUNCTION("""COMPUTED_VALUE"""),127.84)</f>
        <v>127.84</v>
      </c>
      <c r="L575" s="3">
        <f ca="1">IFERROR(__xludf.DUMMYFUNCTION("""COMPUTED_VALUE"""),86.35)</f>
        <v>86.35</v>
      </c>
      <c r="M575" s="3">
        <f ca="1">IFERROR(__xludf.DUMMYFUNCTION("""COMPUTED_VALUE"""),60.73)</f>
        <v>60.73</v>
      </c>
      <c r="N575" s="3">
        <f ca="1">IFERROR(__xludf.DUMMYFUNCTION("""COMPUTED_VALUE"""),65.44)</f>
        <v>65.44</v>
      </c>
      <c r="O575" s="3">
        <f ca="1">IFERROR(__xludf.DUMMYFUNCTION("""COMPUTED_VALUE"""),41)</f>
        <v>41</v>
      </c>
      <c r="P575" s="3">
        <f ca="1">IFERROR(__xludf.DUMMYFUNCTION("""COMPUTED_VALUE"""),95.23)</f>
        <v>95.23</v>
      </c>
      <c r="Q575" s="3">
        <f ca="1">IFERROR(__xludf.DUMMYFUNCTION("""COMPUTED_VALUE"""),132.67)</f>
        <v>132.66999999999999</v>
      </c>
      <c r="R575" s="3">
        <f ca="1">IFERROR(__xludf.DUMMYFUNCTION("""COMPUTED_VALUE"""),89.49)</f>
        <v>89.49</v>
      </c>
      <c r="S575" s="3">
        <f ca="1">IFERROR(__xludf.DUMMYFUNCTION("""COMPUTED_VALUE"""),61.25)</f>
        <v>61.25</v>
      </c>
      <c r="T575" s="3">
        <f ca="1">IFERROR(__xludf.DUMMYFUNCTION("""COMPUTED_VALUE"""),23.75)</f>
        <v>23.75</v>
      </c>
      <c r="U575" s="3">
        <f ca="1">IFERROR(__xludf.DUMMYFUNCTION("""COMPUTED_VALUE"""),81.65)</f>
        <v>81.650000000000006</v>
      </c>
      <c r="V575" s="3">
        <f ca="1">IFERROR(__xludf.DUMMYFUNCTION("""COMPUTED_VALUE"""),40.6)</f>
        <v>40.6</v>
      </c>
      <c r="W575" s="3">
        <f ca="1">IFERROR(__xludf.DUMMYFUNCTION("""COMPUTED_VALUE"""),39.86)</f>
        <v>39.86</v>
      </c>
      <c r="X575" s="3">
        <f ca="1">IFERROR(__xludf.DUMMYFUNCTION("""COMPUTED_VALUE"""),96.48)</f>
        <v>96.48</v>
      </c>
      <c r="Y575" s="3">
        <f ca="1">IFERROR(__xludf.DUMMYFUNCTION("""COMPUTED_VALUE"""),43.61)</f>
        <v>43.61</v>
      </c>
      <c r="Z575" s="3">
        <f ca="1">IFERROR(__xludf.DUMMYFUNCTION("""COMPUTED_VALUE"""),90)</f>
        <v>90</v>
      </c>
      <c r="AA575" s="3">
        <f ca="1">IFERROR(__xludf.DUMMYFUNCTION("""COMPUTED_VALUE"""),36.59)</f>
        <v>36.590000000000003</v>
      </c>
      <c r="AB575" s="3">
        <f ca="1">IFERROR(__xludf.DUMMYFUNCTION("""COMPUTED_VALUE"""),46.34)</f>
        <v>46.34</v>
      </c>
      <c r="AC575" s="3">
        <f ca="1">IFERROR(__xludf.DUMMYFUNCTION("""COMPUTED_VALUE"""),62.66)</f>
        <v>62.66</v>
      </c>
      <c r="AD575" s="3">
        <f ca="1">IFERROR(__xludf.DUMMYFUNCTION("""COMPUTED_VALUE"""),18.5)</f>
        <v>18.5</v>
      </c>
      <c r="AE575" s="3">
        <f ca="1">IFERROR(__xludf.DUMMYFUNCTION("""COMPUTED_VALUE"""),27.68)</f>
        <v>27.68</v>
      </c>
      <c r="AF575" s="3">
        <f ca="1">IFERROR(__xludf.DUMMYFUNCTION("""COMPUTED_VALUE"""),4.85)</f>
        <v>4.8499999999999996</v>
      </c>
      <c r="AG575" s="3">
        <f ca="1">IFERROR(__xludf.DUMMYFUNCTION("""COMPUTED_VALUE"""),38.46)</f>
        <v>38.46</v>
      </c>
    </row>
    <row r="576" spans="1:33" ht="12.75" x14ac:dyDescent="0.2">
      <c r="A576" s="4">
        <f ca="1">IFERROR(__xludf.DUMMYFUNCTION("""COMPUTED_VALUE"""),45398.6666666666)</f>
        <v>45398.666666666599</v>
      </c>
      <c r="B576" s="3">
        <f ca="1">IFERROR(__xludf.DUMMYFUNCTION("""COMPUTED_VALUE"""),201.76)</f>
        <v>201.76</v>
      </c>
      <c r="C576" s="3">
        <f ca="1">IFERROR(__xludf.DUMMYFUNCTION("""COMPUTED_VALUE"""),505.19)</f>
        <v>505.19</v>
      </c>
      <c r="D576" s="3">
        <f ca="1">IFERROR(__xludf.DUMMYFUNCTION("""COMPUTED_VALUE"""),124.75)</f>
        <v>124.75</v>
      </c>
      <c r="E576" s="3">
        <f ca="1">IFERROR(__xludf.DUMMYFUNCTION("""COMPUTED_VALUE"""),216.94)</f>
        <v>216.94</v>
      </c>
      <c r="F576" s="3">
        <f ca="1">IFERROR(__xludf.DUMMYFUNCTION("""COMPUTED_VALUE"""),61.25)</f>
        <v>61.25</v>
      </c>
      <c r="G576" s="3">
        <f ca="1">IFERROR(__xludf.DUMMYFUNCTION("""COMPUTED_VALUE"""),29.41)</f>
        <v>29.41</v>
      </c>
      <c r="H576" s="3">
        <f ca="1">IFERROR(__xludf.DUMMYFUNCTION("""COMPUTED_VALUE"""),27.27)</f>
        <v>27.27</v>
      </c>
      <c r="I576" s="3">
        <f ca="1">IFERROR(__xludf.DUMMYFUNCTION("""COMPUTED_VALUE"""),138.68)</f>
        <v>138.68</v>
      </c>
      <c r="J576" s="3">
        <f ca="1">IFERROR(__xludf.DUMMYFUNCTION("""COMPUTED_VALUE"""),253.81)</f>
        <v>253.81</v>
      </c>
      <c r="K576" s="3">
        <f ca="1">IFERROR(__xludf.DUMMYFUNCTION("""COMPUTED_VALUE"""),126.97)</f>
        <v>126.97</v>
      </c>
      <c r="L576" s="3">
        <f ca="1">IFERROR(__xludf.DUMMYFUNCTION("""COMPUTED_VALUE"""),85.61)</f>
        <v>85.61</v>
      </c>
      <c r="M576" s="3">
        <f ca="1">IFERROR(__xludf.DUMMYFUNCTION("""COMPUTED_VALUE"""),60.74)</f>
        <v>60.74</v>
      </c>
      <c r="N576" s="3">
        <f ca="1">IFERROR(__xludf.DUMMYFUNCTION("""COMPUTED_VALUE"""),65.35)</f>
        <v>65.349999999999994</v>
      </c>
      <c r="O576" s="3">
        <f ca="1">IFERROR(__xludf.DUMMYFUNCTION("""COMPUTED_VALUE"""),40)</f>
        <v>40</v>
      </c>
      <c r="P576" s="3">
        <f ca="1">IFERROR(__xludf.DUMMYFUNCTION("""COMPUTED_VALUE"""),94.4)</f>
        <v>94.4</v>
      </c>
      <c r="Q576" s="3">
        <f ca="1">IFERROR(__xludf.DUMMYFUNCTION("""COMPUTED_VALUE"""),131.57)</f>
        <v>131.57</v>
      </c>
      <c r="R576" s="3">
        <f ca="1">IFERROR(__xludf.DUMMYFUNCTION("""COMPUTED_VALUE"""),88.8)</f>
        <v>88.8</v>
      </c>
      <c r="S576" s="3">
        <f ca="1">IFERROR(__xludf.DUMMYFUNCTION("""COMPUTED_VALUE"""),61.36)</f>
        <v>61.36</v>
      </c>
      <c r="T576" s="3">
        <f ca="1">IFERROR(__xludf.DUMMYFUNCTION("""COMPUTED_VALUE"""),23.71)</f>
        <v>23.71</v>
      </c>
      <c r="U576" s="3">
        <f ca="1">IFERROR(__xludf.DUMMYFUNCTION("""COMPUTED_VALUE"""),81.33)</f>
        <v>81.33</v>
      </c>
      <c r="V576" s="3">
        <f ca="1">IFERROR(__xludf.DUMMYFUNCTION("""COMPUTED_VALUE"""),39.74)</f>
        <v>39.74</v>
      </c>
      <c r="W576" s="3">
        <f ca="1">IFERROR(__xludf.DUMMYFUNCTION("""COMPUTED_VALUE"""),39.59)</f>
        <v>39.590000000000003</v>
      </c>
      <c r="X576" s="3">
        <f ca="1">IFERROR(__xludf.DUMMYFUNCTION("""COMPUTED_VALUE"""),95.9)</f>
        <v>95.9</v>
      </c>
      <c r="Y576" s="3">
        <f ca="1">IFERROR(__xludf.DUMMYFUNCTION("""COMPUTED_VALUE"""),43.05)</f>
        <v>43.05</v>
      </c>
      <c r="Z576" s="3">
        <f ca="1">IFERROR(__xludf.DUMMYFUNCTION("""COMPUTED_VALUE"""),89.39)</f>
        <v>89.39</v>
      </c>
      <c r="AA576" s="3">
        <f ca="1">IFERROR(__xludf.DUMMYFUNCTION("""COMPUTED_VALUE"""),36.03)</f>
        <v>36.03</v>
      </c>
      <c r="AB576" s="3">
        <f ca="1">IFERROR(__xludf.DUMMYFUNCTION("""COMPUTED_VALUE"""),45.75)</f>
        <v>45.75</v>
      </c>
      <c r="AC576" s="3">
        <f ca="1">IFERROR(__xludf.DUMMYFUNCTION("""COMPUTED_VALUE"""),63.42)</f>
        <v>63.42</v>
      </c>
      <c r="AD576" s="3">
        <f ca="1">IFERROR(__xludf.DUMMYFUNCTION("""COMPUTED_VALUE"""),18.29)</f>
        <v>18.29</v>
      </c>
      <c r="AE576" s="3">
        <f ca="1">IFERROR(__xludf.DUMMYFUNCTION("""COMPUTED_VALUE"""),27.46)</f>
        <v>27.46</v>
      </c>
      <c r="AF576" s="3">
        <f ca="1">IFERROR(__xludf.DUMMYFUNCTION("""COMPUTED_VALUE"""),4.57)</f>
        <v>4.57</v>
      </c>
      <c r="AG576" s="3">
        <f ca="1">IFERROR(__xludf.DUMMYFUNCTION("""COMPUTED_VALUE"""),37.91)</f>
        <v>37.909999999999997</v>
      </c>
    </row>
    <row r="577" spans="1:33" ht="12.75" x14ac:dyDescent="0.2">
      <c r="A577" s="4">
        <f ca="1">IFERROR(__xludf.DUMMYFUNCTION("""COMPUTED_VALUE"""),45399.6666666666)</f>
        <v>45399.666666666599</v>
      </c>
      <c r="B577" s="3">
        <f ca="1">IFERROR(__xludf.DUMMYFUNCTION("""COMPUTED_VALUE"""),198.85)</f>
        <v>198.85</v>
      </c>
      <c r="C577" s="3">
        <f ca="1">IFERROR(__xludf.DUMMYFUNCTION("""COMPUTED_VALUE"""),497.69)</f>
        <v>497.69</v>
      </c>
      <c r="D577" s="3">
        <f ca="1">IFERROR(__xludf.DUMMYFUNCTION("""COMPUTED_VALUE"""),126.24)</f>
        <v>126.24</v>
      </c>
      <c r="E577" s="3">
        <f ca="1">IFERROR(__xludf.DUMMYFUNCTION("""COMPUTED_VALUE"""),210.36)</f>
        <v>210.36</v>
      </c>
      <c r="F577" s="3">
        <f ca="1">IFERROR(__xludf.DUMMYFUNCTION("""COMPUTED_VALUE"""),60.62)</f>
        <v>60.62</v>
      </c>
      <c r="G577" s="3">
        <f ca="1">IFERROR(__xludf.DUMMYFUNCTION("""COMPUTED_VALUE"""),29.08)</f>
        <v>29.08</v>
      </c>
      <c r="H577" s="3">
        <f ca="1">IFERROR(__xludf.DUMMYFUNCTION("""COMPUTED_VALUE"""),27.08)</f>
        <v>27.08</v>
      </c>
      <c r="I577" s="3">
        <f ca="1">IFERROR(__xludf.DUMMYFUNCTION("""COMPUTED_VALUE"""),138.44)</f>
        <v>138.44</v>
      </c>
      <c r="J577" s="3">
        <f ca="1">IFERROR(__xludf.DUMMYFUNCTION("""COMPUTED_VALUE"""),253.13)</f>
        <v>253.13</v>
      </c>
      <c r="K577" s="3">
        <f ca="1">IFERROR(__xludf.DUMMYFUNCTION("""COMPUTED_VALUE"""),125.89)</f>
        <v>125.89</v>
      </c>
      <c r="L577" s="3">
        <f ca="1">IFERROR(__xludf.DUMMYFUNCTION("""COMPUTED_VALUE"""),84.65)</f>
        <v>84.65</v>
      </c>
      <c r="M577" s="3">
        <f ca="1">IFERROR(__xludf.DUMMYFUNCTION("""COMPUTED_VALUE"""),60.56)</f>
        <v>60.56</v>
      </c>
      <c r="N577" s="3">
        <f ca="1">IFERROR(__xludf.DUMMYFUNCTION("""COMPUTED_VALUE"""),65.18)</f>
        <v>65.180000000000007</v>
      </c>
      <c r="O577" s="3">
        <f ca="1">IFERROR(__xludf.DUMMYFUNCTION("""COMPUTED_VALUE"""),39.55)</f>
        <v>39.549999999999997</v>
      </c>
      <c r="P577" s="3">
        <f ca="1">IFERROR(__xludf.DUMMYFUNCTION("""COMPUTED_VALUE"""),94.13)</f>
        <v>94.13</v>
      </c>
      <c r="Q577" s="3">
        <f ca="1">IFERROR(__xludf.DUMMYFUNCTION("""COMPUTED_VALUE"""),130.97)</f>
        <v>130.97</v>
      </c>
      <c r="R577" s="3">
        <f ca="1">IFERROR(__xludf.DUMMYFUNCTION("""COMPUTED_VALUE"""),89)</f>
        <v>89</v>
      </c>
      <c r="S577" s="3">
        <f ca="1">IFERROR(__xludf.DUMMYFUNCTION("""COMPUTED_VALUE"""),61.27)</f>
        <v>61.27</v>
      </c>
      <c r="T577" s="3">
        <f ca="1">IFERROR(__xludf.DUMMYFUNCTION("""COMPUTED_VALUE"""),23.34)</f>
        <v>23.34</v>
      </c>
      <c r="U577" s="3">
        <f ca="1">IFERROR(__xludf.DUMMYFUNCTION("""COMPUTED_VALUE"""),78.91)</f>
        <v>78.91</v>
      </c>
      <c r="V577" s="3">
        <f ca="1">IFERROR(__xludf.DUMMYFUNCTION("""COMPUTED_VALUE"""),40.1)</f>
        <v>40.1</v>
      </c>
      <c r="W577" s="3">
        <f ca="1">IFERROR(__xludf.DUMMYFUNCTION("""COMPUTED_VALUE"""),39.69)</f>
        <v>39.69</v>
      </c>
      <c r="X577" s="3">
        <f ca="1">IFERROR(__xludf.DUMMYFUNCTION("""COMPUTED_VALUE"""),96.03)</f>
        <v>96.03</v>
      </c>
      <c r="Y577" s="3">
        <f ca="1">IFERROR(__xludf.DUMMYFUNCTION("""COMPUTED_VALUE"""),43.1)</f>
        <v>43.1</v>
      </c>
      <c r="Z577" s="3">
        <f ca="1">IFERROR(__xludf.DUMMYFUNCTION("""COMPUTED_VALUE"""),89.49)</f>
        <v>89.49</v>
      </c>
      <c r="AA577" s="3">
        <f ca="1">IFERROR(__xludf.DUMMYFUNCTION("""COMPUTED_VALUE"""),35.73)</f>
        <v>35.729999999999997</v>
      </c>
      <c r="AB577" s="3">
        <f ca="1">IFERROR(__xludf.DUMMYFUNCTION("""COMPUTED_VALUE"""),45.83)</f>
        <v>45.83</v>
      </c>
      <c r="AC577" s="3">
        <f ca="1">IFERROR(__xludf.DUMMYFUNCTION("""COMPUTED_VALUE"""),64.37)</f>
        <v>64.37</v>
      </c>
      <c r="AD577" s="3">
        <f ca="1">IFERROR(__xludf.DUMMYFUNCTION("""COMPUTED_VALUE"""),17.88)</f>
        <v>17.88</v>
      </c>
      <c r="AE577" s="3">
        <f ca="1">IFERROR(__xludf.DUMMYFUNCTION("""COMPUTED_VALUE"""),26.64)</f>
        <v>26.64</v>
      </c>
      <c r="AF577" s="3">
        <f ca="1">IFERROR(__xludf.DUMMYFUNCTION("""COMPUTED_VALUE"""),4.35)</f>
        <v>4.3499999999999996</v>
      </c>
      <c r="AG577" s="3">
        <f ca="1">IFERROR(__xludf.DUMMYFUNCTION("""COMPUTED_VALUE"""),37.96)</f>
        <v>37.96</v>
      </c>
    </row>
    <row r="578" spans="1:33" ht="12.75" x14ac:dyDescent="0.2">
      <c r="A578" s="4">
        <f ca="1">IFERROR(__xludf.DUMMYFUNCTION("""COMPUTED_VALUE"""),45400.6666666666)</f>
        <v>45400.666666666599</v>
      </c>
      <c r="B578" s="3">
        <f ca="1">IFERROR(__xludf.DUMMYFUNCTION("""COMPUTED_VALUE"""),196.58)</f>
        <v>196.58</v>
      </c>
      <c r="C578" s="3">
        <f ca="1">IFERROR(__xludf.DUMMYFUNCTION("""COMPUTED_VALUE"""),492.97)</f>
        <v>492.97</v>
      </c>
      <c r="D578" s="3">
        <f ca="1">IFERROR(__xludf.DUMMYFUNCTION("""COMPUTED_VALUE"""),128.52)</f>
        <v>128.52000000000001</v>
      </c>
      <c r="E578" s="3">
        <f ca="1">IFERROR(__xludf.DUMMYFUNCTION("""COMPUTED_VALUE"""),206.63)</f>
        <v>206.63</v>
      </c>
      <c r="F578" s="3">
        <f ca="1">IFERROR(__xludf.DUMMYFUNCTION("""COMPUTED_VALUE"""),60.48)</f>
        <v>60.48</v>
      </c>
      <c r="G578" s="3">
        <f ca="1">IFERROR(__xludf.DUMMYFUNCTION("""COMPUTED_VALUE"""),29.24)</f>
        <v>29.24</v>
      </c>
      <c r="H578" s="3">
        <f ca="1">IFERROR(__xludf.DUMMYFUNCTION("""COMPUTED_VALUE"""),26.93)</f>
        <v>26.93</v>
      </c>
      <c r="I578" s="3">
        <f ca="1">IFERROR(__xludf.DUMMYFUNCTION("""COMPUTED_VALUE"""),138.43)</f>
        <v>138.43</v>
      </c>
      <c r="J578" s="3">
        <f ca="1">IFERROR(__xludf.DUMMYFUNCTION("""COMPUTED_VALUE"""),252.83)</f>
        <v>252.83</v>
      </c>
      <c r="K578" s="3">
        <f ca="1">IFERROR(__xludf.DUMMYFUNCTION("""COMPUTED_VALUE"""),124.64)</f>
        <v>124.64</v>
      </c>
      <c r="L578" s="3">
        <f ca="1">IFERROR(__xludf.DUMMYFUNCTION("""COMPUTED_VALUE"""),83.48)</f>
        <v>83.48</v>
      </c>
      <c r="M578" s="3">
        <f ca="1">IFERROR(__xludf.DUMMYFUNCTION("""COMPUTED_VALUE"""),59.62)</f>
        <v>59.62</v>
      </c>
      <c r="N578" s="3">
        <f ca="1">IFERROR(__xludf.DUMMYFUNCTION("""COMPUTED_VALUE"""),65.13)</f>
        <v>65.13</v>
      </c>
      <c r="O578" s="3">
        <f ca="1">IFERROR(__xludf.DUMMYFUNCTION("""COMPUTED_VALUE"""),39.12)</f>
        <v>39.119999999999997</v>
      </c>
      <c r="P578" s="3">
        <f ca="1">IFERROR(__xludf.DUMMYFUNCTION("""COMPUTED_VALUE"""),93.84)</f>
        <v>93.84</v>
      </c>
      <c r="Q578" s="3">
        <f ca="1">IFERROR(__xludf.DUMMYFUNCTION("""COMPUTED_VALUE"""),130.68)</f>
        <v>130.68</v>
      </c>
      <c r="R578" s="3">
        <f ca="1">IFERROR(__xludf.DUMMYFUNCTION("""COMPUTED_VALUE"""),89.03)</f>
        <v>89.03</v>
      </c>
      <c r="S578" s="3">
        <f ca="1">IFERROR(__xludf.DUMMYFUNCTION("""COMPUTED_VALUE"""),60.97)</f>
        <v>60.97</v>
      </c>
      <c r="T578" s="3">
        <f ca="1">IFERROR(__xludf.DUMMYFUNCTION("""COMPUTED_VALUE"""),23.33)</f>
        <v>23.33</v>
      </c>
      <c r="U578" s="3">
        <f ca="1">IFERROR(__xludf.DUMMYFUNCTION("""COMPUTED_VALUE"""),78.78)</f>
        <v>78.78</v>
      </c>
      <c r="V578" s="3">
        <f ca="1">IFERROR(__xludf.DUMMYFUNCTION("""COMPUTED_VALUE"""),39.7)</f>
        <v>39.700000000000003</v>
      </c>
      <c r="W578" s="3">
        <f ca="1">IFERROR(__xludf.DUMMYFUNCTION("""COMPUTED_VALUE"""),39.83)</f>
        <v>39.83</v>
      </c>
      <c r="X578" s="3">
        <f ca="1">IFERROR(__xludf.DUMMYFUNCTION("""COMPUTED_VALUE"""),96.4)</f>
        <v>96.4</v>
      </c>
      <c r="Y578" s="3">
        <f ca="1">IFERROR(__xludf.DUMMYFUNCTION("""COMPUTED_VALUE"""),43.4)</f>
        <v>43.4</v>
      </c>
      <c r="Z578" s="3">
        <f ca="1">IFERROR(__xludf.DUMMYFUNCTION("""COMPUTED_VALUE"""),90.04)</f>
        <v>90.04</v>
      </c>
      <c r="AA578" s="3">
        <f ca="1">IFERROR(__xludf.DUMMYFUNCTION("""COMPUTED_VALUE"""),35.74)</f>
        <v>35.74</v>
      </c>
      <c r="AB578" s="3">
        <f ca="1">IFERROR(__xludf.DUMMYFUNCTION("""COMPUTED_VALUE"""),46.11)</f>
        <v>46.11</v>
      </c>
      <c r="AC578" s="3">
        <f ca="1">IFERROR(__xludf.DUMMYFUNCTION("""COMPUTED_VALUE"""),64.88)</f>
        <v>64.88</v>
      </c>
      <c r="AD578" s="3">
        <f ca="1">IFERROR(__xludf.DUMMYFUNCTION("""COMPUTED_VALUE"""),18.42)</f>
        <v>18.420000000000002</v>
      </c>
      <c r="AE578" s="3">
        <f ca="1">IFERROR(__xludf.DUMMYFUNCTION("""COMPUTED_VALUE"""),27.77)</f>
        <v>27.77</v>
      </c>
      <c r="AF578" s="3">
        <f ca="1">IFERROR(__xludf.DUMMYFUNCTION("""COMPUTED_VALUE"""),4.35)</f>
        <v>4.3499999999999996</v>
      </c>
      <c r="AG578" s="3">
        <f ca="1">IFERROR(__xludf.DUMMYFUNCTION("""COMPUTED_VALUE"""),39.27)</f>
        <v>39.270000000000003</v>
      </c>
    </row>
    <row r="579" spans="1:33" ht="12.75" x14ac:dyDescent="0.2">
      <c r="A579" s="4">
        <f ca="1">IFERROR(__xludf.DUMMYFUNCTION("""COMPUTED_VALUE"""),45401.6666666666)</f>
        <v>45401.666666666599</v>
      </c>
      <c r="B579" s="3">
        <f ca="1">IFERROR(__xludf.DUMMYFUNCTION("""COMPUTED_VALUE"""),192.53)</f>
        <v>192.53</v>
      </c>
      <c r="C579" s="3">
        <f ca="1">IFERROR(__xludf.DUMMYFUNCTION("""COMPUTED_VALUE"""),479.9)</f>
        <v>479.9</v>
      </c>
      <c r="D579" s="3">
        <f ca="1">IFERROR(__xludf.DUMMYFUNCTION("""COMPUTED_VALUE"""),128.84)</f>
        <v>128.84</v>
      </c>
      <c r="E579" s="3">
        <f ca="1">IFERROR(__xludf.DUMMYFUNCTION("""COMPUTED_VALUE"""),198.39)</f>
        <v>198.39</v>
      </c>
      <c r="F579" s="3">
        <f ca="1">IFERROR(__xludf.DUMMYFUNCTION("""COMPUTED_VALUE"""),60.03)</f>
        <v>60.03</v>
      </c>
      <c r="G579" s="3">
        <f ca="1">IFERROR(__xludf.DUMMYFUNCTION("""COMPUTED_VALUE"""),28.65)</f>
        <v>28.65</v>
      </c>
      <c r="H579" s="3">
        <f ca="1">IFERROR(__xludf.DUMMYFUNCTION("""COMPUTED_VALUE"""),26.6)</f>
        <v>26.6</v>
      </c>
      <c r="I579" s="3">
        <f ca="1">IFERROR(__xludf.DUMMYFUNCTION("""COMPUTED_VALUE"""),138.95)</f>
        <v>138.94999999999999</v>
      </c>
      <c r="J579" s="3">
        <f ca="1">IFERROR(__xludf.DUMMYFUNCTION("""COMPUTED_VALUE"""),253.33)</f>
        <v>253.33</v>
      </c>
      <c r="K579" s="3">
        <f ca="1">IFERROR(__xludf.DUMMYFUNCTION("""COMPUTED_VALUE"""),124.72)</f>
        <v>124.72</v>
      </c>
      <c r="L579" s="3">
        <f ca="1">IFERROR(__xludf.DUMMYFUNCTION("""COMPUTED_VALUE"""),82.83)</f>
        <v>82.83</v>
      </c>
      <c r="M579" s="3">
        <f ca="1">IFERROR(__xludf.DUMMYFUNCTION("""COMPUTED_VALUE"""),59.85)</f>
        <v>59.85</v>
      </c>
      <c r="N579" s="3">
        <f ca="1">IFERROR(__xludf.DUMMYFUNCTION("""COMPUTED_VALUE"""),65.37)</f>
        <v>65.37</v>
      </c>
      <c r="O579" s="3">
        <f ca="1">IFERROR(__xludf.DUMMYFUNCTION("""COMPUTED_VALUE"""),38.72)</f>
        <v>38.72</v>
      </c>
      <c r="P579" s="3">
        <f ca="1">IFERROR(__xludf.DUMMYFUNCTION("""COMPUTED_VALUE"""),94.97)</f>
        <v>94.97</v>
      </c>
      <c r="Q579" s="3">
        <f ca="1">IFERROR(__xludf.DUMMYFUNCTION("""COMPUTED_VALUE"""),132.25)</f>
        <v>132.25</v>
      </c>
      <c r="R579" s="3">
        <f ca="1">IFERROR(__xludf.DUMMYFUNCTION("""COMPUTED_VALUE"""),88.96)</f>
        <v>88.96</v>
      </c>
      <c r="S579" s="3">
        <f ca="1">IFERROR(__xludf.DUMMYFUNCTION("""COMPUTED_VALUE"""),60.9)</f>
        <v>60.9</v>
      </c>
      <c r="T579" s="3">
        <f ca="1">IFERROR(__xludf.DUMMYFUNCTION("""COMPUTED_VALUE"""),23.44)</f>
        <v>23.44</v>
      </c>
      <c r="U579" s="3">
        <f ca="1">IFERROR(__xludf.DUMMYFUNCTION("""COMPUTED_VALUE"""),78.85)</f>
        <v>78.849999999999994</v>
      </c>
      <c r="V579" s="3">
        <f ca="1">IFERROR(__xludf.DUMMYFUNCTION("""COMPUTED_VALUE"""),39.59)</f>
        <v>39.590000000000003</v>
      </c>
      <c r="W579" s="3">
        <f ca="1">IFERROR(__xludf.DUMMYFUNCTION("""COMPUTED_VALUE"""),40.38)</f>
        <v>40.380000000000003</v>
      </c>
      <c r="X579" s="3">
        <f ca="1">IFERROR(__xludf.DUMMYFUNCTION("""COMPUTED_VALUE"""),97.75)</f>
        <v>97.75</v>
      </c>
      <c r="Y579" s="3">
        <f ca="1">IFERROR(__xludf.DUMMYFUNCTION("""COMPUTED_VALUE"""),44.41)</f>
        <v>44.41</v>
      </c>
      <c r="Z579" s="3">
        <f ca="1">IFERROR(__xludf.DUMMYFUNCTION("""COMPUTED_VALUE"""),91.3)</f>
        <v>91.3</v>
      </c>
      <c r="AA579" s="3">
        <f ca="1">IFERROR(__xludf.DUMMYFUNCTION("""COMPUTED_VALUE"""),35.88)</f>
        <v>35.880000000000003</v>
      </c>
      <c r="AB579" s="3">
        <f ca="1">IFERROR(__xludf.DUMMYFUNCTION("""COMPUTED_VALUE"""),47.32)</f>
        <v>47.32</v>
      </c>
      <c r="AC579" s="3">
        <f ca="1">IFERROR(__xludf.DUMMYFUNCTION("""COMPUTED_VALUE"""),64.91)</f>
        <v>64.91</v>
      </c>
      <c r="AD579" s="3">
        <f ca="1">IFERROR(__xludf.DUMMYFUNCTION("""COMPUTED_VALUE"""),18.68)</f>
        <v>18.68</v>
      </c>
      <c r="AE579" s="3">
        <f ca="1">IFERROR(__xludf.DUMMYFUNCTION("""COMPUTED_VALUE"""),28.1)</f>
        <v>28.1</v>
      </c>
      <c r="AF579" s="3">
        <f ca="1">IFERROR(__xludf.DUMMYFUNCTION("""COMPUTED_VALUE"""),4.26)</f>
        <v>4.26</v>
      </c>
      <c r="AG579" s="3">
        <f ca="1">IFERROR(__xludf.DUMMYFUNCTION("""COMPUTED_VALUE"""),40.48)</f>
        <v>40.479999999999997</v>
      </c>
    </row>
    <row r="580" spans="1:33" ht="12.75" x14ac:dyDescent="0.2">
      <c r="A580" s="4">
        <f ca="1">IFERROR(__xludf.DUMMYFUNCTION("""COMPUTED_VALUE"""),45404.6666666666)</f>
        <v>45404.666666666599</v>
      </c>
      <c r="B580" s="3">
        <f ca="1">IFERROR(__xludf.DUMMYFUNCTION("""COMPUTED_VALUE"""),194.25)</f>
        <v>194.25</v>
      </c>
      <c r="C580" s="3">
        <f ca="1">IFERROR(__xludf.DUMMYFUNCTION("""COMPUTED_VALUE"""),486.46)</f>
        <v>486.46</v>
      </c>
      <c r="D580" s="3">
        <f ca="1">IFERROR(__xludf.DUMMYFUNCTION("""COMPUTED_VALUE"""),128.2)</f>
        <v>128.19999999999999</v>
      </c>
      <c r="E580" s="3">
        <f ca="1">IFERROR(__xludf.DUMMYFUNCTION("""COMPUTED_VALUE"""),201.66)</f>
        <v>201.66</v>
      </c>
      <c r="F580" s="3">
        <f ca="1">IFERROR(__xludf.DUMMYFUNCTION("""COMPUTED_VALUE"""),60.74)</f>
        <v>60.74</v>
      </c>
      <c r="G580" s="3">
        <f ca="1">IFERROR(__xludf.DUMMYFUNCTION("""COMPUTED_VALUE"""),29.11)</f>
        <v>29.11</v>
      </c>
      <c r="H580" s="3">
        <f ca="1">IFERROR(__xludf.DUMMYFUNCTION("""COMPUTED_VALUE"""),26.85)</f>
        <v>26.85</v>
      </c>
      <c r="I580" s="3">
        <f ca="1">IFERROR(__xludf.DUMMYFUNCTION("""COMPUTED_VALUE"""),139.48)</f>
        <v>139.47999999999999</v>
      </c>
      <c r="J580" s="3">
        <f ca="1">IFERROR(__xludf.DUMMYFUNCTION("""COMPUTED_VALUE"""),254.53)</f>
        <v>254.53</v>
      </c>
      <c r="K580" s="3">
        <f ca="1">IFERROR(__xludf.DUMMYFUNCTION("""COMPUTED_VALUE"""),126.11)</f>
        <v>126.11</v>
      </c>
      <c r="L580" s="3">
        <f ca="1">IFERROR(__xludf.DUMMYFUNCTION("""COMPUTED_VALUE"""),83.75)</f>
        <v>83.75</v>
      </c>
      <c r="M580" s="3">
        <f ca="1">IFERROR(__xludf.DUMMYFUNCTION("""COMPUTED_VALUE"""),60.4)</f>
        <v>60.4</v>
      </c>
      <c r="N580" s="3">
        <f ca="1">IFERROR(__xludf.DUMMYFUNCTION("""COMPUTED_VALUE"""),65.6)</f>
        <v>65.599999999999994</v>
      </c>
      <c r="O580" s="3">
        <f ca="1">IFERROR(__xludf.DUMMYFUNCTION("""COMPUTED_VALUE"""),39.56)</f>
        <v>39.56</v>
      </c>
      <c r="P580" s="3">
        <f ca="1">IFERROR(__xludf.DUMMYFUNCTION("""COMPUTED_VALUE"""),95.59)</f>
        <v>95.59</v>
      </c>
      <c r="Q580" s="3">
        <f ca="1">IFERROR(__xludf.DUMMYFUNCTION("""COMPUTED_VALUE"""),133.2)</f>
        <v>133.19999999999999</v>
      </c>
      <c r="R580" s="3">
        <f ca="1">IFERROR(__xludf.DUMMYFUNCTION("""COMPUTED_VALUE"""),89.05)</f>
        <v>89.05</v>
      </c>
      <c r="S580" s="3">
        <f ca="1">IFERROR(__xludf.DUMMYFUNCTION("""COMPUTED_VALUE"""),60.35)</f>
        <v>60.35</v>
      </c>
      <c r="T580" s="3">
        <f ca="1">IFERROR(__xludf.DUMMYFUNCTION("""COMPUTED_VALUE"""),23.44)</f>
        <v>23.44</v>
      </c>
      <c r="U580" s="3">
        <f ca="1">IFERROR(__xludf.DUMMYFUNCTION("""COMPUTED_VALUE"""),78.78)</f>
        <v>78.78</v>
      </c>
      <c r="V580" s="3">
        <f ca="1">IFERROR(__xludf.DUMMYFUNCTION("""COMPUTED_VALUE"""),39.95)</f>
        <v>39.950000000000003</v>
      </c>
      <c r="W580" s="3">
        <f ca="1">IFERROR(__xludf.DUMMYFUNCTION("""COMPUTED_VALUE"""),40.87)</f>
        <v>40.869999999999997</v>
      </c>
      <c r="X580" s="3">
        <f ca="1">IFERROR(__xludf.DUMMYFUNCTION("""COMPUTED_VALUE"""),99.06)</f>
        <v>99.06</v>
      </c>
      <c r="Y580" s="3">
        <f ca="1">IFERROR(__xludf.DUMMYFUNCTION("""COMPUTED_VALUE"""),45.17)</f>
        <v>45.17</v>
      </c>
      <c r="Z580" s="3">
        <f ca="1">IFERROR(__xludf.DUMMYFUNCTION("""COMPUTED_VALUE"""),92.67)</f>
        <v>92.67</v>
      </c>
      <c r="AA580" s="3">
        <f ca="1">IFERROR(__xludf.DUMMYFUNCTION("""COMPUTED_VALUE"""),36.17)</f>
        <v>36.17</v>
      </c>
      <c r="AB580" s="3">
        <f ca="1">IFERROR(__xludf.DUMMYFUNCTION("""COMPUTED_VALUE"""),48.18)</f>
        <v>48.18</v>
      </c>
      <c r="AC580" s="3">
        <f ca="1">IFERROR(__xludf.DUMMYFUNCTION("""COMPUTED_VALUE"""),64.56)</f>
        <v>64.56</v>
      </c>
      <c r="AD580" s="3">
        <f ca="1">IFERROR(__xludf.DUMMYFUNCTION("""COMPUTED_VALUE"""),19.2)</f>
        <v>19.2</v>
      </c>
      <c r="AE580" s="3">
        <f ca="1">IFERROR(__xludf.DUMMYFUNCTION("""COMPUTED_VALUE"""),29.03)</f>
        <v>29.03</v>
      </c>
      <c r="AF580" s="3">
        <f ca="1">IFERROR(__xludf.DUMMYFUNCTION("""COMPUTED_VALUE"""),4.24)</f>
        <v>4.24</v>
      </c>
      <c r="AG580" s="3">
        <f ca="1">IFERROR(__xludf.DUMMYFUNCTION("""COMPUTED_VALUE"""),44.19)</f>
        <v>44.19</v>
      </c>
    </row>
    <row r="581" spans="1:33" ht="12.75" x14ac:dyDescent="0.2">
      <c r="A581" s="4">
        <f ca="1">IFERROR(__xludf.DUMMYFUNCTION("""COMPUTED_VALUE"""),45405.6666666666)</f>
        <v>45405.666666666599</v>
      </c>
      <c r="B581" s="3">
        <f ca="1">IFERROR(__xludf.DUMMYFUNCTION("""COMPUTED_VALUE"""),197.13)</f>
        <v>197.13</v>
      </c>
      <c r="C581" s="3">
        <f ca="1">IFERROR(__xludf.DUMMYFUNCTION("""COMPUTED_VALUE"""),494.45)</f>
        <v>494.45</v>
      </c>
      <c r="D581" s="3">
        <f ca="1">IFERROR(__xludf.DUMMYFUNCTION("""COMPUTED_VALUE"""),130.95)</f>
        <v>130.94999999999999</v>
      </c>
      <c r="E581" s="3">
        <f ca="1">IFERROR(__xludf.DUMMYFUNCTION("""COMPUTED_VALUE"""),205.87)</f>
        <v>205.87</v>
      </c>
      <c r="F581" s="3">
        <f ca="1">IFERROR(__xludf.DUMMYFUNCTION("""COMPUTED_VALUE"""),62.03)</f>
        <v>62.03</v>
      </c>
      <c r="G581" s="3">
        <f ca="1">IFERROR(__xludf.DUMMYFUNCTION("""COMPUTED_VALUE"""),29.64)</f>
        <v>29.64</v>
      </c>
      <c r="H581" s="3">
        <f ca="1">IFERROR(__xludf.DUMMYFUNCTION("""COMPUTED_VALUE"""),27.25)</f>
        <v>27.25</v>
      </c>
      <c r="I581" s="3">
        <f ca="1">IFERROR(__xludf.DUMMYFUNCTION("""COMPUTED_VALUE"""),141.3)</f>
        <v>141.30000000000001</v>
      </c>
      <c r="J581" s="3">
        <f ca="1">IFERROR(__xludf.DUMMYFUNCTION("""COMPUTED_VALUE"""),257.82)</f>
        <v>257.82</v>
      </c>
      <c r="K581" s="3">
        <f ca="1">IFERROR(__xludf.DUMMYFUNCTION("""COMPUTED_VALUE"""),128.02)</f>
        <v>128.02000000000001</v>
      </c>
      <c r="L581" s="3">
        <f ca="1">IFERROR(__xludf.DUMMYFUNCTION("""COMPUTED_VALUE"""),84.69)</f>
        <v>84.69</v>
      </c>
      <c r="M581" s="3">
        <f ca="1">IFERROR(__xludf.DUMMYFUNCTION("""COMPUTED_VALUE"""),61.15)</f>
        <v>61.15</v>
      </c>
      <c r="N581" s="3">
        <f ca="1">IFERROR(__xludf.DUMMYFUNCTION("""COMPUTED_VALUE"""),66.51)</f>
        <v>66.510000000000005</v>
      </c>
      <c r="O581" s="3">
        <f ca="1">IFERROR(__xludf.DUMMYFUNCTION("""COMPUTED_VALUE"""),40.1)</f>
        <v>40.1</v>
      </c>
      <c r="P581" s="3">
        <f ca="1">IFERROR(__xludf.DUMMYFUNCTION("""COMPUTED_VALUE"""),96.12)</f>
        <v>96.12</v>
      </c>
      <c r="Q581" s="3">
        <f ca="1">IFERROR(__xludf.DUMMYFUNCTION("""COMPUTED_VALUE"""),133.71)</f>
        <v>133.71</v>
      </c>
      <c r="R581" s="3">
        <f ca="1">IFERROR(__xludf.DUMMYFUNCTION("""COMPUTED_VALUE"""),88.28)</f>
        <v>88.28</v>
      </c>
      <c r="S581" s="3">
        <f ca="1">IFERROR(__xludf.DUMMYFUNCTION("""COMPUTED_VALUE"""),59.5)</f>
        <v>59.5</v>
      </c>
      <c r="T581" s="3">
        <f ca="1">IFERROR(__xludf.DUMMYFUNCTION("""COMPUTED_VALUE"""),23.54)</f>
        <v>23.54</v>
      </c>
      <c r="U581" s="3">
        <f ca="1">IFERROR(__xludf.DUMMYFUNCTION("""COMPUTED_VALUE"""),79.98)</f>
        <v>79.98</v>
      </c>
      <c r="V581" s="3">
        <f ca="1">IFERROR(__xludf.DUMMYFUNCTION("""COMPUTED_VALUE"""),40.5)</f>
        <v>40.5</v>
      </c>
      <c r="W581" s="3">
        <f ca="1">IFERROR(__xludf.DUMMYFUNCTION("""COMPUTED_VALUE"""),41.13)</f>
        <v>41.13</v>
      </c>
      <c r="X581" s="3">
        <f ca="1">IFERROR(__xludf.DUMMYFUNCTION("""COMPUTED_VALUE"""),99.82)</f>
        <v>99.82</v>
      </c>
      <c r="Y581" s="3">
        <f ca="1">IFERROR(__xludf.DUMMYFUNCTION("""COMPUTED_VALUE"""),45.64)</f>
        <v>45.64</v>
      </c>
      <c r="Z581" s="3">
        <f ca="1">IFERROR(__xludf.DUMMYFUNCTION("""COMPUTED_VALUE"""),93.15)</f>
        <v>93.15</v>
      </c>
      <c r="AA581" s="3">
        <f ca="1">IFERROR(__xludf.DUMMYFUNCTION("""COMPUTED_VALUE"""),36.5)</f>
        <v>36.5</v>
      </c>
      <c r="AB581" s="3">
        <f ca="1">IFERROR(__xludf.DUMMYFUNCTION("""COMPUTED_VALUE"""),48.73)</f>
        <v>48.73</v>
      </c>
      <c r="AC581" s="3">
        <f ca="1">IFERROR(__xludf.DUMMYFUNCTION("""COMPUTED_VALUE"""),64.54)</f>
        <v>64.540000000000006</v>
      </c>
      <c r="AD581" s="3">
        <f ca="1">IFERROR(__xludf.DUMMYFUNCTION("""COMPUTED_VALUE"""),19.3)</f>
        <v>19.3</v>
      </c>
      <c r="AE581" s="3">
        <f ca="1">IFERROR(__xludf.DUMMYFUNCTION("""COMPUTED_VALUE"""),29.01)</f>
        <v>29.01</v>
      </c>
      <c r="AF581" s="3">
        <f ca="1">IFERROR(__xludf.DUMMYFUNCTION("""COMPUTED_VALUE"""),4.6)</f>
        <v>4.5999999999999996</v>
      </c>
      <c r="AG581" s="3">
        <f ca="1">IFERROR(__xludf.DUMMYFUNCTION("""COMPUTED_VALUE"""),46.49)</f>
        <v>46.49</v>
      </c>
    </row>
    <row r="582" spans="1:33" ht="12.75" x14ac:dyDescent="0.2">
      <c r="A582" s="4">
        <f ca="1">IFERROR(__xludf.DUMMYFUNCTION("""COMPUTED_VALUE"""),45406.6666666666)</f>
        <v>45406.666666666599</v>
      </c>
      <c r="B582" s="3">
        <f ca="1">IFERROR(__xludf.DUMMYFUNCTION("""COMPUTED_VALUE"""),198.03)</f>
        <v>198.03</v>
      </c>
      <c r="C582" s="3">
        <f ca="1">IFERROR(__xludf.DUMMYFUNCTION("""COMPUTED_VALUE"""),495.24)</f>
        <v>495.24</v>
      </c>
      <c r="D582" s="3">
        <f ca="1">IFERROR(__xludf.DUMMYFUNCTION("""COMPUTED_VALUE"""),131.04)</f>
        <v>131.04</v>
      </c>
      <c r="E582" s="3">
        <f ca="1">IFERROR(__xludf.DUMMYFUNCTION("""COMPUTED_VALUE"""),208.54)</f>
        <v>208.54</v>
      </c>
      <c r="F582" s="3">
        <f ca="1">IFERROR(__xludf.DUMMYFUNCTION("""COMPUTED_VALUE"""),62.06)</f>
        <v>62.06</v>
      </c>
      <c r="G582" s="3">
        <f ca="1">IFERROR(__xludf.DUMMYFUNCTION("""COMPUTED_VALUE"""),29.56)</f>
        <v>29.56</v>
      </c>
      <c r="H582" s="3">
        <f ca="1">IFERROR(__xludf.DUMMYFUNCTION("""COMPUTED_VALUE"""),27.24)</f>
        <v>27.24</v>
      </c>
      <c r="I582" s="3">
        <f ca="1">IFERROR(__xludf.DUMMYFUNCTION("""COMPUTED_VALUE"""),140.86)</f>
        <v>140.86000000000001</v>
      </c>
      <c r="J582" s="3">
        <f ca="1">IFERROR(__xludf.DUMMYFUNCTION("""COMPUTED_VALUE"""),257.26)</f>
        <v>257.26</v>
      </c>
      <c r="K582" s="3">
        <f ca="1">IFERROR(__xludf.DUMMYFUNCTION("""COMPUTED_VALUE"""),127.76)</f>
        <v>127.76</v>
      </c>
      <c r="L582" s="3">
        <f ca="1">IFERROR(__xludf.DUMMYFUNCTION("""COMPUTED_VALUE"""),83.94)</f>
        <v>83.94</v>
      </c>
      <c r="M582" s="3">
        <f ca="1">IFERROR(__xludf.DUMMYFUNCTION("""COMPUTED_VALUE"""),60.88)</f>
        <v>60.88</v>
      </c>
      <c r="N582" s="3">
        <f ca="1">IFERROR(__xludf.DUMMYFUNCTION("""COMPUTED_VALUE"""),66.32)</f>
        <v>66.319999999999993</v>
      </c>
      <c r="O582" s="3">
        <f ca="1">IFERROR(__xludf.DUMMYFUNCTION("""COMPUTED_VALUE"""),39.76)</f>
        <v>39.76</v>
      </c>
      <c r="P582" s="3">
        <f ca="1">IFERROR(__xludf.DUMMYFUNCTION("""COMPUTED_VALUE"""),96.19)</f>
        <v>96.19</v>
      </c>
      <c r="Q582" s="3">
        <f ca="1">IFERROR(__xludf.DUMMYFUNCTION("""COMPUTED_VALUE"""),133.9)</f>
        <v>133.9</v>
      </c>
      <c r="R582" s="3">
        <f ca="1">IFERROR(__xludf.DUMMYFUNCTION("""COMPUTED_VALUE"""),88.34)</f>
        <v>88.34</v>
      </c>
      <c r="S582" s="3">
        <f ca="1">IFERROR(__xludf.DUMMYFUNCTION("""COMPUTED_VALUE"""),59.3)</f>
        <v>59.3</v>
      </c>
      <c r="T582" s="3">
        <f ca="1">IFERROR(__xludf.DUMMYFUNCTION("""COMPUTED_VALUE"""),23.51)</f>
        <v>23.51</v>
      </c>
      <c r="U582" s="3">
        <f ca="1">IFERROR(__xludf.DUMMYFUNCTION("""COMPUTED_VALUE"""),79.64)</f>
        <v>79.64</v>
      </c>
      <c r="V582" s="3">
        <f ca="1">IFERROR(__xludf.DUMMYFUNCTION("""COMPUTED_VALUE"""),40.31)</f>
        <v>40.31</v>
      </c>
      <c r="W582" s="3">
        <f ca="1">IFERROR(__xludf.DUMMYFUNCTION("""COMPUTED_VALUE"""),41.12)</f>
        <v>41.12</v>
      </c>
      <c r="X582" s="3">
        <f ca="1">IFERROR(__xludf.DUMMYFUNCTION("""COMPUTED_VALUE"""),99.72)</f>
        <v>99.72</v>
      </c>
      <c r="Y582" s="3">
        <f ca="1">IFERROR(__xludf.DUMMYFUNCTION("""COMPUTED_VALUE"""),45.96)</f>
        <v>45.96</v>
      </c>
      <c r="Z582" s="3">
        <f ca="1">IFERROR(__xludf.DUMMYFUNCTION("""COMPUTED_VALUE"""),92.96)</f>
        <v>92.96</v>
      </c>
      <c r="AA582" s="3">
        <f ca="1">IFERROR(__xludf.DUMMYFUNCTION("""COMPUTED_VALUE"""),36.64)</f>
        <v>36.64</v>
      </c>
      <c r="AB582" s="3">
        <f ca="1">IFERROR(__xludf.DUMMYFUNCTION("""COMPUTED_VALUE"""),49.01)</f>
        <v>49.01</v>
      </c>
      <c r="AC582" s="3">
        <f ca="1">IFERROR(__xludf.DUMMYFUNCTION("""COMPUTED_VALUE"""),64.34)</f>
        <v>64.34</v>
      </c>
      <c r="AD582" s="3">
        <f ca="1">IFERROR(__xludf.DUMMYFUNCTION("""COMPUTED_VALUE"""),18.66)</f>
        <v>18.66</v>
      </c>
      <c r="AE582" s="3">
        <f ca="1">IFERROR(__xludf.DUMMYFUNCTION("""COMPUTED_VALUE"""),27.85)</f>
        <v>27.85</v>
      </c>
      <c r="AF582" s="3">
        <f ca="1">IFERROR(__xludf.DUMMYFUNCTION("""COMPUTED_VALUE"""),4.81)</f>
        <v>4.8099999999999996</v>
      </c>
      <c r="AG582" s="3">
        <f ca="1">IFERROR(__xludf.DUMMYFUNCTION("""COMPUTED_VALUE"""),45.13)</f>
        <v>45.13</v>
      </c>
    </row>
    <row r="583" spans="1:33" ht="12.75" x14ac:dyDescent="0.2">
      <c r="A583" s="4">
        <f ca="1">IFERROR(__xludf.DUMMYFUNCTION("""COMPUTED_VALUE"""),45407.6666666666)</f>
        <v>45407.666666666599</v>
      </c>
      <c r="B583" s="3">
        <f ca="1">IFERROR(__xludf.DUMMYFUNCTION("""COMPUTED_VALUE"""),197.6)</f>
        <v>197.6</v>
      </c>
      <c r="C583" s="3">
        <f ca="1">IFERROR(__xludf.DUMMYFUNCTION("""COMPUTED_VALUE"""),495.44)</f>
        <v>495.44</v>
      </c>
      <c r="D583" s="3">
        <f ca="1">IFERROR(__xludf.DUMMYFUNCTION("""COMPUTED_VALUE"""),128.17)</f>
        <v>128.16999999999999</v>
      </c>
      <c r="E583" s="3">
        <f ca="1">IFERROR(__xludf.DUMMYFUNCTION("""COMPUTED_VALUE"""),212.41)</f>
        <v>212.41</v>
      </c>
      <c r="F583" s="3">
        <f ca="1">IFERROR(__xludf.DUMMYFUNCTION("""COMPUTED_VALUE"""),61.94)</f>
        <v>61.94</v>
      </c>
      <c r="G583" s="3">
        <f ca="1">IFERROR(__xludf.DUMMYFUNCTION("""COMPUTED_VALUE"""),29.34)</f>
        <v>29.34</v>
      </c>
      <c r="H583" s="3">
        <f ca="1">IFERROR(__xludf.DUMMYFUNCTION("""COMPUTED_VALUE"""),27.23)</f>
        <v>27.23</v>
      </c>
      <c r="I583" s="3">
        <f ca="1">IFERROR(__xludf.DUMMYFUNCTION("""COMPUTED_VALUE"""),139.92)</f>
        <v>139.91999999999999</v>
      </c>
      <c r="J583" s="3">
        <f ca="1">IFERROR(__xludf.DUMMYFUNCTION("""COMPUTED_VALUE"""),255.24)</f>
        <v>255.24</v>
      </c>
      <c r="K583" s="3">
        <f ca="1">IFERROR(__xludf.DUMMYFUNCTION("""COMPUTED_VALUE"""),125.67)</f>
        <v>125.67</v>
      </c>
      <c r="L583" s="3">
        <f ca="1">IFERROR(__xludf.DUMMYFUNCTION("""COMPUTED_VALUE"""),82.22)</f>
        <v>82.22</v>
      </c>
      <c r="M583" s="3">
        <f ca="1">IFERROR(__xludf.DUMMYFUNCTION("""COMPUTED_VALUE"""),59.85)</f>
        <v>59.85</v>
      </c>
      <c r="N583" s="3">
        <f ca="1">IFERROR(__xludf.DUMMYFUNCTION("""COMPUTED_VALUE"""),65.77)</f>
        <v>65.77</v>
      </c>
      <c r="O583" s="3">
        <f ca="1">IFERROR(__xludf.DUMMYFUNCTION("""COMPUTED_VALUE"""),38.76)</f>
        <v>38.76</v>
      </c>
      <c r="P583" s="3">
        <f ca="1">IFERROR(__xludf.DUMMYFUNCTION("""COMPUTED_VALUE"""),96.63)</f>
        <v>96.63</v>
      </c>
      <c r="Q583" s="3">
        <f ca="1">IFERROR(__xludf.DUMMYFUNCTION("""COMPUTED_VALUE"""),134.56)</f>
        <v>134.56</v>
      </c>
      <c r="R583" s="3">
        <f ca="1">IFERROR(__xludf.DUMMYFUNCTION("""COMPUTED_VALUE"""),88.97)</f>
        <v>88.97</v>
      </c>
      <c r="S583" s="3">
        <f ca="1">IFERROR(__xludf.DUMMYFUNCTION("""COMPUTED_VALUE"""),60.33)</f>
        <v>60.33</v>
      </c>
      <c r="T583" s="3">
        <f ca="1">IFERROR(__xludf.DUMMYFUNCTION("""COMPUTED_VALUE"""),23.64)</f>
        <v>23.64</v>
      </c>
      <c r="U583" s="3">
        <f ca="1">IFERROR(__xludf.DUMMYFUNCTION("""COMPUTED_VALUE"""),80.44)</f>
        <v>80.44</v>
      </c>
      <c r="V583" s="3">
        <f ca="1">IFERROR(__xludf.DUMMYFUNCTION("""COMPUTED_VALUE"""),39.79)</f>
        <v>39.79</v>
      </c>
      <c r="W583" s="3">
        <f ca="1">IFERROR(__xludf.DUMMYFUNCTION("""COMPUTED_VALUE"""),40.88)</f>
        <v>40.880000000000003</v>
      </c>
      <c r="X583" s="3">
        <f ca="1">IFERROR(__xludf.DUMMYFUNCTION("""COMPUTED_VALUE"""),99.12)</f>
        <v>99.12</v>
      </c>
      <c r="Y583" s="3">
        <f ca="1">IFERROR(__xludf.DUMMYFUNCTION("""COMPUTED_VALUE"""),45.47)</f>
        <v>45.47</v>
      </c>
      <c r="Z583" s="3">
        <f ca="1">IFERROR(__xludf.DUMMYFUNCTION("""COMPUTED_VALUE"""),92.49)</f>
        <v>92.49</v>
      </c>
      <c r="AA583" s="3">
        <f ca="1">IFERROR(__xludf.DUMMYFUNCTION("""COMPUTED_VALUE"""),36.43)</f>
        <v>36.43</v>
      </c>
      <c r="AB583" s="3">
        <f ca="1">IFERROR(__xludf.DUMMYFUNCTION("""COMPUTED_VALUE"""),48.47)</f>
        <v>48.47</v>
      </c>
      <c r="AC583" s="3">
        <f ca="1">IFERROR(__xludf.DUMMYFUNCTION("""COMPUTED_VALUE"""),63.49)</f>
        <v>63.49</v>
      </c>
      <c r="AD583" s="3">
        <f ca="1">IFERROR(__xludf.DUMMYFUNCTION("""COMPUTED_VALUE"""),18.86)</f>
        <v>18.86</v>
      </c>
      <c r="AE583" s="3">
        <f ca="1">IFERROR(__xludf.DUMMYFUNCTION("""COMPUTED_VALUE"""),28.22)</f>
        <v>28.22</v>
      </c>
      <c r="AF583" s="3">
        <f ca="1">IFERROR(__xludf.DUMMYFUNCTION("""COMPUTED_VALUE"""),4.94)</f>
        <v>4.9400000000000004</v>
      </c>
      <c r="AG583" s="3">
        <f ca="1">IFERROR(__xludf.DUMMYFUNCTION("""COMPUTED_VALUE"""),44.77)</f>
        <v>44.77</v>
      </c>
    </row>
    <row r="584" spans="1:33" ht="12.75" x14ac:dyDescent="0.2">
      <c r="A584" s="4">
        <f ca="1">IFERROR(__xludf.DUMMYFUNCTION("""COMPUTED_VALUE"""),45408.6666666666)</f>
        <v>45408.666666666599</v>
      </c>
      <c r="B584" s="3">
        <f ca="1">IFERROR(__xludf.DUMMYFUNCTION("""COMPUTED_VALUE"""),199.83)</f>
        <v>199.83</v>
      </c>
      <c r="C584" s="3">
        <f ca="1">IFERROR(__xludf.DUMMYFUNCTION("""COMPUTED_VALUE"""),503.94)</f>
        <v>503.94</v>
      </c>
      <c r="D584" s="3">
        <f ca="1">IFERROR(__xludf.DUMMYFUNCTION("""COMPUTED_VALUE"""),126.95)</f>
        <v>126.95</v>
      </c>
      <c r="E584" s="3">
        <f ca="1">IFERROR(__xludf.DUMMYFUNCTION("""COMPUTED_VALUE"""),216.9)</f>
        <v>216.9</v>
      </c>
      <c r="F584" s="3">
        <f ca="1">IFERROR(__xludf.DUMMYFUNCTION("""COMPUTED_VALUE"""),62.56)</f>
        <v>62.56</v>
      </c>
      <c r="G584" s="3">
        <f ca="1">IFERROR(__xludf.DUMMYFUNCTION("""COMPUTED_VALUE"""),30.08)</f>
        <v>30.08</v>
      </c>
      <c r="H584" s="3">
        <f ca="1">IFERROR(__xludf.DUMMYFUNCTION("""COMPUTED_VALUE"""),27.45)</f>
        <v>27.45</v>
      </c>
      <c r="I584" s="3">
        <f ca="1">IFERROR(__xludf.DUMMYFUNCTION("""COMPUTED_VALUE"""),139.96)</f>
        <v>139.96</v>
      </c>
      <c r="J584" s="3">
        <f ca="1">IFERROR(__xludf.DUMMYFUNCTION("""COMPUTED_VALUE"""),255.32)</f>
        <v>255.32</v>
      </c>
      <c r="K584" s="3">
        <f ca="1">IFERROR(__xludf.DUMMYFUNCTION("""COMPUTED_VALUE"""),126.49)</f>
        <v>126.49</v>
      </c>
      <c r="L584" s="3">
        <f ca="1">IFERROR(__xludf.DUMMYFUNCTION("""COMPUTED_VALUE"""),83.49)</f>
        <v>83.49</v>
      </c>
      <c r="M584" s="3">
        <f ca="1">IFERROR(__xludf.DUMMYFUNCTION("""COMPUTED_VALUE"""),60.39)</f>
        <v>60.39</v>
      </c>
      <c r="N584" s="3">
        <f ca="1">IFERROR(__xludf.DUMMYFUNCTION("""COMPUTED_VALUE"""),65.87)</f>
        <v>65.87</v>
      </c>
      <c r="O584" s="3">
        <f ca="1">IFERROR(__xludf.DUMMYFUNCTION("""COMPUTED_VALUE"""),39.2)</f>
        <v>39.200000000000003</v>
      </c>
      <c r="P584" s="3">
        <f ca="1">IFERROR(__xludf.DUMMYFUNCTION("""COMPUTED_VALUE"""),95.74)</f>
        <v>95.74</v>
      </c>
      <c r="Q584" s="3">
        <f ca="1">IFERROR(__xludf.DUMMYFUNCTION("""COMPUTED_VALUE"""),133.49)</f>
        <v>133.49</v>
      </c>
      <c r="R584" s="3">
        <f ca="1">IFERROR(__xludf.DUMMYFUNCTION("""COMPUTED_VALUE"""),89.52)</f>
        <v>89.52</v>
      </c>
      <c r="S584" s="3">
        <f ca="1">IFERROR(__xludf.DUMMYFUNCTION("""COMPUTED_VALUE"""),60.85)</f>
        <v>60.85</v>
      </c>
      <c r="T584" s="3">
        <f ca="1">IFERROR(__xludf.DUMMYFUNCTION("""COMPUTED_VALUE"""),23.66)</f>
        <v>23.66</v>
      </c>
      <c r="U584" s="3">
        <f ca="1">IFERROR(__xludf.DUMMYFUNCTION("""COMPUTED_VALUE"""),80.39)</f>
        <v>80.39</v>
      </c>
      <c r="V584" s="3">
        <f ca="1">IFERROR(__xludf.DUMMYFUNCTION("""COMPUTED_VALUE"""),40.77)</f>
        <v>40.770000000000003</v>
      </c>
      <c r="W584" s="3">
        <f ca="1">IFERROR(__xludf.DUMMYFUNCTION("""COMPUTED_VALUE"""),40.82)</f>
        <v>40.82</v>
      </c>
      <c r="X584" s="3">
        <f ca="1">IFERROR(__xludf.DUMMYFUNCTION("""COMPUTED_VALUE"""),98.93)</f>
        <v>98.93</v>
      </c>
      <c r="Y584" s="3">
        <f ca="1">IFERROR(__xludf.DUMMYFUNCTION("""COMPUTED_VALUE"""),45.33)</f>
        <v>45.33</v>
      </c>
      <c r="Z584" s="3">
        <f ca="1">IFERROR(__xludf.DUMMYFUNCTION("""COMPUTED_VALUE"""),92.17)</f>
        <v>92.17</v>
      </c>
      <c r="AA584" s="3">
        <f ca="1">IFERROR(__xludf.DUMMYFUNCTION("""COMPUTED_VALUE"""),36.46)</f>
        <v>36.46</v>
      </c>
      <c r="AB584" s="3">
        <f ca="1">IFERROR(__xludf.DUMMYFUNCTION("""COMPUTED_VALUE"""),48.19)</f>
        <v>48.19</v>
      </c>
      <c r="AC584" s="3">
        <f ca="1">IFERROR(__xludf.DUMMYFUNCTION("""COMPUTED_VALUE"""),63.54)</f>
        <v>63.54</v>
      </c>
      <c r="AD584" s="3">
        <f ca="1">IFERROR(__xludf.DUMMYFUNCTION("""COMPUTED_VALUE"""),18.64)</f>
        <v>18.64</v>
      </c>
      <c r="AE584" s="3">
        <f ca="1">IFERROR(__xludf.DUMMYFUNCTION("""COMPUTED_VALUE"""),27.7)</f>
        <v>27.7</v>
      </c>
      <c r="AF584" s="3">
        <f ca="1">IFERROR(__xludf.DUMMYFUNCTION("""COMPUTED_VALUE"""),4.79)</f>
        <v>4.79</v>
      </c>
      <c r="AG584" s="3">
        <f ca="1">IFERROR(__xludf.DUMMYFUNCTION("""COMPUTED_VALUE"""),45.5)</f>
        <v>45.5</v>
      </c>
    </row>
    <row r="585" spans="1:33" ht="12.75" x14ac:dyDescent="0.2">
      <c r="A585" s="4">
        <f ca="1">IFERROR(__xludf.DUMMYFUNCTION("""COMPUTED_VALUE"""),45411.6666666666)</f>
        <v>45411.666666666599</v>
      </c>
      <c r="B585" s="3">
        <f ca="1">IFERROR(__xludf.DUMMYFUNCTION("""COMPUTED_VALUE"""),200.69)</f>
        <v>200.69</v>
      </c>
      <c r="C585" s="3">
        <f ca="1">IFERROR(__xludf.DUMMYFUNCTION("""COMPUTED_VALUE"""),505.94)</f>
        <v>505.94</v>
      </c>
      <c r="D585" s="3">
        <f ca="1">IFERROR(__xludf.DUMMYFUNCTION("""COMPUTED_VALUE"""),129.01)</f>
        <v>129.01</v>
      </c>
      <c r="E585" s="3">
        <f ca="1">IFERROR(__xludf.DUMMYFUNCTION("""COMPUTED_VALUE"""),218.55)</f>
        <v>218.55</v>
      </c>
      <c r="F585" s="3">
        <f ca="1">IFERROR(__xludf.DUMMYFUNCTION("""COMPUTED_VALUE"""),62.84)</f>
        <v>62.84</v>
      </c>
      <c r="G585" s="3">
        <f ca="1">IFERROR(__xludf.DUMMYFUNCTION("""COMPUTED_VALUE"""),30.27)</f>
        <v>30.27</v>
      </c>
      <c r="H585" s="3">
        <f ca="1">IFERROR(__xludf.DUMMYFUNCTION("""COMPUTED_VALUE"""),27.64)</f>
        <v>27.64</v>
      </c>
      <c r="I585" s="3">
        <f ca="1">IFERROR(__xludf.DUMMYFUNCTION("""COMPUTED_VALUE"""),140.43)</f>
        <v>140.43</v>
      </c>
      <c r="J585" s="3">
        <f ca="1">IFERROR(__xludf.DUMMYFUNCTION("""COMPUTED_VALUE"""),256.54)</f>
        <v>256.54000000000002</v>
      </c>
      <c r="K585" s="3">
        <f ca="1">IFERROR(__xludf.DUMMYFUNCTION("""COMPUTED_VALUE"""),128.37)</f>
        <v>128.37</v>
      </c>
      <c r="L585" s="3">
        <f ca="1">IFERROR(__xludf.DUMMYFUNCTION("""COMPUTED_VALUE"""),85.52)</f>
        <v>85.52</v>
      </c>
      <c r="M585" s="3">
        <f ca="1">IFERROR(__xludf.DUMMYFUNCTION("""COMPUTED_VALUE"""),61.44)</f>
        <v>61.44</v>
      </c>
      <c r="N585" s="3">
        <f ca="1">IFERROR(__xludf.DUMMYFUNCTION("""COMPUTED_VALUE"""),66.12)</f>
        <v>66.12</v>
      </c>
      <c r="O585" s="3">
        <f ca="1">IFERROR(__xludf.DUMMYFUNCTION("""COMPUTED_VALUE"""),40)</f>
        <v>40</v>
      </c>
      <c r="P585" s="3">
        <f ca="1">IFERROR(__xludf.DUMMYFUNCTION("""COMPUTED_VALUE"""),96.39)</f>
        <v>96.39</v>
      </c>
      <c r="Q585" s="3">
        <f ca="1">IFERROR(__xludf.DUMMYFUNCTION("""COMPUTED_VALUE"""),134.44)</f>
        <v>134.44</v>
      </c>
      <c r="R585" s="3">
        <f ca="1">IFERROR(__xludf.DUMMYFUNCTION("""COMPUTED_VALUE"""),90.27)</f>
        <v>90.27</v>
      </c>
      <c r="S585" s="3">
        <f ca="1">IFERROR(__xludf.DUMMYFUNCTION("""COMPUTED_VALUE"""),61.39)</f>
        <v>61.39</v>
      </c>
      <c r="T585" s="3">
        <f ca="1">IFERROR(__xludf.DUMMYFUNCTION("""COMPUTED_VALUE"""),23.64)</f>
        <v>23.64</v>
      </c>
      <c r="U585" s="3">
        <f ca="1">IFERROR(__xludf.DUMMYFUNCTION("""COMPUTED_VALUE"""),79.5)</f>
        <v>79.5</v>
      </c>
      <c r="V585" s="3">
        <f ca="1">IFERROR(__xludf.DUMMYFUNCTION("""COMPUTED_VALUE"""),41.62)</f>
        <v>41.62</v>
      </c>
      <c r="W585" s="3">
        <f ca="1">IFERROR(__xludf.DUMMYFUNCTION("""COMPUTED_VALUE"""),40.76)</f>
        <v>40.76</v>
      </c>
      <c r="X585" s="3">
        <f ca="1">IFERROR(__xludf.DUMMYFUNCTION("""COMPUTED_VALUE"""),98.74)</f>
        <v>98.74</v>
      </c>
      <c r="Y585" s="3">
        <f ca="1">IFERROR(__xludf.DUMMYFUNCTION("""COMPUTED_VALUE"""),45.1)</f>
        <v>45.1</v>
      </c>
      <c r="Z585" s="3">
        <f ca="1">IFERROR(__xludf.DUMMYFUNCTION("""COMPUTED_VALUE"""),92.16)</f>
        <v>92.16</v>
      </c>
      <c r="AA585" s="3">
        <f ca="1">IFERROR(__xludf.DUMMYFUNCTION("""COMPUTED_VALUE"""),36.87)</f>
        <v>36.869999999999997</v>
      </c>
      <c r="AB585" s="3">
        <f ca="1">IFERROR(__xludf.DUMMYFUNCTION("""COMPUTED_VALUE"""),47.77)</f>
        <v>47.77</v>
      </c>
      <c r="AC585" s="3">
        <f ca="1">IFERROR(__xludf.DUMMYFUNCTION("""COMPUTED_VALUE"""),63.89)</f>
        <v>63.89</v>
      </c>
      <c r="AD585" s="3">
        <f ca="1">IFERROR(__xludf.DUMMYFUNCTION("""COMPUTED_VALUE"""),18.64)</f>
        <v>18.64</v>
      </c>
      <c r="AE585" s="3">
        <f ca="1">IFERROR(__xludf.DUMMYFUNCTION("""COMPUTED_VALUE"""),27.41)</f>
        <v>27.41</v>
      </c>
      <c r="AF585" s="3">
        <f ca="1">IFERROR(__xludf.DUMMYFUNCTION("""COMPUTED_VALUE"""),4.79)</f>
        <v>4.79</v>
      </c>
      <c r="AG585" s="3">
        <f ca="1">IFERROR(__xludf.DUMMYFUNCTION("""COMPUTED_VALUE"""),42.83)</f>
        <v>42.83</v>
      </c>
    </row>
    <row r="586" spans="1:33" ht="12.75" x14ac:dyDescent="0.2">
      <c r="A586" s="4">
        <f ca="1">IFERROR(__xludf.DUMMYFUNCTION("""COMPUTED_VALUE"""),45412.6666666666)</f>
        <v>45412.666666666599</v>
      </c>
      <c r="B586" s="3">
        <f ca="1">IFERROR(__xludf.DUMMYFUNCTION("""COMPUTED_VALUE"""),196.27)</f>
        <v>196.27</v>
      </c>
      <c r="C586" s="3">
        <f ca="1">IFERROR(__xludf.DUMMYFUNCTION("""COMPUTED_VALUE"""),494.73)</f>
        <v>494.73</v>
      </c>
      <c r="D586" s="3">
        <f ca="1">IFERROR(__xludf.DUMMYFUNCTION("""COMPUTED_VALUE"""),132.17)</f>
        <v>132.16999999999999</v>
      </c>
      <c r="E586" s="3">
        <f ca="1">IFERROR(__xludf.DUMMYFUNCTION("""COMPUTED_VALUE"""),213.99)</f>
        <v>213.99</v>
      </c>
      <c r="F586" s="3">
        <f ca="1">IFERROR(__xludf.DUMMYFUNCTION("""COMPUTED_VALUE"""),61.62)</f>
        <v>61.62</v>
      </c>
      <c r="G586" s="3">
        <f ca="1">IFERROR(__xludf.DUMMYFUNCTION("""COMPUTED_VALUE"""),29.88)</f>
        <v>29.88</v>
      </c>
      <c r="H586" s="3">
        <f ca="1">IFERROR(__xludf.DUMMYFUNCTION("""COMPUTED_VALUE"""),27.18)</f>
        <v>27.18</v>
      </c>
      <c r="I586" s="3">
        <f ca="1">IFERROR(__xludf.DUMMYFUNCTION("""COMPUTED_VALUE"""),140.33)</f>
        <v>140.33000000000001</v>
      </c>
      <c r="J586" s="3">
        <f ca="1">IFERROR(__xludf.DUMMYFUNCTION("""COMPUTED_VALUE"""),256.04)</f>
        <v>256.04000000000002</v>
      </c>
      <c r="K586" s="3">
        <f ca="1">IFERROR(__xludf.DUMMYFUNCTION("""COMPUTED_VALUE"""),126.92)</f>
        <v>126.92</v>
      </c>
      <c r="L586" s="3">
        <f ca="1">IFERROR(__xludf.DUMMYFUNCTION("""COMPUTED_VALUE"""),84.62)</f>
        <v>84.62</v>
      </c>
      <c r="M586" s="3">
        <f ca="1">IFERROR(__xludf.DUMMYFUNCTION("""COMPUTED_VALUE"""),60.87)</f>
        <v>60.87</v>
      </c>
      <c r="N586" s="3">
        <f ca="1">IFERROR(__xludf.DUMMYFUNCTION("""COMPUTED_VALUE"""),66.06)</f>
        <v>66.06</v>
      </c>
      <c r="O586" s="3">
        <f ca="1">IFERROR(__xludf.DUMMYFUNCTION("""COMPUTED_VALUE"""),39.4)</f>
        <v>39.4</v>
      </c>
      <c r="P586" s="3">
        <f ca="1">IFERROR(__xludf.DUMMYFUNCTION("""COMPUTED_VALUE"""),93.52)</f>
        <v>93.52</v>
      </c>
      <c r="Q586" s="3">
        <f ca="1">IFERROR(__xludf.DUMMYFUNCTION("""COMPUTED_VALUE"""),130.36)</f>
        <v>130.36000000000001</v>
      </c>
      <c r="R586" s="3">
        <f ca="1">IFERROR(__xludf.DUMMYFUNCTION("""COMPUTED_VALUE"""),88.63)</f>
        <v>88.63</v>
      </c>
      <c r="S586" s="3">
        <f ca="1">IFERROR(__xludf.DUMMYFUNCTION("""COMPUTED_VALUE"""),59.27)</f>
        <v>59.27</v>
      </c>
      <c r="T586" s="3">
        <f ca="1">IFERROR(__xludf.DUMMYFUNCTION("""COMPUTED_VALUE"""),23.34)</f>
        <v>23.34</v>
      </c>
      <c r="U586" s="3">
        <f ca="1">IFERROR(__xludf.DUMMYFUNCTION("""COMPUTED_VALUE"""),78.38)</f>
        <v>78.38</v>
      </c>
      <c r="V586" s="3">
        <f ca="1">IFERROR(__xludf.DUMMYFUNCTION("""COMPUTED_VALUE"""),40.33)</f>
        <v>40.33</v>
      </c>
      <c r="W586" s="3">
        <f ca="1">IFERROR(__xludf.DUMMYFUNCTION("""COMPUTED_VALUE"""),40.36)</f>
        <v>40.36</v>
      </c>
      <c r="X586" s="3">
        <f ca="1">IFERROR(__xludf.DUMMYFUNCTION("""COMPUTED_VALUE"""),97.66)</f>
        <v>97.66</v>
      </c>
      <c r="Y586" s="3">
        <f ca="1">IFERROR(__xludf.DUMMYFUNCTION("""COMPUTED_VALUE"""),44.32)</f>
        <v>44.32</v>
      </c>
      <c r="Z586" s="3">
        <f ca="1">IFERROR(__xludf.DUMMYFUNCTION("""COMPUTED_VALUE"""),91.15)</f>
        <v>91.15</v>
      </c>
      <c r="AA586" s="3">
        <f ca="1">IFERROR(__xludf.DUMMYFUNCTION("""COMPUTED_VALUE"""),36.19)</f>
        <v>36.19</v>
      </c>
      <c r="AB586" s="3">
        <f ca="1">IFERROR(__xludf.DUMMYFUNCTION("""COMPUTED_VALUE"""),47.02)</f>
        <v>47.02</v>
      </c>
      <c r="AC586" s="3">
        <f ca="1">IFERROR(__xludf.DUMMYFUNCTION("""COMPUTED_VALUE"""),64.09)</f>
        <v>64.09</v>
      </c>
      <c r="AD586" s="3">
        <f ca="1">IFERROR(__xludf.DUMMYFUNCTION("""COMPUTED_VALUE"""),17.27)</f>
        <v>17.27</v>
      </c>
      <c r="AE586" s="3">
        <f ca="1">IFERROR(__xludf.DUMMYFUNCTION("""COMPUTED_VALUE"""),25.61)</f>
        <v>25.61</v>
      </c>
      <c r="AF586" s="3">
        <f ca="1">IFERROR(__xludf.DUMMYFUNCTION("""COMPUTED_VALUE"""),4.68)</f>
        <v>4.68</v>
      </c>
      <c r="AG586" s="3">
        <f ca="1">IFERROR(__xludf.DUMMYFUNCTION("""COMPUTED_VALUE"""),39.83)</f>
        <v>39.83</v>
      </c>
    </row>
    <row r="587" spans="1:33" ht="12.75" x14ac:dyDescent="0.2">
      <c r="A587" s="4">
        <f ca="1">IFERROR(__xludf.DUMMYFUNCTION("""COMPUTED_VALUE"""),45413.6666666666)</f>
        <v>45413.666666666599</v>
      </c>
      <c r="B587" s="3">
        <f ca="1">IFERROR(__xludf.DUMMYFUNCTION("""COMPUTED_VALUE"""),194.26)</f>
        <v>194.26</v>
      </c>
      <c r="C587" s="3">
        <f ca="1">IFERROR(__xludf.DUMMYFUNCTION("""COMPUTED_VALUE"""),489.37)</f>
        <v>489.37</v>
      </c>
      <c r="D587" s="3">
        <f ca="1">IFERROR(__xludf.DUMMYFUNCTION("""COMPUTED_VALUE"""),134.23)</f>
        <v>134.22999999999999</v>
      </c>
      <c r="E587" s="3">
        <f ca="1">IFERROR(__xludf.DUMMYFUNCTION("""COMPUTED_VALUE"""),206.76)</f>
        <v>206.76</v>
      </c>
      <c r="F587" s="3">
        <f ca="1">IFERROR(__xludf.DUMMYFUNCTION("""COMPUTED_VALUE"""),61.27)</f>
        <v>61.27</v>
      </c>
      <c r="G587" s="3">
        <f ca="1">IFERROR(__xludf.DUMMYFUNCTION("""COMPUTED_VALUE"""),29.82)</f>
        <v>29.82</v>
      </c>
      <c r="H587" s="3">
        <f ca="1">IFERROR(__xludf.DUMMYFUNCTION("""COMPUTED_VALUE"""),26.96)</f>
        <v>26.96</v>
      </c>
      <c r="I587" s="3">
        <f ca="1">IFERROR(__xludf.DUMMYFUNCTION("""COMPUTED_VALUE"""),140.58)</f>
        <v>140.58000000000001</v>
      </c>
      <c r="J587" s="3">
        <f ca="1">IFERROR(__xludf.DUMMYFUNCTION("""COMPUTED_VALUE"""),257.28)</f>
        <v>257.27999999999997</v>
      </c>
      <c r="K587" s="3">
        <f ca="1">IFERROR(__xludf.DUMMYFUNCTION("""COMPUTED_VALUE"""),129.49)</f>
        <v>129.49</v>
      </c>
      <c r="L587" s="3">
        <f ca="1">IFERROR(__xludf.DUMMYFUNCTION("""COMPUTED_VALUE"""),87.33)</f>
        <v>87.33</v>
      </c>
      <c r="M587" s="3">
        <f ca="1">IFERROR(__xludf.DUMMYFUNCTION("""COMPUTED_VALUE"""),62.86)</f>
        <v>62.86</v>
      </c>
      <c r="N587" s="3">
        <f ca="1">IFERROR(__xludf.DUMMYFUNCTION("""COMPUTED_VALUE"""),66.34)</f>
        <v>66.34</v>
      </c>
      <c r="O587" s="3">
        <f ca="1">IFERROR(__xludf.DUMMYFUNCTION("""COMPUTED_VALUE"""),40.44)</f>
        <v>40.44</v>
      </c>
      <c r="P587" s="3">
        <f ca="1">IFERROR(__xludf.DUMMYFUNCTION("""COMPUTED_VALUE"""),92.03)</f>
        <v>92.03</v>
      </c>
      <c r="Q587" s="3">
        <f ca="1">IFERROR(__xludf.DUMMYFUNCTION("""COMPUTED_VALUE"""),128.23)</f>
        <v>128.22999999999999</v>
      </c>
      <c r="R587" s="3">
        <f ca="1">IFERROR(__xludf.DUMMYFUNCTION("""COMPUTED_VALUE"""),89.09)</f>
        <v>89.09</v>
      </c>
      <c r="S587" s="3">
        <f ca="1">IFERROR(__xludf.DUMMYFUNCTION("""COMPUTED_VALUE"""),59.29)</f>
        <v>59.29</v>
      </c>
      <c r="T587" s="3">
        <f ca="1">IFERROR(__xludf.DUMMYFUNCTION("""COMPUTED_VALUE"""),23)</f>
        <v>23</v>
      </c>
      <c r="U587" s="3">
        <f ca="1">IFERROR(__xludf.DUMMYFUNCTION("""COMPUTED_VALUE"""),75.93)</f>
        <v>75.930000000000007</v>
      </c>
      <c r="V587" s="3">
        <f ca="1">IFERROR(__xludf.DUMMYFUNCTION("""COMPUTED_VALUE"""),40.3)</f>
        <v>40.299999999999997</v>
      </c>
      <c r="W587" s="3">
        <f ca="1">IFERROR(__xludf.DUMMYFUNCTION("""COMPUTED_VALUE"""),40.36)</f>
        <v>40.36</v>
      </c>
      <c r="X587" s="3">
        <f ca="1">IFERROR(__xludf.DUMMYFUNCTION("""COMPUTED_VALUE"""),97.76)</f>
        <v>97.76</v>
      </c>
      <c r="Y587" s="3">
        <f ca="1">IFERROR(__xludf.DUMMYFUNCTION("""COMPUTED_VALUE"""),45.27)</f>
        <v>45.27</v>
      </c>
      <c r="Z587" s="3">
        <f ca="1">IFERROR(__xludf.DUMMYFUNCTION("""COMPUTED_VALUE"""),91.67)</f>
        <v>91.67</v>
      </c>
      <c r="AA587" s="3">
        <f ca="1">IFERROR(__xludf.DUMMYFUNCTION("""COMPUTED_VALUE"""),36.21)</f>
        <v>36.21</v>
      </c>
      <c r="AB587" s="3">
        <f ca="1">IFERROR(__xludf.DUMMYFUNCTION("""COMPUTED_VALUE"""),48.23)</f>
        <v>48.23</v>
      </c>
      <c r="AC587" s="3">
        <f ca="1">IFERROR(__xludf.DUMMYFUNCTION("""COMPUTED_VALUE"""),64.83)</f>
        <v>64.83</v>
      </c>
      <c r="AD587" s="3">
        <f ca="1">IFERROR(__xludf.DUMMYFUNCTION("""COMPUTED_VALUE"""),16.97)</f>
        <v>16.97</v>
      </c>
      <c r="AE587" s="3">
        <f ca="1">IFERROR(__xludf.DUMMYFUNCTION("""COMPUTED_VALUE"""),23.06)</f>
        <v>23.06</v>
      </c>
      <c r="AF587" s="3">
        <f ca="1">IFERROR(__xludf.DUMMYFUNCTION("""COMPUTED_VALUE"""),4.38)</f>
        <v>4.38</v>
      </c>
      <c r="AG587" s="3">
        <f ca="1">IFERROR(__xludf.DUMMYFUNCTION("""COMPUTED_VALUE"""),39.29)</f>
        <v>39.29</v>
      </c>
    </row>
    <row r="588" spans="1:33" ht="12.75" x14ac:dyDescent="0.2">
      <c r="A588" s="4">
        <f ca="1">IFERROR(__xludf.DUMMYFUNCTION("""COMPUTED_VALUE"""),45414.6666666666)</f>
        <v>45414.666666666599</v>
      </c>
      <c r="B588" s="3">
        <f ca="1">IFERROR(__xludf.DUMMYFUNCTION("""COMPUTED_VALUE"""),197.06)</f>
        <v>197.06</v>
      </c>
      <c r="C588" s="3">
        <f ca="1">IFERROR(__xludf.DUMMYFUNCTION("""COMPUTED_VALUE"""),496.06)</f>
        <v>496.06</v>
      </c>
      <c r="D588" s="3">
        <f ca="1">IFERROR(__xludf.DUMMYFUNCTION("""COMPUTED_VALUE"""),133.64)</f>
        <v>133.63999999999999</v>
      </c>
      <c r="E588" s="3">
        <f ca="1">IFERROR(__xludf.DUMMYFUNCTION("""COMPUTED_VALUE"""),211.41)</f>
        <v>211.41</v>
      </c>
      <c r="F588" s="3">
        <f ca="1">IFERROR(__xludf.DUMMYFUNCTION("""COMPUTED_VALUE"""),61.22)</f>
        <v>61.22</v>
      </c>
      <c r="G588" s="3">
        <f ca="1">IFERROR(__xludf.DUMMYFUNCTION("""COMPUTED_VALUE"""),30.4)</f>
        <v>30.4</v>
      </c>
      <c r="H588" s="3">
        <f ca="1">IFERROR(__xludf.DUMMYFUNCTION("""COMPUTED_VALUE"""),27.25)</f>
        <v>27.25</v>
      </c>
      <c r="I588" s="3">
        <f ca="1">IFERROR(__xludf.DUMMYFUNCTION("""COMPUTED_VALUE"""),140.48)</f>
        <v>140.47999999999999</v>
      </c>
      <c r="J588" s="3">
        <f ca="1">IFERROR(__xludf.DUMMYFUNCTION("""COMPUTED_VALUE"""),257.14)</f>
        <v>257.14</v>
      </c>
      <c r="K588" s="3">
        <f ca="1">IFERROR(__xludf.DUMMYFUNCTION("""COMPUTED_VALUE"""),130.65)</f>
        <v>130.65</v>
      </c>
      <c r="L588" s="3">
        <f ca="1">IFERROR(__xludf.DUMMYFUNCTION("""COMPUTED_VALUE"""),88.34)</f>
        <v>88.34</v>
      </c>
      <c r="M588" s="3">
        <f ca="1">IFERROR(__xludf.DUMMYFUNCTION("""COMPUTED_VALUE"""),63.56)</f>
        <v>63.56</v>
      </c>
      <c r="N588" s="3">
        <f ca="1">IFERROR(__xludf.DUMMYFUNCTION("""COMPUTED_VALUE"""),66.28)</f>
        <v>66.28</v>
      </c>
      <c r="O588" s="3">
        <f ca="1">IFERROR(__xludf.DUMMYFUNCTION("""COMPUTED_VALUE"""),41.28)</f>
        <v>41.28</v>
      </c>
      <c r="P588" s="3">
        <f ca="1">IFERROR(__xludf.DUMMYFUNCTION("""COMPUTED_VALUE"""),92.56)</f>
        <v>92.56</v>
      </c>
      <c r="Q588" s="3">
        <f ca="1">IFERROR(__xludf.DUMMYFUNCTION("""COMPUTED_VALUE"""),129.07)</f>
        <v>129.07</v>
      </c>
      <c r="R588" s="3">
        <f ca="1">IFERROR(__xludf.DUMMYFUNCTION("""COMPUTED_VALUE"""),88.63)</f>
        <v>88.63</v>
      </c>
      <c r="S588" s="3">
        <f ca="1">IFERROR(__xludf.DUMMYFUNCTION("""COMPUTED_VALUE"""),60.1)</f>
        <v>60.1</v>
      </c>
      <c r="T588" s="3">
        <f ca="1">IFERROR(__xludf.DUMMYFUNCTION("""COMPUTED_VALUE"""),23.08)</f>
        <v>23.08</v>
      </c>
      <c r="U588" s="3">
        <f ca="1">IFERROR(__xludf.DUMMYFUNCTION("""COMPUTED_VALUE"""),75.93)</f>
        <v>75.930000000000007</v>
      </c>
      <c r="V588" s="3">
        <f ca="1">IFERROR(__xludf.DUMMYFUNCTION("""COMPUTED_VALUE"""),41.49)</f>
        <v>41.49</v>
      </c>
      <c r="W588" s="3">
        <f ca="1">IFERROR(__xludf.DUMMYFUNCTION("""COMPUTED_VALUE"""),40.46)</f>
        <v>40.46</v>
      </c>
      <c r="X588" s="3">
        <f ca="1">IFERROR(__xludf.DUMMYFUNCTION("""COMPUTED_VALUE"""),98.37)</f>
        <v>98.37</v>
      </c>
      <c r="Y588" s="3">
        <f ca="1">IFERROR(__xludf.DUMMYFUNCTION("""COMPUTED_VALUE"""),45.86)</f>
        <v>45.86</v>
      </c>
      <c r="Z588" s="3">
        <f ca="1">IFERROR(__xludf.DUMMYFUNCTION("""COMPUTED_VALUE"""),92.12)</f>
        <v>92.12</v>
      </c>
      <c r="AA588" s="3">
        <f ca="1">IFERROR(__xludf.DUMMYFUNCTION("""COMPUTED_VALUE"""),36.73)</f>
        <v>36.729999999999997</v>
      </c>
      <c r="AB588" s="3">
        <f ca="1">IFERROR(__xludf.DUMMYFUNCTION("""COMPUTED_VALUE"""),49.02)</f>
        <v>49.02</v>
      </c>
      <c r="AC588" s="3">
        <f ca="1">IFERROR(__xludf.DUMMYFUNCTION("""COMPUTED_VALUE"""),65.01)</f>
        <v>65.010000000000005</v>
      </c>
      <c r="AD588" s="3">
        <f ca="1">IFERROR(__xludf.DUMMYFUNCTION("""COMPUTED_VALUE"""),17.55)</f>
        <v>17.55</v>
      </c>
      <c r="AE588" s="3">
        <f ca="1">IFERROR(__xludf.DUMMYFUNCTION("""COMPUTED_VALUE"""),24.13)</f>
        <v>24.13</v>
      </c>
      <c r="AF588" s="3">
        <f ca="1">IFERROR(__xludf.DUMMYFUNCTION("""COMPUTED_VALUE"""),4.34)</f>
        <v>4.34</v>
      </c>
      <c r="AG588" s="3">
        <f ca="1">IFERROR(__xludf.DUMMYFUNCTION("""COMPUTED_VALUE"""),41.19)</f>
        <v>41.19</v>
      </c>
    </row>
    <row r="589" spans="1:33" ht="12.75" x14ac:dyDescent="0.2">
      <c r="A589" s="4">
        <f ca="1">IFERROR(__xludf.DUMMYFUNCTION("""COMPUTED_VALUE"""),45415.6666666666)</f>
        <v>45415.666666666599</v>
      </c>
      <c r="B589" s="3">
        <f ca="1">IFERROR(__xludf.DUMMYFUNCTION("""COMPUTED_VALUE"""),202.55)</f>
        <v>202.55</v>
      </c>
      <c r="C589" s="3">
        <f ca="1">IFERROR(__xludf.DUMMYFUNCTION("""COMPUTED_VALUE"""),509.46)</f>
        <v>509.46</v>
      </c>
      <c r="D589" s="3">
        <f ca="1">IFERROR(__xludf.DUMMYFUNCTION("""COMPUTED_VALUE"""),133.68)</f>
        <v>133.68</v>
      </c>
      <c r="E589" s="3">
        <f ca="1">IFERROR(__xludf.DUMMYFUNCTION("""COMPUTED_VALUE"""),216.17)</f>
        <v>216.17</v>
      </c>
      <c r="F589" s="3">
        <f ca="1">IFERROR(__xludf.DUMMYFUNCTION("""COMPUTED_VALUE"""),60.75)</f>
        <v>60.75</v>
      </c>
      <c r="G589" s="3">
        <f ca="1">IFERROR(__xludf.DUMMYFUNCTION("""COMPUTED_VALUE"""),30.92)</f>
        <v>30.92</v>
      </c>
      <c r="H589" s="3">
        <f ca="1">IFERROR(__xludf.DUMMYFUNCTION("""COMPUTED_VALUE"""),27.45)</f>
        <v>27.45</v>
      </c>
      <c r="I589" s="3">
        <f ca="1">IFERROR(__xludf.DUMMYFUNCTION("""COMPUTED_VALUE"""),140.83)</f>
        <v>140.83000000000001</v>
      </c>
      <c r="J589" s="3">
        <f ca="1">IFERROR(__xludf.DUMMYFUNCTION("""COMPUTED_VALUE"""),258.02)</f>
        <v>258.02</v>
      </c>
      <c r="K589" s="3">
        <f ca="1">IFERROR(__xludf.DUMMYFUNCTION("""COMPUTED_VALUE"""),132.96)</f>
        <v>132.96</v>
      </c>
      <c r="L589" s="3">
        <f ca="1">IFERROR(__xludf.DUMMYFUNCTION("""COMPUTED_VALUE"""),89.98)</f>
        <v>89.98</v>
      </c>
      <c r="M589" s="3">
        <f ca="1">IFERROR(__xludf.DUMMYFUNCTION("""COMPUTED_VALUE"""),64.06)</f>
        <v>64.06</v>
      </c>
      <c r="N589" s="3">
        <f ca="1">IFERROR(__xludf.DUMMYFUNCTION("""COMPUTED_VALUE"""),66.52)</f>
        <v>66.52</v>
      </c>
      <c r="O589" s="3">
        <f ca="1">IFERROR(__xludf.DUMMYFUNCTION("""COMPUTED_VALUE"""),41.68)</f>
        <v>41.68</v>
      </c>
      <c r="P589" s="3">
        <f ca="1">IFERROR(__xludf.DUMMYFUNCTION("""COMPUTED_VALUE"""),92.57)</f>
        <v>92.57</v>
      </c>
      <c r="Q589" s="3">
        <f ca="1">IFERROR(__xludf.DUMMYFUNCTION("""COMPUTED_VALUE"""),129.17)</f>
        <v>129.16999999999999</v>
      </c>
      <c r="R589" s="3">
        <f ca="1">IFERROR(__xludf.DUMMYFUNCTION("""COMPUTED_VALUE"""),89.53)</f>
        <v>89.53</v>
      </c>
      <c r="S589" s="3">
        <f ca="1">IFERROR(__xludf.DUMMYFUNCTION("""COMPUTED_VALUE"""),60.84)</f>
        <v>60.84</v>
      </c>
      <c r="T589" s="3">
        <f ca="1">IFERROR(__xludf.DUMMYFUNCTION("""COMPUTED_VALUE"""),23.11)</f>
        <v>23.11</v>
      </c>
      <c r="U589" s="3">
        <f ca="1">IFERROR(__xludf.DUMMYFUNCTION("""COMPUTED_VALUE"""),75.13)</f>
        <v>75.13</v>
      </c>
      <c r="V589" s="3">
        <f ca="1">IFERROR(__xludf.DUMMYFUNCTION("""COMPUTED_VALUE"""),42.91)</f>
        <v>42.91</v>
      </c>
      <c r="W589" s="3">
        <f ca="1">IFERROR(__xludf.DUMMYFUNCTION("""COMPUTED_VALUE"""),40.55)</f>
        <v>40.549999999999997</v>
      </c>
      <c r="X589" s="3">
        <f ca="1">IFERROR(__xludf.DUMMYFUNCTION("""COMPUTED_VALUE"""),98.7)</f>
        <v>98.7</v>
      </c>
      <c r="Y589" s="3">
        <f ca="1">IFERROR(__xludf.DUMMYFUNCTION("""COMPUTED_VALUE"""),46.39)</f>
        <v>46.39</v>
      </c>
      <c r="Z589" s="3">
        <f ca="1">IFERROR(__xludf.DUMMYFUNCTION("""COMPUTED_VALUE"""),92.48)</f>
        <v>92.48</v>
      </c>
      <c r="AA589" s="3">
        <f ca="1">IFERROR(__xludf.DUMMYFUNCTION("""COMPUTED_VALUE"""),37.02)</f>
        <v>37.020000000000003</v>
      </c>
      <c r="AB589" s="3">
        <f ca="1">IFERROR(__xludf.DUMMYFUNCTION("""COMPUTED_VALUE"""),49.65)</f>
        <v>49.65</v>
      </c>
      <c r="AC589" s="3">
        <f ca="1">IFERROR(__xludf.DUMMYFUNCTION("""COMPUTED_VALUE"""),65.27)</f>
        <v>65.27</v>
      </c>
      <c r="AD589" s="3">
        <f ca="1">IFERROR(__xludf.DUMMYFUNCTION("""COMPUTED_VALUE"""),18.22)</f>
        <v>18.22</v>
      </c>
      <c r="AE589" s="3">
        <f ca="1">IFERROR(__xludf.DUMMYFUNCTION("""COMPUTED_VALUE"""),25.22)</f>
        <v>25.22</v>
      </c>
      <c r="AF589" s="3">
        <f ca="1">IFERROR(__xludf.DUMMYFUNCTION("""COMPUTED_VALUE"""),4.48)</f>
        <v>4.4800000000000004</v>
      </c>
      <c r="AG589" s="3">
        <f ca="1">IFERROR(__xludf.DUMMYFUNCTION("""COMPUTED_VALUE"""),41.46)</f>
        <v>41.46</v>
      </c>
    </row>
    <row r="590" spans="1:33" ht="12.75" x14ac:dyDescent="0.2">
      <c r="A590" s="4">
        <f ca="1">IFERROR(__xludf.DUMMYFUNCTION("""COMPUTED_VALUE"""),45418.6666666666)</f>
        <v>45418.666666666599</v>
      </c>
      <c r="B590" s="3">
        <f ca="1">IFERROR(__xludf.DUMMYFUNCTION("""COMPUTED_VALUE"""),204.93)</f>
        <v>204.93</v>
      </c>
      <c r="C590" s="3">
        <f ca="1">IFERROR(__xludf.DUMMYFUNCTION("""COMPUTED_VALUE"""),516.83)</f>
        <v>516.83000000000004</v>
      </c>
      <c r="D590" s="3">
        <f ca="1">IFERROR(__xludf.DUMMYFUNCTION("""COMPUTED_VALUE"""),133.54)</f>
        <v>133.54</v>
      </c>
      <c r="E590" s="3">
        <f ca="1">IFERROR(__xludf.DUMMYFUNCTION("""COMPUTED_VALUE"""),220.66)</f>
        <v>220.66</v>
      </c>
      <c r="F590" s="3">
        <f ca="1">IFERROR(__xludf.DUMMYFUNCTION("""COMPUTED_VALUE"""),61.64)</f>
        <v>61.64</v>
      </c>
      <c r="G590" s="3">
        <f ca="1">IFERROR(__xludf.DUMMYFUNCTION("""COMPUTED_VALUE"""),31.38)</f>
        <v>31.38</v>
      </c>
      <c r="H590" s="3">
        <f ca="1">IFERROR(__xludf.DUMMYFUNCTION("""COMPUTED_VALUE"""),27.81)</f>
        <v>27.81</v>
      </c>
      <c r="I590" s="3">
        <f ca="1">IFERROR(__xludf.DUMMYFUNCTION("""COMPUTED_VALUE"""),141.4)</f>
        <v>141.4</v>
      </c>
      <c r="J590" s="3">
        <f ca="1">IFERROR(__xludf.DUMMYFUNCTION("""COMPUTED_VALUE"""),259.16)</f>
        <v>259.16000000000003</v>
      </c>
      <c r="K590" s="3">
        <f ca="1">IFERROR(__xludf.DUMMYFUNCTION("""COMPUTED_VALUE"""),133.02)</f>
        <v>133.02000000000001</v>
      </c>
      <c r="L590" s="3">
        <f ca="1">IFERROR(__xludf.DUMMYFUNCTION("""COMPUTED_VALUE"""),90.58)</f>
        <v>90.58</v>
      </c>
      <c r="M590" s="3">
        <f ca="1">IFERROR(__xludf.DUMMYFUNCTION("""COMPUTED_VALUE"""),63.54)</f>
        <v>63.54</v>
      </c>
      <c r="N590" s="3">
        <f ca="1">IFERROR(__xludf.DUMMYFUNCTION("""COMPUTED_VALUE"""),66.84)</f>
        <v>66.84</v>
      </c>
      <c r="O590" s="3">
        <f ca="1">IFERROR(__xludf.DUMMYFUNCTION("""COMPUTED_VALUE"""),41.88)</f>
        <v>41.88</v>
      </c>
      <c r="P590" s="3">
        <f ca="1">IFERROR(__xludf.DUMMYFUNCTION("""COMPUTED_VALUE"""),93.3)</f>
        <v>93.3</v>
      </c>
      <c r="Q590" s="3">
        <f ca="1">IFERROR(__xludf.DUMMYFUNCTION("""COMPUTED_VALUE"""),130.26)</f>
        <v>130.26</v>
      </c>
      <c r="R590" s="3">
        <f ca="1">IFERROR(__xludf.DUMMYFUNCTION("""COMPUTED_VALUE"""),90.07)</f>
        <v>90.07</v>
      </c>
      <c r="S590" s="3">
        <f ca="1">IFERROR(__xludf.DUMMYFUNCTION("""COMPUTED_VALUE"""),61.08)</f>
        <v>61.08</v>
      </c>
      <c r="T590" s="3">
        <f ca="1">IFERROR(__xludf.DUMMYFUNCTION("""COMPUTED_VALUE"""),23.37)</f>
        <v>23.37</v>
      </c>
      <c r="U590" s="3">
        <f ca="1">IFERROR(__xludf.DUMMYFUNCTION("""COMPUTED_VALUE"""),75.66)</f>
        <v>75.66</v>
      </c>
      <c r="V590" s="3">
        <f ca="1">IFERROR(__xludf.DUMMYFUNCTION("""COMPUTED_VALUE"""),43.25)</f>
        <v>43.25</v>
      </c>
      <c r="W590" s="3">
        <f ca="1">IFERROR(__xludf.DUMMYFUNCTION("""COMPUTED_VALUE"""),41.07)</f>
        <v>41.07</v>
      </c>
      <c r="X590" s="3">
        <f ca="1">IFERROR(__xludf.DUMMYFUNCTION("""COMPUTED_VALUE"""),99.85)</f>
        <v>99.85</v>
      </c>
      <c r="Y590" s="3">
        <f ca="1">IFERROR(__xludf.DUMMYFUNCTION("""COMPUTED_VALUE"""),46.89)</f>
        <v>46.89</v>
      </c>
      <c r="Z590" s="3">
        <f ca="1">IFERROR(__xludf.DUMMYFUNCTION("""COMPUTED_VALUE"""),93.61)</f>
        <v>93.61</v>
      </c>
      <c r="AA590" s="3">
        <f ca="1">IFERROR(__xludf.DUMMYFUNCTION("""COMPUTED_VALUE"""),37.03)</f>
        <v>37.03</v>
      </c>
      <c r="AB590" s="3">
        <f ca="1">IFERROR(__xludf.DUMMYFUNCTION("""COMPUTED_VALUE"""),50.04)</f>
        <v>50.04</v>
      </c>
      <c r="AC590" s="3">
        <f ca="1">IFERROR(__xludf.DUMMYFUNCTION("""COMPUTED_VALUE"""),65.78)</f>
        <v>65.78</v>
      </c>
      <c r="AD590" s="3">
        <f ca="1">IFERROR(__xludf.DUMMYFUNCTION("""COMPUTED_VALUE"""),18.32)</f>
        <v>18.32</v>
      </c>
      <c r="AE590" s="3">
        <f ca="1">IFERROR(__xludf.DUMMYFUNCTION("""COMPUTED_VALUE"""),25.66)</f>
        <v>25.66</v>
      </c>
      <c r="AF590" s="3">
        <f ca="1">IFERROR(__xludf.DUMMYFUNCTION("""COMPUTED_VALUE"""),4.64)</f>
        <v>4.6399999999999997</v>
      </c>
      <c r="AG590" s="3">
        <f ca="1">IFERROR(__xludf.DUMMYFUNCTION("""COMPUTED_VALUE"""),43.44)</f>
        <v>43.44</v>
      </c>
    </row>
    <row r="591" spans="1:33" ht="12.75" x14ac:dyDescent="0.2">
      <c r="A591" s="4">
        <f ca="1">IFERROR(__xludf.DUMMYFUNCTION("""COMPUTED_VALUE"""),45419.6666666666)</f>
        <v>45419.666666666599</v>
      </c>
      <c r="B591" s="3">
        <f ca="1">IFERROR(__xludf.DUMMYFUNCTION("""COMPUTED_VALUE"""),204.26)</f>
        <v>204.26</v>
      </c>
      <c r="C591" s="3">
        <f ca="1">IFERROR(__xludf.DUMMYFUNCTION("""COMPUTED_VALUE"""),514.67)</f>
        <v>514.66999999999996</v>
      </c>
      <c r="D591" s="3">
        <f ca="1">IFERROR(__xludf.DUMMYFUNCTION("""COMPUTED_VALUE"""),133.97)</f>
        <v>133.97</v>
      </c>
      <c r="E591" s="3">
        <f ca="1">IFERROR(__xludf.DUMMYFUNCTION("""COMPUTED_VALUE"""),218.71)</f>
        <v>218.71</v>
      </c>
      <c r="F591" s="3">
        <f ca="1">IFERROR(__xludf.DUMMYFUNCTION("""COMPUTED_VALUE"""),61.57)</f>
        <v>61.57</v>
      </c>
      <c r="G591" s="3">
        <f ca="1">IFERROR(__xludf.DUMMYFUNCTION("""COMPUTED_VALUE"""),31.4)</f>
        <v>31.4</v>
      </c>
      <c r="H591" s="3">
        <f ca="1">IFERROR(__xludf.DUMMYFUNCTION("""COMPUTED_VALUE"""),27.78)</f>
        <v>27.78</v>
      </c>
      <c r="I591" s="3">
        <f ca="1">IFERROR(__xludf.DUMMYFUNCTION("""COMPUTED_VALUE"""),142.57)</f>
        <v>142.57</v>
      </c>
      <c r="J591" s="3">
        <f ca="1">IFERROR(__xludf.DUMMYFUNCTION("""COMPUTED_VALUE"""),261.06)</f>
        <v>261.06</v>
      </c>
      <c r="K591" s="3">
        <f ca="1">IFERROR(__xludf.DUMMYFUNCTION("""COMPUTED_VALUE"""),133.28)</f>
        <v>133.28</v>
      </c>
      <c r="L591" s="3">
        <f ca="1">IFERROR(__xludf.DUMMYFUNCTION("""COMPUTED_VALUE"""),90.43)</f>
        <v>90.43</v>
      </c>
      <c r="M591" s="3">
        <f ca="1">IFERROR(__xludf.DUMMYFUNCTION("""COMPUTED_VALUE"""),64.15)</f>
        <v>64.150000000000006</v>
      </c>
      <c r="N591" s="3">
        <f ca="1">IFERROR(__xludf.DUMMYFUNCTION("""COMPUTED_VALUE"""),67.32)</f>
        <v>67.319999999999993</v>
      </c>
      <c r="O591" s="3">
        <f ca="1">IFERROR(__xludf.DUMMYFUNCTION("""COMPUTED_VALUE"""),41.6)</f>
        <v>41.6</v>
      </c>
      <c r="P591" s="3">
        <f ca="1">IFERROR(__xludf.DUMMYFUNCTION("""COMPUTED_VALUE"""),93.21)</f>
        <v>93.21</v>
      </c>
      <c r="Q591" s="3">
        <f ca="1">IFERROR(__xludf.DUMMYFUNCTION("""COMPUTED_VALUE"""),130.24)</f>
        <v>130.24</v>
      </c>
      <c r="R591" s="3">
        <f ca="1">IFERROR(__xludf.DUMMYFUNCTION("""COMPUTED_VALUE"""),91.14)</f>
        <v>91.14</v>
      </c>
      <c r="S591" s="3">
        <f ca="1">IFERROR(__xludf.DUMMYFUNCTION("""COMPUTED_VALUE"""),61.34)</f>
        <v>61.34</v>
      </c>
      <c r="T591" s="3">
        <f ca="1">IFERROR(__xludf.DUMMYFUNCTION("""COMPUTED_VALUE"""),23.35)</f>
        <v>23.35</v>
      </c>
      <c r="U591" s="3">
        <f ca="1">IFERROR(__xludf.DUMMYFUNCTION("""COMPUTED_VALUE"""),75.5)</f>
        <v>75.5</v>
      </c>
      <c r="V591" s="3">
        <f ca="1">IFERROR(__xludf.DUMMYFUNCTION("""COMPUTED_VALUE"""),43.06)</f>
        <v>43.06</v>
      </c>
      <c r="W591" s="3">
        <f ca="1">IFERROR(__xludf.DUMMYFUNCTION("""COMPUTED_VALUE"""),41.21)</f>
        <v>41.21</v>
      </c>
      <c r="X591" s="3">
        <f ca="1">IFERROR(__xludf.DUMMYFUNCTION("""COMPUTED_VALUE"""),100.09)</f>
        <v>100.09</v>
      </c>
      <c r="Y591" s="3">
        <f ca="1">IFERROR(__xludf.DUMMYFUNCTION("""COMPUTED_VALUE"""),46.82)</f>
        <v>46.82</v>
      </c>
      <c r="Z591" s="3">
        <f ca="1">IFERROR(__xludf.DUMMYFUNCTION("""COMPUTED_VALUE"""),93.74)</f>
        <v>93.74</v>
      </c>
      <c r="AA591" s="3">
        <f ca="1">IFERROR(__xludf.DUMMYFUNCTION("""COMPUTED_VALUE"""),37.42)</f>
        <v>37.42</v>
      </c>
      <c r="AB591" s="3">
        <f ca="1">IFERROR(__xludf.DUMMYFUNCTION("""COMPUTED_VALUE"""),49.88)</f>
        <v>49.88</v>
      </c>
      <c r="AC591" s="3">
        <f ca="1">IFERROR(__xludf.DUMMYFUNCTION("""COMPUTED_VALUE"""),66.08)</f>
        <v>66.08</v>
      </c>
      <c r="AD591" s="3">
        <f ca="1">IFERROR(__xludf.DUMMYFUNCTION("""COMPUTED_VALUE"""),18.22)</f>
        <v>18.22</v>
      </c>
      <c r="AE591" s="3">
        <f ca="1">IFERROR(__xludf.DUMMYFUNCTION("""COMPUTED_VALUE"""),25.61)</f>
        <v>25.61</v>
      </c>
      <c r="AF591" s="3">
        <f ca="1">IFERROR(__xludf.DUMMYFUNCTION("""COMPUTED_VALUE"""),4.73)</f>
        <v>4.7300000000000004</v>
      </c>
      <c r="AG591" s="3">
        <f ca="1">IFERROR(__xludf.DUMMYFUNCTION("""COMPUTED_VALUE"""),42.06)</f>
        <v>42.06</v>
      </c>
    </row>
    <row r="592" spans="1:33" ht="12.75" x14ac:dyDescent="0.2">
      <c r="A592" s="4">
        <f ca="1">IFERROR(__xludf.DUMMYFUNCTION("""COMPUTED_VALUE"""),45420.6666666666)</f>
        <v>45420.666666666599</v>
      </c>
      <c r="B592" s="3">
        <f ca="1">IFERROR(__xludf.DUMMYFUNCTION("""COMPUTED_VALUE"""),204.84)</f>
        <v>204.84</v>
      </c>
      <c r="C592" s="3">
        <f ca="1">IFERROR(__xludf.DUMMYFUNCTION("""COMPUTED_VALUE"""),515.42)</f>
        <v>515.41999999999996</v>
      </c>
      <c r="D592" s="3">
        <f ca="1">IFERROR(__xludf.DUMMYFUNCTION("""COMPUTED_VALUE"""),134.46)</f>
        <v>134.46</v>
      </c>
      <c r="E592" s="3">
        <f ca="1">IFERROR(__xludf.DUMMYFUNCTION("""COMPUTED_VALUE"""),218.92)</f>
        <v>218.92</v>
      </c>
      <c r="F592" s="3">
        <f ca="1">IFERROR(__xludf.DUMMYFUNCTION("""COMPUTED_VALUE"""),61.04)</f>
        <v>61.04</v>
      </c>
      <c r="G592" s="3">
        <f ca="1">IFERROR(__xludf.DUMMYFUNCTION("""COMPUTED_VALUE"""),31.2)</f>
        <v>31.2</v>
      </c>
      <c r="H592" s="3">
        <f ca="1">IFERROR(__xludf.DUMMYFUNCTION("""COMPUTED_VALUE"""),27.63)</f>
        <v>27.63</v>
      </c>
      <c r="I592" s="3">
        <f ca="1">IFERROR(__xludf.DUMMYFUNCTION("""COMPUTED_VALUE"""),142.08)</f>
        <v>142.08000000000001</v>
      </c>
      <c r="J592" s="3">
        <f ca="1">IFERROR(__xludf.DUMMYFUNCTION("""COMPUTED_VALUE"""),259.75)</f>
        <v>259.75</v>
      </c>
      <c r="K592" s="3">
        <f ca="1">IFERROR(__xludf.DUMMYFUNCTION("""COMPUTED_VALUE"""),132.59)</f>
        <v>132.59</v>
      </c>
      <c r="L592" s="3">
        <f ca="1">IFERROR(__xludf.DUMMYFUNCTION("""COMPUTED_VALUE"""),89.11)</f>
        <v>89.11</v>
      </c>
      <c r="M592" s="3">
        <f ca="1">IFERROR(__xludf.DUMMYFUNCTION("""COMPUTED_VALUE"""),63.75)</f>
        <v>63.75</v>
      </c>
      <c r="N592" s="3">
        <f ca="1">IFERROR(__xludf.DUMMYFUNCTION("""COMPUTED_VALUE"""),66.94)</f>
        <v>66.94</v>
      </c>
      <c r="O592" s="3">
        <f ca="1">IFERROR(__xludf.DUMMYFUNCTION("""COMPUTED_VALUE"""),41.28)</f>
        <v>41.28</v>
      </c>
      <c r="P592" s="3">
        <f ca="1">IFERROR(__xludf.DUMMYFUNCTION("""COMPUTED_VALUE"""),93.1)</f>
        <v>93.1</v>
      </c>
      <c r="Q592" s="3">
        <f ca="1">IFERROR(__xludf.DUMMYFUNCTION("""COMPUTED_VALUE"""),130.04)</f>
        <v>130.04</v>
      </c>
      <c r="R592" s="3">
        <f ca="1">IFERROR(__xludf.DUMMYFUNCTION("""COMPUTED_VALUE"""),90.72)</f>
        <v>90.72</v>
      </c>
      <c r="S592" s="3">
        <f ca="1">IFERROR(__xludf.DUMMYFUNCTION("""COMPUTED_VALUE"""),60.82)</f>
        <v>60.82</v>
      </c>
      <c r="T592" s="3">
        <f ca="1">IFERROR(__xludf.DUMMYFUNCTION("""COMPUTED_VALUE"""),23.23)</f>
        <v>23.23</v>
      </c>
      <c r="U592" s="3">
        <f ca="1">IFERROR(__xludf.DUMMYFUNCTION("""COMPUTED_VALUE"""),76.11)</f>
        <v>76.11</v>
      </c>
      <c r="V592" s="3">
        <f ca="1">IFERROR(__xludf.DUMMYFUNCTION("""COMPUTED_VALUE"""),42.48)</f>
        <v>42.48</v>
      </c>
      <c r="W592" s="3">
        <f ca="1">IFERROR(__xludf.DUMMYFUNCTION("""COMPUTED_VALUE"""),41.36)</f>
        <v>41.36</v>
      </c>
      <c r="X592" s="3">
        <f ca="1">IFERROR(__xludf.DUMMYFUNCTION("""COMPUTED_VALUE"""),100.48)</f>
        <v>100.48</v>
      </c>
      <c r="Y592" s="3">
        <f ca="1">IFERROR(__xludf.DUMMYFUNCTION("""COMPUTED_VALUE"""),47.05)</f>
        <v>47.05</v>
      </c>
      <c r="Z592" s="3">
        <f ca="1">IFERROR(__xludf.DUMMYFUNCTION("""COMPUTED_VALUE"""),94.06)</f>
        <v>94.06</v>
      </c>
      <c r="AA592" s="3">
        <f ca="1">IFERROR(__xludf.DUMMYFUNCTION("""COMPUTED_VALUE"""),37.07)</f>
        <v>37.07</v>
      </c>
      <c r="AB592" s="3">
        <f ca="1">IFERROR(__xludf.DUMMYFUNCTION("""COMPUTED_VALUE"""),50.17)</f>
        <v>50.17</v>
      </c>
      <c r="AC592" s="3">
        <f ca="1">IFERROR(__xludf.DUMMYFUNCTION("""COMPUTED_VALUE"""),65.82)</f>
        <v>65.819999999999993</v>
      </c>
      <c r="AD592" s="3">
        <f ca="1">IFERROR(__xludf.DUMMYFUNCTION("""COMPUTED_VALUE"""),17.93)</f>
        <v>17.93</v>
      </c>
      <c r="AE592" s="3">
        <f ca="1">IFERROR(__xludf.DUMMYFUNCTION("""COMPUTED_VALUE"""),25.22)</f>
        <v>25.22</v>
      </c>
      <c r="AF592" s="3">
        <f ca="1">IFERROR(__xludf.DUMMYFUNCTION("""COMPUTED_VALUE"""),4.58)</f>
        <v>4.58</v>
      </c>
      <c r="AG592" s="3">
        <f ca="1">IFERROR(__xludf.DUMMYFUNCTION("""COMPUTED_VALUE"""),41.74)</f>
        <v>41.74</v>
      </c>
    </row>
    <row r="593" spans="1:33" ht="12.75" x14ac:dyDescent="0.2">
      <c r="A593" s="4">
        <f ca="1">IFERROR(__xludf.DUMMYFUNCTION("""COMPUTED_VALUE"""),45421.6666666666)</f>
        <v>45421.666666666599</v>
      </c>
      <c r="B593" s="3">
        <f ca="1">IFERROR(__xludf.DUMMYFUNCTION("""COMPUTED_VALUE"""),204.78)</f>
        <v>204.78</v>
      </c>
      <c r="C593" s="3">
        <f ca="1">IFERROR(__xludf.DUMMYFUNCTION("""COMPUTED_VALUE"""),514.91)</f>
        <v>514.91</v>
      </c>
      <c r="D593" s="3">
        <f ca="1">IFERROR(__xludf.DUMMYFUNCTION("""COMPUTED_VALUE"""),135.65)</f>
        <v>135.65</v>
      </c>
      <c r="E593" s="3">
        <f ca="1">IFERROR(__xludf.DUMMYFUNCTION("""COMPUTED_VALUE"""),218.1)</f>
        <v>218.1</v>
      </c>
      <c r="F593" s="3">
        <f ca="1">IFERROR(__xludf.DUMMYFUNCTION("""COMPUTED_VALUE"""),60.97)</f>
        <v>60.97</v>
      </c>
      <c r="G593" s="3">
        <f ca="1">IFERROR(__xludf.DUMMYFUNCTION("""COMPUTED_VALUE"""),31.34)</f>
        <v>31.34</v>
      </c>
      <c r="H593" s="3">
        <f ca="1">IFERROR(__xludf.DUMMYFUNCTION("""COMPUTED_VALUE"""),27.81)</f>
        <v>27.81</v>
      </c>
      <c r="I593" s="3">
        <f ca="1">IFERROR(__xludf.DUMMYFUNCTION("""COMPUTED_VALUE"""),143.3)</f>
        <v>143.30000000000001</v>
      </c>
      <c r="J593" s="3">
        <f ca="1">IFERROR(__xludf.DUMMYFUNCTION("""COMPUTED_VALUE"""),262.05)</f>
        <v>262.05</v>
      </c>
      <c r="K593" s="3">
        <f ca="1">IFERROR(__xludf.DUMMYFUNCTION("""COMPUTED_VALUE"""),133.42)</f>
        <v>133.41999999999999</v>
      </c>
      <c r="L593" s="3">
        <f ca="1">IFERROR(__xludf.DUMMYFUNCTION("""COMPUTED_VALUE"""),88.98)</f>
        <v>88.98</v>
      </c>
      <c r="M593" s="3">
        <f ca="1">IFERROR(__xludf.DUMMYFUNCTION("""COMPUTED_VALUE"""),64.07)</f>
        <v>64.069999999999993</v>
      </c>
      <c r="N593" s="3">
        <f ca="1">IFERROR(__xludf.DUMMYFUNCTION("""COMPUTED_VALUE"""),67.59)</f>
        <v>67.59</v>
      </c>
      <c r="O593" s="3">
        <f ca="1">IFERROR(__xludf.DUMMYFUNCTION("""COMPUTED_VALUE"""),41.76)</f>
        <v>41.76</v>
      </c>
      <c r="P593" s="3">
        <f ca="1">IFERROR(__xludf.DUMMYFUNCTION("""COMPUTED_VALUE"""),94.35)</f>
        <v>94.35</v>
      </c>
      <c r="Q593" s="3">
        <f ca="1">IFERROR(__xludf.DUMMYFUNCTION("""COMPUTED_VALUE"""),131.83)</f>
        <v>131.83000000000001</v>
      </c>
      <c r="R593" s="3">
        <f ca="1">IFERROR(__xludf.DUMMYFUNCTION("""COMPUTED_VALUE"""),91.73)</f>
        <v>91.73</v>
      </c>
      <c r="S593" s="3">
        <f ca="1">IFERROR(__xludf.DUMMYFUNCTION("""COMPUTED_VALUE"""),62.09)</f>
        <v>62.09</v>
      </c>
      <c r="T593" s="3">
        <f ca="1">IFERROR(__xludf.DUMMYFUNCTION("""COMPUTED_VALUE"""),23.32)</f>
        <v>23.32</v>
      </c>
      <c r="U593" s="3">
        <f ca="1">IFERROR(__xludf.DUMMYFUNCTION("""COMPUTED_VALUE"""),76.52)</f>
        <v>76.52</v>
      </c>
      <c r="V593" s="3">
        <f ca="1">IFERROR(__xludf.DUMMYFUNCTION("""COMPUTED_VALUE"""),43.2)</f>
        <v>43.2</v>
      </c>
      <c r="W593" s="3">
        <f ca="1">IFERROR(__xludf.DUMMYFUNCTION("""COMPUTED_VALUE"""),41.67)</f>
        <v>41.67</v>
      </c>
      <c r="X593" s="3">
        <f ca="1">IFERROR(__xludf.DUMMYFUNCTION("""COMPUTED_VALUE"""),101.28)</f>
        <v>101.28</v>
      </c>
      <c r="Y593" s="3">
        <f ca="1">IFERROR(__xludf.DUMMYFUNCTION("""COMPUTED_VALUE"""),47.36)</f>
        <v>47.36</v>
      </c>
      <c r="Z593" s="3">
        <f ca="1">IFERROR(__xludf.DUMMYFUNCTION("""COMPUTED_VALUE"""),94.86)</f>
        <v>94.86</v>
      </c>
      <c r="AA593" s="3">
        <f ca="1">IFERROR(__xludf.DUMMYFUNCTION("""COMPUTED_VALUE"""),37.95)</f>
        <v>37.950000000000003</v>
      </c>
      <c r="AB593" s="3">
        <f ca="1">IFERROR(__xludf.DUMMYFUNCTION("""COMPUTED_VALUE"""),50.41)</f>
        <v>50.41</v>
      </c>
      <c r="AC593" s="3">
        <f ca="1">IFERROR(__xludf.DUMMYFUNCTION("""COMPUTED_VALUE"""),66.18)</f>
        <v>66.180000000000007</v>
      </c>
      <c r="AD593" s="3">
        <f ca="1">IFERROR(__xludf.DUMMYFUNCTION("""COMPUTED_VALUE"""),18.05)</f>
        <v>18.05</v>
      </c>
      <c r="AE593" s="3">
        <f ca="1">IFERROR(__xludf.DUMMYFUNCTION("""COMPUTED_VALUE"""),25.36)</f>
        <v>25.36</v>
      </c>
      <c r="AF593" s="3">
        <f ca="1">IFERROR(__xludf.DUMMYFUNCTION("""COMPUTED_VALUE"""),4.52)</f>
        <v>4.5199999999999996</v>
      </c>
      <c r="AG593" s="3">
        <f ca="1">IFERROR(__xludf.DUMMYFUNCTION("""COMPUTED_VALUE"""),42.19)</f>
        <v>42.19</v>
      </c>
    </row>
    <row r="594" spans="1:33" ht="12.75" x14ac:dyDescent="0.2">
      <c r="A594" s="4">
        <f ca="1">IFERROR(__xludf.DUMMYFUNCTION("""COMPUTED_VALUE"""),45422.6666666666)</f>
        <v>45422.666666666599</v>
      </c>
      <c r="B594" s="3">
        <f ca="1">IFERROR(__xludf.DUMMYFUNCTION("""COMPUTED_VALUE"""),205.54)</f>
        <v>205.54</v>
      </c>
      <c r="C594" s="3">
        <f ca="1">IFERROR(__xludf.DUMMYFUNCTION("""COMPUTED_VALUE"""),516.26)</f>
        <v>516.26</v>
      </c>
      <c r="D594" s="3">
        <f ca="1">IFERROR(__xludf.DUMMYFUNCTION("""COMPUTED_VALUE"""),138.7)</f>
        <v>138.69999999999999</v>
      </c>
      <c r="E594" s="3">
        <f ca="1">IFERROR(__xludf.DUMMYFUNCTION("""COMPUTED_VALUE"""),220.24)</f>
        <v>220.24</v>
      </c>
      <c r="F594" s="3">
        <f ca="1">IFERROR(__xludf.DUMMYFUNCTION("""COMPUTED_VALUE"""),61.4)</f>
        <v>61.4</v>
      </c>
      <c r="G594" s="3">
        <f ca="1">IFERROR(__xludf.DUMMYFUNCTION("""COMPUTED_VALUE"""),31.27)</f>
        <v>31.27</v>
      </c>
      <c r="H594" s="3">
        <f ca="1">IFERROR(__xludf.DUMMYFUNCTION("""COMPUTED_VALUE"""),27.77)</f>
        <v>27.77</v>
      </c>
      <c r="I594" s="3">
        <f ca="1">IFERROR(__xludf.DUMMYFUNCTION("""COMPUTED_VALUE"""),143.59)</f>
        <v>143.59</v>
      </c>
      <c r="J594" s="3">
        <f ca="1">IFERROR(__xludf.DUMMYFUNCTION("""COMPUTED_VALUE"""),262.19)</f>
        <v>262.19</v>
      </c>
      <c r="K594" s="3">
        <f ca="1">IFERROR(__xludf.DUMMYFUNCTION("""COMPUTED_VALUE"""),133.4)</f>
        <v>133.4</v>
      </c>
      <c r="L594" s="3">
        <f ca="1">IFERROR(__xludf.DUMMYFUNCTION("""COMPUTED_VALUE"""),88.14)</f>
        <v>88.14</v>
      </c>
      <c r="M594" s="3">
        <f ca="1">IFERROR(__xludf.DUMMYFUNCTION("""COMPUTED_VALUE"""),63.58)</f>
        <v>63.58</v>
      </c>
      <c r="N594" s="3">
        <f ca="1">IFERROR(__xludf.DUMMYFUNCTION("""COMPUTED_VALUE"""),67.62)</f>
        <v>67.62</v>
      </c>
      <c r="O594" s="3">
        <f ca="1">IFERROR(__xludf.DUMMYFUNCTION("""COMPUTED_VALUE"""),41.68)</f>
        <v>41.68</v>
      </c>
      <c r="P594" s="3">
        <f ca="1">IFERROR(__xludf.DUMMYFUNCTION("""COMPUTED_VALUE"""),93.83)</f>
        <v>93.83</v>
      </c>
      <c r="Q594" s="3">
        <f ca="1">IFERROR(__xludf.DUMMYFUNCTION("""COMPUTED_VALUE"""),130.97)</f>
        <v>130.97</v>
      </c>
      <c r="R594" s="3">
        <f ca="1">IFERROR(__xludf.DUMMYFUNCTION("""COMPUTED_VALUE"""),91.84)</f>
        <v>91.84</v>
      </c>
      <c r="S594" s="3">
        <f ca="1">IFERROR(__xludf.DUMMYFUNCTION("""COMPUTED_VALUE"""),61.59)</f>
        <v>61.59</v>
      </c>
      <c r="T594" s="3">
        <f ca="1">IFERROR(__xludf.DUMMYFUNCTION("""COMPUTED_VALUE"""),23.28)</f>
        <v>23.28</v>
      </c>
      <c r="U594" s="3">
        <f ca="1">IFERROR(__xludf.DUMMYFUNCTION("""COMPUTED_VALUE"""),75.3)</f>
        <v>75.3</v>
      </c>
      <c r="V594" s="3">
        <f ca="1">IFERROR(__xludf.DUMMYFUNCTION("""COMPUTED_VALUE"""),42.06)</f>
        <v>42.06</v>
      </c>
      <c r="W594" s="3">
        <f ca="1">IFERROR(__xludf.DUMMYFUNCTION("""COMPUTED_VALUE"""),41.83)</f>
        <v>41.83</v>
      </c>
      <c r="X594" s="3">
        <f ca="1">IFERROR(__xludf.DUMMYFUNCTION("""COMPUTED_VALUE"""),101.53)</f>
        <v>101.53</v>
      </c>
      <c r="Y594" s="3">
        <f ca="1">IFERROR(__xludf.DUMMYFUNCTION("""COMPUTED_VALUE"""),47.34)</f>
        <v>47.34</v>
      </c>
      <c r="Z594" s="3">
        <f ca="1">IFERROR(__xludf.DUMMYFUNCTION("""COMPUTED_VALUE"""),95.2)</f>
        <v>95.2</v>
      </c>
      <c r="AA594" s="3">
        <f ca="1">IFERROR(__xludf.DUMMYFUNCTION("""COMPUTED_VALUE"""),37.81)</f>
        <v>37.81</v>
      </c>
      <c r="AB594" s="3">
        <f ca="1">IFERROR(__xludf.DUMMYFUNCTION("""COMPUTED_VALUE"""),50.35)</f>
        <v>50.35</v>
      </c>
      <c r="AC594" s="3">
        <f ca="1">IFERROR(__xludf.DUMMYFUNCTION("""COMPUTED_VALUE"""),66.95)</f>
        <v>66.95</v>
      </c>
      <c r="AD594" s="3">
        <f ca="1">IFERROR(__xludf.DUMMYFUNCTION("""COMPUTED_VALUE"""),17.44)</f>
        <v>17.440000000000001</v>
      </c>
      <c r="AE594" s="3">
        <f ca="1">IFERROR(__xludf.DUMMYFUNCTION("""COMPUTED_VALUE"""),24.64)</f>
        <v>24.64</v>
      </c>
      <c r="AF594" s="3">
        <f ca="1">IFERROR(__xludf.DUMMYFUNCTION("""COMPUTED_VALUE"""),4.63)</f>
        <v>4.63</v>
      </c>
      <c r="AG594" s="3">
        <f ca="1">IFERROR(__xludf.DUMMYFUNCTION("""COMPUTED_VALUE"""),39.59)</f>
        <v>39.590000000000003</v>
      </c>
    </row>
    <row r="595" spans="1:33" ht="12.75" x14ac:dyDescent="0.2">
      <c r="A595" s="4">
        <f ca="1">IFERROR(__xludf.DUMMYFUNCTION("""COMPUTED_VALUE"""),45425.6666666666)</f>
        <v>45425.666666666599</v>
      </c>
      <c r="B595" s="3">
        <f ca="1">IFERROR(__xludf.DUMMYFUNCTION("""COMPUTED_VALUE"""),206.51)</f>
        <v>206.51</v>
      </c>
      <c r="C595" s="3">
        <f ca="1">IFERROR(__xludf.DUMMYFUNCTION("""COMPUTED_VALUE"""),518.78)</f>
        <v>518.78</v>
      </c>
      <c r="D595" s="3">
        <f ca="1">IFERROR(__xludf.DUMMYFUNCTION("""COMPUTED_VALUE"""),138.35)</f>
        <v>138.35</v>
      </c>
      <c r="E595" s="3">
        <f ca="1">IFERROR(__xludf.DUMMYFUNCTION("""COMPUTED_VALUE"""),220.7)</f>
        <v>220.7</v>
      </c>
      <c r="F595" s="3">
        <f ca="1">IFERROR(__xludf.DUMMYFUNCTION("""COMPUTED_VALUE"""),61.59)</f>
        <v>61.59</v>
      </c>
      <c r="G595" s="3">
        <f ca="1">IFERROR(__xludf.DUMMYFUNCTION("""COMPUTED_VALUE"""),31.32)</f>
        <v>31.32</v>
      </c>
      <c r="H595" s="3">
        <f ca="1">IFERROR(__xludf.DUMMYFUNCTION("""COMPUTED_VALUE"""),27.83)</f>
        <v>27.83</v>
      </c>
      <c r="I595" s="3">
        <f ca="1">IFERROR(__xludf.DUMMYFUNCTION("""COMPUTED_VALUE"""),143.45)</f>
        <v>143.44999999999999</v>
      </c>
      <c r="J595" s="3">
        <f ca="1">IFERROR(__xludf.DUMMYFUNCTION("""COMPUTED_VALUE"""),262.17)</f>
        <v>262.17</v>
      </c>
      <c r="K595" s="3">
        <f ca="1">IFERROR(__xludf.DUMMYFUNCTION("""COMPUTED_VALUE"""),134.41)</f>
        <v>134.41</v>
      </c>
      <c r="L595" s="3">
        <f ca="1">IFERROR(__xludf.DUMMYFUNCTION("""COMPUTED_VALUE"""),89.88)</f>
        <v>89.88</v>
      </c>
      <c r="M595" s="3">
        <f ca="1">IFERROR(__xludf.DUMMYFUNCTION("""COMPUTED_VALUE"""),64.03)</f>
        <v>64.03</v>
      </c>
      <c r="N595" s="3">
        <f ca="1">IFERROR(__xludf.DUMMYFUNCTION("""COMPUTED_VALUE"""),67.59)</f>
        <v>67.59</v>
      </c>
      <c r="O595" s="3">
        <f ca="1">IFERROR(__xludf.DUMMYFUNCTION("""COMPUTED_VALUE"""),42.42)</f>
        <v>42.42</v>
      </c>
      <c r="P595" s="3">
        <f ca="1">IFERROR(__xludf.DUMMYFUNCTION("""COMPUTED_VALUE"""),93.58)</f>
        <v>93.58</v>
      </c>
      <c r="Q595" s="3">
        <f ca="1">IFERROR(__xludf.DUMMYFUNCTION("""COMPUTED_VALUE"""),130.57)</f>
        <v>130.57</v>
      </c>
      <c r="R595" s="3">
        <f ca="1">IFERROR(__xludf.DUMMYFUNCTION("""COMPUTED_VALUE"""),91.78)</f>
        <v>91.78</v>
      </c>
      <c r="S595" s="3">
        <f ca="1">IFERROR(__xludf.DUMMYFUNCTION("""COMPUTED_VALUE"""),61.8)</f>
        <v>61.8</v>
      </c>
      <c r="T595" s="3">
        <f ca="1">IFERROR(__xludf.DUMMYFUNCTION("""COMPUTED_VALUE"""),23.43)</f>
        <v>23.43</v>
      </c>
      <c r="U595" s="3">
        <f ca="1">IFERROR(__xludf.DUMMYFUNCTION("""COMPUTED_VALUE"""),76.13)</f>
        <v>76.13</v>
      </c>
      <c r="V595" s="3">
        <f ca="1">IFERROR(__xludf.DUMMYFUNCTION("""COMPUTED_VALUE"""),42.77)</f>
        <v>42.77</v>
      </c>
      <c r="W595" s="3">
        <f ca="1">IFERROR(__xludf.DUMMYFUNCTION("""COMPUTED_VALUE"""),41.66)</f>
        <v>41.66</v>
      </c>
      <c r="X595" s="3">
        <f ca="1">IFERROR(__xludf.DUMMYFUNCTION("""COMPUTED_VALUE"""),101.17)</f>
        <v>101.17</v>
      </c>
      <c r="Y595" s="3">
        <f ca="1">IFERROR(__xludf.DUMMYFUNCTION("""COMPUTED_VALUE"""),47.1)</f>
        <v>47.1</v>
      </c>
      <c r="Z595" s="3">
        <f ca="1">IFERROR(__xludf.DUMMYFUNCTION("""COMPUTED_VALUE"""),94.65)</f>
        <v>94.65</v>
      </c>
      <c r="AA595" s="3">
        <f ca="1">IFERROR(__xludf.DUMMYFUNCTION("""COMPUTED_VALUE"""),37.91)</f>
        <v>37.909999999999997</v>
      </c>
      <c r="AB595" s="3">
        <f ca="1">IFERROR(__xludf.DUMMYFUNCTION("""COMPUTED_VALUE"""),50.3)</f>
        <v>50.3</v>
      </c>
      <c r="AC595" s="3">
        <f ca="1">IFERROR(__xludf.DUMMYFUNCTION("""COMPUTED_VALUE"""),66.66)</f>
        <v>66.66</v>
      </c>
      <c r="AD595" s="3">
        <f ca="1">IFERROR(__xludf.DUMMYFUNCTION("""COMPUTED_VALUE"""),17.96)</f>
        <v>17.96</v>
      </c>
      <c r="AE595" s="3">
        <f ca="1">IFERROR(__xludf.DUMMYFUNCTION("""COMPUTED_VALUE"""),25.68)</f>
        <v>25.68</v>
      </c>
      <c r="AF595" s="3">
        <f ca="1">IFERROR(__xludf.DUMMYFUNCTION("""COMPUTED_VALUE"""),4.39)</f>
        <v>4.3899999999999997</v>
      </c>
      <c r="AG595" s="3">
        <f ca="1">IFERROR(__xludf.DUMMYFUNCTION("""COMPUTED_VALUE"""),39.68)</f>
        <v>39.68</v>
      </c>
    </row>
    <row r="596" spans="1:33" ht="12.75" x14ac:dyDescent="0.2">
      <c r="A596" s="4">
        <f ca="1">IFERROR(__xludf.DUMMYFUNCTION("""COMPUTED_VALUE"""),45426.6666666666)</f>
        <v>45426.666666666599</v>
      </c>
      <c r="B596" s="3">
        <f ca="1">IFERROR(__xludf.DUMMYFUNCTION("""COMPUTED_VALUE"""),208.34)</f>
        <v>208.34</v>
      </c>
      <c r="C596" s="3">
        <f ca="1">IFERROR(__xludf.DUMMYFUNCTION("""COMPUTED_VALUE"""),524.12)</f>
        <v>524.12</v>
      </c>
      <c r="D596" s="3">
        <f ca="1">IFERROR(__xludf.DUMMYFUNCTION("""COMPUTED_VALUE"""),138.02)</f>
        <v>138.02000000000001</v>
      </c>
      <c r="E596" s="3">
        <f ca="1">IFERROR(__xludf.DUMMYFUNCTION("""COMPUTED_VALUE"""),224.37)</f>
        <v>224.37</v>
      </c>
      <c r="F596" s="3">
        <f ca="1">IFERROR(__xludf.DUMMYFUNCTION("""COMPUTED_VALUE"""),62.1)</f>
        <v>62.1</v>
      </c>
      <c r="G596" s="3">
        <f ca="1">IFERROR(__xludf.DUMMYFUNCTION("""COMPUTED_VALUE"""),31.49)</f>
        <v>31.49</v>
      </c>
      <c r="H596" s="3">
        <f ca="1">IFERROR(__xludf.DUMMYFUNCTION("""COMPUTED_VALUE"""),28.06)</f>
        <v>28.06</v>
      </c>
      <c r="I596" s="3">
        <f ca="1">IFERROR(__xludf.DUMMYFUNCTION("""COMPUTED_VALUE"""),144.06)</f>
        <v>144.06</v>
      </c>
      <c r="J596" s="3">
        <f ca="1">IFERROR(__xludf.DUMMYFUNCTION("""COMPUTED_VALUE"""),263.28)</f>
        <v>263.27999999999997</v>
      </c>
      <c r="K596" s="3">
        <f ca="1">IFERROR(__xludf.DUMMYFUNCTION("""COMPUTED_VALUE"""),135.47)</f>
        <v>135.47</v>
      </c>
      <c r="L596" s="3">
        <f ca="1">IFERROR(__xludf.DUMMYFUNCTION("""COMPUTED_VALUE"""),90.78)</f>
        <v>90.78</v>
      </c>
      <c r="M596" s="3">
        <f ca="1">IFERROR(__xludf.DUMMYFUNCTION("""COMPUTED_VALUE"""),64.61)</f>
        <v>64.61</v>
      </c>
      <c r="N596" s="3">
        <f ca="1">IFERROR(__xludf.DUMMYFUNCTION("""COMPUTED_VALUE"""),67.89)</f>
        <v>67.89</v>
      </c>
      <c r="O596" s="3">
        <f ca="1">IFERROR(__xludf.DUMMYFUNCTION("""COMPUTED_VALUE"""),43.24)</f>
        <v>43.24</v>
      </c>
      <c r="P596" s="3">
        <f ca="1">IFERROR(__xludf.DUMMYFUNCTION("""COMPUTED_VALUE"""),93.7)</f>
        <v>93.7</v>
      </c>
      <c r="Q596" s="3">
        <f ca="1">IFERROR(__xludf.DUMMYFUNCTION("""COMPUTED_VALUE"""),131.02)</f>
        <v>131.02000000000001</v>
      </c>
      <c r="R596" s="3">
        <f ca="1">IFERROR(__xludf.DUMMYFUNCTION("""COMPUTED_VALUE"""),91.87)</f>
        <v>91.87</v>
      </c>
      <c r="S596" s="3">
        <f ca="1">IFERROR(__xludf.DUMMYFUNCTION("""COMPUTED_VALUE"""),62.44)</f>
        <v>62.44</v>
      </c>
      <c r="T596" s="3">
        <f ca="1">IFERROR(__xludf.DUMMYFUNCTION("""COMPUTED_VALUE"""),23.33)</f>
        <v>23.33</v>
      </c>
      <c r="U596" s="3">
        <f ca="1">IFERROR(__xludf.DUMMYFUNCTION("""COMPUTED_VALUE"""),75.21)</f>
        <v>75.209999999999994</v>
      </c>
      <c r="V596" s="3">
        <f ca="1">IFERROR(__xludf.DUMMYFUNCTION("""COMPUTED_VALUE"""),43.77)</f>
        <v>43.77</v>
      </c>
      <c r="W596" s="3">
        <f ca="1">IFERROR(__xludf.DUMMYFUNCTION("""COMPUTED_VALUE"""),41.87)</f>
        <v>41.87</v>
      </c>
      <c r="X596" s="3">
        <f ca="1">IFERROR(__xludf.DUMMYFUNCTION("""COMPUTED_VALUE"""),101.65)</f>
        <v>101.65</v>
      </c>
      <c r="Y596" s="3">
        <f ca="1">IFERROR(__xludf.DUMMYFUNCTION("""COMPUTED_VALUE"""),47.64)</f>
        <v>47.64</v>
      </c>
      <c r="Z596" s="3">
        <f ca="1">IFERROR(__xludf.DUMMYFUNCTION("""COMPUTED_VALUE"""),95.35)</f>
        <v>95.35</v>
      </c>
      <c r="AA596" s="3">
        <f ca="1">IFERROR(__xludf.DUMMYFUNCTION("""COMPUTED_VALUE"""),38.18)</f>
        <v>38.18</v>
      </c>
      <c r="AB596" s="3">
        <f ca="1">IFERROR(__xludf.DUMMYFUNCTION("""COMPUTED_VALUE"""),50.89)</f>
        <v>50.89</v>
      </c>
      <c r="AC596" s="3">
        <f ca="1">IFERROR(__xludf.DUMMYFUNCTION("""COMPUTED_VALUE"""),67.11)</f>
        <v>67.11</v>
      </c>
      <c r="AD596" s="3">
        <f ca="1">IFERROR(__xludf.DUMMYFUNCTION("""COMPUTED_VALUE"""),17.53)</f>
        <v>17.53</v>
      </c>
      <c r="AE596" s="3">
        <f ca="1">IFERROR(__xludf.DUMMYFUNCTION("""COMPUTED_VALUE"""),24.98)</f>
        <v>24.98</v>
      </c>
      <c r="AF596" s="3">
        <f ca="1">IFERROR(__xludf.DUMMYFUNCTION("""COMPUTED_VALUE"""),4.35)</f>
        <v>4.3499999999999996</v>
      </c>
      <c r="AG596" s="3">
        <f ca="1">IFERROR(__xludf.DUMMYFUNCTION("""COMPUTED_VALUE"""),40.27)</f>
        <v>40.270000000000003</v>
      </c>
    </row>
    <row r="597" spans="1:33" ht="12.75" x14ac:dyDescent="0.2">
      <c r="A597" s="4">
        <f ca="1">IFERROR(__xludf.DUMMYFUNCTION("""COMPUTED_VALUE"""),45427.6666666666)</f>
        <v>45427.666666666599</v>
      </c>
      <c r="B597" s="3">
        <f ca="1">IFERROR(__xludf.DUMMYFUNCTION("""COMPUTED_VALUE"""),213.03)</f>
        <v>213.03</v>
      </c>
      <c r="C597" s="3">
        <f ca="1">IFERROR(__xludf.DUMMYFUNCTION("""COMPUTED_VALUE"""),536.12)</f>
        <v>536.12</v>
      </c>
      <c r="D597" s="3">
        <f ca="1">IFERROR(__xludf.DUMMYFUNCTION("""COMPUTED_VALUE"""),139.8)</f>
        <v>139.80000000000001</v>
      </c>
      <c r="E597" s="3">
        <f ca="1">IFERROR(__xludf.DUMMYFUNCTION("""COMPUTED_VALUE"""),230.67)</f>
        <v>230.67</v>
      </c>
      <c r="F597" s="3">
        <f ca="1">IFERROR(__xludf.DUMMYFUNCTION("""COMPUTED_VALUE"""),63.11)</f>
        <v>63.11</v>
      </c>
      <c r="G597" s="3">
        <f ca="1">IFERROR(__xludf.DUMMYFUNCTION("""COMPUTED_VALUE"""),31.95)</f>
        <v>31.95</v>
      </c>
      <c r="H597" s="3">
        <f ca="1">IFERROR(__xludf.DUMMYFUNCTION("""COMPUTED_VALUE"""),28.44)</f>
        <v>28.44</v>
      </c>
      <c r="I597" s="3">
        <f ca="1">IFERROR(__xludf.DUMMYFUNCTION("""COMPUTED_VALUE"""),146.2)</f>
        <v>146.19999999999999</v>
      </c>
      <c r="J597" s="3">
        <f ca="1">IFERROR(__xludf.DUMMYFUNCTION("""COMPUTED_VALUE"""),267.23)</f>
        <v>267.23</v>
      </c>
      <c r="K597" s="3">
        <f ca="1">IFERROR(__xludf.DUMMYFUNCTION("""COMPUTED_VALUE"""),137.34)</f>
        <v>137.34</v>
      </c>
      <c r="L597" s="3">
        <f ca="1">IFERROR(__xludf.DUMMYFUNCTION("""COMPUTED_VALUE"""),92.61)</f>
        <v>92.61</v>
      </c>
      <c r="M597" s="3">
        <f ca="1">IFERROR(__xludf.DUMMYFUNCTION("""COMPUTED_VALUE"""),65.42)</f>
        <v>65.42</v>
      </c>
      <c r="N597" s="3">
        <f ca="1">IFERROR(__xludf.DUMMYFUNCTION("""COMPUTED_VALUE"""),68.89)</f>
        <v>68.89</v>
      </c>
      <c r="O597" s="3">
        <f ca="1">IFERROR(__xludf.DUMMYFUNCTION("""COMPUTED_VALUE"""),43.68)</f>
        <v>43.68</v>
      </c>
      <c r="P597" s="3">
        <f ca="1">IFERROR(__xludf.DUMMYFUNCTION("""COMPUTED_VALUE"""),93.91)</f>
        <v>93.91</v>
      </c>
      <c r="Q597" s="3">
        <f ca="1">IFERROR(__xludf.DUMMYFUNCTION("""COMPUTED_VALUE"""),131.3)</f>
        <v>131.30000000000001</v>
      </c>
      <c r="R597" s="3">
        <f ca="1">IFERROR(__xludf.DUMMYFUNCTION("""COMPUTED_VALUE"""),92.03)</f>
        <v>92.03</v>
      </c>
      <c r="S597" s="3">
        <f ca="1">IFERROR(__xludf.DUMMYFUNCTION("""COMPUTED_VALUE"""),63.23)</f>
        <v>63.23</v>
      </c>
      <c r="T597" s="3">
        <f ca="1">IFERROR(__xludf.DUMMYFUNCTION("""COMPUTED_VALUE"""),23.41)</f>
        <v>23.41</v>
      </c>
      <c r="U597" s="3">
        <f ca="1">IFERROR(__xludf.DUMMYFUNCTION("""COMPUTED_VALUE"""),75.88)</f>
        <v>75.88</v>
      </c>
      <c r="V597" s="3">
        <f ca="1">IFERROR(__xludf.DUMMYFUNCTION("""COMPUTED_VALUE"""),43.73)</f>
        <v>43.73</v>
      </c>
      <c r="W597" s="3">
        <f ca="1">IFERROR(__xludf.DUMMYFUNCTION("""COMPUTED_VALUE"""),42.18)</f>
        <v>42.18</v>
      </c>
      <c r="X597" s="3">
        <f ca="1">IFERROR(__xludf.DUMMYFUNCTION("""COMPUTED_VALUE"""),102.49)</f>
        <v>102.49</v>
      </c>
      <c r="Y597" s="3">
        <f ca="1">IFERROR(__xludf.DUMMYFUNCTION("""COMPUTED_VALUE"""),47.89)</f>
        <v>47.89</v>
      </c>
      <c r="Z597" s="3">
        <f ca="1">IFERROR(__xludf.DUMMYFUNCTION("""COMPUTED_VALUE"""),96.28)</f>
        <v>96.28</v>
      </c>
      <c r="AA597" s="3">
        <f ca="1">IFERROR(__xludf.DUMMYFUNCTION("""COMPUTED_VALUE"""),38.83)</f>
        <v>38.83</v>
      </c>
      <c r="AB597" s="3">
        <f ca="1">IFERROR(__xludf.DUMMYFUNCTION("""COMPUTED_VALUE"""),51.07)</f>
        <v>51.07</v>
      </c>
      <c r="AC597" s="3">
        <f ca="1">IFERROR(__xludf.DUMMYFUNCTION("""COMPUTED_VALUE"""),66.36)</f>
        <v>66.36</v>
      </c>
      <c r="AD597" s="3">
        <f ca="1">IFERROR(__xludf.DUMMYFUNCTION("""COMPUTED_VALUE"""),18.61)</f>
        <v>18.61</v>
      </c>
      <c r="AE597" s="3">
        <f ca="1">IFERROR(__xludf.DUMMYFUNCTION("""COMPUTED_VALUE"""),26.84)</f>
        <v>26.84</v>
      </c>
      <c r="AF597" s="3">
        <f ca="1">IFERROR(__xludf.DUMMYFUNCTION("""COMPUTED_VALUE"""),4.43)</f>
        <v>4.43</v>
      </c>
      <c r="AG597" s="3">
        <f ca="1">IFERROR(__xludf.DUMMYFUNCTION("""COMPUTED_VALUE"""),43.34)</f>
        <v>43.34</v>
      </c>
    </row>
    <row r="598" spans="1:33" ht="12.75" x14ac:dyDescent="0.2">
      <c r="A598" s="4">
        <f ca="1">IFERROR(__xludf.DUMMYFUNCTION("""COMPUTED_VALUE"""),45428.6666666666)</f>
        <v>45428.666666666599</v>
      </c>
      <c r="B598" s="3">
        <f ca="1">IFERROR(__xludf.DUMMYFUNCTION("""COMPUTED_VALUE"""),212.29)</f>
        <v>212.29</v>
      </c>
      <c r="C598" s="3">
        <f ca="1">IFERROR(__xludf.DUMMYFUNCTION("""COMPUTED_VALUE"""),533.85)</f>
        <v>533.85</v>
      </c>
      <c r="D598" s="3">
        <f ca="1">IFERROR(__xludf.DUMMYFUNCTION("""COMPUTED_VALUE"""),139.96)</f>
        <v>139.96</v>
      </c>
      <c r="E598" s="3">
        <f ca="1">IFERROR(__xludf.DUMMYFUNCTION("""COMPUTED_VALUE"""),229.54)</f>
        <v>229.54</v>
      </c>
      <c r="F598" s="3">
        <f ca="1">IFERROR(__xludf.DUMMYFUNCTION("""COMPUTED_VALUE"""),63.08)</f>
        <v>63.08</v>
      </c>
      <c r="G598" s="3">
        <f ca="1">IFERROR(__xludf.DUMMYFUNCTION("""COMPUTED_VALUE"""),31.76)</f>
        <v>31.76</v>
      </c>
      <c r="H598" s="3">
        <f ca="1">IFERROR(__xludf.DUMMYFUNCTION("""COMPUTED_VALUE"""),28.34)</f>
        <v>28.34</v>
      </c>
      <c r="I598" s="3">
        <f ca="1">IFERROR(__xludf.DUMMYFUNCTION("""COMPUTED_VALUE"""),146.03)</f>
        <v>146.03</v>
      </c>
      <c r="J598" s="3">
        <f ca="1">IFERROR(__xludf.DUMMYFUNCTION("""COMPUTED_VALUE"""),266.99)</f>
        <v>266.99</v>
      </c>
      <c r="K598" s="3">
        <f ca="1">IFERROR(__xludf.DUMMYFUNCTION("""COMPUTED_VALUE"""),137.29)</f>
        <v>137.29</v>
      </c>
      <c r="L598" s="3">
        <f ca="1">IFERROR(__xludf.DUMMYFUNCTION("""COMPUTED_VALUE"""),92.59)</f>
        <v>92.59</v>
      </c>
      <c r="M598" s="3">
        <f ca="1">IFERROR(__xludf.DUMMYFUNCTION("""COMPUTED_VALUE"""),65.01)</f>
        <v>65.010000000000005</v>
      </c>
      <c r="N598" s="3">
        <f ca="1">IFERROR(__xludf.DUMMYFUNCTION("""COMPUTED_VALUE"""),68.82)</f>
        <v>68.819999999999993</v>
      </c>
      <c r="O598" s="3">
        <f ca="1">IFERROR(__xludf.DUMMYFUNCTION("""COMPUTED_VALUE"""),43.68)</f>
        <v>43.68</v>
      </c>
      <c r="P598" s="3">
        <f ca="1">IFERROR(__xludf.DUMMYFUNCTION("""COMPUTED_VALUE"""),93.65)</f>
        <v>93.65</v>
      </c>
      <c r="Q598" s="3">
        <f ca="1">IFERROR(__xludf.DUMMYFUNCTION("""COMPUTED_VALUE"""),130.89)</f>
        <v>130.88999999999999</v>
      </c>
      <c r="R598" s="3">
        <f ca="1">IFERROR(__xludf.DUMMYFUNCTION("""COMPUTED_VALUE"""),91.37)</f>
        <v>91.37</v>
      </c>
      <c r="S598" s="3">
        <f ca="1">IFERROR(__xludf.DUMMYFUNCTION("""COMPUTED_VALUE"""),62.83)</f>
        <v>62.83</v>
      </c>
      <c r="T598" s="3">
        <f ca="1">IFERROR(__xludf.DUMMYFUNCTION("""COMPUTED_VALUE"""),23.47)</f>
        <v>23.47</v>
      </c>
      <c r="U598" s="3">
        <f ca="1">IFERROR(__xludf.DUMMYFUNCTION("""COMPUTED_VALUE"""),76.25)</f>
        <v>76.25</v>
      </c>
      <c r="V598" s="3">
        <f ca="1">IFERROR(__xludf.DUMMYFUNCTION("""COMPUTED_VALUE"""),43.33)</f>
        <v>43.33</v>
      </c>
      <c r="W598" s="3">
        <f ca="1">IFERROR(__xludf.DUMMYFUNCTION("""COMPUTED_VALUE"""),42.18)</f>
        <v>42.18</v>
      </c>
      <c r="X598" s="3">
        <f ca="1">IFERROR(__xludf.DUMMYFUNCTION("""COMPUTED_VALUE"""),102.36)</f>
        <v>102.36</v>
      </c>
      <c r="Y598" s="3">
        <f ca="1">IFERROR(__xludf.DUMMYFUNCTION("""COMPUTED_VALUE"""),47.72)</f>
        <v>47.72</v>
      </c>
      <c r="Z598" s="3">
        <f ca="1">IFERROR(__xludf.DUMMYFUNCTION("""COMPUTED_VALUE"""),96.16)</f>
        <v>96.16</v>
      </c>
      <c r="AA598" s="3">
        <f ca="1">IFERROR(__xludf.DUMMYFUNCTION("""COMPUTED_VALUE"""),38.76)</f>
        <v>38.76</v>
      </c>
      <c r="AB598" s="3">
        <f ca="1">IFERROR(__xludf.DUMMYFUNCTION("""COMPUTED_VALUE"""),50.85)</f>
        <v>50.85</v>
      </c>
      <c r="AC598" s="3">
        <f ca="1">IFERROR(__xludf.DUMMYFUNCTION("""COMPUTED_VALUE"""),66.8)</f>
        <v>66.8</v>
      </c>
      <c r="AD598" s="3">
        <f ca="1">IFERROR(__xludf.DUMMYFUNCTION("""COMPUTED_VALUE"""),18.25)</f>
        <v>18.25</v>
      </c>
      <c r="AE598" s="3">
        <f ca="1">IFERROR(__xludf.DUMMYFUNCTION("""COMPUTED_VALUE"""),26.49)</f>
        <v>26.49</v>
      </c>
      <c r="AF598" s="3">
        <f ca="1">IFERROR(__xludf.DUMMYFUNCTION("""COMPUTED_VALUE"""),4.71)</f>
        <v>4.71</v>
      </c>
      <c r="AG598" s="3">
        <f ca="1">IFERROR(__xludf.DUMMYFUNCTION("""COMPUTED_VALUE"""),42.4)</f>
        <v>42.4</v>
      </c>
    </row>
    <row r="599" spans="1:33" ht="12.75" x14ac:dyDescent="0.2">
      <c r="A599" s="4">
        <f ca="1">IFERROR(__xludf.DUMMYFUNCTION("""COMPUTED_VALUE"""),45429.6666666666)</f>
        <v>45429.666666666599</v>
      </c>
      <c r="B599" s="3">
        <f ca="1">IFERROR(__xludf.DUMMYFUNCTION("""COMPUTED_VALUE"""),211.82)</f>
        <v>211.82</v>
      </c>
      <c r="C599" s="3">
        <f ca="1">IFERROR(__xludf.DUMMYFUNCTION("""COMPUTED_VALUE"""),532.55)</f>
        <v>532.54999999999995</v>
      </c>
      <c r="D599" s="3">
        <f ca="1">IFERROR(__xludf.DUMMYFUNCTION("""COMPUTED_VALUE"""),140)</f>
        <v>140</v>
      </c>
      <c r="E599" s="3">
        <f ca="1">IFERROR(__xludf.DUMMYFUNCTION("""COMPUTED_VALUE"""),228.24)</f>
        <v>228.24</v>
      </c>
      <c r="F599" s="3">
        <f ca="1">IFERROR(__xludf.DUMMYFUNCTION("""COMPUTED_VALUE"""),62.97)</f>
        <v>62.97</v>
      </c>
      <c r="G599" s="3">
        <f ca="1">IFERROR(__xludf.DUMMYFUNCTION("""COMPUTED_VALUE"""),31.6)</f>
        <v>31.6</v>
      </c>
      <c r="H599" s="3">
        <f ca="1">IFERROR(__xludf.DUMMYFUNCTION("""COMPUTED_VALUE"""),28.28)</f>
        <v>28.28</v>
      </c>
      <c r="I599" s="3">
        <f ca="1">IFERROR(__xludf.DUMMYFUNCTION("""COMPUTED_VALUE"""),146.31)</f>
        <v>146.31</v>
      </c>
      <c r="J599" s="3">
        <f ca="1">IFERROR(__xludf.DUMMYFUNCTION("""COMPUTED_VALUE"""),267.11)</f>
        <v>267.11</v>
      </c>
      <c r="K599" s="3">
        <f ca="1">IFERROR(__xludf.DUMMYFUNCTION("""COMPUTED_VALUE"""),136.69)</f>
        <v>136.69</v>
      </c>
      <c r="L599" s="3">
        <f ca="1">IFERROR(__xludf.DUMMYFUNCTION("""COMPUTED_VALUE"""),91.18)</f>
        <v>91.18</v>
      </c>
      <c r="M599" s="3">
        <f ca="1">IFERROR(__xludf.DUMMYFUNCTION("""COMPUTED_VALUE"""),64.6)</f>
        <v>64.599999999999994</v>
      </c>
      <c r="N599" s="3">
        <f ca="1">IFERROR(__xludf.DUMMYFUNCTION("""COMPUTED_VALUE"""),68.88)</f>
        <v>68.88</v>
      </c>
      <c r="O599" s="3">
        <f ca="1">IFERROR(__xludf.DUMMYFUNCTION("""COMPUTED_VALUE"""),43.4)</f>
        <v>43.4</v>
      </c>
      <c r="P599" s="3">
        <f ca="1">IFERROR(__xludf.DUMMYFUNCTION("""COMPUTED_VALUE"""),94.96)</f>
        <v>94.96</v>
      </c>
      <c r="Q599" s="3">
        <f ca="1">IFERROR(__xludf.DUMMYFUNCTION("""COMPUTED_VALUE"""),132.74)</f>
        <v>132.74</v>
      </c>
      <c r="R599" s="3">
        <f ca="1">IFERROR(__xludf.DUMMYFUNCTION("""COMPUTED_VALUE"""),92.15)</f>
        <v>92.15</v>
      </c>
      <c r="S599" s="3">
        <f ca="1">IFERROR(__xludf.DUMMYFUNCTION("""COMPUTED_VALUE"""),64)</f>
        <v>64</v>
      </c>
      <c r="T599" s="3">
        <f ca="1">IFERROR(__xludf.DUMMYFUNCTION("""COMPUTED_VALUE"""),23.71)</f>
        <v>23.71</v>
      </c>
      <c r="U599" s="3">
        <f ca="1">IFERROR(__xludf.DUMMYFUNCTION("""COMPUTED_VALUE"""),76.97)</f>
        <v>76.97</v>
      </c>
      <c r="V599" s="3">
        <f ca="1">IFERROR(__xludf.DUMMYFUNCTION("""COMPUTED_VALUE"""),42.61)</f>
        <v>42.61</v>
      </c>
      <c r="W599" s="3">
        <f ca="1">IFERROR(__xludf.DUMMYFUNCTION("""COMPUTED_VALUE"""),42.49)</f>
        <v>42.49</v>
      </c>
      <c r="X599" s="3">
        <f ca="1">IFERROR(__xludf.DUMMYFUNCTION("""COMPUTED_VALUE"""),103)</f>
        <v>103</v>
      </c>
      <c r="Y599" s="3">
        <f ca="1">IFERROR(__xludf.DUMMYFUNCTION("""COMPUTED_VALUE"""),47.93)</f>
        <v>47.93</v>
      </c>
      <c r="Z599" s="3">
        <f ca="1">IFERROR(__xludf.DUMMYFUNCTION("""COMPUTED_VALUE"""),96.85)</f>
        <v>96.85</v>
      </c>
      <c r="AA599" s="3">
        <f ca="1">IFERROR(__xludf.DUMMYFUNCTION("""COMPUTED_VALUE"""),38.76)</f>
        <v>38.76</v>
      </c>
      <c r="AB599" s="3">
        <f ca="1">IFERROR(__xludf.DUMMYFUNCTION("""COMPUTED_VALUE"""),51.19)</f>
        <v>51.19</v>
      </c>
      <c r="AC599" s="3">
        <f ca="1">IFERROR(__xludf.DUMMYFUNCTION("""COMPUTED_VALUE"""),66.38)</f>
        <v>66.38</v>
      </c>
      <c r="AD599" s="3">
        <f ca="1">IFERROR(__xludf.DUMMYFUNCTION("""COMPUTED_VALUE"""),18.96)</f>
        <v>18.96</v>
      </c>
      <c r="AE599" s="3">
        <f ca="1">IFERROR(__xludf.DUMMYFUNCTION("""COMPUTED_VALUE"""),27.22)</f>
        <v>27.22</v>
      </c>
      <c r="AF599" s="3">
        <f ca="1">IFERROR(__xludf.DUMMYFUNCTION("""COMPUTED_VALUE"""),4.63)</f>
        <v>4.63</v>
      </c>
      <c r="AG599" s="3">
        <f ca="1">IFERROR(__xludf.DUMMYFUNCTION("""COMPUTED_VALUE"""),42.75)</f>
        <v>42.75</v>
      </c>
    </row>
    <row r="600" spans="1:33" ht="12.75" x14ac:dyDescent="0.2">
      <c r="A600" s="4">
        <f ca="1">IFERROR(__xludf.DUMMYFUNCTION("""COMPUTED_VALUE"""),45432.6666666666)</f>
        <v>45432.666666666599</v>
      </c>
      <c r="B600" s="3">
        <f ca="1">IFERROR(__xludf.DUMMYFUNCTION("""COMPUTED_VALUE"""),214.31)</f>
        <v>214.31</v>
      </c>
      <c r="C600" s="3">
        <f ca="1">IFERROR(__xludf.DUMMYFUNCTION("""COMPUTED_VALUE"""),539.3)</f>
        <v>539.29999999999995</v>
      </c>
      <c r="D600" s="3">
        <f ca="1">IFERROR(__xludf.DUMMYFUNCTION("""COMPUTED_VALUE"""),140.26)</f>
        <v>140.26</v>
      </c>
      <c r="E600" s="3">
        <f ca="1">IFERROR(__xludf.DUMMYFUNCTION("""COMPUTED_VALUE"""),233.26)</f>
        <v>233.26</v>
      </c>
      <c r="F600" s="3">
        <f ca="1">IFERROR(__xludf.DUMMYFUNCTION("""COMPUTED_VALUE"""),63.2)</f>
        <v>63.2</v>
      </c>
      <c r="G600" s="3">
        <f ca="1">IFERROR(__xludf.DUMMYFUNCTION("""COMPUTED_VALUE"""),31.92)</f>
        <v>31.92</v>
      </c>
      <c r="H600" s="3">
        <f ca="1">IFERROR(__xludf.DUMMYFUNCTION("""COMPUTED_VALUE"""),28.35)</f>
        <v>28.35</v>
      </c>
      <c r="I600" s="3">
        <f ca="1">IFERROR(__xludf.DUMMYFUNCTION("""COMPUTED_VALUE"""),146)</f>
        <v>146</v>
      </c>
      <c r="J600" s="3">
        <f ca="1">IFERROR(__xludf.DUMMYFUNCTION("""COMPUTED_VALUE"""),266.85)</f>
        <v>266.85000000000002</v>
      </c>
      <c r="K600" s="3">
        <f ca="1">IFERROR(__xludf.DUMMYFUNCTION("""COMPUTED_VALUE"""),137.51)</f>
        <v>137.51</v>
      </c>
      <c r="L600" s="3">
        <f ca="1">IFERROR(__xludf.DUMMYFUNCTION("""COMPUTED_VALUE"""),92.27)</f>
        <v>92.27</v>
      </c>
      <c r="M600" s="3">
        <f ca="1">IFERROR(__xludf.DUMMYFUNCTION("""COMPUTED_VALUE"""),65.44)</f>
        <v>65.44</v>
      </c>
      <c r="N600" s="3">
        <f ca="1">IFERROR(__xludf.DUMMYFUNCTION("""COMPUTED_VALUE"""),68.78)</f>
        <v>68.78</v>
      </c>
      <c r="O600" s="3">
        <f ca="1">IFERROR(__xludf.DUMMYFUNCTION("""COMPUTED_VALUE"""),43.16)</f>
        <v>43.16</v>
      </c>
      <c r="P600" s="3">
        <f ca="1">IFERROR(__xludf.DUMMYFUNCTION("""COMPUTED_VALUE"""),94.34)</f>
        <v>94.34</v>
      </c>
      <c r="Q600" s="3">
        <f ca="1">IFERROR(__xludf.DUMMYFUNCTION("""COMPUTED_VALUE"""),132.12)</f>
        <v>132.12</v>
      </c>
      <c r="R600" s="3">
        <f ca="1">IFERROR(__xludf.DUMMYFUNCTION("""COMPUTED_VALUE"""),92.28)</f>
        <v>92.28</v>
      </c>
      <c r="S600" s="3">
        <f ca="1">IFERROR(__xludf.DUMMYFUNCTION("""COMPUTED_VALUE"""),64.92)</f>
        <v>64.92</v>
      </c>
      <c r="T600" s="3">
        <f ca="1">IFERROR(__xludf.DUMMYFUNCTION("""COMPUTED_VALUE"""),23.92)</f>
        <v>23.92</v>
      </c>
      <c r="U600" s="3">
        <f ca="1">IFERROR(__xludf.DUMMYFUNCTION("""COMPUTED_VALUE"""),76.73)</f>
        <v>76.73</v>
      </c>
      <c r="V600" s="3">
        <f ca="1">IFERROR(__xludf.DUMMYFUNCTION("""COMPUTED_VALUE"""),42.27)</f>
        <v>42.27</v>
      </c>
      <c r="W600" s="3">
        <f ca="1">IFERROR(__xludf.DUMMYFUNCTION("""COMPUTED_VALUE"""),41.91)</f>
        <v>41.91</v>
      </c>
      <c r="X600" s="3">
        <f ca="1">IFERROR(__xludf.DUMMYFUNCTION("""COMPUTED_VALUE"""),101.97)</f>
        <v>101.97</v>
      </c>
      <c r="Y600" s="3">
        <f ca="1">IFERROR(__xludf.DUMMYFUNCTION("""COMPUTED_VALUE"""),47.28)</f>
        <v>47.28</v>
      </c>
      <c r="Z600" s="3">
        <f ca="1">IFERROR(__xludf.DUMMYFUNCTION("""COMPUTED_VALUE"""),95.61)</f>
        <v>95.61</v>
      </c>
      <c r="AA600" s="3">
        <f ca="1">IFERROR(__xludf.DUMMYFUNCTION("""COMPUTED_VALUE"""),38.52)</f>
        <v>38.520000000000003</v>
      </c>
      <c r="AB600" s="3">
        <f ca="1">IFERROR(__xludf.DUMMYFUNCTION("""COMPUTED_VALUE"""),50.45)</f>
        <v>50.45</v>
      </c>
      <c r="AC600" s="3">
        <f ca="1">IFERROR(__xludf.DUMMYFUNCTION("""COMPUTED_VALUE"""),65.41)</f>
        <v>65.41</v>
      </c>
      <c r="AD600" s="3">
        <f ca="1">IFERROR(__xludf.DUMMYFUNCTION("""COMPUTED_VALUE"""),20.49)</f>
        <v>20.49</v>
      </c>
      <c r="AE600" s="3">
        <f ca="1">IFERROR(__xludf.DUMMYFUNCTION("""COMPUTED_VALUE"""),28.47)</f>
        <v>28.47</v>
      </c>
      <c r="AF600" s="3">
        <f ca="1">IFERROR(__xludf.DUMMYFUNCTION("""COMPUTED_VALUE"""),4.68)</f>
        <v>4.68</v>
      </c>
      <c r="AG600" s="3">
        <f ca="1">IFERROR(__xludf.DUMMYFUNCTION("""COMPUTED_VALUE"""),46.78)</f>
        <v>46.78</v>
      </c>
    </row>
    <row r="601" spans="1:33" ht="12.75" x14ac:dyDescent="0.2">
      <c r="A601" s="4">
        <f ca="1">IFERROR(__xludf.DUMMYFUNCTION("""COMPUTED_VALUE"""),45433.6666666666)</f>
        <v>45433.666666666599</v>
      </c>
      <c r="B601" s="3">
        <f ca="1">IFERROR(__xludf.DUMMYFUNCTION("""COMPUTED_VALUE"""),214.66)</f>
        <v>214.66</v>
      </c>
      <c r="C601" s="3">
        <f ca="1">IFERROR(__xludf.DUMMYFUNCTION("""COMPUTED_VALUE"""),539.81)</f>
        <v>539.80999999999995</v>
      </c>
      <c r="D601" s="3">
        <f ca="1">IFERROR(__xludf.DUMMYFUNCTION("""COMPUTED_VALUE"""),141.54)</f>
        <v>141.54</v>
      </c>
      <c r="E601" s="3">
        <f ca="1">IFERROR(__xludf.DUMMYFUNCTION("""COMPUTED_VALUE"""),232.51)</f>
        <v>232.51</v>
      </c>
      <c r="F601" s="3">
        <f ca="1">IFERROR(__xludf.DUMMYFUNCTION("""COMPUTED_VALUE"""),62.76)</f>
        <v>62.76</v>
      </c>
      <c r="G601" s="3">
        <f ca="1">IFERROR(__xludf.DUMMYFUNCTION("""COMPUTED_VALUE"""),31.57)</f>
        <v>31.57</v>
      </c>
      <c r="H601" s="3">
        <f ca="1">IFERROR(__xludf.DUMMYFUNCTION("""COMPUTED_VALUE"""),28.21)</f>
        <v>28.21</v>
      </c>
      <c r="I601" s="3">
        <f ca="1">IFERROR(__xludf.DUMMYFUNCTION("""COMPUTED_VALUE"""),146.25)</f>
        <v>146.25</v>
      </c>
      <c r="J601" s="3">
        <f ca="1">IFERROR(__xludf.DUMMYFUNCTION("""COMPUTED_VALUE"""),266.91)</f>
        <v>266.91000000000003</v>
      </c>
      <c r="K601" s="3">
        <f ca="1">IFERROR(__xludf.DUMMYFUNCTION("""COMPUTED_VALUE"""),136.91)</f>
        <v>136.91</v>
      </c>
      <c r="L601" s="3">
        <f ca="1">IFERROR(__xludf.DUMMYFUNCTION("""COMPUTED_VALUE"""),91.57)</f>
        <v>91.57</v>
      </c>
      <c r="M601" s="3">
        <f ca="1">IFERROR(__xludf.DUMMYFUNCTION("""COMPUTED_VALUE"""),65.16)</f>
        <v>65.16</v>
      </c>
      <c r="N601" s="3">
        <f ca="1">IFERROR(__xludf.DUMMYFUNCTION("""COMPUTED_VALUE"""),68.77)</f>
        <v>68.77</v>
      </c>
      <c r="O601" s="3">
        <f ca="1">IFERROR(__xludf.DUMMYFUNCTION("""COMPUTED_VALUE"""),42.76)</f>
        <v>42.76</v>
      </c>
      <c r="P601" s="3">
        <f ca="1">IFERROR(__xludf.DUMMYFUNCTION("""COMPUTED_VALUE"""),93.88)</f>
        <v>93.88</v>
      </c>
      <c r="Q601" s="3">
        <f ca="1">IFERROR(__xludf.DUMMYFUNCTION("""COMPUTED_VALUE"""),131.55)</f>
        <v>131.55000000000001</v>
      </c>
      <c r="R601" s="3">
        <f ca="1">IFERROR(__xludf.DUMMYFUNCTION("""COMPUTED_VALUE"""),92.28)</f>
        <v>92.28</v>
      </c>
      <c r="S601" s="3">
        <f ca="1">IFERROR(__xludf.DUMMYFUNCTION("""COMPUTED_VALUE"""),65.15)</f>
        <v>65.150000000000006</v>
      </c>
      <c r="T601" s="3">
        <f ca="1">IFERROR(__xludf.DUMMYFUNCTION("""COMPUTED_VALUE"""),23.82)</f>
        <v>23.82</v>
      </c>
      <c r="U601" s="3">
        <f ca="1">IFERROR(__xludf.DUMMYFUNCTION("""COMPUTED_VALUE"""),76.16)</f>
        <v>76.16</v>
      </c>
      <c r="V601" s="3">
        <f ca="1">IFERROR(__xludf.DUMMYFUNCTION("""COMPUTED_VALUE"""),42.91)</f>
        <v>42.91</v>
      </c>
      <c r="W601" s="3">
        <f ca="1">IFERROR(__xludf.DUMMYFUNCTION("""COMPUTED_VALUE"""),42.18)</f>
        <v>42.18</v>
      </c>
      <c r="X601" s="3">
        <f ca="1">IFERROR(__xludf.DUMMYFUNCTION("""COMPUTED_VALUE"""),102.53)</f>
        <v>102.53</v>
      </c>
      <c r="Y601" s="3">
        <f ca="1">IFERROR(__xludf.DUMMYFUNCTION("""COMPUTED_VALUE"""),47.47)</f>
        <v>47.47</v>
      </c>
      <c r="Z601" s="3">
        <f ca="1">IFERROR(__xludf.DUMMYFUNCTION("""COMPUTED_VALUE"""),96.34)</f>
        <v>96.34</v>
      </c>
      <c r="AA601" s="3">
        <f ca="1">IFERROR(__xludf.DUMMYFUNCTION("""COMPUTED_VALUE"""),38.49)</f>
        <v>38.49</v>
      </c>
      <c r="AB601" s="3">
        <f ca="1">IFERROR(__xludf.DUMMYFUNCTION("""COMPUTED_VALUE"""),50.52)</f>
        <v>50.52</v>
      </c>
      <c r="AC601" s="3">
        <f ca="1">IFERROR(__xludf.DUMMYFUNCTION("""COMPUTED_VALUE"""),65.96)</f>
        <v>65.959999999999994</v>
      </c>
      <c r="AD601" s="3">
        <f ca="1">IFERROR(__xludf.DUMMYFUNCTION("""COMPUTED_VALUE"""),21.19)</f>
        <v>21.19</v>
      </c>
      <c r="AE601" s="3">
        <f ca="1">IFERROR(__xludf.DUMMYFUNCTION("""COMPUTED_VALUE"""),28.11)</f>
        <v>28.11</v>
      </c>
      <c r="AF601" s="3">
        <f ca="1">IFERROR(__xludf.DUMMYFUNCTION("""COMPUTED_VALUE"""),5.12)</f>
        <v>5.12</v>
      </c>
      <c r="AG601" s="3">
        <f ca="1">IFERROR(__xludf.DUMMYFUNCTION("""COMPUTED_VALUE"""),46.48)</f>
        <v>46.48</v>
      </c>
    </row>
    <row r="602" spans="1:33" ht="12.75" x14ac:dyDescent="0.2">
      <c r="A602" s="4">
        <f ca="1">IFERROR(__xludf.DUMMYFUNCTION("""COMPUTED_VALUE"""),45434.6666666666)</f>
        <v>45434.666666666599</v>
      </c>
      <c r="B602" s="3">
        <f ca="1">IFERROR(__xludf.DUMMYFUNCTION("""COMPUTED_VALUE"""),215.14)</f>
        <v>215.14</v>
      </c>
      <c r="C602" s="3">
        <f ca="1">IFERROR(__xludf.DUMMYFUNCTION("""COMPUTED_VALUE"""),539.94)</f>
        <v>539.94000000000005</v>
      </c>
      <c r="D602" s="3">
        <f ca="1">IFERROR(__xludf.DUMMYFUNCTION("""COMPUTED_VALUE"""),143.08)</f>
        <v>143.08000000000001</v>
      </c>
      <c r="E602" s="3">
        <f ca="1">IFERROR(__xludf.DUMMYFUNCTION("""COMPUTED_VALUE"""),235.24)</f>
        <v>235.24</v>
      </c>
      <c r="F602" s="3">
        <f ca="1">IFERROR(__xludf.DUMMYFUNCTION("""COMPUTED_VALUE"""),62.67)</f>
        <v>62.67</v>
      </c>
      <c r="G602" s="3">
        <f ca="1">IFERROR(__xludf.DUMMYFUNCTION("""COMPUTED_VALUE"""),31.21)</f>
        <v>31.21</v>
      </c>
      <c r="H602" s="3">
        <f ca="1">IFERROR(__xludf.DUMMYFUNCTION("""COMPUTED_VALUE"""),28.25)</f>
        <v>28.25</v>
      </c>
      <c r="I602" s="3">
        <f ca="1">IFERROR(__xludf.DUMMYFUNCTION("""COMPUTED_VALUE"""),146.51)</f>
        <v>146.51</v>
      </c>
      <c r="J602" s="3">
        <f ca="1">IFERROR(__xludf.DUMMYFUNCTION("""COMPUTED_VALUE"""),267.39)</f>
        <v>267.39</v>
      </c>
      <c r="K602" s="3">
        <f ca="1">IFERROR(__xludf.DUMMYFUNCTION("""COMPUTED_VALUE"""),137.89)</f>
        <v>137.88999999999999</v>
      </c>
      <c r="L602" s="3">
        <f ca="1">IFERROR(__xludf.DUMMYFUNCTION("""COMPUTED_VALUE"""),92.17)</f>
        <v>92.17</v>
      </c>
      <c r="M602" s="3">
        <f ca="1">IFERROR(__xludf.DUMMYFUNCTION("""COMPUTED_VALUE"""),65.03)</f>
        <v>65.03</v>
      </c>
      <c r="N602" s="3">
        <f ca="1">IFERROR(__xludf.DUMMYFUNCTION("""COMPUTED_VALUE"""),68.89)</f>
        <v>68.89</v>
      </c>
      <c r="O602" s="3">
        <f ca="1">IFERROR(__xludf.DUMMYFUNCTION("""COMPUTED_VALUE"""),43.32)</f>
        <v>43.32</v>
      </c>
      <c r="P602" s="3">
        <f ca="1">IFERROR(__xludf.DUMMYFUNCTION("""COMPUTED_VALUE"""),92.08)</f>
        <v>92.08</v>
      </c>
      <c r="Q602" s="3">
        <f ca="1">IFERROR(__xludf.DUMMYFUNCTION("""COMPUTED_VALUE"""),128.96)</f>
        <v>128.96</v>
      </c>
      <c r="R602" s="3">
        <f ca="1">IFERROR(__xludf.DUMMYFUNCTION("""COMPUTED_VALUE"""),91.38)</f>
        <v>91.38</v>
      </c>
      <c r="S602" s="3">
        <f ca="1">IFERROR(__xludf.DUMMYFUNCTION("""COMPUTED_VALUE"""),63.61)</f>
        <v>63.61</v>
      </c>
      <c r="T602" s="3">
        <f ca="1">IFERROR(__xludf.DUMMYFUNCTION("""COMPUTED_VALUE"""),23.48)</f>
        <v>23.48</v>
      </c>
      <c r="U602" s="3">
        <f ca="1">IFERROR(__xludf.DUMMYFUNCTION("""COMPUTED_VALUE"""),74.87)</f>
        <v>74.87</v>
      </c>
      <c r="V602" s="3">
        <f ca="1">IFERROR(__xludf.DUMMYFUNCTION("""COMPUTED_VALUE"""),46.76)</f>
        <v>46.76</v>
      </c>
      <c r="W602" s="3">
        <f ca="1">IFERROR(__xludf.DUMMYFUNCTION("""COMPUTED_VALUE"""),41.94)</f>
        <v>41.94</v>
      </c>
      <c r="X602" s="3">
        <f ca="1">IFERROR(__xludf.DUMMYFUNCTION("""COMPUTED_VALUE"""),101.86)</f>
        <v>101.86</v>
      </c>
      <c r="Y602" s="3">
        <f ca="1">IFERROR(__xludf.DUMMYFUNCTION("""COMPUTED_VALUE"""),46.96)</f>
        <v>46.96</v>
      </c>
      <c r="Z602" s="3">
        <f ca="1">IFERROR(__xludf.DUMMYFUNCTION("""COMPUTED_VALUE"""),95.87)</f>
        <v>95.87</v>
      </c>
      <c r="AA602" s="3">
        <f ca="1">IFERROR(__xludf.DUMMYFUNCTION("""COMPUTED_VALUE"""),38.16)</f>
        <v>38.159999999999997</v>
      </c>
      <c r="AB602" s="3">
        <f ca="1">IFERROR(__xludf.DUMMYFUNCTION("""COMPUTED_VALUE"""),49.91)</f>
        <v>49.91</v>
      </c>
      <c r="AC602" s="3">
        <f ca="1">IFERROR(__xludf.DUMMYFUNCTION("""COMPUTED_VALUE"""),65.28)</f>
        <v>65.28</v>
      </c>
      <c r="AD602" s="3">
        <f ca="1">IFERROR(__xludf.DUMMYFUNCTION("""COMPUTED_VALUE"""),21.31)</f>
        <v>21.31</v>
      </c>
      <c r="AE602" s="3">
        <f ca="1">IFERROR(__xludf.DUMMYFUNCTION("""COMPUTED_VALUE"""),28.27)</f>
        <v>28.27</v>
      </c>
      <c r="AF602" s="3">
        <f ca="1">IFERROR(__xludf.DUMMYFUNCTION("""COMPUTED_VALUE"""),5)</f>
        <v>5</v>
      </c>
      <c r="AG602" s="3">
        <f ca="1">IFERROR(__xludf.DUMMYFUNCTION("""COMPUTED_VALUE"""),46.69)</f>
        <v>46.69</v>
      </c>
    </row>
    <row r="603" spans="1:33" ht="12.75" x14ac:dyDescent="0.2">
      <c r="A603" s="4">
        <f ca="1">IFERROR(__xludf.DUMMYFUNCTION("""COMPUTED_VALUE"""),45435.6666666666)</f>
        <v>45435.666666666599</v>
      </c>
      <c r="B603" s="3">
        <f ca="1">IFERROR(__xludf.DUMMYFUNCTION("""COMPUTED_VALUE"""),213.39)</f>
        <v>213.39</v>
      </c>
      <c r="C603" s="3">
        <f ca="1">IFERROR(__xludf.DUMMYFUNCTION("""COMPUTED_VALUE"""),539.98)</f>
        <v>539.98</v>
      </c>
      <c r="D603" s="3">
        <f ca="1">IFERROR(__xludf.DUMMYFUNCTION("""COMPUTED_VALUE"""),142.34)</f>
        <v>142.34</v>
      </c>
      <c r="E603" s="3">
        <f ca="1">IFERROR(__xludf.DUMMYFUNCTION("""COMPUTED_VALUE"""),233.92)</f>
        <v>233.92</v>
      </c>
      <c r="F603" s="3">
        <f ca="1">IFERROR(__xludf.DUMMYFUNCTION("""COMPUTED_VALUE"""),62.12)</f>
        <v>62.12</v>
      </c>
      <c r="G603" s="3">
        <f ca="1">IFERROR(__xludf.DUMMYFUNCTION("""COMPUTED_VALUE"""),31.25)</f>
        <v>31.25</v>
      </c>
      <c r="H603" s="3">
        <f ca="1">IFERROR(__xludf.DUMMYFUNCTION("""COMPUTED_VALUE"""),27.82)</f>
        <v>27.82</v>
      </c>
      <c r="I603" s="3">
        <f ca="1">IFERROR(__xludf.DUMMYFUNCTION("""COMPUTED_VALUE"""),144.91)</f>
        <v>144.91</v>
      </c>
      <c r="J603" s="3">
        <f ca="1">IFERROR(__xludf.DUMMYFUNCTION("""COMPUTED_VALUE"""),264.4)</f>
        <v>264.39999999999998</v>
      </c>
      <c r="K603" s="3">
        <f ca="1">IFERROR(__xludf.DUMMYFUNCTION("""COMPUTED_VALUE"""),135.63)</f>
        <v>135.63</v>
      </c>
      <c r="L603" s="3">
        <f ca="1">IFERROR(__xludf.DUMMYFUNCTION("""COMPUTED_VALUE"""),89.32)</f>
        <v>89.32</v>
      </c>
      <c r="M603" s="3">
        <f ca="1">IFERROR(__xludf.DUMMYFUNCTION("""COMPUTED_VALUE"""),63.97)</f>
        <v>63.97</v>
      </c>
      <c r="N603" s="3">
        <f ca="1">IFERROR(__xludf.DUMMYFUNCTION("""COMPUTED_VALUE"""),68.14)</f>
        <v>68.14</v>
      </c>
      <c r="O603" s="3">
        <f ca="1">IFERROR(__xludf.DUMMYFUNCTION("""COMPUTED_VALUE"""),42.2)</f>
        <v>42.2</v>
      </c>
      <c r="P603" s="3">
        <f ca="1">IFERROR(__xludf.DUMMYFUNCTION("""COMPUTED_VALUE"""),91.24)</f>
        <v>91.24</v>
      </c>
      <c r="Q603" s="3">
        <f ca="1">IFERROR(__xludf.DUMMYFUNCTION("""COMPUTED_VALUE"""),127.69)</f>
        <v>127.69</v>
      </c>
      <c r="R603" s="3">
        <f ca="1">IFERROR(__xludf.DUMMYFUNCTION("""COMPUTED_VALUE"""),90.57)</f>
        <v>90.57</v>
      </c>
      <c r="S603" s="3">
        <f ca="1">IFERROR(__xludf.DUMMYFUNCTION("""COMPUTED_VALUE"""),62.86)</f>
        <v>62.86</v>
      </c>
      <c r="T603" s="3">
        <f ca="1">IFERROR(__xludf.DUMMYFUNCTION("""COMPUTED_VALUE"""),23.36)</f>
        <v>23.36</v>
      </c>
      <c r="U603" s="3">
        <f ca="1">IFERROR(__xludf.DUMMYFUNCTION("""COMPUTED_VALUE"""),74.45)</f>
        <v>74.45</v>
      </c>
      <c r="V603" s="3">
        <f ca="1">IFERROR(__xludf.DUMMYFUNCTION("""COMPUTED_VALUE"""),45.14)</f>
        <v>45.14</v>
      </c>
      <c r="W603" s="3">
        <f ca="1">IFERROR(__xludf.DUMMYFUNCTION("""COMPUTED_VALUE"""),41.36)</f>
        <v>41.36</v>
      </c>
      <c r="X603" s="3">
        <f ca="1">IFERROR(__xludf.DUMMYFUNCTION("""COMPUTED_VALUE"""),100.37)</f>
        <v>100.37</v>
      </c>
      <c r="Y603" s="3">
        <f ca="1">IFERROR(__xludf.DUMMYFUNCTION("""COMPUTED_VALUE"""),45.93)</f>
        <v>45.93</v>
      </c>
      <c r="Z603" s="3">
        <f ca="1">IFERROR(__xludf.DUMMYFUNCTION("""COMPUTED_VALUE"""),94.28)</f>
        <v>94.28</v>
      </c>
      <c r="AA603" s="3">
        <f ca="1">IFERROR(__xludf.DUMMYFUNCTION("""COMPUTED_VALUE"""),37.35)</f>
        <v>37.35</v>
      </c>
      <c r="AB603" s="3">
        <f ca="1">IFERROR(__xludf.DUMMYFUNCTION("""COMPUTED_VALUE"""),48.71)</f>
        <v>48.71</v>
      </c>
      <c r="AC603" s="3">
        <f ca="1">IFERROR(__xludf.DUMMYFUNCTION("""COMPUTED_VALUE"""),64.66)</f>
        <v>64.66</v>
      </c>
      <c r="AD603" s="3">
        <f ca="1">IFERROR(__xludf.DUMMYFUNCTION("""COMPUTED_VALUE"""),21.08)</f>
        <v>21.08</v>
      </c>
      <c r="AE603" s="3">
        <f ca="1">IFERROR(__xludf.DUMMYFUNCTION("""COMPUTED_VALUE"""),27.2)</f>
        <v>27.2</v>
      </c>
      <c r="AF603" s="3">
        <f ca="1">IFERROR(__xludf.DUMMYFUNCTION("""COMPUTED_VALUE"""),5.06)</f>
        <v>5.0599999999999996</v>
      </c>
      <c r="AG603" s="3">
        <f ca="1">IFERROR(__xludf.DUMMYFUNCTION("""COMPUTED_VALUE"""),43.9)</f>
        <v>43.9</v>
      </c>
    </row>
    <row r="604" spans="1:33" ht="12.75" x14ac:dyDescent="0.2">
      <c r="A604" s="4">
        <f ca="1">IFERROR(__xludf.DUMMYFUNCTION("""COMPUTED_VALUE"""),45436.6666666666)</f>
        <v>45436.666666666599</v>
      </c>
      <c r="B604" s="3">
        <f ca="1">IFERROR(__xludf.DUMMYFUNCTION("""COMPUTED_VALUE"""),215.19)</f>
        <v>215.19</v>
      </c>
      <c r="C604" s="3">
        <f ca="1">IFERROR(__xludf.DUMMYFUNCTION("""COMPUTED_VALUE"""),545.23)</f>
        <v>545.23</v>
      </c>
      <c r="D604" s="3">
        <f ca="1">IFERROR(__xludf.DUMMYFUNCTION("""COMPUTED_VALUE"""),138.7)</f>
        <v>138.69999999999999</v>
      </c>
      <c r="E604" s="3">
        <f ca="1">IFERROR(__xludf.DUMMYFUNCTION("""COMPUTED_VALUE"""),238.56)</f>
        <v>238.56</v>
      </c>
      <c r="F604" s="3">
        <f ca="1">IFERROR(__xludf.DUMMYFUNCTION("""COMPUTED_VALUE"""),62.66)</f>
        <v>62.66</v>
      </c>
      <c r="G604" s="3">
        <f ca="1">IFERROR(__xludf.DUMMYFUNCTION("""COMPUTED_VALUE"""),31.53)</f>
        <v>31.53</v>
      </c>
      <c r="H604" s="3">
        <f ca="1">IFERROR(__xludf.DUMMYFUNCTION("""COMPUTED_VALUE"""),28.08)</f>
        <v>28.08</v>
      </c>
      <c r="I604" s="3">
        <f ca="1">IFERROR(__xludf.DUMMYFUNCTION("""COMPUTED_VALUE"""),144.42)</f>
        <v>144.41999999999999</v>
      </c>
      <c r="J604" s="3">
        <f ca="1">IFERROR(__xludf.DUMMYFUNCTION("""COMPUTED_VALUE"""),263.51)</f>
        <v>263.51</v>
      </c>
      <c r="K604" s="3">
        <f ca="1">IFERROR(__xludf.DUMMYFUNCTION("""COMPUTED_VALUE"""),135.67)</f>
        <v>135.66999999999999</v>
      </c>
      <c r="L604" s="3">
        <f ca="1">IFERROR(__xludf.DUMMYFUNCTION("""COMPUTED_VALUE"""),88.83)</f>
        <v>88.83</v>
      </c>
      <c r="M604" s="3">
        <f ca="1">IFERROR(__xludf.DUMMYFUNCTION("""COMPUTED_VALUE"""),63.76)</f>
        <v>63.76</v>
      </c>
      <c r="N604" s="3">
        <f ca="1">IFERROR(__xludf.DUMMYFUNCTION("""COMPUTED_VALUE"""),67.88)</f>
        <v>67.88</v>
      </c>
      <c r="O604" s="3">
        <f ca="1">IFERROR(__xludf.DUMMYFUNCTION("""COMPUTED_VALUE"""),42.22)</f>
        <v>42.22</v>
      </c>
      <c r="P604" s="3">
        <f ca="1">IFERROR(__xludf.DUMMYFUNCTION("""COMPUTED_VALUE"""),91.37)</f>
        <v>91.37</v>
      </c>
      <c r="Q604" s="3">
        <f ca="1">IFERROR(__xludf.DUMMYFUNCTION("""COMPUTED_VALUE"""),127.9)</f>
        <v>127.9</v>
      </c>
      <c r="R604" s="3">
        <f ca="1">IFERROR(__xludf.DUMMYFUNCTION("""COMPUTED_VALUE"""),91.36)</f>
        <v>91.36</v>
      </c>
      <c r="S604" s="3">
        <f ca="1">IFERROR(__xludf.DUMMYFUNCTION("""COMPUTED_VALUE"""),63.33)</f>
        <v>63.33</v>
      </c>
      <c r="T604" s="3">
        <f ca="1">IFERROR(__xludf.DUMMYFUNCTION("""COMPUTED_VALUE"""),23.52)</f>
        <v>23.52</v>
      </c>
      <c r="U604" s="3">
        <f ca="1">IFERROR(__xludf.DUMMYFUNCTION("""COMPUTED_VALUE"""),75.35)</f>
        <v>75.349999999999994</v>
      </c>
      <c r="V604" s="3">
        <f ca="1">IFERROR(__xludf.DUMMYFUNCTION("""COMPUTED_VALUE"""),47.5)</f>
        <v>47.5</v>
      </c>
      <c r="W604" s="3">
        <f ca="1">IFERROR(__xludf.DUMMYFUNCTION("""COMPUTED_VALUE"""),41.61)</f>
        <v>41.61</v>
      </c>
      <c r="X604" s="3">
        <f ca="1">IFERROR(__xludf.DUMMYFUNCTION("""COMPUTED_VALUE"""),101.13)</f>
        <v>101.13</v>
      </c>
      <c r="Y604" s="3">
        <f ca="1">IFERROR(__xludf.DUMMYFUNCTION("""COMPUTED_VALUE"""),46.23)</f>
        <v>46.23</v>
      </c>
      <c r="Z604" s="3">
        <f ca="1">IFERROR(__xludf.DUMMYFUNCTION("""COMPUTED_VALUE"""),95.22)</f>
        <v>95.22</v>
      </c>
      <c r="AA604" s="3">
        <f ca="1">IFERROR(__xludf.DUMMYFUNCTION("""COMPUTED_VALUE"""),37.35)</f>
        <v>37.35</v>
      </c>
      <c r="AB604" s="3">
        <f ca="1">IFERROR(__xludf.DUMMYFUNCTION("""COMPUTED_VALUE"""),48.92)</f>
        <v>48.92</v>
      </c>
      <c r="AC604" s="3">
        <f ca="1">IFERROR(__xludf.DUMMYFUNCTION("""COMPUTED_VALUE"""),65)</f>
        <v>65</v>
      </c>
      <c r="AD604" s="3">
        <f ca="1">IFERROR(__xludf.DUMMYFUNCTION("""COMPUTED_VALUE"""),21.21)</f>
        <v>21.21</v>
      </c>
      <c r="AE604" s="3">
        <f ca="1">IFERROR(__xludf.DUMMYFUNCTION("""COMPUTED_VALUE"""),28.07)</f>
        <v>28.07</v>
      </c>
      <c r="AF604" s="3">
        <f ca="1">IFERROR(__xludf.DUMMYFUNCTION("""COMPUTED_VALUE"""),4.87)</f>
        <v>4.87</v>
      </c>
      <c r="AG604" s="3">
        <f ca="1">IFERROR(__xludf.DUMMYFUNCTION("""COMPUTED_VALUE"""),46.22)</f>
        <v>46.22</v>
      </c>
    </row>
    <row r="605" spans="1:33" ht="12.75" x14ac:dyDescent="0.2">
      <c r="A605" s="4">
        <f ca="1">IFERROR(__xludf.DUMMYFUNCTION("""COMPUTED_VALUE"""),45440.6666666666)</f>
        <v>45440.666666666599</v>
      </c>
      <c r="B605" s="3">
        <f ca="1">IFERROR(__xludf.DUMMYFUNCTION("""COMPUTED_VALUE"""),216.1)</f>
        <v>216.1</v>
      </c>
      <c r="C605" s="3">
        <f ca="1">IFERROR(__xludf.DUMMYFUNCTION("""COMPUTED_VALUE"""),549.92)</f>
        <v>549.91999999999996</v>
      </c>
      <c r="D605" s="3">
        <f ca="1">IFERROR(__xludf.DUMMYFUNCTION("""COMPUTED_VALUE"""),138.63)</f>
        <v>138.63</v>
      </c>
      <c r="E605" s="3">
        <f ca="1">IFERROR(__xludf.DUMMYFUNCTION("""COMPUTED_VALUE"""),242.59)</f>
        <v>242.59</v>
      </c>
      <c r="F605" s="3">
        <f ca="1">IFERROR(__xludf.DUMMYFUNCTION("""COMPUTED_VALUE"""),61.7)</f>
        <v>61.7</v>
      </c>
      <c r="G605" s="3">
        <f ca="1">IFERROR(__xludf.DUMMYFUNCTION("""COMPUTED_VALUE"""),31.55)</f>
        <v>31.55</v>
      </c>
      <c r="H605" s="3">
        <f ca="1">IFERROR(__xludf.DUMMYFUNCTION("""COMPUTED_VALUE"""),27.94)</f>
        <v>27.94</v>
      </c>
      <c r="I605" s="3">
        <f ca="1">IFERROR(__xludf.DUMMYFUNCTION("""COMPUTED_VALUE"""),142.67)</f>
        <v>142.66999999999999</v>
      </c>
      <c r="J605" s="3">
        <f ca="1">IFERROR(__xludf.DUMMYFUNCTION("""COMPUTED_VALUE"""),260.66)</f>
        <v>260.66000000000003</v>
      </c>
      <c r="K605" s="3">
        <f ca="1">IFERROR(__xludf.DUMMYFUNCTION("""COMPUTED_VALUE"""),134.08)</f>
        <v>134.08000000000001</v>
      </c>
      <c r="L605" s="3">
        <f ca="1">IFERROR(__xludf.DUMMYFUNCTION("""COMPUTED_VALUE"""),89.13)</f>
        <v>89.13</v>
      </c>
      <c r="M605" s="3">
        <f ca="1">IFERROR(__xludf.DUMMYFUNCTION("""COMPUTED_VALUE"""),63.31)</f>
        <v>63.31</v>
      </c>
      <c r="N605" s="3">
        <f ca="1">IFERROR(__xludf.DUMMYFUNCTION("""COMPUTED_VALUE"""),67.16)</f>
        <v>67.16</v>
      </c>
      <c r="O605" s="3">
        <f ca="1">IFERROR(__xludf.DUMMYFUNCTION("""COMPUTED_VALUE"""),41.28)</f>
        <v>41.28</v>
      </c>
      <c r="P605" s="3">
        <f ca="1">IFERROR(__xludf.DUMMYFUNCTION("""COMPUTED_VALUE"""),92.31)</f>
        <v>92.31</v>
      </c>
      <c r="Q605" s="3">
        <f ca="1">IFERROR(__xludf.DUMMYFUNCTION("""COMPUTED_VALUE"""),129.36)</f>
        <v>129.36000000000001</v>
      </c>
      <c r="R605" s="3">
        <f ca="1">IFERROR(__xludf.DUMMYFUNCTION("""COMPUTED_VALUE"""),91.01)</f>
        <v>91.01</v>
      </c>
      <c r="S605" s="3">
        <f ca="1">IFERROR(__xludf.DUMMYFUNCTION("""COMPUTED_VALUE"""),64.27)</f>
        <v>64.27</v>
      </c>
      <c r="T605" s="3">
        <f ca="1">IFERROR(__xludf.DUMMYFUNCTION("""COMPUTED_VALUE"""),23.94)</f>
        <v>23.94</v>
      </c>
      <c r="U605" s="3">
        <f ca="1">IFERROR(__xludf.DUMMYFUNCTION("""COMPUTED_VALUE"""),77.66)</f>
        <v>77.66</v>
      </c>
      <c r="V605" s="3">
        <f ca="1">IFERROR(__xludf.DUMMYFUNCTION("""COMPUTED_VALUE"""),47.62)</f>
        <v>47.62</v>
      </c>
      <c r="W605" s="3">
        <f ca="1">IFERROR(__xludf.DUMMYFUNCTION("""COMPUTED_VALUE"""),41.15)</f>
        <v>41.15</v>
      </c>
      <c r="X605" s="3">
        <f ca="1">IFERROR(__xludf.DUMMYFUNCTION("""COMPUTED_VALUE"""),100.04)</f>
        <v>100.04</v>
      </c>
      <c r="Y605" s="3">
        <f ca="1">IFERROR(__xludf.DUMMYFUNCTION("""COMPUTED_VALUE"""),45.86)</f>
        <v>45.86</v>
      </c>
      <c r="Z605" s="3">
        <f ca="1">IFERROR(__xludf.DUMMYFUNCTION("""COMPUTED_VALUE"""),94.27)</f>
        <v>94.27</v>
      </c>
      <c r="AA605" s="3">
        <f ca="1">IFERROR(__xludf.DUMMYFUNCTION("""COMPUTED_VALUE"""),37.13)</f>
        <v>37.130000000000003</v>
      </c>
      <c r="AB605" s="3">
        <f ca="1">IFERROR(__xludf.DUMMYFUNCTION("""COMPUTED_VALUE"""),48.51)</f>
        <v>48.51</v>
      </c>
      <c r="AC605" s="3">
        <f ca="1">IFERROR(__xludf.DUMMYFUNCTION("""COMPUTED_VALUE"""),65.74)</f>
        <v>65.739999999999995</v>
      </c>
      <c r="AD605" s="3">
        <f ca="1">IFERROR(__xludf.DUMMYFUNCTION("""COMPUTED_VALUE"""),21.37)</f>
        <v>21.37</v>
      </c>
      <c r="AE605" s="3">
        <f ca="1">IFERROR(__xludf.DUMMYFUNCTION("""COMPUTED_VALUE"""),27.71)</f>
        <v>27.71</v>
      </c>
      <c r="AF605" s="3">
        <f ca="1">IFERROR(__xludf.DUMMYFUNCTION("""COMPUTED_VALUE"""),5.03)</f>
        <v>5.03</v>
      </c>
      <c r="AG605" s="3">
        <f ca="1">IFERROR(__xludf.DUMMYFUNCTION("""COMPUTED_VALUE"""),46.26)</f>
        <v>46.26</v>
      </c>
    </row>
    <row r="606" spans="1:33" ht="12.75" x14ac:dyDescent="0.2">
      <c r="A606" s="4">
        <f ca="1">IFERROR(__xludf.DUMMYFUNCTION("""COMPUTED_VALUE"""),45441.6666666666)</f>
        <v>45441.666666666599</v>
      </c>
      <c r="B606" s="3">
        <f ca="1">IFERROR(__xludf.DUMMYFUNCTION("""COMPUTED_VALUE"""),214.73)</f>
        <v>214.73</v>
      </c>
      <c r="C606" s="3">
        <f ca="1">IFERROR(__xludf.DUMMYFUNCTION("""COMPUTED_VALUE"""),548)</f>
        <v>548</v>
      </c>
      <c r="D606" s="3">
        <f ca="1">IFERROR(__xludf.DUMMYFUNCTION("""COMPUTED_VALUE"""),139.72)</f>
        <v>139.72</v>
      </c>
      <c r="E606" s="3">
        <f ca="1">IFERROR(__xludf.DUMMYFUNCTION("""COMPUTED_VALUE"""),237.58)</f>
        <v>237.58</v>
      </c>
      <c r="F606" s="3">
        <f ca="1">IFERROR(__xludf.DUMMYFUNCTION("""COMPUTED_VALUE"""),61.32)</f>
        <v>61.32</v>
      </c>
      <c r="G606" s="3">
        <f ca="1">IFERROR(__xludf.DUMMYFUNCTION("""COMPUTED_VALUE"""),31.05)</f>
        <v>31.05</v>
      </c>
      <c r="H606" s="3">
        <f ca="1">IFERROR(__xludf.DUMMYFUNCTION("""COMPUTED_VALUE"""),27.62)</f>
        <v>27.62</v>
      </c>
      <c r="I606" s="3">
        <f ca="1">IFERROR(__xludf.DUMMYFUNCTION("""COMPUTED_VALUE"""),141.56)</f>
        <v>141.56</v>
      </c>
      <c r="J606" s="3">
        <f ca="1">IFERROR(__xludf.DUMMYFUNCTION("""COMPUTED_VALUE"""),258.51)</f>
        <v>258.51</v>
      </c>
      <c r="K606" s="3">
        <f ca="1">IFERROR(__xludf.DUMMYFUNCTION("""COMPUTED_VALUE"""),132.51)</f>
        <v>132.51</v>
      </c>
      <c r="L606" s="3">
        <f ca="1">IFERROR(__xludf.DUMMYFUNCTION("""COMPUTED_VALUE"""),87.48)</f>
        <v>87.48</v>
      </c>
      <c r="M606" s="3">
        <f ca="1">IFERROR(__xludf.DUMMYFUNCTION("""COMPUTED_VALUE"""),62.25)</f>
        <v>62.25</v>
      </c>
      <c r="N606" s="3">
        <f ca="1">IFERROR(__xludf.DUMMYFUNCTION("""COMPUTED_VALUE"""),66.68)</f>
        <v>66.680000000000007</v>
      </c>
      <c r="O606" s="3">
        <f ca="1">IFERROR(__xludf.DUMMYFUNCTION("""COMPUTED_VALUE"""),40.56)</f>
        <v>40.56</v>
      </c>
      <c r="P606" s="3">
        <f ca="1">IFERROR(__xludf.DUMMYFUNCTION("""COMPUTED_VALUE"""),90.68)</f>
        <v>90.68</v>
      </c>
      <c r="Q606" s="3">
        <f ca="1">IFERROR(__xludf.DUMMYFUNCTION("""COMPUTED_VALUE"""),127.11)</f>
        <v>127.11</v>
      </c>
      <c r="R606" s="3">
        <f ca="1">IFERROR(__xludf.DUMMYFUNCTION("""COMPUTED_VALUE"""),89.71)</f>
        <v>89.71</v>
      </c>
      <c r="S606" s="3">
        <f ca="1">IFERROR(__xludf.DUMMYFUNCTION("""COMPUTED_VALUE"""),63.24)</f>
        <v>63.24</v>
      </c>
      <c r="T606" s="3">
        <f ca="1">IFERROR(__xludf.DUMMYFUNCTION("""COMPUTED_VALUE"""),23.69)</f>
        <v>23.69</v>
      </c>
      <c r="U606" s="3">
        <f ca="1">IFERROR(__xludf.DUMMYFUNCTION("""COMPUTED_VALUE"""),76.57)</f>
        <v>76.569999999999993</v>
      </c>
      <c r="V606" s="3">
        <f ca="1">IFERROR(__xludf.DUMMYFUNCTION("""COMPUTED_VALUE"""),47.6)</f>
        <v>47.6</v>
      </c>
      <c r="W606" s="3">
        <f ca="1">IFERROR(__xludf.DUMMYFUNCTION("""COMPUTED_VALUE"""),40.82)</f>
        <v>40.82</v>
      </c>
      <c r="X606" s="3">
        <f ca="1">IFERROR(__xludf.DUMMYFUNCTION("""COMPUTED_VALUE"""),99.03)</f>
        <v>99.03</v>
      </c>
      <c r="Y606" s="3">
        <f ca="1">IFERROR(__xludf.DUMMYFUNCTION("""COMPUTED_VALUE"""),44.93)</f>
        <v>44.93</v>
      </c>
      <c r="Z606" s="3">
        <f ca="1">IFERROR(__xludf.DUMMYFUNCTION("""COMPUTED_VALUE"""),93.27)</f>
        <v>93.27</v>
      </c>
      <c r="AA606" s="3">
        <f ca="1">IFERROR(__xludf.DUMMYFUNCTION("""COMPUTED_VALUE"""),36.78)</f>
        <v>36.78</v>
      </c>
      <c r="AB606" s="3">
        <f ca="1">IFERROR(__xludf.DUMMYFUNCTION("""COMPUTED_VALUE"""),47.34)</f>
        <v>47.34</v>
      </c>
      <c r="AC606" s="3">
        <f ca="1">IFERROR(__xludf.DUMMYFUNCTION("""COMPUTED_VALUE"""),65.39)</f>
        <v>65.39</v>
      </c>
      <c r="AD606" s="3">
        <f ca="1">IFERROR(__xludf.DUMMYFUNCTION("""COMPUTED_VALUE"""),20.96)</f>
        <v>20.96</v>
      </c>
      <c r="AE606" s="3">
        <f ca="1">IFERROR(__xludf.DUMMYFUNCTION("""COMPUTED_VALUE"""),27.23)</f>
        <v>27.23</v>
      </c>
      <c r="AF606" s="3">
        <f ca="1">IFERROR(__xludf.DUMMYFUNCTION("""COMPUTED_VALUE"""),4.96)</f>
        <v>4.96</v>
      </c>
      <c r="AG606" s="3">
        <f ca="1">IFERROR(__xludf.DUMMYFUNCTION("""COMPUTED_VALUE"""),45.84)</f>
        <v>45.84</v>
      </c>
    </row>
    <row r="607" spans="1:33" ht="12.75" x14ac:dyDescent="0.2">
      <c r="A607" s="4">
        <f ca="1">IFERROR(__xludf.DUMMYFUNCTION("""COMPUTED_VALUE"""),45442.6666666666)</f>
        <v>45442.666666666599</v>
      </c>
      <c r="B607" s="3">
        <f ca="1">IFERROR(__xludf.DUMMYFUNCTION("""COMPUTED_VALUE"""),209.83)</f>
        <v>209.83</v>
      </c>
      <c r="C607" s="3">
        <f ca="1">IFERROR(__xludf.DUMMYFUNCTION("""COMPUTED_VALUE"""),535.08)</f>
        <v>535.08000000000004</v>
      </c>
      <c r="D607" s="3">
        <f ca="1">IFERROR(__xludf.DUMMYFUNCTION("""COMPUTED_VALUE"""),139.93)</f>
        <v>139.93</v>
      </c>
      <c r="E607" s="3">
        <f ca="1">IFERROR(__xludf.DUMMYFUNCTION("""COMPUTED_VALUE"""),235.93)</f>
        <v>235.93</v>
      </c>
      <c r="F607" s="3">
        <f ca="1">IFERROR(__xludf.DUMMYFUNCTION("""COMPUTED_VALUE"""),59.71)</f>
        <v>59.71</v>
      </c>
      <c r="G607" s="3">
        <f ca="1">IFERROR(__xludf.DUMMYFUNCTION("""COMPUTED_VALUE"""),30.74)</f>
        <v>30.74</v>
      </c>
      <c r="H607" s="3">
        <f ca="1">IFERROR(__xludf.DUMMYFUNCTION("""COMPUTED_VALUE"""),27.54)</f>
        <v>27.54</v>
      </c>
      <c r="I607" s="3">
        <f ca="1">IFERROR(__xludf.DUMMYFUNCTION("""COMPUTED_VALUE"""),141.63)</f>
        <v>141.63</v>
      </c>
      <c r="J607" s="3">
        <f ca="1">IFERROR(__xludf.DUMMYFUNCTION("""COMPUTED_VALUE"""),258.91)</f>
        <v>258.91000000000003</v>
      </c>
      <c r="K607" s="3">
        <f ca="1">IFERROR(__xludf.DUMMYFUNCTION("""COMPUTED_VALUE"""),133.35)</f>
        <v>133.35</v>
      </c>
      <c r="L607" s="3">
        <f ca="1">IFERROR(__xludf.DUMMYFUNCTION("""COMPUTED_VALUE"""),88.96)</f>
        <v>88.96</v>
      </c>
      <c r="M607" s="3">
        <f ca="1">IFERROR(__xludf.DUMMYFUNCTION("""COMPUTED_VALUE"""),62.75)</f>
        <v>62.75</v>
      </c>
      <c r="N607" s="3">
        <f ca="1">IFERROR(__xludf.DUMMYFUNCTION("""COMPUTED_VALUE"""),66.74)</f>
        <v>66.739999999999995</v>
      </c>
      <c r="O607" s="3">
        <f ca="1">IFERROR(__xludf.DUMMYFUNCTION("""COMPUTED_VALUE"""),40.84)</f>
        <v>40.840000000000003</v>
      </c>
      <c r="P607" s="3">
        <f ca="1">IFERROR(__xludf.DUMMYFUNCTION("""COMPUTED_VALUE"""),90.94)</f>
        <v>90.94</v>
      </c>
      <c r="Q607" s="3">
        <f ca="1">IFERROR(__xludf.DUMMYFUNCTION("""COMPUTED_VALUE"""),127.56)</f>
        <v>127.56</v>
      </c>
      <c r="R607" s="3">
        <f ca="1">IFERROR(__xludf.DUMMYFUNCTION("""COMPUTED_VALUE"""),90.44)</f>
        <v>90.44</v>
      </c>
      <c r="S607" s="3">
        <f ca="1">IFERROR(__xludf.DUMMYFUNCTION("""COMPUTED_VALUE"""),63.91)</f>
        <v>63.91</v>
      </c>
      <c r="T607" s="3">
        <f ca="1">IFERROR(__xludf.DUMMYFUNCTION("""COMPUTED_VALUE"""),23.38)</f>
        <v>23.38</v>
      </c>
      <c r="U607" s="3">
        <f ca="1">IFERROR(__xludf.DUMMYFUNCTION("""COMPUTED_VALUE"""),75.53)</f>
        <v>75.53</v>
      </c>
      <c r="V607" s="3">
        <f ca="1">IFERROR(__xludf.DUMMYFUNCTION("""COMPUTED_VALUE"""),49)</f>
        <v>49</v>
      </c>
      <c r="W607" s="3">
        <f ca="1">IFERROR(__xludf.DUMMYFUNCTION("""COMPUTED_VALUE"""),41.04)</f>
        <v>41.04</v>
      </c>
      <c r="X607" s="3">
        <f ca="1">IFERROR(__xludf.DUMMYFUNCTION("""COMPUTED_VALUE"""),99.73)</f>
        <v>99.73</v>
      </c>
      <c r="Y607" s="3">
        <f ca="1">IFERROR(__xludf.DUMMYFUNCTION("""COMPUTED_VALUE"""),45.62)</f>
        <v>45.62</v>
      </c>
      <c r="Z607" s="3">
        <f ca="1">IFERROR(__xludf.DUMMYFUNCTION("""COMPUTED_VALUE"""),94.03)</f>
        <v>94.03</v>
      </c>
      <c r="AA607" s="3">
        <f ca="1">IFERROR(__xludf.DUMMYFUNCTION("""COMPUTED_VALUE"""),37.31)</f>
        <v>37.31</v>
      </c>
      <c r="AB607" s="3">
        <f ca="1">IFERROR(__xludf.DUMMYFUNCTION("""COMPUTED_VALUE"""),48.17)</f>
        <v>48.17</v>
      </c>
      <c r="AC607" s="3">
        <f ca="1">IFERROR(__xludf.DUMMYFUNCTION("""COMPUTED_VALUE"""),65.06)</f>
        <v>65.06</v>
      </c>
      <c r="AD607" s="3">
        <f ca="1">IFERROR(__xludf.DUMMYFUNCTION("""COMPUTED_VALUE"""),21.2)</f>
        <v>21.2</v>
      </c>
      <c r="AE607" s="3">
        <f ca="1">IFERROR(__xludf.DUMMYFUNCTION("""COMPUTED_VALUE"""),27.87)</f>
        <v>27.87</v>
      </c>
      <c r="AF607" s="3">
        <f ca="1">IFERROR(__xludf.DUMMYFUNCTION("""COMPUTED_VALUE"""),5.03)</f>
        <v>5.03</v>
      </c>
      <c r="AG607" s="3">
        <f ca="1">IFERROR(__xludf.DUMMYFUNCTION("""COMPUTED_VALUE"""),45.66)</f>
        <v>45.66</v>
      </c>
    </row>
    <row r="608" spans="1:33" ht="12.75" x14ac:dyDescent="0.2">
      <c r="A608" s="4">
        <f ca="1">IFERROR(__xludf.DUMMYFUNCTION("""COMPUTED_VALUE"""),45443.6666666666)</f>
        <v>45443.666666666599</v>
      </c>
      <c r="B608" s="3">
        <f ca="1">IFERROR(__xludf.DUMMYFUNCTION("""COMPUTED_VALUE"""),210.16)</f>
        <v>210.16</v>
      </c>
      <c r="C608" s="3">
        <f ca="1">IFERROR(__xludf.DUMMYFUNCTION("""COMPUTED_VALUE"""),534.61)</f>
        <v>534.61</v>
      </c>
      <c r="D608" s="3">
        <f ca="1">IFERROR(__xludf.DUMMYFUNCTION("""COMPUTED_VALUE"""),143.69)</f>
        <v>143.69</v>
      </c>
      <c r="E608" s="3">
        <f ca="1">IFERROR(__xludf.DUMMYFUNCTION("""COMPUTED_VALUE"""),234.01)</f>
        <v>234.01</v>
      </c>
      <c r="F608" s="3">
        <f ca="1">IFERROR(__xludf.DUMMYFUNCTION("""COMPUTED_VALUE"""),59.79)</f>
        <v>59.79</v>
      </c>
      <c r="G608" s="3">
        <f ca="1">IFERROR(__xludf.DUMMYFUNCTION("""COMPUTED_VALUE"""),30.78)</f>
        <v>30.78</v>
      </c>
      <c r="H608" s="3">
        <f ca="1">IFERROR(__xludf.DUMMYFUNCTION("""COMPUTED_VALUE"""),27.68)</f>
        <v>27.68</v>
      </c>
      <c r="I608" s="3">
        <f ca="1">IFERROR(__xludf.DUMMYFUNCTION("""COMPUTED_VALUE"""),143.7)</f>
        <v>143.69999999999999</v>
      </c>
      <c r="J608" s="3">
        <f ca="1">IFERROR(__xludf.DUMMYFUNCTION("""COMPUTED_VALUE"""),262.45)</f>
        <v>262.45</v>
      </c>
      <c r="K608" s="3">
        <f ca="1">IFERROR(__xludf.DUMMYFUNCTION("""COMPUTED_VALUE"""),133.88)</f>
        <v>133.88</v>
      </c>
      <c r="L608" s="3">
        <f ca="1">IFERROR(__xludf.DUMMYFUNCTION("""COMPUTED_VALUE"""),89.13)</f>
        <v>89.13</v>
      </c>
      <c r="M608" s="3">
        <f ca="1">IFERROR(__xludf.DUMMYFUNCTION("""COMPUTED_VALUE"""),63.29)</f>
        <v>63.29</v>
      </c>
      <c r="N608" s="3">
        <f ca="1">IFERROR(__xludf.DUMMYFUNCTION("""COMPUTED_VALUE"""),67.56)</f>
        <v>67.56</v>
      </c>
      <c r="O608" s="3">
        <f ca="1">IFERROR(__xludf.DUMMYFUNCTION("""COMPUTED_VALUE"""),40.6)</f>
        <v>40.6</v>
      </c>
      <c r="P608" s="3">
        <f ca="1">IFERROR(__xludf.DUMMYFUNCTION("""COMPUTED_VALUE"""),93.2)</f>
        <v>93.2</v>
      </c>
      <c r="Q608" s="3">
        <f ca="1">IFERROR(__xludf.DUMMYFUNCTION("""COMPUTED_VALUE"""),130.56)</f>
        <v>130.56</v>
      </c>
      <c r="R608" s="3">
        <f ca="1">IFERROR(__xludf.DUMMYFUNCTION("""COMPUTED_VALUE"""),91.53)</f>
        <v>91.53</v>
      </c>
      <c r="S608" s="3">
        <f ca="1">IFERROR(__xludf.DUMMYFUNCTION("""COMPUTED_VALUE"""),64.43)</f>
        <v>64.430000000000007</v>
      </c>
      <c r="T608" s="3">
        <f ca="1">IFERROR(__xludf.DUMMYFUNCTION("""COMPUTED_VALUE"""),23.27)</f>
        <v>23.27</v>
      </c>
      <c r="U608" s="3">
        <f ca="1">IFERROR(__xludf.DUMMYFUNCTION("""COMPUTED_VALUE"""),74.82)</f>
        <v>74.819999999999993</v>
      </c>
      <c r="V608" s="3">
        <f ca="1">IFERROR(__xludf.DUMMYFUNCTION("""COMPUTED_VALUE"""),48.28)</f>
        <v>48.28</v>
      </c>
      <c r="W608" s="3">
        <f ca="1">IFERROR(__xludf.DUMMYFUNCTION("""COMPUTED_VALUE"""),41.64)</f>
        <v>41.64</v>
      </c>
      <c r="X608" s="3">
        <f ca="1">IFERROR(__xludf.DUMMYFUNCTION("""COMPUTED_VALUE"""),101.01)</f>
        <v>101.01</v>
      </c>
      <c r="Y608" s="3">
        <f ca="1">IFERROR(__xludf.DUMMYFUNCTION("""COMPUTED_VALUE"""),46.23)</f>
        <v>46.23</v>
      </c>
      <c r="Z608" s="3">
        <f ca="1">IFERROR(__xludf.DUMMYFUNCTION("""COMPUTED_VALUE"""),95.25)</f>
        <v>95.25</v>
      </c>
      <c r="AA608" s="3">
        <f ca="1">IFERROR(__xludf.DUMMYFUNCTION("""COMPUTED_VALUE"""),38.05)</f>
        <v>38.049999999999997</v>
      </c>
      <c r="AB608" s="3">
        <f ca="1">IFERROR(__xludf.DUMMYFUNCTION("""COMPUTED_VALUE"""),48.85)</f>
        <v>48.85</v>
      </c>
      <c r="AC608" s="3">
        <f ca="1">IFERROR(__xludf.DUMMYFUNCTION("""COMPUTED_VALUE"""),65.35)</f>
        <v>65.349999999999994</v>
      </c>
      <c r="AD608" s="3">
        <f ca="1">IFERROR(__xludf.DUMMYFUNCTION("""COMPUTED_VALUE"""),21.07)</f>
        <v>21.07</v>
      </c>
      <c r="AE608" s="3">
        <f ca="1">IFERROR(__xludf.DUMMYFUNCTION("""COMPUTED_VALUE"""),27.28)</f>
        <v>27.28</v>
      </c>
      <c r="AF608" s="3">
        <f ca="1">IFERROR(__xludf.DUMMYFUNCTION("""COMPUTED_VALUE"""),4.98)</f>
        <v>4.9800000000000004</v>
      </c>
      <c r="AG608" s="3">
        <f ca="1">IFERROR(__xludf.DUMMYFUNCTION("""COMPUTED_VALUE"""),44.59)</f>
        <v>44.59</v>
      </c>
    </row>
    <row r="609" spans="1:33" ht="12.75" x14ac:dyDescent="0.2">
      <c r="A609" s="4">
        <f ca="1">IFERROR(__xludf.DUMMYFUNCTION("""COMPUTED_VALUE"""),45446.6666666666)</f>
        <v>45446.666666666599</v>
      </c>
      <c r="B609" s="3">
        <f ca="1">IFERROR(__xludf.DUMMYFUNCTION("""COMPUTED_VALUE"""),210.69)</f>
        <v>210.69</v>
      </c>
      <c r="C609" s="3">
        <f ca="1">IFERROR(__xludf.DUMMYFUNCTION("""COMPUTED_VALUE"""),537.42)</f>
        <v>537.41999999999996</v>
      </c>
      <c r="D609" s="3">
        <f ca="1">IFERROR(__xludf.DUMMYFUNCTION("""COMPUTED_VALUE"""),143.27)</f>
        <v>143.27000000000001</v>
      </c>
      <c r="E609" s="3">
        <f ca="1">IFERROR(__xludf.DUMMYFUNCTION("""COMPUTED_VALUE"""),234.39)</f>
        <v>234.39</v>
      </c>
      <c r="F609" s="3">
        <f ca="1">IFERROR(__xludf.DUMMYFUNCTION("""COMPUTED_VALUE"""),59.51)</f>
        <v>59.51</v>
      </c>
      <c r="G609" s="3">
        <f ca="1">IFERROR(__xludf.DUMMYFUNCTION("""COMPUTED_VALUE"""),31.12)</f>
        <v>31.12</v>
      </c>
      <c r="H609" s="3">
        <f ca="1">IFERROR(__xludf.DUMMYFUNCTION("""COMPUTED_VALUE"""),27.57)</f>
        <v>27.57</v>
      </c>
      <c r="I609" s="3">
        <f ca="1">IFERROR(__xludf.DUMMYFUNCTION("""COMPUTED_VALUE"""),144.71)</f>
        <v>144.71</v>
      </c>
      <c r="J609" s="3">
        <f ca="1">IFERROR(__xludf.DUMMYFUNCTION("""COMPUTED_VALUE"""),264.03)</f>
        <v>264.02999999999997</v>
      </c>
      <c r="K609" s="3">
        <f ca="1">IFERROR(__xludf.DUMMYFUNCTION("""COMPUTED_VALUE"""),135.5)</f>
        <v>135.5</v>
      </c>
      <c r="L609" s="3">
        <f ca="1">IFERROR(__xludf.DUMMYFUNCTION("""COMPUTED_VALUE"""),91.42)</f>
        <v>91.42</v>
      </c>
      <c r="M609" s="3">
        <f ca="1">IFERROR(__xludf.DUMMYFUNCTION("""COMPUTED_VALUE"""),63.86)</f>
        <v>63.86</v>
      </c>
      <c r="N609" s="3">
        <f ca="1">IFERROR(__xludf.DUMMYFUNCTION("""COMPUTED_VALUE"""),68.1)</f>
        <v>68.099999999999994</v>
      </c>
      <c r="O609" s="3">
        <f ca="1">IFERROR(__xludf.DUMMYFUNCTION("""COMPUTED_VALUE"""),41.16)</f>
        <v>41.16</v>
      </c>
      <c r="P609" s="3">
        <f ca="1">IFERROR(__xludf.DUMMYFUNCTION("""COMPUTED_VALUE"""),90.76)</f>
        <v>90.76</v>
      </c>
      <c r="Q609" s="3">
        <f ca="1">IFERROR(__xludf.DUMMYFUNCTION("""COMPUTED_VALUE"""),127.03)</f>
        <v>127.03</v>
      </c>
      <c r="R609" s="3">
        <f ca="1">IFERROR(__xludf.DUMMYFUNCTION("""COMPUTED_VALUE"""),90.99)</f>
        <v>90.99</v>
      </c>
      <c r="S609" s="3">
        <f ca="1">IFERROR(__xludf.DUMMYFUNCTION("""COMPUTED_VALUE"""),64.29)</f>
        <v>64.290000000000006</v>
      </c>
      <c r="T609" s="3">
        <f ca="1">IFERROR(__xludf.DUMMYFUNCTION("""COMPUTED_VALUE"""),22.94)</f>
        <v>22.94</v>
      </c>
      <c r="U609" s="3">
        <f ca="1">IFERROR(__xludf.DUMMYFUNCTION("""COMPUTED_VALUE"""),71.83)</f>
        <v>71.83</v>
      </c>
      <c r="V609" s="3">
        <f ca="1">IFERROR(__xludf.DUMMYFUNCTION("""COMPUTED_VALUE"""),48.13)</f>
        <v>48.13</v>
      </c>
      <c r="W609" s="3">
        <f ca="1">IFERROR(__xludf.DUMMYFUNCTION("""COMPUTED_VALUE"""),41.38)</f>
        <v>41.38</v>
      </c>
      <c r="X609" s="3">
        <f ca="1">IFERROR(__xludf.DUMMYFUNCTION("""COMPUTED_VALUE"""),100.36)</f>
        <v>100.36</v>
      </c>
      <c r="Y609" s="3">
        <f ca="1">IFERROR(__xludf.DUMMYFUNCTION("""COMPUTED_VALUE"""),45.69)</f>
        <v>45.69</v>
      </c>
      <c r="Z609" s="3">
        <f ca="1">IFERROR(__xludf.DUMMYFUNCTION("""COMPUTED_VALUE"""),94.85)</f>
        <v>94.85</v>
      </c>
      <c r="AA609" s="3">
        <f ca="1">IFERROR(__xludf.DUMMYFUNCTION("""COMPUTED_VALUE"""),37.9)</f>
        <v>37.9</v>
      </c>
      <c r="AB609" s="3">
        <f ca="1">IFERROR(__xludf.DUMMYFUNCTION("""COMPUTED_VALUE"""),48)</f>
        <v>48</v>
      </c>
      <c r="AC609" s="3">
        <f ca="1">IFERROR(__xludf.DUMMYFUNCTION("""COMPUTED_VALUE"""),65.22)</f>
        <v>65.22</v>
      </c>
      <c r="AD609" s="3">
        <f ca="1">IFERROR(__xludf.DUMMYFUNCTION("""COMPUTED_VALUE"""),21.26)</f>
        <v>21.26</v>
      </c>
      <c r="AE609" s="3">
        <f ca="1">IFERROR(__xludf.DUMMYFUNCTION("""COMPUTED_VALUE"""),26.16)</f>
        <v>26.16</v>
      </c>
      <c r="AF609" s="3">
        <f ca="1">IFERROR(__xludf.DUMMYFUNCTION("""COMPUTED_VALUE"""),4.92)</f>
        <v>4.92</v>
      </c>
      <c r="AG609" s="3">
        <f ca="1">IFERROR(__xludf.DUMMYFUNCTION("""COMPUTED_VALUE"""),44.81)</f>
        <v>44.81</v>
      </c>
    </row>
    <row r="610" spans="1:33" ht="12.75" x14ac:dyDescent="0.2">
      <c r="A610" s="4">
        <f ca="1">IFERROR(__xludf.DUMMYFUNCTION("""COMPUTED_VALUE"""),45447.6666666666)</f>
        <v>45447.666666666599</v>
      </c>
      <c r="B610" s="3">
        <f ca="1">IFERROR(__xludf.DUMMYFUNCTION("""COMPUTED_VALUE"""),211.13)</f>
        <v>211.13</v>
      </c>
      <c r="C610" s="3">
        <f ca="1">IFERROR(__xludf.DUMMYFUNCTION("""COMPUTED_VALUE"""),537.75)</f>
        <v>537.75</v>
      </c>
      <c r="D610" s="3">
        <f ca="1">IFERROR(__xludf.DUMMYFUNCTION("""COMPUTED_VALUE"""),143.46)</f>
        <v>143.46</v>
      </c>
      <c r="E610" s="3">
        <f ca="1">IFERROR(__xludf.DUMMYFUNCTION("""COMPUTED_VALUE"""),232.56)</f>
        <v>232.56</v>
      </c>
      <c r="F610" s="3">
        <f ca="1">IFERROR(__xludf.DUMMYFUNCTION("""COMPUTED_VALUE"""),59.38)</f>
        <v>59.38</v>
      </c>
      <c r="G610" s="3">
        <f ca="1">IFERROR(__xludf.DUMMYFUNCTION("""COMPUTED_VALUE"""),31.13)</f>
        <v>31.13</v>
      </c>
      <c r="H610" s="3">
        <f ca="1">IFERROR(__xludf.DUMMYFUNCTION("""COMPUTED_VALUE"""),27.42)</f>
        <v>27.42</v>
      </c>
      <c r="I610" s="3">
        <f ca="1">IFERROR(__xludf.DUMMYFUNCTION("""COMPUTED_VALUE"""),145.13)</f>
        <v>145.13</v>
      </c>
      <c r="J610" s="3">
        <f ca="1">IFERROR(__xludf.DUMMYFUNCTION("""COMPUTED_VALUE"""),264.84)</f>
        <v>264.83999999999997</v>
      </c>
      <c r="K610" s="3">
        <f ca="1">IFERROR(__xludf.DUMMYFUNCTION("""COMPUTED_VALUE"""),135.48)</f>
        <v>135.47999999999999</v>
      </c>
      <c r="L610" s="3">
        <f ca="1">IFERROR(__xludf.DUMMYFUNCTION("""COMPUTED_VALUE"""),91.17)</f>
        <v>91.17</v>
      </c>
      <c r="M610" s="3">
        <f ca="1">IFERROR(__xludf.DUMMYFUNCTION("""COMPUTED_VALUE"""),63.63)</f>
        <v>63.63</v>
      </c>
      <c r="N610" s="3">
        <f ca="1">IFERROR(__xludf.DUMMYFUNCTION("""COMPUTED_VALUE"""),68.26)</f>
        <v>68.260000000000005</v>
      </c>
      <c r="O610" s="3">
        <f ca="1">IFERROR(__xludf.DUMMYFUNCTION("""COMPUTED_VALUE"""),41.15)</f>
        <v>41.15</v>
      </c>
      <c r="P610" s="3">
        <f ca="1">IFERROR(__xludf.DUMMYFUNCTION("""COMPUTED_VALUE"""),89.89)</f>
        <v>89.89</v>
      </c>
      <c r="Q610" s="3">
        <f ca="1">IFERROR(__xludf.DUMMYFUNCTION("""COMPUTED_VALUE"""),125.58)</f>
        <v>125.58</v>
      </c>
      <c r="R610" s="3">
        <f ca="1">IFERROR(__xludf.DUMMYFUNCTION("""COMPUTED_VALUE"""),89.98)</f>
        <v>89.98</v>
      </c>
      <c r="S610" s="3">
        <f ca="1">IFERROR(__xludf.DUMMYFUNCTION("""COMPUTED_VALUE"""),61.29)</f>
        <v>61.29</v>
      </c>
      <c r="T610" s="3">
        <f ca="1">IFERROR(__xludf.DUMMYFUNCTION("""COMPUTED_VALUE"""),22.71)</f>
        <v>22.71</v>
      </c>
      <c r="U610" s="3">
        <f ca="1">IFERROR(__xludf.DUMMYFUNCTION("""COMPUTED_VALUE"""),71.09)</f>
        <v>71.09</v>
      </c>
      <c r="V610" s="3">
        <f ca="1">IFERROR(__xludf.DUMMYFUNCTION("""COMPUTED_VALUE"""),47.41)</f>
        <v>47.41</v>
      </c>
      <c r="W610" s="3">
        <f ca="1">IFERROR(__xludf.DUMMYFUNCTION("""COMPUTED_VALUE"""),41.19)</f>
        <v>41.19</v>
      </c>
      <c r="X610" s="3">
        <f ca="1">IFERROR(__xludf.DUMMYFUNCTION("""COMPUTED_VALUE"""),99.82)</f>
        <v>99.82</v>
      </c>
      <c r="Y610" s="3">
        <f ca="1">IFERROR(__xludf.DUMMYFUNCTION("""COMPUTED_VALUE"""),44.94)</f>
        <v>44.94</v>
      </c>
      <c r="Z610" s="3">
        <f ca="1">IFERROR(__xludf.DUMMYFUNCTION("""COMPUTED_VALUE"""),94.03)</f>
        <v>94.03</v>
      </c>
      <c r="AA610" s="3">
        <f ca="1">IFERROR(__xludf.DUMMYFUNCTION("""COMPUTED_VALUE"""),38.26)</f>
        <v>38.26</v>
      </c>
      <c r="AB610" s="3">
        <f ca="1">IFERROR(__xludf.DUMMYFUNCTION("""COMPUTED_VALUE"""),47.15)</f>
        <v>47.15</v>
      </c>
      <c r="AC610" s="3">
        <f ca="1">IFERROR(__xludf.DUMMYFUNCTION("""COMPUTED_VALUE"""),65.36)</f>
        <v>65.36</v>
      </c>
      <c r="AD610" s="3">
        <f ca="1">IFERROR(__xludf.DUMMYFUNCTION("""COMPUTED_VALUE"""),21.57)</f>
        <v>21.57</v>
      </c>
      <c r="AE610" s="3">
        <f ca="1">IFERROR(__xludf.DUMMYFUNCTION("""COMPUTED_VALUE"""),26.67)</f>
        <v>26.67</v>
      </c>
      <c r="AF610" s="3">
        <f ca="1">IFERROR(__xludf.DUMMYFUNCTION("""COMPUTED_VALUE"""),4.9)</f>
        <v>4.9000000000000004</v>
      </c>
      <c r="AG610" s="3">
        <f ca="1">IFERROR(__xludf.DUMMYFUNCTION("""COMPUTED_VALUE"""),47.19)</f>
        <v>47.19</v>
      </c>
    </row>
    <row r="611" spans="1:33" ht="12.75" x14ac:dyDescent="0.2">
      <c r="A611" s="4">
        <f ca="1">IFERROR(__xludf.DUMMYFUNCTION("""COMPUTED_VALUE"""),45448.6666666666)</f>
        <v>45448.666666666599</v>
      </c>
      <c r="B611" s="3">
        <f ca="1">IFERROR(__xludf.DUMMYFUNCTION("""COMPUTED_VALUE"""),215.82)</f>
        <v>215.82</v>
      </c>
      <c r="C611" s="3">
        <f ca="1">IFERROR(__xludf.DUMMYFUNCTION("""COMPUTED_VALUE"""),551.45)</f>
        <v>551.45000000000005</v>
      </c>
      <c r="D611" s="3">
        <f ca="1">IFERROR(__xludf.DUMMYFUNCTION("""COMPUTED_VALUE"""),143.93)</f>
        <v>143.93</v>
      </c>
      <c r="E611" s="3">
        <f ca="1">IFERROR(__xludf.DUMMYFUNCTION("""COMPUTED_VALUE"""),242.73)</f>
        <v>242.73</v>
      </c>
      <c r="F611" s="3">
        <f ca="1">IFERROR(__xludf.DUMMYFUNCTION("""COMPUTED_VALUE"""),60.66)</f>
        <v>60.66</v>
      </c>
      <c r="G611" s="3">
        <f ca="1">IFERROR(__xludf.DUMMYFUNCTION("""COMPUTED_VALUE"""),31.64)</f>
        <v>31.64</v>
      </c>
      <c r="H611" s="3">
        <f ca="1">IFERROR(__xludf.DUMMYFUNCTION("""COMPUTED_VALUE"""),27.83)</f>
        <v>27.83</v>
      </c>
      <c r="I611" s="3">
        <f ca="1">IFERROR(__xludf.DUMMYFUNCTION("""COMPUTED_VALUE"""),145.79)</f>
        <v>145.79</v>
      </c>
      <c r="J611" s="3">
        <f ca="1">IFERROR(__xludf.DUMMYFUNCTION("""COMPUTED_VALUE"""),266.34)</f>
        <v>266.33999999999997</v>
      </c>
      <c r="K611" s="3">
        <f ca="1">IFERROR(__xludf.DUMMYFUNCTION("""COMPUTED_VALUE"""),138.06)</f>
        <v>138.06</v>
      </c>
      <c r="L611" s="3">
        <f ca="1">IFERROR(__xludf.DUMMYFUNCTION("""COMPUTED_VALUE"""),94.12)</f>
        <v>94.12</v>
      </c>
      <c r="M611" s="3">
        <f ca="1">IFERROR(__xludf.DUMMYFUNCTION("""COMPUTED_VALUE"""),64.37)</f>
        <v>64.37</v>
      </c>
      <c r="N611" s="3">
        <f ca="1">IFERROR(__xludf.DUMMYFUNCTION("""COMPUTED_VALUE"""),68.68)</f>
        <v>68.680000000000007</v>
      </c>
      <c r="O611" s="3">
        <f ca="1">IFERROR(__xludf.DUMMYFUNCTION("""COMPUTED_VALUE"""),42.24)</f>
        <v>42.24</v>
      </c>
      <c r="P611" s="3">
        <f ca="1">IFERROR(__xludf.DUMMYFUNCTION("""COMPUTED_VALUE"""),89.88)</f>
        <v>89.88</v>
      </c>
      <c r="Q611" s="3">
        <f ca="1">IFERROR(__xludf.DUMMYFUNCTION("""COMPUTED_VALUE"""),125.74)</f>
        <v>125.74</v>
      </c>
      <c r="R611" s="3">
        <f ca="1">IFERROR(__xludf.DUMMYFUNCTION("""COMPUTED_VALUE"""),90.6)</f>
        <v>90.6</v>
      </c>
      <c r="S611" s="3">
        <f ca="1">IFERROR(__xludf.DUMMYFUNCTION("""COMPUTED_VALUE"""),61.82)</f>
        <v>61.82</v>
      </c>
      <c r="T611" s="3">
        <f ca="1">IFERROR(__xludf.DUMMYFUNCTION("""COMPUTED_VALUE"""),22.79)</f>
        <v>22.79</v>
      </c>
      <c r="U611" s="3">
        <f ca="1">IFERROR(__xludf.DUMMYFUNCTION("""COMPUTED_VALUE"""),71.89)</f>
        <v>71.89</v>
      </c>
      <c r="V611" s="3">
        <f ca="1">IFERROR(__xludf.DUMMYFUNCTION("""COMPUTED_VALUE"""),48.53)</f>
        <v>48.53</v>
      </c>
      <c r="W611" s="3">
        <f ca="1">IFERROR(__xludf.DUMMYFUNCTION("""COMPUTED_VALUE"""),41.31)</f>
        <v>41.31</v>
      </c>
      <c r="X611" s="3">
        <f ca="1">IFERROR(__xludf.DUMMYFUNCTION("""COMPUTED_VALUE"""),100.22)</f>
        <v>100.22</v>
      </c>
      <c r="Y611" s="3">
        <f ca="1">IFERROR(__xludf.DUMMYFUNCTION("""COMPUTED_VALUE"""),45.08)</f>
        <v>45.08</v>
      </c>
      <c r="Z611" s="3">
        <f ca="1">IFERROR(__xludf.DUMMYFUNCTION("""COMPUTED_VALUE"""),94.41)</f>
        <v>94.41</v>
      </c>
      <c r="AA611" s="3">
        <f ca="1">IFERROR(__xludf.DUMMYFUNCTION("""COMPUTED_VALUE"""),38.21)</f>
        <v>38.21</v>
      </c>
      <c r="AB611" s="3">
        <f ca="1">IFERROR(__xludf.DUMMYFUNCTION("""COMPUTED_VALUE"""),47.3)</f>
        <v>47.3</v>
      </c>
      <c r="AC611" s="3">
        <f ca="1">IFERROR(__xludf.DUMMYFUNCTION("""COMPUTED_VALUE"""),65.26)</f>
        <v>65.260000000000005</v>
      </c>
      <c r="AD611" s="3">
        <f ca="1">IFERROR(__xludf.DUMMYFUNCTION("""COMPUTED_VALUE"""),21.92)</f>
        <v>21.92</v>
      </c>
      <c r="AE611" s="3">
        <f ca="1">IFERROR(__xludf.DUMMYFUNCTION("""COMPUTED_VALUE"""),26.97)</f>
        <v>26.97</v>
      </c>
      <c r="AF611" s="3">
        <f ca="1">IFERROR(__xludf.DUMMYFUNCTION("""COMPUTED_VALUE"""),4.85)</f>
        <v>4.8499999999999996</v>
      </c>
      <c r="AG611" s="3">
        <f ca="1">IFERROR(__xludf.DUMMYFUNCTION("""COMPUTED_VALUE"""),48.61)</f>
        <v>48.61</v>
      </c>
    </row>
    <row r="612" spans="1:33" ht="12.75" x14ac:dyDescent="0.2">
      <c r="A612" s="4">
        <f ca="1">IFERROR(__xludf.DUMMYFUNCTION("""COMPUTED_VALUE"""),45449.6666666666)</f>
        <v>45449.666666666599</v>
      </c>
      <c r="B612" s="3">
        <f ca="1">IFERROR(__xludf.DUMMYFUNCTION("""COMPUTED_VALUE"""),215.1)</f>
        <v>215.1</v>
      </c>
      <c r="C612" s="3">
        <f ca="1">IFERROR(__xludf.DUMMYFUNCTION("""COMPUTED_VALUE"""),549.89)</f>
        <v>549.89</v>
      </c>
      <c r="D612" s="3">
        <f ca="1">IFERROR(__xludf.DUMMYFUNCTION("""COMPUTED_VALUE"""),145.97)</f>
        <v>145.97</v>
      </c>
      <c r="E612" s="3">
        <f ca="1">IFERROR(__xludf.DUMMYFUNCTION("""COMPUTED_VALUE"""),240.74)</f>
        <v>240.74</v>
      </c>
      <c r="F612" s="3">
        <f ca="1">IFERROR(__xludf.DUMMYFUNCTION("""COMPUTED_VALUE"""),60.64)</f>
        <v>60.64</v>
      </c>
      <c r="G612" s="3">
        <f ca="1">IFERROR(__xludf.DUMMYFUNCTION("""COMPUTED_VALUE"""),31.47)</f>
        <v>31.47</v>
      </c>
      <c r="H612" s="3">
        <f ca="1">IFERROR(__xludf.DUMMYFUNCTION("""COMPUTED_VALUE"""),27.75)</f>
        <v>27.75</v>
      </c>
      <c r="I612" s="3">
        <f ca="1">IFERROR(__xludf.DUMMYFUNCTION("""COMPUTED_VALUE"""),146.27)</f>
        <v>146.27000000000001</v>
      </c>
      <c r="J612" s="3">
        <f ca="1">IFERROR(__xludf.DUMMYFUNCTION("""COMPUTED_VALUE"""),266.89)</f>
        <v>266.89</v>
      </c>
      <c r="K612" s="3">
        <f ca="1">IFERROR(__xludf.DUMMYFUNCTION("""COMPUTED_VALUE"""),137.6)</f>
        <v>137.6</v>
      </c>
      <c r="L612" s="3">
        <f ca="1">IFERROR(__xludf.DUMMYFUNCTION("""COMPUTED_VALUE"""),92.82)</f>
        <v>92.82</v>
      </c>
      <c r="M612" s="3">
        <f ca="1">IFERROR(__xludf.DUMMYFUNCTION("""COMPUTED_VALUE"""),64.4)</f>
        <v>64.400000000000006</v>
      </c>
      <c r="N612" s="3">
        <f ca="1">IFERROR(__xludf.DUMMYFUNCTION("""COMPUTED_VALUE"""),68.83)</f>
        <v>68.83</v>
      </c>
      <c r="O612" s="3">
        <f ca="1">IFERROR(__xludf.DUMMYFUNCTION("""COMPUTED_VALUE"""),42)</f>
        <v>42</v>
      </c>
      <c r="P612" s="3">
        <f ca="1">IFERROR(__xludf.DUMMYFUNCTION("""COMPUTED_VALUE"""),90.35)</f>
        <v>90.35</v>
      </c>
      <c r="Q612" s="3">
        <f ca="1">IFERROR(__xludf.DUMMYFUNCTION("""COMPUTED_VALUE"""),126.27)</f>
        <v>126.27</v>
      </c>
      <c r="R612" s="3">
        <f ca="1">IFERROR(__xludf.DUMMYFUNCTION("""COMPUTED_VALUE"""),90.7)</f>
        <v>90.7</v>
      </c>
      <c r="S612" s="3">
        <f ca="1">IFERROR(__xludf.DUMMYFUNCTION("""COMPUTED_VALUE"""),62.49)</f>
        <v>62.49</v>
      </c>
      <c r="T612" s="3">
        <f ca="1">IFERROR(__xludf.DUMMYFUNCTION("""COMPUTED_VALUE"""),23.09)</f>
        <v>23.09</v>
      </c>
      <c r="U612" s="3">
        <f ca="1">IFERROR(__xludf.DUMMYFUNCTION("""COMPUTED_VALUE"""),73.26)</f>
        <v>73.260000000000005</v>
      </c>
      <c r="V612" s="3">
        <f ca="1">IFERROR(__xludf.DUMMYFUNCTION("""COMPUTED_VALUE"""),47.51)</f>
        <v>47.51</v>
      </c>
      <c r="W612" s="3">
        <f ca="1">IFERROR(__xludf.DUMMYFUNCTION("""COMPUTED_VALUE"""),41.29)</f>
        <v>41.29</v>
      </c>
      <c r="X612" s="3">
        <f ca="1">IFERROR(__xludf.DUMMYFUNCTION("""COMPUTED_VALUE"""),100.08)</f>
        <v>100.08</v>
      </c>
      <c r="Y612" s="3">
        <f ca="1">IFERROR(__xludf.DUMMYFUNCTION("""COMPUTED_VALUE"""),45.13)</f>
        <v>45.13</v>
      </c>
      <c r="Z612" s="3">
        <f ca="1">IFERROR(__xludf.DUMMYFUNCTION("""COMPUTED_VALUE"""),94.07)</f>
        <v>94.07</v>
      </c>
      <c r="AA612" s="3">
        <f ca="1">IFERROR(__xludf.DUMMYFUNCTION("""COMPUTED_VALUE"""),38.27)</f>
        <v>38.270000000000003</v>
      </c>
      <c r="AB612" s="3">
        <f ca="1">IFERROR(__xludf.DUMMYFUNCTION("""COMPUTED_VALUE"""),47.42)</f>
        <v>47.42</v>
      </c>
      <c r="AC612" s="3">
        <f ca="1">IFERROR(__xludf.DUMMYFUNCTION("""COMPUTED_VALUE"""),64.24)</f>
        <v>64.239999999999995</v>
      </c>
      <c r="AD612" s="3">
        <f ca="1">IFERROR(__xludf.DUMMYFUNCTION("""COMPUTED_VALUE"""),21.54)</f>
        <v>21.54</v>
      </c>
      <c r="AE612" s="3">
        <f ca="1">IFERROR(__xludf.DUMMYFUNCTION("""COMPUTED_VALUE"""),26.64)</f>
        <v>26.64</v>
      </c>
      <c r="AF612" s="3">
        <f ca="1">IFERROR(__xludf.DUMMYFUNCTION("""COMPUTED_VALUE"""),5.13)</f>
        <v>5.13</v>
      </c>
      <c r="AG612" s="3">
        <f ca="1">IFERROR(__xludf.DUMMYFUNCTION("""COMPUTED_VALUE"""),50.42)</f>
        <v>50.42</v>
      </c>
    </row>
    <row r="613" spans="1:33" ht="12.75" x14ac:dyDescent="0.2">
      <c r="A613" s="4">
        <f ca="1">IFERROR(__xludf.DUMMYFUNCTION("""COMPUTED_VALUE"""),45450.6666666666)</f>
        <v>45450.666666666599</v>
      </c>
      <c r="B613" s="3">
        <f ca="1">IFERROR(__xludf.DUMMYFUNCTION("""COMPUTED_VALUE"""),215.6)</f>
        <v>215.6</v>
      </c>
      <c r="C613" s="3">
        <f ca="1">IFERROR(__xludf.DUMMYFUNCTION("""COMPUTED_VALUE"""),549.85)</f>
        <v>549.85</v>
      </c>
      <c r="D613" s="3">
        <f ca="1">IFERROR(__xludf.DUMMYFUNCTION("""COMPUTED_VALUE"""),149.26)</f>
        <v>149.26</v>
      </c>
      <c r="E613" s="3">
        <f ca="1">IFERROR(__xludf.DUMMYFUNCTION("""COMPUTED_VALUE"""),240.02)</f>
        <v>240.02</v>
      </c>
      <c r="F613" s="3">
        <f ca="1">IFERROR(__xludf.DUMMYFUNCTION("""COMPUTED_VALUE"""),60.66)</f>
        <v>60.66</v>
      </c>
      <c r="G613" s="3">
        <f ca="1">IFERROR(__xludf.DUMMYFUNCTION("""COMPUTED_VALUE"""),31.06)</f>
        <v>31.06</v>
      </c>
      <c r="H613" s="3">
        <f ca="1">IFERROR(__xludf.DUMMYFUNCTION("""COMPUTED_VALUE"""),27.54)</f>
        <v>27.54</v>
      </c>
      <c r="I613" s="3">
        <f ca="1">IFERROR(__xludf.DUMMYFUNCTION("""COMPUTED_VALUE"""),146.43)</f>
        <v>146.43</v>
      </c>
      <c r="J613" s="3">
        <f ca="1">IFERROR(__xludf.DUMMYFUNCTION("""COMPUTED_VALUE"""),266.87)</f>
        <v>266.87</v>
      </c>
      <c r="K613" s="3">
        <f ca="1">IFERROR(__xludf.DUMMYFUNCTION("""COMPUTED_VALUE"""),136.72)</f>
        <v>136.72</v>
      </c>
      <c r="L613" s="3">
        <f ca="1">IFERROR(__xludf.DUMMYFUNCTION("""COMPUTED_VALUE"""),91.39)</f>
        <v>91.39</v>
      </c>
      <c r="M613" s="3">
        <f ca="1">IFERROR(__xludf.DUMMYFUNCTION("""COMPUTED_VALUE"""),64)</f>
        <v>64</v>
      </c>
      <c r="N613" s="3">
        <f ca="1">IFERROR(__xludf.DUMMYFUNCTION("""COMPUTED_VALUE"""),68.84)</f>
        <v>68.84</v>
      </c>
      <c r="O613" s="3">
        <f ca="1">IFERROR(__xludf.DUMMYFUNCTION("""COMPUTED_VALUE"""),41.68)</f>
        <v>41.68</v>
      </c>
      <c r="P613" s="3">
        <f ca="1">IFERROR(__xludf.DUMMYFUNCTION("""COMPUTED_VALUE"""),89.99)</f>
        <v>89.99</v>
      </c>
      <c r="Q613" s="3">
        <f ca="1">IFERROR(__xludf.DUMMYFUNCTION("""COMPUTED_VALUE"""),125.7)</f>
        <v>125.7</v>
      </c>
      <c r="R613" s="3">
        <f ca="1">IFERROR(__xludf.DUMMYFUNCTION("""COMPUTED_VALUE"""),89.79)</f>
        <v>89.79</v>
      </c>
      <c r="S613" s="3">
        <f ca="1">IFERROR(__xludf.DUMMYFUNCTION("""COMPUTED_VALUE"""),60.46)</f>
        <v>60.46</v>
      </c>
      <c r="T613" s="3">
        <f ca="1">IFERROR(__xludf.DUMMYFUNCTION("""COMPUTED_VALUE"""),22.76)</f>
        <v>22.76</v>
      </c>
      <c r="U613" s="3">
        <f ca="1">IFERROR(__xludf.DUMMYFUNCTION("""COMPUTED_VALUE"""),73.02)</f>
        <v>73.02</v>
      </c>
      <c r="V613" s="3">
        <f ca="1">IFERROR(__xludf.DUMMYFUNCTION("""COMPUTED_VALUE"""),45.94)</f>
        <v>45.94</v>
      </c>
      <c r="W613" s="3">
        <f ca="1">IFERROR(__xludf.DUMMYFUNCTION("""COMPUTED_VALUE"""),41.48)</f>
        <v>41.48</v>
      </c>
      <c r="X613" s="3">
        <f ca="1">IFERROR(__xludf.DUMMYFUNCTION("""COMPUTED_VALUE"""),100.23)</f>
        <v>100.23</v>
      </c>
      <c r="Y613" s="3">
        <f ca="1">IFERROR(__xludf.DUMMYFUNCTION("""COMPUTED_VALUE"""),45.03)</f>
        <v>45.03</v>
      </c>
      <c r="Z613" s="3">
        <f ca="1">IFERROR(__xludf.DUMMYFUNCTION("""COMPUTED_VALUE"""),94.28)</f>
        <v>94.28</v>
      </c>
      <c r="AA613" s="3">
        <f ca="1">IFERROR(__xludf.DUMMYFUNCTION("""COMPUTED_VALUE"""),37.97)</f>
        <v>37.97</v>
      </c>
      <c r="AB613" s="3">
        <f ca="1">IFERROR(__xludf.DUMMYFUNCTION("""COMPUTED_VALUE"""),47.21)</f>
        <v>47.21</v>
      </c>
      <c r="AC613" s="3">
        <f ca="1">IFERROR(__xludf.DUMMYFUNCTION("""COMPUTED_VALUE"""),64.47)</f>
        <v>64.47</v>
      </c>
      <c r="AD613" s="3">
        <f ca="1">IFERROR(__xludf.DUMMYFUNCTION("""COMPUTED_VALUE"""),21.01)</f>
        <v>21.01</v>
      </c>
      <c r="AE613" s="3">
        <f ca="1">IFERROR(__xludf.DUMMYFUNCTION("""COMPUTED_VALUE"""),26.16)</f>
        <v>26.16</v>
      </c>
      <c r="AF613" s="3">
        <f ca="1">IFERROR(__xludf.DUMMYFUNCTION("""COMPUTED_VALUE"""),5.17)</f>
        <v>5.17</v>
      </c>
      <c r="AG613" s="3">
        <f ca="1">IFERROR(__xludf.DUMMYFUNCTION("""COMPUTED_VALUE"""),48.22)</f>
        <v>48.22</v>
      </c>
    </row>
    <row r="614" spans="1:33" ht="12.75" x14ac:dyDescent="0.2">
      <c r="A614" s="4">
        <f ca="1">IFERROR(__xludf.DUMMYFUNCTION("""COMPUTED_VALUE"""),45453.6666666666)</f>
        <v>45453.666666666599</v>
      </c>
      <c r="B614" s="3">
        <f ca="1">IFERROR(__xludf.DUMMYFUNCTION("""COMPUTED_VALUE"""),216.15)</f>
        <v>216.15</v>
      </c>
      <c r="C614" s="3">
        <f ca="1">IFERROR(__xludf.DUMMYFUNCTION("""COMPUTED_VALUE"""),551.75)</f>
        <v>551.75</v>
      </c>
      <c r="D614" s="3">
        <f ca="1">IFERROR(__xludf.DUMMYFUNCTION("""COMPUTED_VALUE"""),150.24)</f>
        <v>150.24</v>
      </c>
      <c r="E614" s="3">
        <f ca="1">IFERROR(__xludf.DUMMYFUNCTION("""COMPUTED_VALUE"""),243.48)</f>
        <v>243.48</v>
      </c>
      <c r="F614" s="3">
        <f ca="1">IFERROR(__xludf.DUMMYFUNCTION("""COMPUTED_VALUE"""),61.52)</f>
        <v>61.52</v>
      </c>
      <c r="G614" s="3">
        <f ca="1">IFERROR(__xludf.DUMMYFUNCTION("""COMPUTED_VALUE"""),31.29)</f>
        <v>31.29</v>
      </c>
      <c r="H614" s="3">
        <f ca="1">IFERROR(__xludf.DUMMYFUNCTION("""COMPUTED_VALUE"""),27.78)</f>
        <v>27.78</v>
      </c>
      <c r="I614" s="3">
        <f ca="1">IFERROR(__xludf.DUMMYFUNCTION("""COMPUTED_VALUE"""),146.97)</f>
        <v>146.97</v>
      </c>
      <c r="J614" s="3">
        <f ca="1">IFERROR(__xludf.DUMMYFUNCTION("""COMPUTED_VALUE"""),268.06)</f>
        <v>268.06</v>
      </c>
      <c r="K614" s="3">
        <f ca="1">IFERROR(__xludf.DUMMYFUNCTION("""COMPUTED_VALUE"""),136.94)</f>
        <v>136.94</v>
      </c>
      <c r="L614" s="3">
        <f ca="1">IFERROR(__xludf.DUMMYFUNCTION("""COMPUTED_VALUE"""),91.99)</f>
        <v>91.99</v>
      </c>
      <c r="M614" s="3">
        <f ca="1">IFERROR(__xludf.DUMMYFUNCTION("""COMPUTED_VALUE"""),64.11)</f>
        <v>64.11</v>
      </c>
      <c r="N614" s="3">
        <f ca="1">IFERROR(__xludf.DUMMYFUNCTION("""COMPUTED_VALUE"""),69.1)</f>
        <v>69.099999999999994</v>
      </c>
      <c r="O614" s="3">
        <f ca="1">IFERROR(__xludf.DUMMYFUNCTION("""COMPUTED_VALUE"""),41.68)</f>
        <v>41.68</v>
      </c>
      <c r="P614" s="3">
        <f ca="1">IFERROR(__xludf.DUMMYFUNCTION("""COMPUTED_VALUE"""),90.67)</f>
        <v>90.67</v>
      </c>
      <c r="Q614" s="3">
        <f ca="1">IFERROR(__xludf.DUMMYFUNCTION("""COMPUTED_VALUE"""),127.16)</f>
        <v>127.16</v>
      </c>
      <c r="R614" s="3">
        <f ca="1">IFERROR(__xludf.DUMMYFUNCTION("""COMPUTED_VALUE"""),89.7)</f>
        <v>89.7</v>
      </c>
      <c r="S614" s="3">
        <f ca="1">IFERROR(__xludf.DUMMYFUNCTION("""COMPUTED_VALUE"""),60.35)</f>
        <v>60.35</v>
      </c>
      <c r="T614" s="3">
        <f ca="1">IFERROR(__xludf.DUMMYFUNCTION("""COMPUTED_VALUE"""),23.09)</f>
        <v>23.09</v>
      </c>
      <c r="U614" s="3">
        <f ca="1">IFERROR(__xludf.DUMMYFUNCTION("""COMPUTED_VALUE"""),75.46)</f>
        <v>75.459999999999994</v>
      </c>
      <c r="V614" s="3">
        <f ca="1">IFERROR(__xludf.DUMMYFUNCTION("""COMPUTED_VALUE"""),47.26)</f>
        <v>47.26</v>
      </c>
      <c r="W614" s="3">
        <f ca="1">IFERROR(__xludf.DUMMYFUNCTION("""COMPUTED_VALUE"""),41.32)</f>
        <v>41.32</v>
      </c>
      <c r="X614" s="3">
        <f ca="1">IFERROR(__xludf.DUMMYFUNCTION("""COMPUTED_VALUE"""),100.06)</f>
        <v>100.06</v>
      </c>
      <c r="Y614" s="3">
        <f ca="1">IFERROR(__xludf.DUMMYFUNCTION("""COMPUTED_VALUE"""),44.49)</f>
        <v>44.49</v>
      </c>
      <c r="Z614" s="3">
        <f ca="1">IFERROR(__xludf.DUMMYFUNCTION("""COMPUTED_VALUE"""),94.19)</f>
        <v>94.19</v>
      </c>
      <c r="AA614" s="3">
        <f ca="1">IFERROR(__xludf.DUMMYFUNCTION("""COMPUTED_VALUE"""),38.16)</f>
        <v>38.159999999999997</v>
      </c>
      <c r="AB614" s="3">
        <f ca="1">IFERROR(__xludf.DUMMYFUNCTION("""COMPUTED_VALUE"""),46.48)</f>
        <v>46.48</v>
      </c>
      <c r="AC614" s="3">
        <f ca="1">IFERROR(__xludf.DUMMYFUNCTION("""COMPUTED_VALUE"""),64.27)</f>
        <v>64.27</v>
      </c>
      <c r="AD614" s="3">
        <f ca="1">IFERROR(__xludf.DUMMYFUNCTION("""COMPUTED_VALUE"""),20.99)</f>
        <v>20.99</v>
      </c>
      <c r="AE614" s="3">
        <f ca="1">IFERROR(__xludf.DUMMYFUNCTION("""COMPUTED_VALUE"""),26.23)</f>
        <v>26.23</v>
      </c>
      <c r="AF614" s="3">
        <f ca="1">IFERROR(__xludf.DUMMYFUNCTION("""COMPUTED_VALUE"""),5.34)</f>
        <v>5.34</v>
      </c>
      <c r="AG614" s="3">
        <f ca="1">IFERROR(__xludf.DUMMYFUNCTION("""COMPUTED_VALUE"""),48.77)</f>
        <v>48.77</v>
      </c>
    </row>
    <row r="615" spans="1:33" ht="12.75" x14ac:dyDescent="0.2">
      <c r="A615" s="4">
        <f ca="1">IFERROR(__xludf.DUMMYFUNCTION("""COMPUTED_VALUE"""),45454.6666666666)</f>
        <v>45454.666666666599</v>
      </c>
      <c r="B615" s="3">
        <f ca="1">IFERROR(__xludf.DUMMYFUNCTION("""COMPUTED_VALUE"""),220.17)</f>
        <v>220.17</v>
      </c>
      <c r="C615" s="3">
        <f ca="1">IFERROR(__xludf.DUMMYFUNCTION("""COMPUTED_VALUE"""),559.49)</f>
        <v>559.49</v>
      </c>
      <c r="D615" s="3">
        <f ca="1">IFERROR(__xludf.DUMMYFUNCTION("""COMPUTED_VALUE"""),151.08)</f>
        <v>151.08000000000001</v>
      </c>
      <c r="E615" s="3">
        <f ca="1">IFERROR(__xludf.DUMMYFUNCTION("""COMPUTED_VALUE"""),243.37)</f>
        <v>243.37</v>
      </c>
      <c r="F615" s="3">
        <f ca="1">IFERROR(__xludf.DUMMYFUNCTION("""COMPUTED_VALUE"""),61.71)</f>
        <v>61.71</v>
      </c>
      <c r="G615" s="3">
        <f ca="1">IFERROR(__xludf.DUMMYFUNCTION("""COMPUTED_VALUE"""),31.13)</f>
        <v>31.13</v>
      </c>
      <c r="H615" s="3">
        <f ca="1">IFERROR(__xludf.DUMMYFUNCTION("""COMPUTED_VALUE"""),27.72)</f>
        <v>27.72</v>
      </c>
      <c r="I615" s="3">
        <f ca="1">IFERROR(__xludf.DUMMYFUNCTION("""COMPUTED_VALUE"""),146.36)</f>
        <v>146.36000000000001</v>
      </c>
      <c r="J615" s="3">
        <f ca="1">IFERROR(__xludf.DUMMYFUNCTION("""COMPUTED_VALUE"""),267.01)</f>
        <v>267.01</v>
      </c>
      <c r="K615" s="3">
        <f ca="1">IFERROR(__xludf.DUMMYFUNCTION("""COMPUTED_VALUE"""),136.81)</f>
        <v>136.81</v>
      </c>
      <c r="L615" s="3">
        <f ca="1">IFERROR(__xludf.DUMMYFUNCTION("""COMPUTED_VALUE"""),92.46)</f>
        <v>92.46</v>
      </c>
      <c r="M615" s="3">
        <f ca="1">IFERROR(__xludf.DUMMYFUNCTION("""COMPUTED_VALUE"""),64.13)</f>
        <v>64.13</v>
      </c>
      <c r="N615" s="3">
        <f ca="1">IFERROR(__xludf.DUMMYFUNCTION("""COMPUTED_VALUE"""),68.87)</f>
        <v>68.87</v>
      </c>
      <c r="O615" s="3">
        <f ca="1">IFERROR(__xludf.DUMMYFUNCTION("""COMPUTED_VALUE"""),42)</f>
        <v>42</v>
      </c>
      <c r="P615" s="3">
        <f ca="1">IFERROR(__xludf.DUMMYFUNCTION("""COMPUTED_VALUE"""),90.49)</f>
        <v>90.49</v>
      </c>
      <c r="Q615" s="3">
        <f ca="1">IFERROR(__xludf.DUMMYFUNCTION("""COMPUTED_VALUE"""),126.96)</f>
        <v>126.96</v>
      </c>
      <c r="R615" s="3">
        <f ca="1">IFERROR(__xludf.DUMMYFUNCTION("""COMPUTED_VALUE"""),89.67)</f>
        <v>89.67</v>
      </c>
      <c r="S615" s="3">
        <f ca="1">IFERROR(__xludf.DUMMYFUNCTION("""COMPUTED_VALUE"""),59.23)</f>
        <v>59.23</v>
      </c>
      <c r="T615" s="3">
        <f ca="1">IFERROR(__xludf.DUMMYFUNCTION("""COMPUTED_VALUE"""),23.06)</f>
        <v>23.06</v>
      </c>
      <c r="U615" s="3">
        <f ca="1">IFERROR(__xludf.DUMMYFUNCTION("""COMPUTED_VALUE"""),75.51)</f>
        <v>75.510000000000005</v>
      </c>
      <c r="V615" s="3">
        <f ca="1">IFERROR(__xludf.DUMMYFUNCTION("""COMPUTED_VALUE"""),47.83)</f>
        <v>47.83</v>
      </c>
      <c r="W615" s="3">
        <f ca="1">IFERROR(__xludf.DUMMYFUNCTION("""COMPUTED_VALUE"""),40.85)</f>
        <v>40.85</v>
      </c>
      <c r="X615" s="3">
        <f ca="1">IFERROR(__xludf.DUMMYFUNCTION("""COMPUTED_VALUE"""),98.93)</f>
        <v>98.93</v>
      </c>
      <c r="Y615" s="3">
        <f ca="1">IFERROR(__xludf.DUMMYFUNCTION("""COMPUTED_VALUE"""),44.1)</f>
        <v>44.1</v>
      </c>
      <c r="Z615" s="3">
        <f ca="1">IFERROR(__xludf.DUMMYFUNCTION("""COMPUTED_VALUE"""),92.77)</f>
        <v>92.77</v>
      </c>
      <c r="AA615" s="3">
        <f ca="1">IFERROR(__xludf.DUMMYFUNCTION("""COMPUTED_VALUE"""),38.04)</f>
        <v>38.04</v>
      </c>
      <c r="AB615" s="3">
        <f ca="1">IFERROR(__xludf.DUMMYFUNCTION("""COMPUTED_VALUE"""),46.31)</f>
        <v>46.31</v>
      </c>
      <c r="AC615" s="3">
        <f ca="1">IFERROR(__xludf.DUMMYFUNCTION("""COMPUTED_VALUE"""),64.03)</f>
        <v>64.03</v>
      </c>
      <c r="AD615" s="3">
        <f ca="1">IFERROR(__xludf.DUMMYFUNCTION("""COMPUTED_VALUE"""),20.19)</f>
        <v>20.190000000000001</v>
      </c>
      <c r="AE615" s="3">
        <f ca="1">IFERROR(__xludf.DUMMYFUNCTION("""COMPUTED_VALUE"""),25.43)</f>
        <v>25.43</v>
      </c>
      <c r="AF615" s="3">
        <f ca="1">IFERROR(__xludf.DUMMYFUNCTION("""COMPUTED_VALUE"""),5.16)</f>
        <v>5.16</v>
      </c>
      <c r="AG615" s="3">
        <f ca="1">IFERROR(__xludf.DUMMYFUNCTION("""COMPUTED_VALUE"""),49.14)</f>
        <v>49.14</v>
      </c>
    </row>
    <row r="616" spans="1:33" ht="12.75" x14ac:dyDescent="0.2">
      <c r="A616" s="4">
        <f ca="1">IFERROR(__xludf.DUMMYFUNCTION("""COMPUTED_VALUE"""),45455.6666666666)</f>
        <v>45455.666666666599</v>
      </c>
      <c r="B616" s="3">
        <f ca="1">IFERROR(__xludf.DUMMYFUNCTION("""COMPUTED_VALUE"""),225.04)</f>
        <v>225.04</v>
      </c>
      <c r="C616" s="3">
        <f ca="1">IFERROR(__xludf.DUMMYFUNCTION("""COMPUTED_VALUE"""),571.52)</f>
        <v>571.52</v>
      </c>
      <c r="D616" s="3">
        <f ca="1">IFERROR(__xludf.DUMMYFUNCTION("""COMPUTED_VALUE"""),152.76)</f>
        <v>152.76</v>
      </c>
      <c r="E616" s="3">
        <f ca="1">IFERROR(__xludf.DUMMYFUNCTION("""COMPUTED_VALUE"""),250.23)</f>
        <v>250.23</v>
      </c>
      <c r="F616" s="3">
        <f ca="1">IFERROR(__xludf.DUMMYFUNCTION("""COMPUTED_VALUE"""),62.47)</f>
        <v>62.47</v>
      </c>
      <c r="G616" s="3">
        <f ca="1">IFERROR(__xludf.DUMMYFUNCTION("""COMPUTED_VALUE"""),31.82)</f>
        <v>31.82</v>
      </c>
      <c r="H616" s="3">
        <f ca="1">IFERROR(__xludf.DUMMYFUNCTION("""COMPUTED_VALUE"""),28.09)</f>
        <v>28.09</v>
      </c>
      <c r="I616" s="3">
        <f ca="1">IFERROR(__xludf.DUMMYFUNCTION("""COMPUTED_VALUE"""),146.05)</f>
        <v>146.05000000000001</v>
      </c>
      <c r="J616" s="3">
        <f ca="1">IFERROR(__xludf.DUMMYFUNCTION("""COMPUTED_VALUE"""),266.75)</f>
        <v>266.75</v>
      </c>
      <c r="K616" s="3">
        <f ca="1">IFERROR(__xludf.DUMMYFUNCTION("""COMPUTED_VALUE"""),137.81)</f>
        <v>137.81</v>
      </c>
      <c r="L616" s="3">
        <f ca="1">IFERROR(__xludf.DUMMYFUNCTION("""COMPUTED_VALUE"""),93.82)</f>
        <v>93.82</v>
      </c>
      <c r="M616" s="3">
        <f ca="1">IFERROR(__xludf.DUMMYFUNCTION("""COMPUTED_VALUE"""),64.62)</f>
        <v>64.62</v>
      </c>
      <c r="N616" s="3">
        <f ca="1">IFERROR(__xludf.DUMMYFUNCTION("""COMPUTED_VALUE"""),68.81)</f>
        <v>68.81</v>
      </c>
      <c r="O616" s="3">
        <f ca="1">IFERROR(__xludf.DUMMYFUNCTION("""COMPUTED_VALUE"""),43.32)</f>
        <v>43.32</v>
      </c>
      <c r="P616" s="3">
        <f ca="1">IFERROR(__xludf.DUMMYFUNCTION("""COMPUTED_VALUE"""),89.52)</f>
        <v>89.52</v>
      </c>
      <c r="Q616" s="3">
        <f ca="1">IFERROR(__xludf.DUMMYFUNCTION("""COMPUTED_VALUE"""),125.84)</f>
        <v>125.84</v>
      </c>
      <c r="R616" s="3">
        <f ca="1">IFERROR(__xludf.DUMMYFUNCTION("""COMPUTED_VALUE"""),89.84)</f>
        <v>89.84</v>
      </c>
      <c r="S616" s="3">
        <f ca="1">IFERROR(__xludf.DUMMYFUNCTION("""COMPUTED_VALUE"""),59.48)</f>
        <v>59.48</v>
      </c>
      <c r="T616" s="3">
        <f ca="1">IFERROR(__xludf.DUMMYFUNCTION("""COMPUTED_VALUE"""),23.14)</f>
        <v>23.14</v>
      </c>
      <c r="U616" s="3">
        <f ca="1">IFERROR(__xludf.DUMMYFUNCTION("""COMPUTED_VALUE"""),75.98)</f>
        <v>75.98</v>
      </c>
      <c r="V616" s="3">
        <f ca="1">IFERROR(__xludf.DUMMYFUNCTION("""COMPUTED_VALUE"""),48.29)</f>
        <v>48.29</v>
      </c>
      <c r="W616" s="3">
        <f ca="1">IFERROR(__xludf.DUMMYFUNCTION("""COMPUTED_VALUE"""),40.81)</f>
        <v>40.81</v>
      </c>
      <c r="X616" s="3">
        <f ca="1">IFERROR(__xludf.DUMMYFUNCTION("""COMPUTED_VALUE"""),99.22)</f>
        <v>99.22</v>
      </c>
      <c r="Y616" s="3">
        <f ca="1">IFERROR(__xludf.DUMMYFUNCTION("""COMPUTED_VALUE"""),45.04)</f>
        <v>45.04</v>
      </c>
      <c r="Z616" s="3">
        <f ca="1">IFERROR(__xludf.DUMMYFUNCTION("""COMPUTED_VALUE"""),93.29)</f>
        <v>93.29</v>
      </c>
      <c r="AA616" s="3">
        <f ca="1">IFERROR(__xludf.DUMMYFUNCTION("""COMPUTED_VALUE"""),38.31)</f>
        <v>38.31</v>
      </c>
      <c r="AB616" s="3">
        <f ca="1">IFERROR(__xludf.DUMMYFUNCTION("""COMPUTED_VALUE"""),47.46)</f>
        <v>47.46</v>
      </c>
      <c r="AC616" s="3">
        <f ca="1">IFERROR(__xludf.DUMMYFUNCTION("""COMPUTED_VALUE"""),64.56)</f>
        <v>64.56</v>
      </c>
      <c r="AD616" s="3">
        <f ca="1">IFERROR(__xludf.DUMMYFUNCTION("""COMPUTED_VALUE"""),20.26)</f>
        <v>20.260000000000002</v>
      </c>
      <c r="AE616" s="3">
        <f ca="1">IFERROR(__xludf.DUMMYFUNCTION("""COMPUTED_VALUE"""),25.49)</f>
        <v>25.49</v>
      </c>
      <c r="AF616" s="3">
        <f ca="1">IFERROR(__xludf.DUMMYFUNCTION("""COMPUTED_VALUE"""),5.21)</f>
        <v>5.21</v>
      </c>
      <c r="AG616" s="3">
        <f ca="1">IFERROR(__xludf.DUMMYFUNCTION("""COMPUTED_VALUE"""),51.72)</f>
        <v>51.72</v>
      </c>
    </row>
    <row r="617" spans="1:33" ht="12.75" x14ac:dyDescent="0.2">
      <c r="A617" s="4">
        <f ca="1">IFERROR(__xludf.DUMMYFUNCTION("""COMPUTED_VALUE"""),45456.6666666666)</f>
        <v>45456.666666666599</v>
      </c>
      <c r="B617" s="3">
        <f ca="1">IFERROR(__xludf.DUMMYFUNCTION("""COMPUTED_VALUE"""),226.82)</f>
        <v>226.82</v>
      </c>
      <c r="C617" s="3">
        <f ca="1">IFERROR(__xludf.DUMMYFUNCTION("""COMPUTED_VALUE"""),577.17)</f>
        <v>577.16999999999996</v>
      </c>
      <c r="D617" s="3">
        <f ca="1">IFERROR(__xludf.DUMMYFUNCTION("""COMPUTED_VALUE"""),153.46)</f>
        <v>153.46</v>
      </c>
      <c r="E617" s="3">
        <f ca="1">IFERROR(__xludf.DUMMYFUNCTION("""COMPUTED_VALUE"""),252.95)</f>
        <v>252.95</v>
      </c>
      <c r="F617" s="3">
        <f ca="1">IFERROR(__xludf.DUMMYFUNCTION("""COMPUTED_VALUE"""),62.67)</f>
        <v>62.67</v>
      </c>
      <c r="G617" s="3">
        <f ca="1">IFERROR(__xludf.DUMMYFUNCTION("""COMPUTED_VALUE"""),31.62)</f>
        <v>31.62</v>
      </c>
      <c r="H617" s="3">
        <f ca="1">IFERROR(__xludf.DUMMYFUNCTION("""COMPUTED_VALUE"""),28.05)</f>
        <v>28.05</v>
      </c>
      <c r="I617" s="3">
        <f ca="1">IFERROR(__xludf.DUMMYFUNCTION("""COMPUTED_VALUE"""),145.93)</f>
        <v>145.93</v>
      </c>
      <c r="J617" s="3">
        <f ca="1">IFERROR(__xludf.DUMMYFUNCTION("""COMPUTED_VALUE"""),266.38)</f>
        <v>266.38</v>
      </c>
      <c r="K617" s="3">
        <f ca="1">IFERROR(__xludf.DUMMYFUNCTION("""COMPUTED_VALUE"""),137.33)</f>
        <v>137.33000000000001</v>
      </c>
      <c r="L617" s="3">
        <f ca="1">IFERROR(__xludf.DUMMYFUNCTION("""COMPUTED_VALUE"""),93.82)</f>
        <v>93.82</v>
      </c>
      <c r="M617" s="3">
        <f ca="1">IFERROR(__xludf.DUMMYFUNCTION("""COMPUTED_VALUE"""),64.36)</f>
        <v>64.36</v>
      </c>
      <c r="N617" s="3">
        <f ca="1">IFERROR(__xludf.DUMMYFUNCTION("""COMPUTED_VALUE"""),68.71)</f>
        <v>68.709999999999994</v>
      </c>
      <c r="O617" s="3">
        <f ca="1">IFERROR(__xludf.DUMMYFUNCTION("""COMPUTED_VALUE"""),42.8)</f>
        <v>42.8</v>
      </c>
      <c r="P617" s="3">
        <f ca="1">IFERROR(__xludf.DUMMYFUNCTION("""COMPUTED_VALUE"""),88.7)</f>
        <v>88.7</v>
      </c>
      <c r="Q617" s="3">
        <f ca="1">IFERROR(__xludf.DUMMYFUNCTION("""COMPUTED_VALUE"""),124.54)</f>
        <v>124.54</v>
      </c>
      <c r="R617" s="3">
        <f ca="1">IFERROR(__xludf.DUMMYFUNCTION("""COMPUTED_VALUE"""),89.81)</f>
        <v>89.81</v>
      </c>
      <c r="S617" s="3">
        <f ca="1">IFERROR(__xludf.DUMMYFUNCTION("""COMPUTED_VALUE"""),58.78)</f>
        <v>58.78</v>
      </c>
      <c r="T617" s="3">
        <f ca="1">IFERROR(__xludf.DUMMYFUNCTION("""COMPUTED_VALUE"""),23.16)</f>
        <v>23.16</v>
      </c>
      <c r="U617" s="3">
        <f ca="1">IFERROR(__xludf.DUMMYFUNCTION("""COMPUTED_VALUE"""),75.74)</f>
        <v>75.739999999999995</v>
      </c>
      <c r="V617" s="3">
        <f ca="1">IFERROR(__xludf.DUMMYFUNCTION("""COMPUTED_VALUE"""),47.12)</f>
        <v>47.12</v>
      </c>
      <c r="W617" s="3">
        <f ca="1">IFERROR(__xludf.DUMMYFUNCTION("""COMPUTED_VALUE"""),40.78)</f>
        <v>40.78</v>
      </c>
      <c r="X617" s="3">
        <f ca="1">IFERROR(__xludf.DUMMYFUNCTION("""COMPUTED_VALUE"""),98.8)</f>
        <v>98.8</v>
      </c>
      <c r="Y617" s="3">
        <f ca="1">IFERROR(__xludf.DUMMYFUNCTION("""COMPUTED_VALUE"""),44.51)</f>
        <v>44.51</v>
      </c>
      <c r="Z617" s="3">
        <f ca="1">IFERROR(__xludf.DUMMYFUNCTION("""COMPUTED_VALUE"""),92.89)</f>
        <v>92.89</v>
      </c>
      <c r="AA617" s="3">
        <f ca="1">IFERROR(__xludf.DUMMYFUNCTION("""COMPUTED_VALUE"""),38.5)</f>
        <v>38.5</v>
      </c>
      <c r="AB617" s="3">
        <f ca="1">IFERROR(__xludf.DUMMYFUNCTION("""COMPUTED_VALUE"""),46.71)</f>
        <v>46.71</v>
      </c>
      <c r="AC617" s="3">
        <f ca="1">IFERROR(__xludf.DUMMYFUNCTION("""COMPUTED_VALUE"""),65.01)</f>
        <v>65.010000000000005</v>
      </c>
      <c r="AD617" s="3">
        <f ca="1">IFERROR(__xludf.DUMMYFUNCTION("""COMPUTED_VALUE"""),20)</f>
        <v>20</v>
      </c>
      <c r="AE617" s="3">
        <f ca="1">IFERROR(__xludf.DUMMYFUNCTION("""COMPUTED_VALUE"""),25.13)</f>
        <v>25.13</v>
      </c>
      <c r="AF617" s="3">
        <f ca="1">IFERROR(__xludf.DUMMYFUNCTION("""COMPUTED_VALUE"""),5.41)</f>
        <v>5.41</v>
      </c>
      <c r="AG617" s="3">
        <f ca="1">IFERROR(__xludf.DUMMYFUNCTION("""COMPUTED_VALUE"""),52.54)</f>
        <v>52.54</v>
      </c>
    </row>
    <row r="618" spans="1:33" ht="12.75" x14ac:dyDescent="0.2">
      <c r="A618" s="4">
        <f ca="1">IFERROR(__xludf.DUMMYFUNCTION("""COMPUTED_VALUE"""),45457.6666666666)</f>
        <v>45457.666666666599</v>
      </c>
      <c r="B618" s="3">
        <f ca="1">IFERROR(__xludf.DUMMYFUNCTION("""COMPUTED_VALUE"""),227.67)</f>
        <v>227.67</v>
      </c>
      <c r="C618" s="3">
        <f ca="1">IFERROR(__xludf.DUMMYFUNCTION("""COMPUTED_VALUE"""),579.41)</f>
        <v>579.41</v>
      </c>
      <c r="D618" s="3">
        <f ca="1">IFERROR(__xludf.DUMMYFUNCTION("""COMPUTED_VALUE"""),151.34)</f>
        <v>151.34</v>
      </c>
      <c r="E618" s="3">
        <f ca="1">IFERROR(__xludf.DUMMYFUNCTION("""COMPUTED_VALUE"""),252.04)</f>
        <v>252.04</v>
      </c>
      <c r="F618" s="3">
        <f ca="1">IFERROR(__xludf.DUMMYFUNCTION("""COMPUTED_VALUE"""),62.97)</f>
        <v>62.97</v>
      </c>
      <c r="G618" s="3">
        <f ca="1">IFERROR(__xludf.DUMMYFUNCTION("""COMPUTED_VALUE"""),31.4)</f>
        <v>31.4</v>
      </c>
      <c r="H618" s="3">
        <f ca="1">IFERROR(__xludf.DUMMYFUNCTION("""COMPUTED_VALUE"""),27.71)</f>
        <v>27.71</v>
      </c>
      <c r="I618" s="3">
        <f ca="1">IFERROR(__xludf.DUMMYFUNCTION("""COMPUTED_VALUE"""),145.88)</f>
        <v>145.88</v>
      </c>
      <c r="J618" s="3">
        <f ca="1">IFERROR(__xludf.DUMMYFUNCTION("""COMPUTED_VALUE"""),265.99)</f>
        <v>265.99</v>
      </c>
      <c r="K618" s="3">
        <f ca="1">IFERROR(__xludf.DUMMYFUNCTION("""COMPUTED_VALUE"""),136.45)</f>
        <v>136.44999999999999</v>
      </c>
      <c r="L618" s="3">
        <f ca="1">IFERROR(__xludf.DUMMYFUNCTION("""COMPUTED_VALUE"""),91.75)</f>
        <v>91.75</v>
      </c>
      <c r="M618" s="3">
        <f ca="1">IFERROR(__xludf.DUMMYFUNCTION("""COMPUTED_VALUE"""),63.82)</f>
        <v>63.82</v>
      </c>
      <c r="N618" s="3">
        <f ca="1">IFERROR(__xludf.DUMMYFUNCTION("""COMPUTED_VALUE"""),68.59)</f>
        <v>68.59</v>
      </c>
      <c r="O618" s="3">
        <f ca="1">IFERROR(__xludf.DUMMYFUNCTION("""COMPUTED_VALUE"""),41.84)</f>
        <v>41.84</v>
      </c>
      <c r="P618" s="3">
        <f ca="1">IFERROR(__xludf.DUMMYFUNCTION("""COMPUTED_VALUE"""),88.04)</f>
        <v>88.04</v>
      </c>
      <c r="Q618" s="3">
        <f ca="1">IFERROR(__xludf.DUMMYFUNCTION("""COMPUTED_VALUE"""),123.17)</f>
        <v>123.17</v>
      </c>
      <c r="R618" s="3">
        <f ca="1">IFERROR(__xludf.DUMMYFUNCTION("""COMPUTED_VALUE"""),88.98)</f>
        <v>88.98</v>
      </c>
      <c r="S618" s="3">
        <f ca="1">IFERROR(__xludf.DUMMYFUNCTION("""COMPUTED_VALUE"""),58.21)</f>
        <v>58.21</v>
      </c>
      <c r="T618" s="3">
        <f ca="1">IFERROR(__xludf.DUMMYFUNCTION("""COMPUTED_VALUE"""),23.07)</f>
        <v>23.07</v>
      </c>
      <c r="U618" s="3">
        <f ca="1">IFERROR(__xludf.DUMMYFUNCTION("""COMPUTED_VALUE"""),76.08)</f>
        <v>76.08</v>
      </c>
      <c r="V618" s="3">
        <f ca="1">IFERROR(__xludf.DUMMYFUNCTION("""COMPUTED_VALUE"""),45.8)</f>
        <v>45.8</v>
      </c>
      <c r="W618" s="3">
        <f ca="1">IFERROR(__xludf.DUMMYFUNCTION("""COMPUTED_VALUE"""),40.65)</f>
        <v>40.65</v>
      </c>
      <c r="X618" s="3">
        <f ca="1">IFERROR(__xludf.DUMMYFUNCTION("""COMPUTED_VALUE"""),98.5)</f>
        <v>98.5</v>
      </c>
      <c r="Y618" s="3">
        <f ca="1">IFERROR(__xludf.DUMMYFUNCTION("""COMPUTED_VALUE"""),43.94)</f>
        <v>43.94</v>
      </c>
      <c r="Z618" s="3">
        <f ca="1">IFERROR(__xludf.DUMMYFUNCTION("""COMPUTED_VALUE"""),92.59)</f>
        <v>92.59</v>
      </c>
      <c r="AA618" s="3">
        <f ca="1">IFERROR(__xludf.DUMMYFUNCTION("""COMPUTED_VALUE"""),38.53)</f>
        <v>38.53</v>
      </c>
      <c r="AB618" s="3">
        <f ca="1">IFERROR(__xludf.DUMMYFUNCTION("""COMPUTED_VALUE"""),46.12)</f>
        <v>46.12</v>
      </c>
      <c r="AC618" s="3">
        <f ca="1">IFERROR(__xludf.DUMMYFUNCTION("""COMPUTED_VALUE"""),65.27)</f>
        <v>65.27</v>
      </c>
      <c r="AD618" s="3">
        <f ca="1">IFERROR(__xludf.DUMMYFUNCTION("""COMPUTED_VALUE"""),19.6)</f>
        <v>19.600000000000001</v>
      </c>
      <c r="AE618" s="3">
        <f ca="1">IFERROR(__xludf.DUMMYFUNCTION("""COMPUTED_VALUE"""),24.69)</f>
        <v>24.69</v>
      </c>
      <c r="AF618" s="3">
        <f ca="1">IFERROR(__xludf.DUMMYFUNCTION("""COMPUTED_VALUE"""),5.43)</f>
        <v>5.43</v>
      </c>
      <c r="AG618" s="3">
        <f ca="1">IFERROR(__xludf.DUMMYFUNCTION("""COMPUTED_VALUE"""),51.53)</f>
        <v>51.53</v>
      </c>
    </row>
    <row r="619" spans="1:33" ht="12.75" x14ac:dyDescent="0.2">
      <c r="A619" s="4">
        <f ca="1">IFERROR(__xludf.DUMMYFUNCTION("""COMPUTED_VALUE"""),45460.6666666666)</f>
        <v>45460.666666666599</v>
      </c>
      <c r="B619" s="3">
        <f ca="1">IFERROR(__xludf.DUMMYFUNCTION("""COMPUTED_VALUE"""),231.12)</f>
        <v>231.12</v>
      </c>
      <c r="C619" s="3">
        <f ca="1">IFERROR(__xludf.DUMMYFUNCTION("""COMPUTED_VALUE"""),586.47)</f>
        <v>586.47</v>
      </c>
      <c r="D619" s="3">
        <f ca="1">IFERROR(__xludf.DUMMYFUNCTION("""COMPUTED_VALUE"""),150.37)</f>
        <v>150.37</v>
      </c>
      <c r="E619" s="3">
        <f ca="1">IFERROR(__xludf.DUMMYFUNCTION("""COMPUTED_VALUE"""),256.02)</f>
        <v>256.02</v>
      </c>
      <c r="F619" s="3">
        <f ca="1">IFERROR(__xludf.DUMMYFUNCTION("""COMPUTED_VALUE"""),63.56)</f>
        <v>63.56</v>
      </c>
      <c r="G619" s="3">
        <f ca="1">IFERROR(__xludf.DUMMYFUNCTION("""COMPUTED_VALUE"""),31.45)</f>
        <v>31.45</v>
      </c>
      <c r="H619" s="3">
        <f ca="1">IFERROR(__xludf.DUMMYFUNCTION("""COMPUTED_VALUE"""),27.86)</f>
        <v>27.86</v>
      </c>
      <c r="I619" s="3">
        <f ca="1">IFERROR(__xludf.DUMMYFUNCTION("""COMPUTED_VALUE"""),145.73)</f>
        <v>145.72999999999999</v>
      </c>
      <c r="J619" s="3">
        <f ca="1">IFERROR(__xludf.DUMMYFUNCTION("""COMPUTED_VALUE"""),265.61)</f>
        <v>265.61</v>
      </c>
      <c r="K619" s="3">
        <f ca="1">IFERROR(__xludf.DUMMYFUNCTION("""COMPUTED_VALUE"""),135.44)</f>
        <v>135.44</v>
      </c>
      <c r="L619" s="3">
        <f ca="1">IFERROR(__xludf.DUMMYFUNCTION("""COMPUTED_VALUE"""),90.59)</f>
        <v>90.59</v>
      </c>
      <c r="M619" s="3">
        <f ca="1">IFERROR(__xludf.DUMMYFUNCTION("""COMPUTED_VALUE"""),63.78)</f>
        <v>63.78</v>
      </c>
      <c r="N619" s="3">
        <f ca="1">IFERROR(__xludf.DUMMYFUNCTION("""COMPUTED_VALUE"""),68.5)</f>
        <v>68.5</v>
      </c>
      <c r="O619" s="3">
        <f ca="1">IFERROR(__xludf.DUMMYFUNCTION("""COMPUTED_VALUE"""),41.44)</f>
        <v>41.44</v>
      </c>
      <c r="P619" s="3">
        <f ca="1">IFERROR(__xludf.DUMMYFUNCTION("""COMPUTED_VALUE"""),88.27)</f>
        <v>88.27</v>
      </c>
      <c r="Q619" s="3">
        <f ca="1">IFERROR(__xludf.DUMMYFUNCTION("""COMPUTED_VALUE"""),123.53)</f>
        <v>123.53</v>
      </c>
      <c r="R619" s="3">
        <f ca="1">IFERROR(__xludf.DUMMYFUNCTION("""COMPUTED_VALUE"""),89.64)</f>
        <v>89.64</v>
      </c>
      <c r="S619" s="3">
        <f ca="1">IFERROR(__xludf.DUMMYFUNCTION("""COMPUTED_VALUE"""),58.3)</f>
        <v>58.3</v>
      </c>
      <c r="T619" s="3">
        <f ca="1">IFERROR(__xludf.DUMMYFUNCTION("""COMPUTED_VALUE"""),23.15)</f>
        <v>23.15</v>
      </c>
      <c r="U619" s="3">
        <f ca="1">IFERROR(__xludf.DUMMYFUNCTION("""COMPUTED_VALUE"""),77.79)</f>
        <v>77.790000000000006</v>
      </c>
      <c r="V619" s="3">
        <f ca="1">IFERROR(__xludf.DUMMYFUNCTION("""COMPUTED_VALUE"""),44.93)</f>
        <v>44.93</v>
      </c>
      <c r="W619" s="3">
        <f ca="1">IFERROR(__xludf.DUMMYFUNCTION("""COMPUTED_VALUE"""),41.01)</f>
        <v>41.01</v>
      </c>
      <c r="X619" s="3">
        <f ca="1">IFERROR(__xludf.DUMMYFUNCTION("""COMPUTED_VALUE"""),99.33)</f>
        <v>99.33</v>
      </c>
      <c r="Y619" s="3">
        <f ca="1">IFERROR(__xludf.DUMMYFUNCTION("""COMPUTED_VALUE"""),44.61)</f>
        <v>44.61</v>
      </c>
      <c r="Z619" s="3">
        <f ca="1">IFERROR(__xludf.DUMMYFUNCTION("""COMPUTED_VALUE"""),93.37)</f>
        <v>93.37</v>
      </c>
      <c r="AA619" s="3">
        <f ca="1">IFERROR(__xludf.DUMMYFUNCTION("""COMPUTED_VALUE"""),38.33)</f>
        <v>38.33</v>
      </c>
      <c r="AB619" s="3">
        <f ca="1">IFERROR(__xludf.DUMMYFUNCTION("""COMPUTED_VALUE"""),46.9)</f>
        <v>46.9</v>
      </c>
      <c r="AC619" s="3">
        <f ca="1">IFERROR(__xludf.DUMMYFUNCTION("""COMPUTED_VALUE"""),65.02)</f>
        <v>65.02</v>
      </c>
      <c r="AD619" s="3">
        <f ca="1">IFERROR(__xludf.DUMMYFUNCTION("""COMPUTED_VALUE"""),20.23)</f>
        <v>20.23</v>
      </c>
      <c r="AE619" s="3">
        <f ca="1">IFERROR(__xludf.DUMMYFUNCTION("""COMPUTED_VALUE"""),25.16)</f>
        <v>25.16</v>
      </c>
      <c r="AF619" s="3">
        <f ca="1">IFERROR(__xludf.DUMMYFUNCTION("""COMPUTED_VALUE"""),5.43)</f>
        <v>5.43</v>
      </c>
      <c r="AG619" s="3">
        <f ca="1">IFERROR(__xludf.DUMMYFUNCTION("""COMPUTED_VALUE"""),54.72)</f>
        <v>54.72</v>
      </c>
    </row>
    <row r="620" spans="1:33" ht="12.75" x14ac:dyDescent="0.2">
      <c r="A620" s="4">
        <f ca="1">IFERROR(__xludf.DUMMYFUNCTION("""COMPUTED_VALUE"""),45461.6666666666)</f>
        <v>45461.666666666599</v>
      </c>
      <c r="B620" s="3">
        <f ca="1">IFERROR(__xludf.DUMMYFUNCTION("""COMPUTED_VALUE"""),231.41)</f>
        <v>231.41</v>
      </c>
      <c r="C620" s="3">
        <f ca="1">IFERROR(__xludf.DUMMYFUNCTION("""COMPUTED_VALUE"""),588.82)</f>
        <v>588.82000000000005</v>
      </c>
      <c r="D620" s="3">
        <f ca="1">IFERROR(__xludf.DUMMYFUNCTION("""COMPUTED_VALUE"""),147.81)</f>
        <v>147.81</v>
      </c>
      <c r="E620" s="3">
        <f ca="1">IFERROR(__xludf.DUMMYFUNCTION("""COMPUTED_VALUE"""),259.28)</f>
        <v>259.27999999999997</v>
      </c>
      <c r="F620" s="3">
        <f ca="1">IFERROR(__xludf.DUMMYFUNCTION("""COMPUTED_VALUE"""),63.27)</f>
        <v>63.27</v>
      </c>
      <c r="G620" s="3">
        <f ca="1">IFERROR(__xludf.DUMMYFUNCTION("""COMPUTED_VALUE"""),31.63)</f>
        <v>31.63</v>
      </c>
      <c r="H620" s="3">
        <f ca="1">IFERROR(__xludf.DUMMYFUNCTION("""COMPUTED_VALUE"""),27.94)</f>
        <v>27.94</v>
      </c>
      <c r="I620" s="3">
        <f ca="1">IFERROR(__xludf.DUMMYFUNCTION("""COMPUTED_VALUE"""),145.92)</f>
        <v>145.91999999999999</v>
      </c>
      <c r="J620" s="3">
        <f ca="1">IFERROR(__xludf.DUMMYFUNCTION("""COMPUTED_VALUE"""),265.63)</f>
        <v>265.63</v>
      </c>
      <c r="K620" s="3">
        <f ca="1">IFERROR(__xludf.DUMMYFUNCTION("""COMPUTED_VALUE"""),134.38)</f>
        <v>134.38</v>
      </c>
      <c r="L620" s="3">
        <f ca="1">IFERROR(__xludf.DUMMYFUNCTION("""COMPUTED_VALUE"""),89.7)</f>
        <v>89.7</v>
      </c>
      <c r="M620" s="3">
        <f ca="1">IFERROR(__xludf.DUMMYFUNCTION("""COMPUTED_VALUE"""),63.77)</f>
        <v>63.77</v>
      </c>
      <c r="N620" s="3">
        <f ca="1">IFERROR(__xludf.DUMMYFUNCTION("""COMPUTED_VALUE"""),68.46)</f>
        <v>68.459999999999994</v>
      </c>
      <c r="O620" s="3">
        <f ca="1">IFERROR(__xludf.DUMMYFUNCTION("""COMPUTED_VALUE"""),40.68)</f>
        <v>40.68</v>
      </c>
      <c r="P620" s="3">
        <f ca="1">IFERROR(__xludf.DUMMYFUNCTION("""COMPUTED_VALUE"""),88.64)</f>
        <v>88.64</v>
      </c>
      <c r="Q620" s="3">
        <f ca="1">IFERROR(__xludf.DUMMYFUNCTION("""COMPUTED_VALUE"""),124.23)</f>
        <v>124.23</v>
      </c>
      <c r="R620" s="3">
        <f ca="1">IFERROR(__xludf.DUMMYFUNCTION("""COMPUTED_VALUE"""),89.54)</f>
        <v>89.54</v>
      </c>
      <c r="S620" s="3">
        <f ca="1">IFERROR(__xludf.DUMMYFUNCTION("""COMPUTED_VALUE"""),58.5)</f>
        <v>58.5</v>
      </c>
      <c r="T620" s="3">
        <f ca="1">IFERROR(__xludf.DUMMYFUNCTION("""COMPUTED_VALUE"""),23.34)</f>
        <v>23.34</v>
      </c>
      <c r="U620" s="3">
        <f ca="1">IFERROR(__xludf.DUMMYFUNCTION("""COMPUTED_VALUE"""),78.67)</f>
        <v>78.67</v>
      </c>
      <c r="V620" s="3">
        <f ca="1">IFERROR(__xludf.DUMMYFUNCTION("""COMPUTED_VALUE"""),45.11)</f>
        <v>45.11</v>
      </c>
      <c r="W620" s="3">
        <f ca="1">IFERROR(__xludf.DUMMYFUNCTION("""COMPUTED_VALUE"""),41.27)</f>
        <v>41.27</v>
      </c>
      <c r="X620" s="3">
        <f ca="1">IFERROR(__xludf.DUMMYFUNCTION("""COMPUTED_VALUE"""),99.9)</f>
        <v>99.9</v>
      </c>
      <c r="Y620" s="3">
        <f ca="1">IFERROR(__xludf.DUMMYFUNCTION("""COMPUTED_VALUE"""),44.77)</f>
        <v>44.77</v>
      </c>
      <c r="Z620" s="3">
        <f ca="1">IFERROR(__xludf.DUMMYFUNCTION("""COMPUTED_VALUE"""),93.96)</f>
        <v>93.96</v>
      </c>
      <c r="AA620" s="3">
        <f ca="1">IFERROR(__xludf.DUMMYFUNCTION("""COMPUTED_VALUE"""),38.48)</f>
        <v>38.479999999999997</v>
      </c>
      <c r="AB620" s="3">
        <f ca="1">IFERROR(__xludf.DUMMYFUNCTION("""COMPUTED_VALUE"""),47.02)</f>
        <v>47.02</v>
      </c>
      <c r="AC620" s="3">
        <f ca="1">IFERROR(__xludf.DUMMYFUNCTION("""COMPUTED_VALUE"""),65.66)</f>
        <v>65.66</v>
      </c>
      <c r="AD620" s="3">
        <f ca="1">IFERROR(__xludf.DUMMYFUNCTION("""COMPUTED_VALUE"""),19.45)</f>
        <v>19.45</v>
      </c>
      <c r="AE620" s="3">
        <f ca="1">IFERROR(__xludf.DUMMYFUNCTION("""COMPUTED_VALUE"""),24.22)</f>
        <v>24.22</v>
      </c>
      <c r="AF620" s="3">
        <f ca="1">IFERROR(__xludf.DUMMYFUNCTION("""COMPUTED_VALUE"""),5.46)</f>
        <v>5.46</v>
      </c>
      <c r="AG620" s="3">
        <f ca="1">IFERROR(__xludf.DUMMYFUNCTION("""COMPUTED_VALUE"""),54.1)</f>
        <v>54.1</v>
      </c>
    </row>
    <row r="621" spans="1:33" ht="12.75" x14ac:dyDescent="0.2">
      <c r="A621" s="4">
        <f ca="1">IFERROR(__xludf.DUMMYFUNCTION("""COMPUTED_VALUE"""),45463.6666666666)</f>
        <v>45463.666666666599</v>
      </c>
      <c r="B621" s="3">
        <f ca="1">IFERROR(__xludf.DUMMYFUNCTION("""COMPUTED_VALUE"""),228.81)</f>
        <v>228.81</v>
      </c>
      <c r="C621" s="3">
        <f ca="1">IFERROR(__xludf.DUMMYFUNCTION("""COMPUTED_VALUE"""),580.75)</f>
        <v>580.75</v>
      </c>
      <c r="D621" s="3">
        <f ca="1">IFERROR(__xludf.DUMMYFUNCTION("""COMPUTED_VALUE"""),150.33)</f>
        <v>150.33000000000001</v>
      </c>
      <c r="E621" s="3">
        <f ca="1">IFERROR(__xludf.DUMMYFUNCTION("""COMPUTED_VALUE"""),252.24)</f>
        <v>252.24</v>
      </c>
      <c r="F621" s="3">
        <f ca="1">IFERROR(__xludf.DUMMYFUNCTION("""COMPUTED_VALUE"""),62.78)</f>
        <v>62.78</v>
      </c>
      <c r="G621" s="3">
        <f ca="1">IFERROR(__xludf.DUMMYFUNCTION("""COMPUTED_VALUE"""),31.06)</f>
        <v>31.06</v>
      </c>
      <c r="H621" s="3">
        <f ca="1">IFERROR(__xludf.DUMMYFUNCTION("""COMPUTED_VALUE"""),27.8)</f>
        <v>27.8</v>
      </c>
      <c r="I621" s="3">
        <f ca="1">IFERROR(__xludf.DUMMYFUNCTION("""COMPUTED_VALUE"""),146.4)</f>
        <v>146.4</v>
      </c>
      <c r="J621" s="3">
        <f ca="1">IFERROR(__xludf.DUMMYFUNCTION("""COMPUTED_VALUE"""),266.6)</f>
        <v>266.60000000000002</v>
      </c>
      <c r="K621" s="3">
        <f ca="1">IFERROR(__xludf.DUMMYFUNCTION("""COMPUTED_VALUE"""),135.7)</f>
        <v>135.69999999999999</v>
      </c>
      <c r="L621" s="3">
        <f ca="1">IFERROR(__xludf.DUMMYFUNCTION("""COMPUTED_VALUE"""),89.89)</f>
        <v>89.89</v>
      </c>
      <c r="M621" s="3">
        <f ca="1">IFERROR(__xludf.DUMMYFUNCTION("""COMPUTED_VALUE"""),64.08)</f>
        <v>64.08</v>
      </c>
      <c r="N621" s="3">
        <f ca="1">IFERROR(__xludf.DUMMYFUNCTION("""COMPUTED_VALUE"""),68.68)</f>
        <v>68.680000000000007</v>
      </c>
      <c r="O621" s="3">
        <f ca="1">IFERROR(__xludf.DUMMYFUNCTION("""COMPUTED_VALUE"""),40.6)</f>
        <v>40.6</v>
      </c>
      <c r="P621" s="3">
        <f ca="1">IFERROR(__xludf.DUMMYFUNCTION("""COMPUTED_VALUE"""),90.27)</f>
        <v>90.27</v>
      </c>
      <c r="Q621" s="3">
        <f ca="1">IFERROR(__xludf.DUMMYFUNCTION("""COMPUTED_VALUE"""),126.16)</f>
        <v>126.16</v>
      </c>
      <c r="R621" s="3">
        <f ca="1">IFERROR(__xludf.DUMMYFUNCTION("""COMPUTED_VALUE"""),89.63)</f>
        <v>89.63</v>
      </c>
      <c r="S621" s="3">
        <f ca="1">IFERROR(__xludf.DUMMYFUNCTION("""COMPUTED_VALUE"""),59.3)</f>
        <v>59.3</v>
      </c>
      <c r="T621" s="3">
        <f ca="1">IFERROR(__xludf.DUMMYFUNCTION("""COMPUTED_VALUE"""),23.39)</f>
        <v>23.39</v>
      </c>
      <c r="U621" s="3">
        <f ca="1">IFERROR(__xludf.DUMMYFUNCTION("""COMPUTED_VALUE"""),79.41)</f>
        <v>79.41</v>
      </c>
      <c r="V621" s="3">
        <f ca="1">IFERROR(__xludf.DUMMYFUNCTION("""COMPUTED_VALUE"""),43.77)</f>
        <v>43.77</v>
      </c>
      <c r="W621" s="3">
        <f ca="1">IFERROR(__xludf.DUMMYFUNCTION("""COMPUTED_VALUE"""),41.49)</f>
        <v>41.49</v>
      </c>
      <c r="X621" s="3">
        <f ca="1">IFERROR(__xludf.DUMMYFUNCTION("""COMPUTED_VALUE"""),100.52)</f>
        <v>100.52</v>
      </c>
      <c r="Y621" s="3">
        <f ca="1">IFERROR(__xludf.DUMMYFUNCTION("""COMPUTED_VALUE"""),44.86)</f>
        <v>44.86</v>
      </c>
      <c r="Z621" s="3">
        <f ca="1">IFERROR(__xludf.DUMMYFUNCTION("""COMPUTED_VALUE"""),94.41)</f>
        <v>94.41</v>
      </c>
      <c r="AA621" s="3">
        <f ca="1">IFERROR(__xludf.DUMMYFUNCTION("""COMPUTED_VALUE"""),38.38)</f>
        <v>38.380000000000003</v>
      </c>
      <c r="AB621" s="3">
        <f ca="1">IFERROR(__xludf.DUMMYFUNCTION("""COMPUTED_VALUE"""),47.1)</f>
        <v>47.1</v>
      </c>
      <c r="AC621" s="3">
        <f ca="1">IFERROR(__xludf.DUMMYFUNCTION("""COMPUTED_VALUE"""),65.21)</f>
        <v>65.209999999999994</v>
      </c>
      <c r="AD621" s="3">
        <f ca="1">IFERROR(__xludf.DUMMYFUNCTION("""COMPUTED_VALUE"""),19.74)</f>
        <v>19.739999999999998</v>
      </c>
      <c r="AE621" s="3">
        <f ca="1">IFERROR(__xludf.DUMMYFUNCTION("""COMPUTED_VALUE"""),24.48)</f>
        <v>24.48</v>
      </c>
      <c r="AF621" s="3">
        <f ca="1">IFERROR(__xludf.DUMMYFUNCTION("""COMPUTED_VALUE"""),5.47)</f>
        <v>5.47</v>
      </c>
      <c r="AG621" s="3">
        <f ca="1">IFERROR(__xludf.DUMMYFUNCTION("""COMPUTED_VALUE"""),54.53)</f>
        <v>54.53</v>
      </c>
    </row>
    <row r="622" spans="1:33" ht="12.75" x14ac:dyDescent="0.2">
      <c r="A622" s="4">
        <f ca="1">IFERROR(__xludf.DUMMYFUNCTION("""COMPUTED_VALUE"""),45464.6666666666)</f>
        <v>45464.666666666599</v>
      </c>
      <c r="B622" s="3">
        <f ca="1">IFERROR(__xludf.DUMMYFUNCTION("""COMPUTED_VALUE"""),228.41)</f>
        <v>228.41</v>
      </c>
      <c r="C622" s="3">
        <f ca="1">IFERROR(__xludf.DUMMYFUNCTION("""COMPUTED_VALUE"""),577.74)</f>
        <v>577.74</v>
      </c>
      <c r="D622" s="3">
        <f ca="1">IFERROR(__xludf.DUMMYFUNCTION("""COMPUTED_VALUE"""),150.33)</f>
        <v>150.33000000000001</v>
      </c>
      <c r="E622" s="3">
        <f ca="1">IFERROR(__xludf.DUMMYFUNCTION("""COMPUTED_VALUE"""),249.78)</f>
        <v>249.78</v>
      </c>
      <c r="F622" s="3">
        <f ca="1">IFERROR(__xludf.DUMMYFUNCTION("""COMPUTED_VALUE"""),62.84)</f>
        <v>62.84</v>
      </c>
      <c r="G622" s="3">
        <f ca="1">IFERROR(__xludf.DUMMYFUNCTION("""COMPUTED_VALUE"""),30.76)</f>
        <v>30.76</v>
      </c>
      <c r="H622" s="3">
        <f ca="1">IFERROR(__xludf.DUMMYFUNCTION("""COMPUTED_VALUE"""),27.87)</f>
        <v>27.87</v>
      </c>
      <c r="I622" s="3">
        <f ca="1">IFERROR(__xludf.DUMMYFUNCTION("""COMPUTED_VALUE"""),146.81)</f>
        <v>146.81</v>
      </c>
      <c r="J622" s="3">
        <f ca="1">IFERROR(__xludf.DUMMYFUNCTION("""COMPUTED_VALUE"""),267.63)</f>
        <v>267.63</v>
      </c>
      <c r="K622" s="3">
        <f ca="1">IFERROR(__xludf.DUMMYFUNCTION("""COMPUTED_VALUE"""),137.34)</f>
        <v>137.34</v>
      </c>
      <c r="L622" s="3">
        <f ca="1">IFERROR(__xludf.DUMMYFUNCTION("""COMPUTED_VALUE"""),92.38)</f>
        <v>92.38</v>
      </c>
      <c r="M622" s="3">
        <f ca="1">IFERROR(__xludf.DUMMYFUNCTION("""COMPUTED_VALUE"""),65.13)</f>
        <v>65.13</v>
      </c>
      <c r="N622" s="3">
        <f ca="1">IFERROR(__xludf.DUMMYFUNCTION("""COMPUTED_VALUE"""),68.8)</f>
        <v>68.8</v>
      </c>
      <c r="O622" s="3">
        <f ca="1">IFERROR(__xludf.DUMMYFUNCTION("""COMPUTED_VALUE"""),41.6)</f>
        <v>41.6</v>
      </c>
      <c r="P622" s="3">
        <f ca="1">IFERROR(__xludf.DUMMYFUNCTION("""COMPUTED_VALUE"""),89.75)</f>
        <v>89.75</v>
      </c>
      <c r="Q622" s="3">
        <f ca="1">IFERROR(__xludf.DUMMYFUNCTION("""COMPUTED_VALUE"""),125.3)</f>
        <v>125.3</v>
      </c>
      <c r="R622" s="3">
        <f ca="1">IFERROR(__xludf.DUMMYFUNCTION("""COMPUTED_VALUE"""),89.64)</f>
        <v>89.64</v>
      </c>
      <c r="S622" s="3">
        <f ca="1">IFERROR(__xludf.DUMMYFUNCTION("""COMPUTED_VALUE"""),59.06)</f>
        <v>59.06</v>
      </c>
      <c r="T622" s="3">
        <f ca="1">IFERROR(__xludf.DUMMYFUNCTION("""COMPUTED_VALUE"""),23.2)</f>
        <v>23.2</v>
      </c>
      <c r="U622" s="3">
        <f ca="1">IFERROR(__xludf.DUMMYFUNCTION("""COMPUTED_VALUE"""),78.65)</f>
        <v>78.650000000000006</v>
      </c>
      <c r="V622" s="3">
        <f ca="1">IFERROR(__xludf.DUMMYFUNCTION("""COMPUTED_VALUE"""),43.23)</f>
        <v>43.23</v>
      </c>
      <c r="W622" s="3">
        <f ca="1">IFERROR(__xludf.DUMMYFUNCTION("""COMPUTED_VALUE"""),41.33)</f>
        <v>41.33</v>
      </c>
      <c r="X622" s="3">
        <f ca="1">IFERROR(__xludf.DUMMYFUNCTION("""COMPUTED_VALUE"""),100.15)</f>
        <v>100.15</v>
      </c>
      <c r="Y622" s="3">
        <f ca="1">IFERROR(__xludf.DUMMYFUNCTION("""COMPUTED_VALUE"""),44.8)</f>
        <v>44.8</v>
      </c>
      <c r="Z622" s="3">
        <f ca="1">IFERROR(__xludf.DUMMYFUNCTION("""COMPUTED_VALUE"""),94)</f>
        <v>94</v>
      </c>
      <c r="AA622" s="3">
        <f ca="1">IFERROR(__xludf.DUMMYFUNCTION("""COMPUTED_VALUE"""),38.48)</f>
        <v>38.479999999999997</v>
      </c>
      <c r="AB622" s="3">
        <f ca="1">IFERROR(__xludf.DUMMYFUNCTION("""COMPUTED_VALUE"""),47.01)</f>
        <v>47.01</v>
      </c>
      <c r="AC622" s="3">
        <f ca="1">IFERROR(__xludf.DUMMYFUNCTION("""COMPUTED_VALUE"""),65.21)</f>
        <v>65.209999999999994</v>
      </c>
      <c r="AD622" s="3">
        <f ca="1">IFERROR(__xludf.DUMMYFUNCTION("""COMPUTED_VALUE"""),19.61)</f>
        <v>19.61</v>
      </c>
      <c r="AE622" s="3">
        <f ca="1">IFERROR(__xludf.DUMMYFUNCTION("""COMPUTED_VALUE"""),24.2)</f>
        <v>24.2</v>
      </c>
      <c r="AF622" s="3">
        <f ca="1">IFERROR(__xludf.DUMMYFUNCTION("""COMPUTED_VALUE"""),5.48)</f>
        <v>5.48</v>
      </c>
      <c r="AG622" s="3">
        <f ca="1">IFERROR(__xludf.DUMMYFUNCTION("""COMPUTED_VALUE"""),51.32)</f>
        <v>51.32</v>
      </c>
    </row>
    <row r="623" spans="1:33" ht="12.75" x14ac:dyDescent="0.2">
      <c r="A623" s="4">
        <f ca="1">IFERROR(__xludf.DUMMYFUNCTION("""COMPUTED_VALUE"""),45467.6666666666)</f>
        <v>45467.666666666599</v>
      </c>
      <c r="B623" s="3">
        <f ca="1">IFERROR(__xludf.DUMMYFUNCTION("""COMPUTED_VALUE"""),222.42)</f>
        <v>222.42</v>
      </c>
      <c r="C623" s="3">
        <f ca="1">IFERROR(__xludf.DUMMYFUNCTION("""COMPUTED_VALUE"""),567.14)</f>
        <v>567.14</v>
      </c>
      <c r="D623" s="3">
        <f ca="1">IFERROR(__xludf.DUMMYFUNCTION("""COMPUTED_VALUE"""),151.1)</f>
        <v>151.1</v>
      </c>
      <c r="E623" s="3">
        <f ca="1">IFERROR(__xludf.DUMMYFUNCTION("""COMPUTED_VALUE"""),242.65)</f>
        <v>242.65</v>
      </c>
      <c r="F623" s="3">
        <f ca="1">IFERROR(__xludf.DUMMYFUNCTION("""COMPUTED_VALUE"""),62.65)</f>
        <v>62.65</v>
      </c>
      <c r="G623" s="3">
        <f ca="1">IFERROR(__xludf.DUMMYFUNCTION("""COMPUTED_VALUE"""),30.46)</f>
        <v>30.46</v>
      </c>
      <c r="H623" s="3">
        <f ca="1">IFERROR(__xludf.DUMMYFUNCTION("""COMPUTED_VALUE"""),27.85)</f>
        <v>27.85</v>
      </c>
      <c r="I623" s="3">
        <f ca="1">IFERROR(__xludf.DUMMYFUNCTION("""COMPUTED_VALUE"""),147.09)</f>
        <v>147.09</v>
      </c>
      <c r="J623" s="3">
        <f ca="1">IFERROR(__xludf.DUMMYFUNCTION("""COMPUTED_VALUE"""),269.37)</f>
        <v>269.37</v>
      </c>
      <c r="K623" s="3">
        <f ca="1">IFERROR(__xludf.DUMMYFUNCTION("""COMPUTED_VALUE"""),139.96)</f>
        <v>139.96</v>
      </c>
      <c r="L623" s="3">
        <f ca="1">IFERROR(__xludf.DUMMYFUNCTION("""COMPUTED_VALUE"""),93.74)</f>
        <v>93.74</v>
      </c>
      <c r="M623" s="3">
        <f ca="1">IFERROR(__xludf.DUMMYFUNCTION("""COMPUTED_VALUE"""),66.11)</f>
        <v>66.11</v>
      </c>
      <c r="N623" s="3">
        <f ca="1">IFERROR(__xludf.DUMMYFUNCTION("""COMPUTED_VALUE"""),69.24)</f>
        <v>69.239999999999995</v>
      </c>
      <c r="O623" s="3">
        <f ca="1">IFERROR(__xludf.DUMMYFUNCTION("""COMPUTED_VALUE"""),43.2)</f>
        <v>43.2</v>
      </c>
      <c r="P623" s="3">
        <f ca="1">IFERROR(__xludf.DUMMYFUNCTION("""COMPUTED_VALUE"""),91.28)</f>
        <v>91.28</v>
      </c>
      <c r="Q623" s="3">
        <f ca="1">IFERROR(__xludf.DUMMYFUNCTION("""COMPUTED_VALUE"""),128.66)</f>
        <v>128.66</v>
      </c>
      <c r="R623" s="3">
        <f ca="1">IFERROR(__xludf.DUMMYFUNCTION("""COMPUTED_VALUE"""),89.79)</f>
        <v>89.79</v>
      </c>
      <c r="S623" s="3">
        <f ca="1">IFERROR(__xludf.DUMMYFUNCTION("""COMPUTED_VALUE"""),58.89)</f>
        <v>58.89</v>
      </c>
      <c r="T623" s="3">
        <f ca="1">IFERROR(__xludf.DUMMYFUNCTION("""COMPUTED_VALUE"""),23.39)</f>
        <v>23.39</v>
      </c>
      <c r="U623" s="3">
        <f ca="1">IFERROR(__xludf.DUMMYFUNCTION("""COMPUTED_VALUE"""),79.7)</f>
        <v>79.7</v>
      </c>
      <c r="V623" s="3">
        <f ca="1">IFERROR(__xludf.DUMMYFUNCTION("""COMPUTED_VALUE"""),42.96)</f>
        <v>42.96</v>
      </c>
      <c r="W623" s="3">
        <f ca="1">IFERROR(__xludf.DUMMYFUNCTION("""COMPUTED_VALUE"""),41.59)</f>
        <v>41.59</v>
      </c>
      <c r="X623" s="3">
        <f ca="1">IFERROR(__xludf.DUMMYFUNCTION("""COMPUTED_VALUE"""),101.12)</f>
        <v>101.12</v>
      </c>
      <c r="Y623" s="3">
        <f ca="1">IFERROR(__xludf.DUMMYFUNCTION("""COMPUTED_VALUE"""),45.31)</f>
        <v>45.31</v>
      </c>
      <c r="Z623" s="3">
        <f ca="1">IFERROR(__xludf.DUMMYFUNCTION("""COMPUTED_VALUE"""),94.98)</f>
        <v>94.98</v>
      </c>
      <c r="AA623" s="3">
        <f ca="1">IFERROR(__xludf.DUMMYFUNCTION("""COMPUTED_VALUE"""),38.35)</f>
        <v>38.35</v>
      </c>
      <c r="AB623" s="3">
        <f ca="1">IFERROR(__xludf.DUMMYFUNCTION("""COMPUTED_VALUE"""),47.58)</f>
        <v>47.58</v>
      </c>
      <c r="AC623" s="3">
        <f ca="1">IFERROR(__xludf.DUMMYFUNCTION("""COMPUTED_VALUE"""),64.71)</f>
        <v>64.709999999999994</v>
      </c>
      <c r="AD623" s="3">
        <f ca="1">IFERROR(__xludf.DUMMYFUNCTION("""COMPUTED_VALUE"""),18.22)</f>
        <v>18.22</v>
      </c>
      <c r="AE623" s="3">
        <f ca="1">IFERROR(__xludf.DUMMYFUNCTION("""COMPUTED_VALUE"""),22.27)</f>
        <v>22.27</v>
      </c>
      <c r="AF623" s="3">
        <f ca="1">IFERROR(__xludf.DUMMYFUNCTION("""COMPUTED_VALUE"""),5.46)</f>
        <v>5.46</v>
      </c>
      <c r="AG623" s="3">
        <f ca="1">IFERROR(__xludf.DUMMYFUNCTION("""COMPUTED_VALUE"""),49.8)</f>
        <v>49.8</v>
      </c>
    </row>
    <row r="624" spans="1:33" ht="12.75" x14ac:dyDescent="0.2">
      <c r="A624" s="4">
        <f ca="1">IFERROR(__xludf.DUMMYFUNCTION("""COMPUTED_VALUE"""),45468.6666666666)</f>
        <v>45468.666666666599</v>
      </c>
      <c r="B624" s="3">
        <f ca="1">IFERROR(__xludf.DUMMYFUNCTION("""COMPUTED_VALUE"""),226.5)</f>
        <v>226.5</v>
      </c>
      <c r="C624" s="3">
        <f ca="1">IFERROR(__xludf.DUMMYFUNCTION("""COMPUTED_VALUE"""),575.26)</f>
        <v>575.26</v>
      </c>
      <c r="D624" s="3">
        <f ca="1">IFERROR(__xludf.DUMMYFUNCTION("""COMPUTED_VALUE"""),150.5)</f>
        <v>150.5</v>
      </c>
      <c r="E624" s="3">
        <f ca="1">IFERROR(__xludf.DUMMYFUNCTION("""COMPUTED_VALUE"""),246.38)</f>
        <v>246.38</v>
      </c>
      <c r="F624" s="3">
        <f ca="1">IFERROR(__xludf.DUMMYFUNCTION("""COMPUTED_VALUE"""),62.85)</f>
        <v>62.85</v>
      </c>
      <c r="G624" s="3">
        <f ca="1">IFERROR(__xludf.DUMMYFUNCTION("""COMPUTED_VALUE"""),30.83)</f>
        <v>30.83</v>
      </c>
      <c r="H624" s="3">
        <f ca="1">IFERROR(__xludf.DUMMYFUNCTION("""COMPUTED_VALUE"""),27.85)</f>
        <v>27.85</v>
      </c>
      <c r="I624" s="3">
        <f ca="1">IFERROR(__xludf.DUMMYFUNCTION("""COMPUTED_VALUE"""),146.63)</f>
        <v>146.63</v>
      </c>
      <c r="J624" s="3">
        <f ca="1">IFERROR(__xludf.DUMMYFUNCTION("""COMPUTED_VALUE"""),268.65)</f>
        <v>268.64999999999998</v>
      </c>
      <c r="K624" s="3">
        <f ca="1">IFERROR(__xludf.DUMMYFUNCTION("""COMPUTED_VALUE"""),139.53)</f>
        <v>139.53</v>
      </c>
      <c r="L624" s="3">
        <f ca="1">IFERROR(__xludf.DUMMYFUNCTION("""COMPUTED_VALUE"""),93.08)</f>
        <v>93.08</v>
      </c>
      <c r="M624" s="3">
        <f ca="1">IFERROR(__xludf.DUMMYFUNCTION("""COMPUTED_VALUE"""),65.83)</f>
        <v>65.83</v>
      </c>
      <c r="N624" s="3">
        <f ca="1">IFERROR(__xludf.DUMMYFUNCTION("""COMPUTED_VALUE"""),69.04)</f>
        <v>69.040000000000006</v>
      </c>
      <c r="O624" s="3">
        <f ca="1">IFERROR(__xludf.DUMMYFUNCTION("""COMPUTED_VALUE"""),42.76)</f>
        <v>42.76</v>
      </c>
      <c r="P624" s="3">
        <f ca="1">IFERROR(__xludf.DUMMYFUNCTION("""COMPUTED_VALUE"""),91.49)</f>
        <v>91.49</v>
      </c>
      <c r="Q624" s="3">
        <f ca="1">IFERROR(__xludf.DUMMYFUNCTION("""COMPUTED_VALUE"""),128.91)</f>
        <v>128.91</v>
      </c>
      <c r="R624" s="3">
        <f ca="1">IFERROR(__xludf.DUMMYFUNCTION("""COMPUTED_VALUE"""),88.65)</f>
        <v>88.65</v>
      </c>
      <c r="S624" s="3">
        <f ca="1">IFERROR(__xludf.DUMMYFUNCTION("""COMPUTED_VALUE"""),57.95)</f>
        <v>57.95</v>
      </c>
      <c r="T624" s="3">
        <f ca="1">IFERROR(__xludf.DUMMYFUNCTION("""COMPUTED_VALUE"""),23.17)</f>
        <v>23.17</v>
      </c>
      <c r="U624" s="3">
        <f ca="1">IFERROR(__xludf.DUMMYFUNCTION("""COMPUTED_VALUE"""),78.9)</f>
        <v>78.900000000000006</v>
      </c>
      <c r="V624" s="3">
        <f ca="1">IFERROR(__xludf.DUMMYFUNCTION("""COMPUTED_VALUE"""),41.65)</f>
        <v>41.65</v>
      </c>
      <c r="W624" s="3">
        <f ca="1">IFERROR(__xludf.DUMMYFUNCTION("""COMPUTED_VALUE"""),41.28)</f>
        <v>41.28</v>
      </c>
      <c r="X624" s="3">
        <f ca="1">IFERROR(__xludf.DUMMYFUNCTION("""COMPUTED_VALUE"""),100.34)</f>
        <v>100.34</v>
      </c>
      <c r="Y624" s="3">
        <f ca="1">IFERROR(__xludf.DUMMYFUNCTION("""COMPUTED_VALUE"""),44.76)</f>
        <v>44.76</v>
      </c>
      <c r="Z624" s="3">
        <f ca="1">IFERROR(__xludf.DUMMYFUNCTION("""COMPUTED_VALUE"""),94.26)</f>
        <v>94.26</v>
      </c>
      <c r="AA624" s="3">
        <f ca="1">IFERROR(__xludf.DUMMYFUNCTION("""COMPUTED_VALUE"""),37.81)</f>
        <v>37.81</v>
      </c>
      <c r="AB624" s="3">
        <f ca="1">IFERROR(__xludf.DUMMYFUNCTION("""COMPUTED_VALUE"""),46.93)</f>
        <v>46.93</v>
      </c>
      <c r="AC624" s="3">
        <f ca="1">IFERROR(__xludf.DUMMYFUNCTION("""COMPUTED_VALUE"""),65.21)</f>
        <v>65.209999999999994</v>
      </c>
      <c r="AD624" s="3">
        <f ca="1">IFERROR(__xludf.DUMMYFUNCTION("""COMPUTED_VALUE"""),18.94)</f>
        <v>18.940000000000001</v>
      </c>
      <c r="AE624" s="3">
        <f ca="1">IFERROR(__xludf.DUMMYFUNCTION("""COMPUTED_VALUE"""),23.32)</f>
        <v>23.32</v>
      </c>
      <c r="AF624" s="3">
        <f ca="1">IFERROR(__xludf.DUMMYFUNCTION("""COMPUTED_VALUE"""),5.14)</f>
        <v>5.14</v>
      </c>
      <c r="AG624" s="3">
        <f ca="1">IFERROR(__xludf.DUMMYFUNCTION("""COMPUTED_VALUE"""),52.68)</f>
        <v>52.68</v>
      </c>
    </row>
    <row r="625" spans="1:33" ht="12.75" x14ac:dyDescent="0.2">
      <c r="A625" s="4">
        <f ca="1">IFERROR(__xludf.DUMMYFUNCTION("""COMPUTED_VALUE"""),45469.6666666666)</f>
        <v>45469.666666666599</v>
      </c>
      <c r="B625" s="3">
        <f ca="1">IFERROR(__xludf.DUMMYFUNCTION("""COMPUTED_VALUE"""),226.24)</f>
        <v>226.24</v>
      </c>
      <c r="C625" s="3">
        <f ca="1">IFERROR(__xludf.DUMMYFUNCTION("""COMPUTED_VALUE"""),576.41)</f>
        <v>576.41</v>
      </c>
      <c r="D625" s="3">
        <f ca="1">IFERROR(__xludf.DUMMYFUNCTION("""COMPUTED_VALUE"""),152.02)</f>
        <v>152.02000000000001</v>
      </c>
      <c r="E625" s="3">
        <f ca="1">IFERROR(__xludf.DUMMYFUNCTION("""COMPUTED_VALUE"""),245.42)</f>
        <v>245.42</v>
      </c>
      <c r="F625" s="3">
        <f ca="1">IFERROR(__xludf.DUMMYFUNCTION("""COMPUTED_VALUE"""),62.71)</f>
        <v>62.71</v>
      </c>
      <c r="G625" s="3">
        <f ca="1">IFERROR(__xludf.DUMMYFUNCTION("""COMPUTED_VALUE"""),30.8)</f>
        <v>30.8</v>
      </c>
      <c r="H625" s="3">
        <f ca="1">IFERROR(__xludf.DUMMYFUNCTION("""COMPUTED_VALUE"""),27.84)</f>
        <v>27.84</v>
      </c>
      <c r="I625" s="3">
        <f ca="1">IFERROR(__xludf.DUMMYFUNCTION("""COMPUTED_VALUE"""),146.11)</f>
        <v>146.11000000000001</v>
      </c>
      <c r="J625" s="3">
        <f ca="1">IFERROR(__xludf.DUMMYFUNCTION("""COMPUTED_VALUE"""),267.69)</f>
        <v>267.69</v>
      </c>
      <c r="K625" s="3">
        <f ca="1">IFERROR(__xludf.DUMMYFUNCTION("""COMPUTED_VALUE"""),137.92)</f>
        <v>137.91999999999999</v>
      </c>
      <c r="L625" s="3">
        <f ca="1">IFERROR(__xludf.DUMMYFUNCTION("""COMPUTED_VALUE"""),92.19)</f>
        <v>92.19</v>
      </c>
      <c r="M625" s="3">
        <f ca="1">IFERROR(__xludf.DUMMYFUNCTION("""COMPUTED_VALUE"""),65.27)</f>
        <v>65.27</v>
      </c>
      <c r="N625" s="3">
        <f ca="1">IFERROR(__xludf.DUMMYFUNCTION("""COMPUTED_VALUE"""),68.72)</f>
        <v>68.72</v>
      </c>
      <c r="O625" s="3">
        <f ca="1">IFERROR(__xludf.DUMMYFUNCTION("""COMPUTED_VALUE"""),42.18)</f>
        <v>42.18</v>
      </c>
      <c r="P625" s="3">
        <f ca="1">IFERROR(__xludf.DUMMYFUNCTION("""COMPUTED_VALUE"""),90.59)</f>
        <v>90.59</v>
      </c>
      <c r="Q625" s="3">
        <f ca="1">IFERROR(__xludf.DUMMYFUNCTION("""COMPUTED_VALUE"""),127.83)</f>
        <v>127.83</v>
      </c>
      <c r="R625" s="3">
        <f ca="1">IFERROR(__xludf.DUMMYFUNCTION("""COMPUTED_VALUE"""),88.59)</f>
        <v>88.59</v>
      </c>
      <c r="S625" s="3">
        <f ca="1">IFERROR(__xludf.DUMMYFUNCTION("""COMPUTED_VALUE"""),58.72)</f>
        <v>58.72</v>
      </c>
      <c r="T625" s="3">
        <f ca="1">IFERROR(__xludf.DUMMYFUNCTION("""COMPUTED_VALUE"""),23.21)</f>
        <v>23.21</v>
      </c>
      <c r="U625" s="3">
        <f ca="1">IFERROR(__xludf.DUMMYFUNCTION("""COMPUTED_VALUE"""),78.75)</f>
        <v>78.75</v>
      </c>
      <c r="V625" s="3">
        <f ca="1">IFERROR(__xludf.DUMMYFUNCTION("""COMPUTED_VALUE"""),41.25)</f>
        <v>41.25</v>
      </c>
      <c r="W625" s="3">
        <f ca="1">IFERROR(__xludf.DUMMYFUNCTION("""COMPUTED_VALUE"""),41.02)</f>
        <v>41.02</v>
      </c>
      <c r="X625" s="3">
        <f ca="1">IFERROR(__xludf.DUMMYFUNCTION("""COMPUTED_VALUE"""),99.76)</f>
        <v>99.76</v>
      </c>
      <c r="Y625" s="3">
        <f ca="1">IFERROR(__xludf.DUMMYFUNCTION("""COMPUTED_VALUE"""),44.77)</f>
        <v>44.77</v>
      </c>
      <c r="Z625" s="3">
        <f ca="1">IFERROR(__xludf.DUMMYFUNCTION("""COMPUTED_VALUE"""),93.82)</f>
        <v>93.82</v>
      </c>
      <c r="AA625" s="3">
        <f ca="1">IFERROR(__xludf.DUMMYFUNCTION("""COMPUTED_VALUE"""),37.76)</f>
        <v>37.76</v>
      </c>
      <c r="AB625" s="3">
        <f ca="1">IFERROR(__xludf.DUMMYFUNCTION("""COMPUTED_VALUE"""),47.13)</f>
        <v>47.13</v>
      </c>
      <c r="AC625" s="3">
        <f ca="1">IFERROR(__xludf.DUMMYFUNCTION("""COMPUTED_VALUE"""),65.4)</f>
        <v>65.400000000000006</v>
      </c>
      <c r="AD625" s="3">
        <f ca="1">IFERROR(__xludf.DUMMYFUNCTION("""COMPUTED_VALUE"""),18.8)</f>
        <v>18.8</v>
      </c>
      <c r="AE625" s="3">
        <f ca="1">IFERROR(__xludf.DUMMYFUNCTION("""COMPUTED_VALUE"""),22.93)</f>
        <v>22.93</v>
      </c>
      <c r="AF625" s="3">
        <f ca="1">IFERROR(__xludf.DUMMYFUNCTION("""COMPUTED_VALUE"""),5.15)</f>
        <v>5.15</v>
      </c>
      <c r="AG625" s="3">
        <f ca="1">IFERROR(__xludf.DUMMYFUNCTION("""COMPUTED_VALUE"""),51.75)</f>
        <v>51.75</v>
      </c>
    </row>
    <row r="626" spans="1:33" ht="12.75" x14ac:dyDescent="0.2">
      <c r="A626" s="4">
        <f ca="1">IFERROR(__xludf.DUMMYFUNCTION("""COMPUTED_VALUE"""),45470.6666666666)</f>
        <v>45470.666666666599</v>
      </c>
      <c r="B626" s="3">
        <f ca="1">IFERROR(__xludf.DUMMYFUNCTION("""COMPUTED_VALUE"""),226.35)</f>
        <v>226.35</v>
      </c>
      <c r="C626" s="3">
        <f ca="1">IFERROR(__xludf.DUMMYFUNCTION("""COMPUTED_VALUE"""),577.56)</f>
        <v>577.55999999999995</v>
      </c>
      <c r="D626" s="3">
        <f ca="1">IFERROR(__xludf.DUMMYFUNCTION("""COMPUTED_VALUE"""),153.06)</f>
        <v>153.06</v>
      </c>
      <c r="E626" s="3">
        <f ca="1">IFERROR(__xludf.DUMMYFUNCTION("""COMPUTED_VALUE"""),244.16)</f>
        <v>244.16</v>
      </c>
      <c r="F626" s="3">
        <f ca="1">IFERROR(__xludf.DUMMYFUNCTION("""COMPUTED_VALUE"""),64.28)</f>
        <v>64.28</v>
      </c>
      <c r="G626" s="3">
        <f ca="1">IFERROR(__xludf.DUMMYFUNCTION("""COMPUTED_VALUE"""),30.78)</f>
        <v>30.78</v>
      </c>
      <c r="H626" s="3">
        <f ca="1">IFERROR(__xludf.DUMMYFUNCTION("""COMPUTED_VALUE"""),28)</f>
        <v>28</v>
      </c>
      <c r="I626" s="3">
        <f ca="1">IFERROR(__xludf.DUMMYFUNCTION("""COMPUTED_VALUE"""),145.87)</f>
        <v>145.87</v>
      </c>
      <c r="J626" s="3">
        <f ca="1">IFERROR(__xludf.DUMMYFUNCTION("""COMPUTED_VALUE"""),267.43)</f>
        <v>267.43</v>
      </c>
      <c r="K626" s="3">
        <f ca="1">IFERROR(__xludf.DUMMYFUNCTION("""COMPUTED_VALUE"""),137.91)</f>
        <v>137.91</v>
      </c>
      <c r="L626" s="3">
        <f ca="1">IFERROR(__xludf.DUMMYFUNCTION("""COMPUTED_VALUE"""),92.86)</f>
        <v>92.86</v>
      </c>
      <c r="M626" s="3">
        <f ca="1">IFERROR(__xludf.DUMMYFUNCTION("""COMPUTED_VALUE"""),65.16)</f>
        <v>65.16</v>
      </c>
      <c r="N626" s="3">
        <f ca="1">IFERROR(__xludf.DUMMYFUNCTION("""COMPUTED_VALUE"""),68.67)</f>
        <v>68.67</v>
      </c>
      <c r="O626" s="3">
        <f ca="1">IFERROR(__xludf.DUMMYFUNCTION("""COMPUTED_VALUE"""),42.07)</f>
        <v>42.07</v>
      </c>
      <c r="P626" s="3">
        <f ca="1">IFERROR(__xludf.DUMMYFUNCTION("""COMPUTED_VALUE"""),90.8)</f>
        <v>90.8</v>
      </c>
      <c r="Q626" s="3">
        <f ca="1">IFERROR(__xludf.DUMMYFUNCTION("""COMPUTED_VALUE"""),128.08)</f>
        <v>128.08000000000001</v>
      </c>
      <c r="R626" s="3">
        <f ca="1">IFERROR(__xludf.DUMMYFUNCTION("""COMPUTED_VALUE"""),88.34)</f>
        <v>88.34</v>
      </c>
      <c r="S626" s="3">
        <f ca="1">IFERROR(__xludf.DUMMYFUNCTION("""COMPUTED_VALUE"""),58.36)</f>
        <v>58.36</v>
      </c>
      <c r="T626" s="3">
        <f ca="1">IFERROR(__xludf.DUMMYFUNCTION("""COMPUTED_VALUE"""),23.33)</f>
        <v>23.33</v>
      </c>
      <c r="U626" s="3">
        <f ca="1">IFERROR(__xludf.DUMMYFUNCTION("""COMPUTED_VALUE"""),79.92)</f>
        <v>79.92</v>
      </c>
      <c r="V626" s="3">
        <f ca="1">IFERROR(__xludf.DUMMYFUNCTION("""COMPUTED_VALUE"""),42.06)</f>
        <v>42.06</v>
      </c>
      <c r="W626" s="3">
        <f ca="1">IFERROR(__xludf.DUMMYFUNCTION("""COMPUTED_VALUE"""),40.97)</f>
        <v>40.97</v>
      </c>
      <c r="X626" s="3">
        <f ca="1">IFERROR(__xludf.DUMMYFUNCTION("""COMPUTED_VALUE"""),99.83)</f>
        <v>99.83</v>
      </c>
      <c r="Y626" s="3">
        <f ca="1">IFERROR(__xludf.DUMMYFUNCTION("""COMPUTED_VALUE"""),45.22)</f>
        <v>45.22</v>
      </c>
      <c r="Z626" s="3">
        <f ca="1">IFERROR(__xludf.DUMMYFUNCTION("""COMPUTED_VALUE"""),94.06)</f>
        <v>94.06</v>
      </c>
      <c r="AA626" s="3">
        <f ca="1">IFERROR(__xludf.DUMMYFUNCTION("""COMPUTED_VALUE"""),38.1)</f>
        <v>38.1</v>
      </c>
      <c r="AB626" s="3">
        <f ca="1">IFERROR(__xludf.DUMMYFUNCTION("""COMPUTED_VALUE"""),47.63)</f>
        <v>47.63</v>
      </c>
      <c r="AC626" s="3">
        <f ca="1">IFERROR(__xludf.DUMMYFUNCTION("""COMPUTED_VALUE"""),66.15)</f>
        <v>66.150000000000006</v>
      </c>
      <c r="AD626" s="3">
        <f ca="1">IFERROR(__xludf.DUMMYFUNCTION("""COMPUTED_VALUE"""),18.92)</f>
        <v>18.920000000000002</v>
      </c>
      <c r="AE626" s="3">
        <f ca="1">IFERROR(__xludf.DUMMYFUNCTION("""COMPUTED_VALUE"""),23.09)</f>
        <v>23.09</v>
      </c>
      <c r="AF626" s="3">
        <f ca="1">IFERROR(__xludf.DUMMYFUNCTION("""COMPUTED_VALUE"""),5.23)</f>
        <v>5.23</v>
      </c>
      <c r="AG626" s="3">
        <f ca="1">IFERROR(__xludf.DUMMYFUNCTION("""COMPUTED_VALUE"""),52.1)</f>
        <v>52.1</v>
      </c>
    </row>
    <row r="627" spans="1:33" ht="12.75" x14ac:dyDescent="0.2">
      <c r="A627" s="4">
        <f ca="1">IFERROR(__xludf.DUMMYFUNCTION("""COMPUTED_VALUE"""),45471.6666666666)</f>
        <v>45471.666666666599</v>
      </c>
      <c r="B627" s="3">
        <f ca="1">IFERROR(__xludf.DUMMYFUNCTION("""COMPUTED_VALUE"""),226.23)</f>
        <v>226.23</v>
      </c>
      <c r="C627" s="3">
        <f ca="1">IFERROR(__xludf.DUMMYFUNCTION("""COMPUTED_VALUE"""),576.59)</f>
        <v>576.59</v>
      </c>
      <c r="D627" s="3">
        <f ca="1">IFERROR(__xludf.DUMMYFUNCTION("""COMPUTED_VALUE"""),154.75)</f>
        <v>154.75</v>
      </c>
      <c r="E627" s="3">
        <f ca="1">IFERROR(__xludf.DUMMYFUNCTION("""COMPUTED_VALUE"""),246.63)</f>
        <v>246.63</v>
      </c>
      <c r="F627" s="3">
        <f ca="1">IFERROR(__xludf.DUMMYFUNCTION("""COMPUTED_VALUE"""),64.73)</f>
        <v>64.73</v>
      </c>
      <c r="G627" s="3">
        <f ca="1">IFERROR(__xludf.DUMMYFUNCTION("""COMPUTED_VALUE"""),30.85)</f>
        <v>30.85</v>
      </c>
      <c r="H627" s="3">
        <f ca="1">IFERROR(__xludf.DUMMYFUNCTION("""COMPUTED_VALUE"""),27.87)</f>
        <v>27.87</v>
      </c>
      <c r="I627" s="3">
        <f ca="1">IFERROR(__xludf.DUMMYFUNCTION("""COMPUTED_VALUE"""),145.75)</f>
        <v>145.75</v>
      </c>
      <c r="J627" s="3">
        <f ca="1">IFERROR(__xludf.DUMMYFUNCTION("""COMPUTED_VALUE"""),266)</f>
        <v>266</v>
      </c>
      <c r="K627" s="3">
        <f ca="1">IFERROR(__xludf.DUMMYFUNCTION("""COMPUTED_VALUE"""),137.26)</f>
        <v>137.26</v>
      </c>
      <c r="L627" s="3">
        <f ca="1">IFERROR(__xludf.DUMMYFUNCTION("""COMPUTED_VALUE"""),92.71)</f>
        <v>92.71</v>
      </c>
      <c r="M627" s="3">
        <f ca="1">IFERROR(__xludf.DUMMYFUNCTION("""COMPUTED_VALUE"""),64.81)</f>
        <v>64.81</v>
      </c>
      <c r="N627" s="3">
        <f ca="1">IFERROR(__xludf.DUMMYFUNCTION("""COMPUTED_VALUE"""),68.6)</f>
        <v>68.599999999999994</v>
      </c>
      <c r="O627" s="3">
        <f ca="1">IFERROR(__xludf.DUMMYFUNCTION("""COMPUTED_VALUE"""),41.76)</f>
        <v>41.76</v>
      </c>
      <c r="P627" s="3">
        <f ca="1">IFERROR(__xludf.DUMMYFUNCTION("""COMPUTED_VALUE"""),91.15)</f>
        <v>91.15</v>
      </c>
      <c r="Q627" s="3">
        <f ca="1">IFERROR(__xludf.DUMMYFUNCTION("""COMPUTED_VALUE"""),127.57)</f>
        <v>127.57</v>
      </c>
      <c r="R627" s="3">
        <f ca="1">IFERROR(__xludf.DUMMYFUNCTION("""COMPUTED_VALUE"""),88.31)</f>
        <v>88.31</v>
      </c>
      <c r="S627" s="3">
        <f ca="1">IFERROR(__xludf.DUMMYFUNCTION("""COMPUTED_VALUE"""),59.33)</f>
        <v>59.33</v>
      </c>
      <c r="T627" s="3">
        <f ca="1">IFERROR(__xludf.DUMMYFUNCTION("""COMPUTED_VALUE"""),23.23)</f>
        <v>23.23</v>
      </c>
      <c r="U627" s="3">
        <f ca="1">IFERROR(__xludf.DUMMYFUNCTION("""COMPUTED_VALUE"""),79.59)</f>
        <v>79.59</v>
      </c>
      <c r="V627" s="3">
        <f ca="1">IFERROR(__xludf.DUMMYFUNCTION("""COMPUTED_VALUE"""),40.21)</f>
        <v>40.21</v>
      </c>
      <c r="W627" s="3">
        <f ca="1">IFERROR(__xludf.DUMMYFUNCTION("""COMPUTED_VALUE"""),41.11)</f>
        <v>41.11</v>
      </c>
      <c r="X627" s="3">
        <f ca="1">IFERROR(__xludf.DUMMYFUNCTION("""COMPUTED_VALUE"""),99.88)</f>
        <v>99.88</v>
      </c>
      <c r="Y627" s="3">
        <f ca="1">IFERROR(__xludf.DUMMYFUNCTION("""COMPUTED_VALUE"""),46.39)</f>
        <v>46.39</v>
      </c>
      <c r="Z627" s="3">
        <f ca="1">IFERROR(__xludf.DUMMYFUNCTION("""COMPUTED_VALUE"""),94.57)</f>
        <v>94.57</v>
      </c>
      <c r="AA627" s="3">
        <f ca="1">IFERROR(__xludf.DUMMYFUNCTION("""COMPUTED_VALUE"""),38.41)</f>
        <v>38.409999999999997</v>
      </c>
      <c r="AB627" s="3">
        <f ca="1">IFERROR(__xludf.DUMMYFUNCTION("""COMPUTED_VALUE"""),49.1)</f>
        <v>49.1</v>
      </c>
      <c r="AC627" s="3">
        <f ca="1">IFERROR(__xludf.DUMMYFUNCTION("""COMPUTED_VALUE"""),66)</f>
        <v>66</v>
      </c>
      <c r="AD627" s="3">
        <f ca="1">IFERROR(__xludf.DUMMYFUNCTION("""COMPUTED_VALUE"""),18.49)</f>
        <v>18.489999999999998</v>
      </c>
      <c r="AE627" s="3">
        <f ca="1">IFERROR(__xludf.DUMMYFUNCTION("""COMPUTED_VALUE"""),22.51)</f>
        <v>22.51</v>
      </c>
      <c r="AF627" s="3">
        <f ca="1">IFERROR(__xludf.DUMMYFUNCTION("""COMPUTED_VALUE"""),5.19)</f>
        <v>5.19</v>
      </c>
      <c r="AG627" s="3">
        <f ca="1">IFERROR(__xludf.DUMMYFUNCTION("""COMPUTED_VALUE"""),50.97)</f>
        <v>50.97</v>
      </c>
    </row>
    <row r="628" spans="1:33" ht="12.75" x14ac:dyDescent="0.2">
      <c r="A628" s="4">
        <f ca="1">IFERROR(__xludf.DUMMYFUNCTION("""COMPUTED_VALUE"""),45474.6666666666)</f>
        <v>45474.666666666599</v>
      </c>
      <c r="B628" s="3">
        <f ca="1">IFERROR(__xludf.DUMMYFUNCTION("""COMPUTED_VALUE"""),227.94)</f>
        <v>227.94</v>
      </c>
      <c r="C628" s="3">
        <f ca="1">IFERROR(__xludf.DUMMYFUNCTION("""COMPUTED_VALUE"""),582.25)</f>
        <v>582.25</v>
      </c>
      <c r="D628" s="3">
        <f ca="1">IFERROR(__xludf.DUMMYFUNCTION("""COMPUTED_VALUE"""),156.17)</f>
        <v>156.16999999999999</v>
      </c>
      <c r="E628" s="3">
        <f ca="1">IFERROR(__xludf.DUMMYFUNCTION("""COMPUTED_VALUE"""),246.62)</f>
        <v>246.62</v>
      </c>
      <c r="F628" s="3">
        <f ca="1">IFERROR(__xludf.DUMMYFUNCTION("""COMPUTED_VALUE"""),64.82)</f>
        <v>64.819999999999993</v>
      </c>
      <c r="G628" s="3">
        <f ca="1">IFERROR(__xludf.DUMMYFUNCTION("""COMPUTED_VALUE"""),30.72)</f>
        <v>30.72</v>
      </c>
      <c r="H628" s="3">
        <f ca="1">IFERROR(__xludf.DUMMYFUNCTION("""COMPUTED_VALUE"""),27.76)</f>
        <v>27.76</v>
      </c>
      <c r="I628" s="3">
        <f ca="1">IFERROR(__xludf.DUMMYFUNCTION("""COMPUTED_VALUE"""),144.93)</f>
        <v>144.93</v>
      </c>
      <c r="J628" s="3">
        <f ca="1">IFERROR(__xludf.DUMMYFUNCTION("""COMPUTED_VALUE"""),264.75)</f>
        <v>264.75</v>
      </c>
      <c r="K628" s="3">
        <f ca="1">IFERROR(__xludf.DUMMYFUNCTION("""COMPUTED_VALUE"""),136.97)</f>
        <v>136.97</v>
      </c>
      <c r="L628" s="3">
        <f ca="1">IFERROR(__xludf.DUMMYFUNCTION("""COMPUTED_VALUE"""),93.04)</f>
        <v>93.04</v>
      </c>
      <c r="M628" s="3">
        <f ca="1">IFERROR(__xludf.DUMMYFUNCTION("""COMPUTED_VALUE"""),64.8)</f>
        <v>64.8</v>
      </c>
      <c r="N628" s="3">
        <f ca="1">IFERROR(__xludf.DUMMYFUNCTION("""COMPUTED_VALUE"""),68.28)</f>
        <v>68.28</v>
      </c>
      <c r="O628" s="3">
        <f ca="1">IFERROR(__xludf.DUMMYFUNCTION("""COMPUTED_VALUE"""),41.64)</f>
        <v>41.64</v>
      </c>
      <c r="P628" s="3">
        <f ca="1">IFERROR(__xludf.DUMMYFUNCTION("""COMPUTED_VALUE"""),91.2)</f>
        <v>91.2</v>
      </c>
      <c r="Q628" s="3">
        <f ca="1">IFERROR(__xludf.DUMMYFUNCTION("""COMPUTED_VALUE"""),127.56)</f>
        <v>127.56</v>
      </c>
      <c r="R628" s="3">
        <f ca="1">IFERROR(__xludf.DUMMYFUNCTION("""COMPUTED_VALUE"""),86.95)</f>
        <v>86.95</v>
      </c>
      <c r="S628" s="3">
        <f ca="1">IFERROR(__xludf.DUMMYFUNCTION("""COMPUTED_VALUE"""),60.22)</f>
        <v>60.22</v>
      </c>
      <c r="T628" s="3">
        <f ca="1">IFERROR(__xludf.DUMMYFUNCTION("""COMPUTED_VALUE"""),23.53)</f>
        <v>23.53</v>
      </c>
      <c r="U628" s="3">
        <f ca="1">IFERROR(__xludf.DUMMYFUNCTION("""COMPUTED_VALUE"""),81.54)</f>
        <v>81.540000000000006</v>
      </c>
      <c r="V628" s="3">
        <f ca="1">IFERROR(__xludf.DUMMYFUNCTION("""COMPUTED_VALUE"""),39.24)</f>
        <v>39.24</v>
      </c>
      <c r="W628" s="3">
        <f ca="1">IFERROR(__xludf.DUMMYFUNCTION("""COMPUTED_VALUE"""),41.2)</f>
        <v>41.2</v>
      </c>
      <c r="X628" s="3">
        <f ca="1">IFERROR(__xludf.DUMMYFUNCTION("""COMPUTED_VALUE"""),100.08)</f>
        <v>100.08</v>
      </c>
      <c r="Y628" s="3">
        <f ca="1">IFERROR(__xludf.DUMMYFUNCTION("""COMPUTED_VALUE"""),46.18)</f>
        <v>46.18</v>
      </c>
      <c r="Z628" s="3">
        <f ca="1">IFERROR(__xludf.DUMMYFUNCTION("""COMPUTED_VALUE"""),94.86)</f>
        <v>94.86</v>
      </c>
      <c r="AA628" s="3">
        <f ca="1">IFERROR(__xludf.DUMMYFUNCTION("""COMPUTED_VALUE"""),38.04)</f>
        <v>38.04</v>
      </c>
      <c r="AB628" s="3">
        <f ca="1">IFERROR(__xludf.DUMMYFUNCTION("""COMPUTED_VALUE"""),48.87)</f>
        <v>48.87</v>
      </c>
      <c r="AC628" s="3">
        <f ca="1">IFERROR(__xludf.DUMMYFUNCTION("""COMPUTED_VALUE"""),65.83)</f>
        <v>65.83</v>
      </c>
      <c r="AD628" s="3">
        <f ca="1">IFERROR(__xludf.DUMMYFUNCTION("""COMPUTED_VALUE"""),19.28)</f>
        <v>19.28</v>
      </c>
      <c r="AE628" s="3">
        <f ca="1">IFERROR(__xludf.DUMMYFUNCTION("""COMPUTED_VALUE"""),22.15)</f>
        <v>22.15</v>
      </c>
      <c r="AF628" s="3">
        <f ca="1">IFERROR(__xludf.DUMMYFUNCTION("""COMPUTED_VALUE"""),5.3)</f>
        <v>5.3</v>
      </c>
      <c r="AG628" s="3">
        <f ca="1">IFERROR(__xludf.DUMMYFUNCTION("""COMPUTED_VALUE"""),55.01)</f>
        <v>55.01</v>
      </c>
    </row>
    <row r="629" spans="1:33" ht="12.75" x14ac:dyDescent="0.2">
      <c r="A629" s="4">
        <f ca="1">IFERROR(__xludf.DUMMYFUNCTION("""COMPUTED_VALUE"""),45475.6666666666)</f>
        <v>45475.666666666599</v>
      </c>
      <c r="B629" s="3">
        <f ca="1">IFERROR(__xludf.DUMMYFUNCTION("""COMPUTED_VALUE"""),229.08)</f>
        <v>229.08</v>
      </c>
      <c r="C629" s="3">
        <f ca="1">IFERROR(__xludf.DUMMYFUNCTION("""COMPUTED_VALUE"""),586.12)</f>
        <v>586.12</v>
      </c>
      <c r="D629" s="3">
        <f ca="1">IFERROR(__xludf.DUMMYFUNCTION("""COMPUTED_VALUE"""),156.96)</f>
        <v>156.96</v>
      </c>
      <c r="E629" s="3">
        <f ca="1">IFERROR(__xludf.DUMMYFUNCTION("""COMPUTED_VALUE"""),250.09)</f>
        <v>250.09</v>
      </c>
      <c r="F629" s="3">
        <f ca="1">IFERROR(__xludf.DUMMYFUNCTION("""COMPUTED_VALUE"""),65.13)</f>
        <v>65.13</v>
      </c>
      <c r="G629" s="3">
        <f ca="1">IFERROR(__xludf.DUMMYFUNCTION("""COMPUTED_VALUE"""),30.79)</f>
        <v>30.79</v>
      </c>
      <c r="H629" s="3">
        <f ca="1">IFERROR(__xludf.DUMMYFUNCTION("""COMPUTED_VALUE"""),27.83)</f>
        <v>27.83</v>
      </c>
      <c r="I629" s="3">
        <f ca="1">IFERROR(__xludf.DUMMYFUNCTION("""COMPUTED_VALUE"""),144.4)</f>
        <v>144.4</v>
      </c>
      <c r="J629" s="3">
        <f ca="1">IFERROR(__xludf.DUMMYFUNCTION("""COMPUTED_VALUE"""),263.76)</f>
        <v>263.76</v>
      </c>
      <c r="K629" s="3">
        <f ca="1">IFERROR(__xludf.DUMMYFUNCTION("""COMPUTED_VALUE"""),136.02)</f>
        <v>136.02000000000001</v>
      </c>
      <c r="L629" s="3">
        <f ca="1">IFERROR(__xludf.DUMMYFUNCTION("""COMPUTED_VALUE"""),91.36)</f>
        <v>91.36</v>
      </c>
      <c r="M629" s="3">
        <f ca="1">IFERROR(__xludf.DUMMYFUNCTION("""COMPUTED_VALUE"""),64.24)</f>
        <v>64.239999999999995</v>
      </c>
      <c r="N629" s="3">
        <f ca="1">IFERROR(__xludf.DUMMYFUNCTION("""COMPUTED_VALUE"""),68)</f>
        <v>68</v>
      </c>
      <c r="O629" s="3">
        <f ca="1">IFERROR(__xludf.DUMMYFUNCTION("""COMPUTED_VALUE"""),41.28)</f>
        <v>41.28</v>
      </c>
      <c r="P629" s="3">
        <f ca="1">IFERROR(__xludf.DUMMYFUNCTION("""COMPUTED_VALUE"""),91.13)</f>
        <v>91.13</v>
      </c>
      <c r="Q629" s="3">
        <f ca="1">IFERROR(__xludf.DUMMYFUNCTION("""COMPUTED_VALUE"""),127.69)</f>
        <v>127.69</v>
      </c>
      <c r="R629" s="3">
        <f ca="1">IFERROR(__xludf.DUMMYFUNCTION("""COMPUTED_VALUE"""),87.11)</f>
        <v>87.11</v>
      </c>
      <c r="S629" s="3">
        <f ca="1">IFERROR(__xludf.DUMMYFUNCTION("""COMPUTED_VALUE"""),60.64)</f>
        <v>60.64</v>
      </c>
      <c r="T629" s="3">
        <f ca="1">IFERROR(__xludf.DUMMYFUNCTION("""COMPUTED_VALUE"""),23.56)</f>
        <v>23.56</v>
      </c>
      <c r="U629" s="3">
        <f ca="1">IFERROR(__xludf.DUMMYFUNCTION("""COMPUTED_VALUE"""),81.11)</f>
        <v>81.11</v>
      </c>
      <c r="V629" s="3">
        <f ca="1">IFERROR(__xludf.DUMMYFUNCTION("""COMPUTED_VALUE"""),38.98)</f>
        <v>38.979999999999997</v>
      </c>
      <c r="W629" s="3">
        <f ca="1">IFERROR(__xludf.DUMMYFUNCTION("""COMPUTED_VALUE"""),41.68)</f>
        <v>41.68</v>
      </c>
      <c r="X629" s="3">
        <f ca="1">IFERROR(__xludf.DUMMYFUNCTION("""COMPUTED_VALUE"""),101.14)</f>
        <v>101.14</v>
      </c>
      <c r="Y629" s="3">
        <f ca="1">IFERROR(__xludf.DUMMYFUNCTION("""COMPUTED_VALUE"""),46.76)</f>
        <v>46.76</v>
      </c>
      <c r="Z629" s="3">
        <f ca="1">IFERROR(__xludf.DUMMYFUNCTION("""COMPUTED_VALUE"""),95.66)</f>
        <v>95.66</v>
      </c>
      <c r="AA629" s="3">
        <f ca="1">IFERROR(__xludf.DUMMYFUNCTION("""COMPUTED_VALUE"""),38.2)</f>
        <v>38.200000000000003</v>
      </c>
      <c r="AB629" s="3">
        <f ca="1">IFERROR(__xludf.DUMMYFUNCTION("""COMPUTED_VALUE"""),49.45)</f>
        <v>49.45</v>
      </c>
      <c r="AC629" s="3">
        <f ca="1">IFERROR(__xludf.DUMMYFUNCTION("""COMPUTED_VALUE"""),65.64)</f>
        <v>65.64</v>
      </c>
      <c r="AD629" s="3">
        <f ca="1">IFERROR(__xludf.DUMMYFUNCTION("""COMPUTED_VALUE"""),18.91)</f>
        <v>18.91</v>
      </c>
      <c r="AE629" s="3">
        <f ca="1">IFERROR(__xludf.DUMMYFUNCTION("""COMPUTED_VALUE"""),21.69)</f>
        <v>21.69</v>
      </c>
      <c r="AF629" s="3">
        <f ca="1">IFERROR(__xludf.DUMMYFUNCTION("""COMPUTED_VALUE"""),5.36)</f>
        <v>5.36</v>
      </c>
      <c r="AG629" s="3">
        <f ca="1">IFERROR(__xludf.DUMMYFUNCTION("""COMPUTED_VALUE"""),54.75)</f>
        <v>54.75</v>
      </c>
    </row>
    <row r="630" spans="1:33" ht="12.75" x14ac:dyDescent="0.2">
      <c r="A630" s="4">
        <f ca="1">IFERROR(__xludf.DUMMYFUNCTION("""COMPUTED_VALUE"""),45476.5520833333)</f>
        <v>45476.552083333299</v>
      </c>
      <c r="B630" s="3">
        <f ca="1">IFERROR(__xludf.DUMMYFUNCTION("""COMPUTED_VALUE"""),232.17)</f>
        <v>232.17</v>
      </c>
      <c r="C630" s="3">
        <f ca="1">IFERROR(__xludf.DUMMYFUNCTION("""COMPUTED_VALUE"""),592.89)</f>
        <v>592.89</v>
      </c>
      <c r="D630" s="3">
        <f ca="1">IFERROR(__xludf.DUMMYFUNCTION("""COMPUTED_VALUE"""),156.65)</f>
        <v>156.65</v>
      </c>
      <c r="E630" s="3">
        <f ca="1">IFERROR(__xludf.DUMMYFUNCTION("""COMPUTED_VALUE"""),254.26)</f>
        <v>254.26</v>
      </c>
      <c r="F630" s="3">
        <f ca="1">IFERROR(__xludf.DUMMYFUNCTION("""COMPUTED_VALUE"""),65.47)</f>
        <v>65.47</v>
      </c>
      <c r="G630" s="3">
        <f ca="1">IFERROR(__xludf.DUMMYFUNCTION("""COMPUTED_VALUE"""),31.09)</f>
        <v>31.09</v>
      </c>
      <c r="H630" s="3">
        <f ca="1">IFERROR(__xludf.DUMMYFUNCTION("""COMPUTED_VALUE"""),27.95)</f>
        <v>27.95</v>
      </c>
      <c r="I630" s="3">
        <f ca="1">IFERROR(__xludf.DUMMYFUNCTION("""COMPUTED_VALUE"""),143.3)</f>
        <v>143.30000000000001</v>
      </c>
      <c r="J630" s="3">
        <f ca="1">IFERROR(__xludf.DUMMYFUNCTION("""COMPUTED_VALUE"""),261.88)</f>
        <v>261.88</v>
      </c>
      <c r="K630" s="3">
        <f ca="1">IFERROR(__xludf.DUMMYFUNCTION("""COMPUTED_VALUE"""),135.09)</f>
        <v>135.09</v>
      </c>
      <c r="L630" s="3">
        <f ca="1">IFERROR(__xludf.DUMMYFUNCTION("""COMPUTED_VALUE"""),90.87)</f>
        <v>90.87</v>
      </c>
      <c r="M630" s="3">
        <f ca="1">IFERROR(__xludf.DUMMYFUNCTION("""COMPUTED_VALUE"""),64.02)</f>
        <v>64.02</v>
      </c>
      <c r="N630" s="3">
        <f ca="1">IFERROR(__xludf.DUMMYFUNCTION("""COMPUTED_VALUE"""),67.43)</f>
        <v>67.430000000000007</v>
      </c>
      <c r="O630" s="3">
        <f ca="1">IFERROR(__xludf.DUMMYFUNCTION("""COMPUTED_VALUE"""),41.38)</f>
        <v>41.38</v>
      </c>
      <c r="P630" s="3">
        <f ca="1">IFERROR(__xludf.DUMMYFUNCTION("""COMPUTED_VALUE"""),91.53)</f>
        <v>91.53</v>
      </c>
      <c r="Q630" s="3">
        <f ca="1">IFERROR(__xludf.DUMMYFUNCTION("""COMPUTED_VALUE"""),128.28)</f>
        <v>128.28</v>
      </c>
      <c r="R630" s="3">
        <f ca="1">IFERROR(__xludf.DUMMYFUNCTION("""COMPUTED_VALUE"""),87.76)</f>
        <v>87.76</v>
      </c>
      <c r="S630" s="3">
        <f ca="1">IFERROR(__xludf.DUMMYFUNCTION("""COMPUTED_VALUE"""),61.71)</f>
        <v>61.71</v>
      </c>
      <c r="T630" s="3">
        <f ca="1">IFERROR(__xludf.DUMMYFUNCTION("""COMPUTED_VALUE"""),23.69)</f>
        <v>23.69</v>
      </c>
      <c r="U630" s="3">
        <f ca="1">IFERROR(__xludf.DUMMYFUNCTION("""COMPUTED_VALUE"""),81.27)</f>
        <v>81.27</v>
      </c>
      <c r="V630" s="3">
        <f ca="1">IFERROR(__xludf.DUMMYFUNCTION("""COMPUTED_VALUE"""),40.54)</f>
        <v>40.54</v>
      </c>
      <c r="W630" s="3">
        <f ca="1">IFERROR(__xludf.DUMMYFUNCTION("""COMPUTED_VALUE"""),41.55)</f>
        <v>41.55</v>
      </c>
      <c r="X630" s="3">
        <f ca="1">IFERROR(__xludf.DUMMYFUNCTION("""COMPUTED_VALUE"""),100.76)</f>
        <v>100.76</v>
      </c>
      <c r="Y630" s="3">
        <f ca="1">IFERROR(__xludf.DUMMYFUNCTION("""COMPUTED_VALUE"""),46.13)</f>
        <v>46.13</v>
      </c>
      <c r="Z630" s="3">
        <f ca="1">IFERROR(__xludf.DUMMYFUNCTION("""COMPUTED_VALUE"""),95.38)</f>
        <v>95.38</v>
      </c>
      <c r="AA630" s="3">
        <f ca="1">IFERROR(__xludf.DUMMYFUNCTION("""COMPUTED_VALUE"""),38.16)</f>
        <v>38.159999999999997</v>
      </c>
      <c r="AB630" s="3">
        <f ca="1">IFERROR(__xludf.DUMMYFUNCTION("""COMPUTED_VALUE"""),48.65)</f>
        <v>48.65</v>
      </c>
      <c r="AC630" s="3">
        <f ca="1">IFERROR(__xludf.DUMMYFUNCTION("""COMPUTED_VALUE"""),66.22)</f>
        <v>66.22</v>
      </c>
      <c r="AD630" s="3">
        <f ca="1">IFERROR(__xludf.DUMMYFUNCTION("""COMPUTED_VALUE"""),18.35)</f>
        <v>18.350000000000001</v>
      </c>
      <c r="AE630" s="3">
        <f ca="1">IFERROR(__xludf.DUMMYFUNCTION("""COMPUTED_VALUE"""),21.16)</f>
        <v>21.16</v>
      </c>
      <c r="AF630" s="3">
        <f ca="1">IFERROR(__xludf.DUMMYFUNCTION("""COMPUTED_VALUE"""),5.43)</f>
        <v>5.43</v>
      </c>
      <c r="AG630" s="3">
        <f ca="1">IFERROR(__xludf.DUMMYFUNCTION("""COMPUTED_VALUE"""),54.42)</f>
        <v>54.42</v>
      </c>
    </row>
    <row r="631" spans="1:33" ht="12.75" x14ac:dyDescent="0.2">
      <c r="A631" s="4">
        <f ca="1">IFERROR(__xludf.DUMMYFUNCTION("""COMPUTED_VALUE"""),45478.6666666666)</f>
        <v>45478.666666666599</v>
      </c>
      <c r="B631" s="3">
        <f ca="1">IFERROR(__xludf.DUMMYFUNCTION("""COMPUTED_VALUE"""),232.88)</f>
        <v>232.88</v>
      </c>
      <c r="C631" s="3">
        <f ca="1">IFERROR(__xludf.DUMMYFUNCTION("""COMPUTED_VALUE"""),595.91)</f>
        <v>595.91</v>
      </c>
      <c r="D631" s="3">
        <f ca="1">IFERROR(__xludf.DUMMYFUNCTION("""COMPUTED_VALUE"""),158.73)</f>
        <v>158.72999999999999</v>
      </c>
      <c r="E631" s="3">
        <f ca="1">IFERROR(__xludf.DUMMYFUNCTION("""COMPUTED_VALUE"""),254.76)</f>
        <v>254.76</v>
      </c>
      <c r="F631" s="3">
        <f ca="1">IFERROR(__xludf.DUMMYFUNCTION("""COMPUTED_VALUE"""),65.6)</f>
        <v>65.599999999999994</v>
      </c>
      <c r="G631" s="3">
        <f ca="1">IFERROR(__xludf.DUMMYFUNCTION("""COMPUTED_VALUE"""),31.21)</f>
        <v>31.21</v>
      </c>
      <c r="H631" s="3">
        <f ca="1">IFERROR(__xludf.DUMMYFUNCTION("""COMPUTED_VALUE"""),27.91)</f>
        <v>27.91</v>
      </c>
      <c r="I631" s="3">
        <f ca="1">IFERROR(__xludf.DUMMYFUNCTION("""COMPUTED_VALUE"""),144.41)</f>
        <v>144.41</v>
      </c>
      <c r="J631" s="3">
        <f ca="1">IFERROR(__xludf.DUMMYFUNCTION("""COMPUTED_VALUE"""),263.92)</f>
        <v>263.92</v>
      </c>
      <c r="K631" s="3">
        <f ca="1">IFERROR(__xludf.DUMMYFUNCTION("""COMPUTED_VALUE"""),136.2)</f>
        <v>136.19999999999999</v>
      </c>
      <c r="L631" s="3">
        <f ca="1">IFERROR(__xludf.DUMMYFUNCTION("""COMPUTED_VALUE"""),91.71)</f>
        <v>91.71</v>
      </c>
      <c r="M631" s="3">
        <f ca="1">IFERROR(__xludf.DUMMYFUNCTION("""COMPUTED_VALUE"""),64.59)</f>
        <v>64.59</v>
      </c>
      <c r="N631" s="3">
        <f ca="1">IFERROR(__xludf.DUMMYFUNCTION("""COMPUTED_VALUE"""),68.02)</f>
        <v>68.02</v>
      </c>
      <c r="O631" s="3">
        <f ca="1">IFERROR(__xludf.DUMMYFUNCTION("""COMPUTED_VALUE"""),41.62)</f>
        <v>41.62</v>
      </c>
      <c r="P631" s="3">
        <f ca="1">IFERROR(__xludf.DUMMYFUNCTION("""COMPUTED_VALUE"""),90.1)</f>
        <v>90.1</v>
      </c>
      <c r="Q631" s="3">
        <f ca="1">IFERROR(__xludf.DUMMYFUNCTION("""COMPUTED_VALUE"""),126.15)</f>
        <v>126.15</v>
      </c>
      <c r="R631" s="3">
        <f ca="1">IFERROR(__xludf.DUMMYFUNCTION("""COMPUTED_VALUE"""),87.9)</f>
        <v>87.9</v>
      </c>
      <c r="S631" s="3">
        <f ca="1">IFERROR(__xludf.DUMMYFUNCTION("""COMPUTED_VALUE"""),61.26)</f>
        <v>61.26</v>
      </c>
      <c r="T631" s="3">
        <f ca="1">IFERROR(__xludf.DUMMYFUNCTION("""COMPUTED_VALUE"""),23.78)</f>
        <v>23.78</v>
      </c>
      <c r="U631" s="3">
        <f ca="1">IFERROR(__xludf.DUMMYFUNCTION("""COMPUTED_VALUE"""),81.31)</f>
        <v>81.31</v>
      </c>
      <c r="V631" s="3">
        <f ca="1">IFERROR(__xludf.DUMMYFUNCTION("""COMPUTED_VALUE"""),40.01)</f>
        <v>40.01</v>
      </c>
      <c r="W631" s="3">
        <f ca="1">IFERROR(__xludf.DUMMYFUNCTION("""COMPUTED_VALUE"""),41.54)</f>
        <v>41.54</v>
      </c>
      <c r="X631" s="3">
        <f ca="1">IFERROR(__xludf.DUMMYFUNCTION("""COMPUTED_VALUE"""),100.56)</f>
        <v>100.56</v>
      </c>
      <c r="Y631" s="3">
        <f ca="1">IFERROR(__xludf.DUMMYFUNCTION("""COMPUTED_VALUE"""),45.48)</f>
        <v>45.48</v>
      </c>
      <c r="Z631" s="3">
        <f ca="1">IFERROR(__xludf.DUMMYFUNCTION("""COMPUTED_VALUE"""),95.03)</f>
        <v>95.03</v>
      </c>
      <c r="AA631" s="3">
        <f ca="1">IFERROR(__xludf.DUMMYFUNCTION("""COMPUTED_VALUE"""),38.3)</f>
        <v>38.299999999999997</v>
      </c>
      <c r="AB631" s="3">
        <f ca="1">IFERROR(__xludf.DUMMYFUNCTION("""COMPUTED_VALUE"""),47.94)</f>
        <v>47.94</v>
      </c>
      <c r="AC631" s="3">
        <f ca="1">IFERROR(__xludf.DUMMYFUNCTION("""COMPUTED_VALUE"""),66.55)</f>
        <v>66.55</v>
      </c>
      <c r="AD631" s="3">
        <f ca="1">IFERROR(__xludf.DUMMYFUNCTION("""COMPUTED_VALUE"""),16.9)</f>
        <v>16.899999999999999</v>
      </c>
      <c r="AE631" s="3">
        <f ca="1">IFERROR(__xludf.DUMMYFUNCTION("""COMPUTED_VALUE"""),19.76)</f>
        <v>19.760000000000002</v>
      </c>
      <c r="AF631" s="3">
        <f ca="1">IFERROR(__xludf.DUMMYFUNCTION("""COMPUTED_VALUE"""),5.45)</f>
        <v>5.45</v>
      </c>
      <c r="AG631" s="3">
        <f ca="1">IFERROR(__xludf.DUMMYFUNCTION("""COMPUTED_VALUE"""),54.62)</f>
        <v>54.62</v>
      </c>
    </row>
    <row r="632" spans="1:33" ht="12.75" x14ac:dyDescent="0.2">
      <c r="A632" s="4">
        <f ca="1">IFERROR(__xludf.DUMMYFUNCTION("""COMPUTED_VALUE"""),45481.6666666666)</f>
        <v>45481.666666666599</v>
      </c>
      <c r="B632" s="3">
        <f ca="1">IFERROR(__xludf.DUMMYFUNCTION("""COMPUTED_VALUE"""),234.47)</f>
        <v>234.47</v>
      </c>
      <c r="C632" s="3">
        <f ca="1">IFERROR(__xludf.DUMMYFUNCTION("""COMPUTED_VALUE"""),599.91)</f>
        <v>599.91</v>
      </c>
      <c r="D632" s="3">
        <f ca="1">IFERROR(__xludf.DUMMYFUNCTION("""COMPUTED_VALUE"""),154.85)</f>
        <v>154.85</v>
      </c>
      <c r="E632" s="3">
        <f ca="1">IFERROR(__xludf.DUMMYFUNCTION("""COMPUTED_VALUE"""),259.59)</f>
        <v>259.58999999999997</v>
      </c>
      <c r="F632" s="3">
        <f ca="1">IFERROR(__xludf.DUMMYFUNCTION("""COMPUTED_VALUE"""),65.28)</f>
        <v>65.28</v>
      </c>
      <c r="G632" s="3">
        <f ca="1">IFERROR(__xludf.DUMMYFUNCTION("""COMPUTED_VALUE"""),31.36)</f>
        <v>31.36</v>
      </c>
      <c r="H632" s="3">
        <f ca="1">IFERROR(__xludf.DUMMYFUNCTION("""COMPUTED_VALUE"""),28.15)</f>
        <v>28.15</v>
      </c>
      <c r="I632" s="3">
        <f ca="1">IFERROR(__xludf.DUMMYFUNCTION("""COMPUTED_VALUE"""),144.25)</f>
        <v>144.25</v>
      </c>
      <c r="J632" s="3">
        <f ca="1">IFERROR(__xludf.DUMMYFUNCTION("""COMPUTED_VALUE"""),263.64)</f>
        <v>263.64</v>
      </c>
      <c r="K632" s="3">
        <f ca="1">IFERROR(__xludf.DUMMYFUNCTION("""COMPUTED_VALUE"""),137.73)</f>
        <v>137.72999999999999</v>
      </c>
      <c r="L632" s="3">
        <f ca="1">IFERROR(__xludf.DUMMYFUNCTION("""COMPUTED_VALUE"""),93.23)</f>
        <v>93.23</v>
      </c>
      <c r="M632" s="3">
        <f ca="1">IFERROR(__xludf.DUMMYFUNCTION("""COMPUTED_VALUE"""),65.39)</f>
        <v>65.39</v>
      </c>
      <c r="N632" s="3">
        <f ca="1">IFERROR(__xludf.DUMMYFUNCTION("""COMPUTED_VALUE"""),68.05)</f>
        <v>68.05</v>
      </c>
      <c r="O632" s="3">
        <f ca="1">IFERROR(__xludf.DUMMYFUNCTION("""COMPUTED_VALUE"""),41.72)</f>
        <v>41.72</v>
      </c>
      <c r="P632" s="3">
        <f ca="1">IFERROR(__xludf.DUMMYFUNCTION("""COMPUTED_VALUE"""),89.55)</f>
        <v>89.55</v>
      </c>
      <c r="Q632" s="3">
        <f ca="1">IFERROR(__xludf.DUMMYFUNCTION("""COMPUTED_VALUE"""),125.64)</f>
        <v>125.64</v>
      </c>
      <c r="R632" s="3">
        <f ca="1">IFERROR(__xludf.DUMMYFUNCTION("""COMPUTED_VALUE"""),88.16)</f>
        <v>88.16</v>
      </c>
      <c r="S632" s="3">
        <f ca="1">IFERROR(__xludf.DUMMYFUNCTION("""COMPUTED_VALUE"""),61.31)</f>
        <v>61.31</v>
      </c>
      <c r="T632" s="3">
        <f ca="1">IFERROR(__xludf.DUMMYFUNCTION("""COMPUTED_VALUE"""),23.46)</f>
        <v>23.46</v>
      </c>
      <c r="U632" s="3">
        <f ca="1">IFERROR(__xludf.DUMMYFUNCTION("""COMPUTED_VALUE"""),80.42)</f>
        <v>80.42</v>
      </c>
      <c r="V632" s="3">
        <f ca="1">IFERROR(__xludf.DUMMYFUNCTION("""COMPUTED_VALUE"""),40.45)</f>
        <v>40.450000000000003</v>
      </c>
      <c r="W632" s="3">
        <f ca="1">IFERROR(__xludf.DUMMYFUNCTION("""COMPUTED_VALUE"""),41.43)</f>
        <v>41.43</v>
      </c>
      <c r="X632" s="3">
        <f ca="1">IFERROR(__xludf.DUMMYFUNCTION("""COMPUTED_VALUE"""),100.32)</f>
        <v>100.32</v>
      </c>
      <c r="Y632" s="3">
        <f ca="1">IFERROR(__xludf.DUMMYFUNCTION("""COMPUTED_VALUE"""),45.47)</f>
        <v>45.47</v>
      </c>
      <c r="Z632" s="3">
        <f ca="1">IFERROR(__xludf.DUMMYFUNCTION("""COMPUTED_VALUE"""),95.06)</f>
        <v>95.06</v>
      </c>
      <c r="AA632" s="3">
        <f ca="1">IFERROR(__xludf.DUMMYFUNCTION("""COMPUTED_VALUE"""),38.39)</f>
        <v>38.39</v>
      </c>
      <c r="AB632" s="3">
        <f ca="1">IFERROR(__xludf.DUMMYFUNCTION("""COMPUTED_VALUE"""),47.95)</f>
        <v>47.95</v>
      </c>
      <c r="AC632" s="3">
        <f ca="1">IFERROR(__xludf.DUMMYFUNCTION("""COMPUTED_VALUE"""),67.09)</f>
        <v>67.09</v>
      </c>
      <c r="AD632" s="3">
        <f ca="1">IFERROR(__xludf.DUMMYFUNCTION("""COMPUTED_VALUE"""),16.97)</f>
        <v>16.97</v>
      </c>
      <c r="AE632" s="3">
        <f ca="1">IFERROR(__xludf.DUMMYFUNCTION("""COMPUTED_VALUE"""),19.77)</f>
        <v>19.77</v>
      </c>
      <c r="AF632" s="3">
        <f ca="1">IFERROR(__xludf.DUMMYFUNCTION("""COMPUTED_VALUE"""),5.23)</f>
        <v>5.23</v>
      </c>
      <c r="AG632" s="3">
        <f ca="1">IFERROR(__xludf.DUMMYFUNCTION("""COMPUTED_VALUE"""),54.59)</f>
        <v>54.59</v>
      </c>
    </row>
    <row r="633" spans="1:33" ht="12.75" x14ac:dyDescent="0.2">
      <c r="A633" s="4">
        <f ca="1">IFERROR(__xludf.DUMMYFUNCTION("""COMPUTED_VALUE"""),45482.6666666666)</f>
        <v>45482.666666666599</v>
      </c>
      <c r="B633" s="3">
        <f ca="1">IFERROR(__xludf.DUMMYFUNCTION("""COMPUTED_VALUE"""),234.28)</f>
        <v>234.28</v>
      </c>
      <c r="C633" s="3">
        <f ca="1">IFERROR(__xludf.DUMMYFUNCTION("""COMPUTED_VALUE"""),598.63)</f>
        <v>598.63</v>
      </c>
      <c r="D633" s="3">
        <f ca="1">IFERROR(__xludf.DUMMYFUNCTION("""COMPUTED_VALUE"""),155.91)</f>
        <v>155.91</v>
      </c>
      <c r="E633" s="3">
        <f ca="1">IFERROR(__xludf.DUMMYFUNCTION("""COMPUTED_VALUE"""),259.47)</f>
        <v>259.47000000000003</v>
      </c>
      <c r="F633" s="3">
        <f ca="1">IFERROR(__xludf.DUMMYFUNCTION("""COMPUTED_VALUE"""),64.65)</f>
        <v>64.650000000000006</v>
      </c>
      <c r="G633" s="3">
        <f ca="1">IFERROR(__xludf.DUMMYFUNCTION("""COMPUTED_VALUE"""),31.35)</f>
        <v>31.35</v>
      </c>
      <c r="H633" s="3">
        <f ca="1">IFERROR(__xludf.DUMMYFUNCTION("""COMPUTED_VALUE"""),28.08)</f>
        <v>28.08</v>
      </c>
      <c r="I633" s="3">
        <f ca="1">IFERROR(__xludf.DUMMYFUNCTION("""COMPUTED_VALUE"""),144.95)</f>
        <v>144.94999999999999</v>
      </c>
      <c r="J633" s="3">
        <f ca="1">IFERROR(__xludf.DUMMYFUNCTION("""COMPUTED_VALUE"""),264.96)</f>
        <v>264.95999999999998</v>
      </c>
      <c r="K633" s="3">
        <f ca="1">IFERROR(__xludf.DUMMYFUNCTION("""COMPUTED_VALUE"""),138.86)</f>
        <v>138.86000000000001</v>
      </c>
      <c r="L633" s="3">
        <f ca="1">IFERROR(__xludf.DUMMYFUNCTION("""COMPUTED_VALUE"""),94.37)</f>
        <v>94.37</v>
      </c>
      <c r="M633" s="3">
        <f ca="1">IFERROR(__xludf.DUMMYFUNCTION("""COMPUTED_VALUE"""),65.62)</f>
        <v>65.62</v>
      </c>
      <c r="N633" s="3">
        <f ca="1">IFERROR(__xludf.DUMMYFUNCTION("""COMPUTED_VALUE"""),68.26)</f>
        <v>68.260000000000005</v>
      </c>
      <c r="O633" s="3">
        <f ca="1">IFERROR(__xludf.DUMMYFUNCTION("""COMPUTED_VALUE"""),41.92)</f>
        <v>41.92</v>
      </c>
      <c r="P633" s="3">
        <f ca="1">IFERROR(__xludf.DUMMYFUNCTION("""COMPUTED_VALUE"""),88.76)</f>
        <v>88.76</v>
      </c>
      <c r="Q633" s="3">
        <f ca="1">IFERROR(__xludf.DUMMYFUNCTION("""COMPUTED_VALUE"""),124.5)</f>
        <v>124.5</v>
      </c>
      <c r="R633" s="3">
        <f ca="1">IFERROR(__xludf.DUMMYFUNCTION("""COMPUTED_VALUE"""),87.26)</f>
        <v>87.26</v>
      </c>
      <c r="S633" s="3">
        <f ca="1">IFERROR(__xludf.DUMMYFUNCTION("""COMPUTED_VALUE"""),60.7)</f>
        <v>60.7</v>
      </c>
      <c r="T633" s="3">
        <f ca="1">IFERROR(__xludf.DUMMYFUNCTION("""COMPUTED_VALUE"""),23.3)</f>
        <v>23.3</v>
      </c>
      <c r="U633" s="3">
        <f ca="1">IFERROR(__xludf.DUMMYFUNCTION("""COMPUTED_VALUE"""),79.77)</f>
        <v>79.77</v>
      </c>
      <c r="V633" s="3">
        <f ca="1">IFERROR(__xludf.DUMMYFUNCTION("""COMPUTED_VALUE"""),40.73)</f>
        <v>40.729999999999997</v>
      </c>
      <c r="W633" s="3">
        <f ca="1">IFERROR(__xludf.DUMMYFUNCTION("""COMPUTED_VALUE"""),41.75)</f>
        <v>41.75</v>
      </c>
      <c r="X633" s="3">
        <f ca="1">IFERROR(__xludf.DUMMYFUNCTION("""COMPUTED_VALUE"""),101.01)</f>
        <v>101.01</v>
      </c>
      <c r="Y633" s="3">
        <f ca="1">IFERROR(__xludf.DUMMYFUNCTION("""COMPUTED_VALUE"""),46.22)</f>
        <v>46.22</v>
      </c>
      <c r="Z633" s="3">
        <f ca="1">IFERROR(__xludf.DUMMYFUNCTION("""COMPUTED_VALUE"""),95.84)</f>
        <v>95.84</v>
      </c>
      <c r="AA633" s="3">
        <f ca="1">IFERROR(__xludf.DUMMYFUNCTION("""COMPUTED_VALUE"""),38.4)</f>
        <v>38.4</v>
      </c>
      <c r="AB633" s="3">
        <f ca="1">IFERROR(__xludf.DUMMYFUNCTION("""COMPUTED_VALUE"""),48.81)</f>
        <v>48.81</v>
      </c>
      <c r="AC633" s="3">
        <f ca="1">IFERROR(__xludf.DUMMYFUNCTION("""COMPUTED_VALUE"""),67.22)</f>
        <v>67.22</v>
      </c>
      <c r="AD633" s="3">
        <f ca="1">IFERROR(__xludf.DUMMYFUNCTION("""COMPUTED_VALUE"""),17.32)</f>
        <v>17.32</v>
      </c>
      <c r="AE633" s="3">
        <f ca="1">IFERROR(__xludf.DUMMYFUNCTION("""COMPUTED_VALUE"""),20.28)</f>
        <v>20.28</v>
      </c>
      <c r="AF633" s="3">
        <f ca="1">IFERROR(__xludf.DUMMYFUNCTION("""COMPUTED_VALUE"""),4.96)</f>
        <v>4.96</v>
      </c>
      <c r="AG633" s="3">
        <f ca="1">IFERROR(__xludf.DUMMYFUNCTION("""COMPUTED_VALUE"""),51.66)</f>
        <v>51.66</v>
      </c>
    </row>
    <row r="634" spans="1:33" ht="12.75" x14ac:dyDescent="0.2">
      <c r="A634" s="4">
        <f ca="1">IFERROR(__xludf.DUMMYFUNCTION("""COMPUTED_VALUE"""),45483.6666666666)</f>
        <v>45483.666666666599</v>
      </c>
      <c r="B634" s="3">
        <f ca="1">IFERROR(__xludf.DUMMYFUNCTION("""COMPUTED_VALUE"""),237.68)</f>
        <v>237.68</v>
      </c>
      <c r="C634" s="3">
        <f ca="1">IFERROR(__xludf.DUMMYFUNCTION("""COMPUTED_VALUE"""),606.85)</f>
        <v>606.85</v>
      </c>
      <c r="D634" s="3">
        <f ca="1">IFERROR(__xludf.DUMMYFUNCTION("""COMPUTED_VALUE"""),156.68)</f>
        <v>156.68</v>
      </c>
      <c r="E634" s="3">
        <f ca="1">IFERROR(__xludf.DUMMYFUNCTION("""COMPUTED_VALUE"""),265.49)</f>
        <v>265.49</v>
      </c>
      <c r="F634" s="3">
        <f ca="1">IFERROR(__xludf.DUMMYFUNCTION("""COMPUTED_VALUE"""),64.71)</f>
        <v>64.709999999999994</v>
      </c>
      <c r="G634" s="3">
        <f ca="1">IFERROR(__xludf.DUMMYFUNCTION("""COMPUTED_VALUE"""),31.69)</f>
        <v>31.69</v>
      </c>
      <c r="H634" s="3">
        <f ca="1">IFERROR(__xludf.DUMMYFUNCTION("""COMPUTED_VALUE"""),28.31)</f>
        <v>28.31</v>
      </c>
      <c r="I634" s="3">
        <f ca="1">IFERROR(__xludf.DUMMYFUNCTION("""COMPUTED_VALUE"""),146.32)</f>
        <v>146.32</v>
      </c>
      <c r="J634" s="3">
        <f ca="1">IFERROR(__xludf.DUMMYFUNCTION("""COMPUTED_VALUE"""),267.55)</f>
        <v>267.55</v>
      </c>
      <c r="K634" s="3">
        <f ca="1">IFERROR(__xludf.DUMMYFUNCTION("""COMPUTED_VALUE"""),140.53)</f>
        <v>140.53</v>
      </c>
      <c r="L634" s="3">
        <f ca="1">IFERROR(__xludf.DUMMYFUNCTION("""COMPUTED_VALUE"""),95.48)</f>
        <v>95.48</v>
      </c>
      <c r="M634" s="3">
        <f ca="1">IFERROR(__xludf.DUMMYFUNCTION("""COMPUTED_VALUE"""),66.4)</f>
        <v>66.400000000000006</v>
      </c>
      <c r="N634" s="3">
        <f ca="1">IFERROR(__xludf.DUMMYFUNCTION("""COMPUTED_VALUE"""),68.9)</f>
        <v>68.900000000000006</v>
      </c>
      <c r="O634" s="3">
        <f ca="1">IFERROR(__xludf.DUMMYFUNCTION("""COMPUTED_VALUE"""),42.48)</f>
        <v>42.48</v>
      </c>
      <c r="P634" s="3">
        <f ca="1">IFERROR(__xludf.DUMMYFUNCTION("""COMPUTED_VALUE"""),89.36)</f>
        <v>89.36</v>
      </c>
      <c r="Q634" s="3">
        <f ca="1">IFERROR(__xludf.DUMMYFUNCTION("""COMPUTED_VALUE"""),125.34)</f>
        <v>125.34</v>
      </c>
      <c r="R634" s="3">
        <f ca="1">IFERROR(__xludf.DUMMYFUNCTION("""COMPUTED_VALUE"""),88.43)</f>
        <v>88.43</v>
      </c>
      <c r="S634" s="3">
        <f ca="1">IFERROR(__xludf.DUMMYFUNCTION("""COMPUTED_VALUE"""),61.23)</f>
        <v>61.23</v>
      </c>
      <c r="T634" s="3">
        <f ca="1">IFERROR(__xludf.DUMMYFUNCTION("""COMPUTED_VALUE"""),23.3)</f>
        <v>23.3</v>
      </c>
      <c r="U634" s="3">
        <f ca="1">IFERROR(__xludf.DUMMYFUNCTION("""COMPUTED_VALUE"""),80.48)</f>
        <v>80.48</v>
      </c>
      <c r="V634" s="3">
        <f ca="1">IFERROR(__xludf.DUMMYFUNCTION("""COMPUTED_VALUE"""),41.39)</f>
        <v>41.39</v>
      </c>
      <c r="W634" s="3">
        <f ca="1">IFERROR(__xludf.DUMMYFUNCTION("""COMPUTED_VALUE"""),41.91)</f>
        <v>41.91</v>
      </c>
      <c r="X634" s="3">
        <f ca="1">IFERROR(__xludf.DUMMYFUNCTION("""COMPUTED_VALUE"""),101.53)</f>
        <v>101.53</v>
      </c>
      <c r="Y634" s="3">
        <f ca="1">IFERROR(__xludf.DUMMYFUNCTION("""COMPUTED_VALUE"""),47.15)</f>
        <v>47.15</v>
      </c>
      <c r="Z634" s="3">
        <f ca="1">IFERROR(__xludf.DUMMYFUNCTION("""COMPUTED_VALUE"""),96.7)</f>
        <v>96.7</v>
      </c>
      <c r="AA634" s="3">
        <f ca="1">IFERROR(__xludf.DUMMYFUNCTION("""COMPUTED_VALUE"""),38.67)</f>
        <v>38.67</v>
      </c>
      <c r="AB634" s="3">
        <f ca="1">IFERROR(__xludf.DUMMYFUNCTION("""COMPUTED_VALUE"""),49.87)</f>
        <v>49.87</v>
      </c>
      <c r="AC634" s="3">
        <f ca="1">IFERROR(__xludf.DUMMYFUNCTION("""COMPUTED_VALUE"""),68.36)</f>
        <v>68.36</v>
      </c>
      <c r="AD634" s="3">
        <f ca="1">IFERROR(__xludf.DUMMYFUNCTION("""COMPUTED_VALUE"""),17.37)</f>
        <v>17.37</v>
      </c>
      <c r="AE634" s="3">
        <f ca="1">IFERROR(__xludf.DUMMYFUNCTION("""COMPUTED_VALUE"""),20.09)</f>
        <v>20.09</v>
      </c>
      <c r="AF634" s="3">
        <f ca="1">IFERROR(__xludf.DUMMYFUNCTION("""COMPUTED_VALUE"""),5.11)</f>
        <v>5.1100000000000003</v>
      </c>
      <c r="AG634" s="3">
        <f ca="1">IFERROR(__xludf.DUMMYFUNCTION("""COMPUTED_VALUE"""),51.72)</f>
        <v>51.72</v>
      </c>
    </row>
    <row r="635" spans="1:33" ht="12.75" x14ac:dyDescent="0.2">
      <c r="A635" s="4">
        <f ca="1">IFERROR(__xludf.DUMMYFUNCTION("""COMPUTED_VALUE"""),45484.6666666666)</f>
        <v>45484.666666666599</v>
      </c>
      <c r="B635" s="3">
        <f ca="1">IFERROR(__xludf.DUMMYFUNCTION("""COMPUTED_VALUE"""),231.73)</f>
        <v>231.73</v>
      </c>
      <c r="C635" s="3">
        <f ca="1">IFERROR(__xludf.DUMMYFUNCTION("""COMPUTED_VALUE"""),595.16)</f>
        <v>595.16</v>
      </c>
      <c r="D635" s="3">
        <f ca="1">IFERROR(__xludf.DUMMYFUNCTION("""COMPUTED_VALUE"""),156.23)</f>
        <v>156.22999999999999</v>
      </c>
      <c r="E635" s="3">
        <f ca="1">IFERROR(__xludf.DUMMYFUNCTION("""COMPUTED_VALUE"""),256.76)</f>
        <v>256.76</v>
      </c>
      <c r="F635" s="3">
        <f ca="1">IFERROR(__xludf.DUMMYFUNCTION("""COMPUTED_VALUE"""),64.86)</f>
        <v>64.86</v>
      </c>
      <c r="G635" s="3">
        <f ca="1">IFERROR(__xludf.DUMMYFUNCTION("""COMPUTED_VALUE"""),31.67)</f>
        <v>31.67</v>
      </c>
      <c r="H635" s="3">
        <f ca="1">IFERROR(__xludf.DUMMYFUNCTION("""COMPUTED_VALUE"""),28.54)</f>
        <v>28.54</v>
      </c>
      <c r="I635" s="3">
        <f ca="1">IFERROR(__xludf.DUMMYFUNCTION("""COMPUTED_VALUE"""),147.35)</f>
        <v>147.35</v>
      </c>
      <c r="J635" s="3">
        <f ca="1">IFERROR(__xludf.DUMMYFUNCTION("""COMPUTED_VALUE"""),270.15)</f>
        <v>270.14999999999998</v>
      </c>
      <c r="K635" s="3">
        <f ca="1">IFERROR(__xludf.DUMMYFUNCTION("""COMPUTED_VALUE"""),143.85)</f>
        <v>143.85</v>
      </c>
      <c r="L635" s="3">
        <f ca="1">IFERROR(__xludf.DUMMYFUNCTION("""COMPUTED_VALUE"""),97.96)</f>
        <v>97.96</v>
      </c>
      <c r="M635" s="3">
        <f ca="1">IFERROR(__xludf.DUMMYFUNCTION("""COMPUTED_VALUE"""),67.91)</f>
        <v>67.91</v>
      </c>
      <c r="N635" s="3">
        <f ca="1">IFERROR(__xludf.DUMMYFUNCTION("""COMPUTED_VALUE"""),69.66)</f>
        <v>69.66</v>
      </c>
      <c r="O635" s="3">
        <f ca="1">IFERROR(__xludf.DUMMYFUNCTION("""COMPUTED_VALUE"""),44.16)</f>
        <v>44.16</v>
      </c>
      <c r="P635" s="3">
        <f ca="1">IFERROR(__xludf.DUMMYFUNCTION("""COMPUTED_VALUE"""),90.29)</f>
        <v>90.29</v>
      </c>
      <c r="Q635" s="3">
        <f ca="1">IFERROR(__xludf.DUMMYFUNCTION("""COMPUTED_VALUE"""),126.95)</f>
        <v>126.95</v>
      </c>
      <c r="R635" s="3">
        <f ca="1">IFERROR(__xludf.DUMMYFUNCTION("""COMPUTED_VALUE"""),89.64)</f>
        <v>89.64</v>
      </c>
      <c r="S635" s="3">
        <f ca="1">IFERROR(__xludf.DUMMYFUNCTION("""COMPUTED_VALUE"""),62.91)</f>
        <v>62.91</v>
      </c>
      <c r="T635" s="3">
        <f ca="1">IFERROR(__xludf.DUMMYFUNCTION("""COMPUTED_VALUE"""),23.38)</f>
        <v>23.38</v>
      </c>
      <c r="U635" s="3">
        <f ca="1">IFERROR(__xludf.DUMMYFUNCTION("""COMPUTED_VALUE"""),80.94)</f>
        <v>80.94</v>
      </c>
      <c r="V635" s="3">
        <f ca="1">IFERROR(__xludf.DUMMYFUNCTION("""COMPUTED_VALUE"""),43.27)</f>
        <v>43.27</v>
      </c>
      <c r="W635" s="3">
        <f ca="1">IFERROR(__xludf.DUMMYFUNCTION("""COMPUTED_VALUE"""),42.24)</f>
        <v>42.24</v>
      </c>
      <c r="X635" s="3">
        <f ca="1">IFERROR(__xludf.DUMMYFUNCTION("""COMPUTED_VALUE"""),102.73)</f>
        <v>102.73</v>
      </c>
      <c r="Y635" s="3">
        <f ca="1">IFERROR(__xludf.DUMMYFUNCTION("""COMPUTED_VALUE"""),48.86)</f>
        <v>48.86</v>
      </c>
      <c r="Z635" s="3">
        <f ca="1">IFERROR(__xludf.DUMMYFUNCTION("""COMPUTED_VALUE"""),97.71)</f>
        <v>97.71</v>
      </c>
      <c r="AA635" s="3">
        <f ca="1">IFERROR(__xludf.DUMMYFUNCTION("""COMPUTED_VALUE"""),39.7)</f>
        <v>39.700000000000003</v>
      </c>
      <c r="AB635" s="3">
        <f ca="1">IFERROR(__xludf.DUMMYFUNCTION("""COMPUTED_VALUE"""),51.97)</f>
        <v>51.97</v>
      </c>
      <c r="AC635" s="3">
        <f ca="1">IFERROR(__xludf.DUMMYFUNCTION("""COMPUTED_VALUE"""),69.44)</f>
        <v>69.44</v>
      </c>
      <c r="AD635" s="3">
        <f ca="1">IFERROR(__xludf.DUMMYFUNCTION("""COMPUTED_VALUE"""),17.33)</f>
        <v>17.329999999999998</v>
      </c>
      <c r="AE635" s="3">
        <f ca="1">IFERROR(__xludf.DUMMYFUNCTION("""COMPUTED_VALUE"""),20.09)</f>
        <v>20.09</v>
      </c>
      <c r="AF635" s="3">
        <f ca="1">IFERROR(__xludf.DUMMYFUNCTION("""COMPUTED_VALUE"""),5.24)</f>
        <v>5.24</v>
      </c>
      <c r="AG635" s="3">
        <f ca="1">IFERROR(__xludf.DUMMYFUNCTION("""COMPUTED_VALUE"""),51)</f>
        <v>51</v>
      </c>
    </row>
    <row r="636" spans="1:33" ht="12.75" x14ac:dyDescent="0.2">
      <c r="A636" s="4">
        <f ca="1">IFERROR(__xludf.DUMMYFUNCTION("""COMPUTED_VALUE"""),45485.6666666666)</f>
        <v>45485.666666666599</v>
      </c>
      <c r="B636" s="3">
        <f ca="1">IFERROR(__xludf.DUMMYFUNCTION("""COMPUTED_VALUE"""),233.8)</f>
        <v>233.8</v>
      </c>
      <c r="C636" s="3">
        <f ca="1">IFERROR(__xludf.DUMMYFUNCTION("""COMPUTED_VALUE"""),600.7)</f>
        <v>600.70000000000005</v>
      </c>
      <c r="D636" s="3">
        <f ca="1">IFERROR(__xludf.DUMMYFUNCTION("""COMPUTED_VALUE"""),150.34)</f>
        <v>150.34</v>
      </c>
      <c r="E636" s="3">
        <f ca="1">IFERROR(__xludf.DUMMYFUNCTION("""COMPUTED_VALUE"""),259.89)</f>
        <v>259.89</v>
      </c>
      <c r="F636" s="3">
        <f ca="1">IFERROR(__xludf.DUMMYFUNCTION("""COMPUTED_VALUE"""),65.41)</f>
        <v>65.41</v>
      </c>
      <c r="G636" s="3">
        <f ca="1">IFERROR(__xludf.DUMMYFUNCTION("""COMPUTED_VALUE"""),32.21)</f>
        <v>32.21</v>
      </c>
      <c r="H636" s="3">
        <f ca="1">IFERROR(__xludf.DUMMYFUNCTION("""COMPUTED_VALUE"""),28.96)</f>
        <v>28.96</v>
      </c>
      <c r="I636" s="3">
        <f ca="1">IFERROR(__xludf.DUMMYFUNCTION("""COMPUTED_VALUE"""),148.27)</f>
        <v>148.27000000000001</v>
      </c>
      <c r="J636" s="3">
        <f ca="1">IFERROR(__xludf.DUMMYFUNCTION("""COMPUTED_VALUE"""),272.12)</f>
        <v>272.12</v>
      </c>
      <c r="K636" s="3">
        <f ca="1">IFERROR(__xludf.DUMMYFUNCTION("""COMPUTED_VALUE"""),145.03)</f>
        <v>145.03</v>
      </c>
      <c r="L636" s="3">
        <f ca="1">IFERROR(__xludf.DUMMYFUNCTION("""COMPUTED_VALUE"""),98.96)</f>
        <v>98.96</v>
      </c>
      <c r="M636" s="3">
        <f ca="1">IFERROR(__xludf.DUMMYFUNCTION("""COMPUTED_VALUE"""),68.24)</f>
        <v>68.239999999999995</v>
      </c>
      <c r="N636" s="3">
        <f ca="1">IFERROR(__xludf.DUMMYFUNCTION("""COMPUTED_VALUE"""),70.09)</f>
        <v>70.09</v>
      </c>
      <c r="O636" s="3">
        <f ca="1">IFERROR(__xludf.DUMMYFUNCTION("""COMPUTED_VALUE"""),45.08)</f>
        <v>45.08</v>
      </c>
      <c r="P636" s="3">
        <f ca="1">IFERROR(__xludf.DUMMYFUNCTION("""COMPUTED_VALUE"""),90.52)</f>
        <v>90.52</v>
      </c>
      <c r="Q636" s="3">
        <f ca="1">IFERROR(__xludf.DUMMYFUNCTION("""COMPUTED_VALUE"""),127.32)</f>
        <v>127.32</v>
      </c>
      <c r="R636" s="3">
        <f ca="1">IFERROR(__xludf.DUMMYFUNCTION("""COMPUTED_VALUE"""),90.5)</f>
        <v>90.5</v>
      </c>
      <c r="S636" s="3">
        <f ca="1">IFERROR(__xludf.DUMMYFUNCTION("""COMPUTED_VALUE"""),63.61)</f>
        <v>63.61</v>
      </c>
      <c r="T636" s="3">
        <f ca="1">IFERROR(__xludf.DUMMYFUNCTION("""COMPUTED_VALUE"""),23.29)</f>
        <v>23.29</v>
      </c>
      <c r="U636" s="3">
        <f ca="1">IFERROR(__xludf.DUMMYFUNCTION("""COMPUTED_VALUE"""),80.25)</f>
        <v>80.25</v>
      </c>
      <c r="V636" s="3">
        <f ca="1">IFERROR(__xludf.DUMMYFUNCTION("""COMPUTED_VALUE"""),44.5)</f>
        <v>44.5</v>
      </c>
      <c r="W636" s="3">
        <f ca="1">IFERROR(__xludf.DUMMYFUNCTION("""COMPUTED_VALUE"""),42.38)</f>
        <v>42.38</v>
      </c>
      <c r="X636" s="3">
        <f ca="1">IFERROR(__xludf.DUMMYFUNCTION("""COMPUTED_VALUE"""),102.99)</f>
        <v>102.99</v>
      </c>
      <c r="Y636" s="3">
        <f ca="1">IFERROR(__xludf.DUMMYFUNCTION("""COMPUTED_VALUE"""),48.99)</f>
        <v>48.99</v>
      </c>
      <c r="Z636" s="3">
        <f ca="1">IFERROR(__xludf.DUMMYFUNCTION("""COMPUTED_VALUE"""),97.94)</f>
        <v>97.94</v>
      </c>
      <c r="AA636" s="3">
        <f ca="1">IFERROR(__xludf.DUMMYFUNCTION("""COMPUTED_VALUE"""),39.99)</f>
        <v>39.99</v>
      </c>
      <c r="AB636" s="3">
        <f ca="1">IFERROR(__xludf.DUMMYFUNCTION("""COMPUTED_VALUE"""),52.09)</f>
        <v>52.09</v>
      </c>
      <c r="AC636" s="3">
        <f ca="1">IFERROR(__xludf.DUMMYFUNCTION("""COMPUTED_VALUE"""),69.79)</f>
        <v>69.790000000000006</v>
      </c>
      <c r="AD636" s="3">
        <f ca="1">IFERROR(__xludf.DUMMYFUNCTION("""COMPUTED_VALUE"""),17.43)</f>
        <v>17.43</v>
      </c>
      <c r="AE636" s="3">
        <f ca="1">IFERROR(__xludf.DUMMYFUNCTION("""COMPUTED_VALUE"""),20.22)</f>
        <v>20.22</v>
      </c>
      <c r="AF636" s="3">
        <f ca="1">IFERROR(__xludf.DUMMYFUNCTION("""COMPUTED_VALUE"""),5.14)</f>
        <v>5.14</v>
      </c>
      <c r="AG636" s="3">
        <f ca="1">IFERROR(__xludf.DUMMYFUNCTION("""COMPUTED_VALUE"""),54.13)</f>
        <v>54.13</v>
      </c>
    </row>
    <row r="637" spans="1:33" ht="12.75" x14ac:dyDescent="0.2">
      <c r="A637" s="4">
        <f ca="1">IFERROR(__xludf.DUMMYFUNCTION("""COMPUTED_VALUE"""),45488.6666666666)</f>
        <v>45488.666666666599</v>
      </c>
      <c r="B637" s="3">
        <f ca="1">IFERROR(__xludf.DUMMYFUNCTION("""COMPUTED_VALUE"""),234.22)</f>
        <v>234.22</v>
      </c>
      <c r="C637" s="3">
        <f ca="1">IFERROR(__xludf.DUMMYFUNCTION("""COMPUTED_VALUE"""),603.78)</f>
        <v>603.78</v>
      </c>
      <c r="D637" s="3">
        <f ca="1">IFERROR(__xludf.DUMMYFUNCTION("""COMPUTED_VALUE"""),149.63)</f>
        <v>149.63</v>
      </c>
      <c r="E637" s="3">
        <f ca="1">IFERROR(__xludf.DUMMYFUNCTION("""COMPUTED_VALUE"""),260.18)</f>
        <v>260.18</v>
      </c>
      <c r="F637" s="3">
        <f ca="1">IFERROR(__xludf.DUMMYFUNCTION("""COMPUTED_VALUE"""),66.03)</f>
        <v>66.03</v>
      </c>
      <c r="G637" s="3">
        <f ca="1">IFERROR(__xludf.DUMMYFUNCTION("""COMPUTED_VALUE"""),32.03)</f>
        <v>32.03</v>
      </c>
      <c r="H637" s="3">
        <f ca="1">IFERROR(__xludf.DUMMYFUNCTION("""COMPUTED_VALUE"""),28.91)</f>
        <v>28.91</v>
      </c>
      <c r="I637" s="3">
        <f ca="1">IFERROR(__xludf.DUMMYFUNCTION("""COMPUTED_VALUE"""),147.75)</f>
        <v>147.75</v>
      </c>
      <c r="J637" s="3">
        <f ca="1">IFERROR(__xludf.DUMMYFUNCTION("""COMPUTED_VALUE"""),271.29)</f>
        <v>271.29000000000002</v>
      </c>
      <c r="K637" s="3">
        <f ca="1">IFERROR(__xludf.DUMMYFUNCTION("""COMPUTED_VALUE"""),145.15)</f>
        <v>145.15</v>
      </c>
      <c r="L637" s="3">
        <f ca="1">IFERROR(__xludf.DUMMYFUNCTION("""COMPUTED_VALUE"""),99.9)</f>
        <v>99.9</v>
      </c>
      <c r="M637" s="3">
        <f ca="1">IFERROR(__xludf.DUMMYFUNCTION("""COMPUTED_VALUE"""),68.39)</f>
        <v>68.39</v>
      </c>
      <c r="N637" s="3">
        <f ca="1">IFERROR(__xludf.DUMMYFUNCTION("""COMPUTED_VALUE"""),69.88)</f>
        <v>69.88</v>
      </c>
      <c r="O637" s="3">
        <f ca="1">IFERROR(__xludf.DUMMYFUNCTION("""COMPUTED_VALUE"""),45.48)</f>
        <v>45.48</v>
      </c>
      <c r="P637" s="3">
        <f ca="1">IFERROR(__xludf.DUMMYFUNCTION("""COMPUTED_VALUE"""),91.89)</f>
        <v>91.89</v>
      </c>
      <c r="Q637" s="3">
        <f ca="1">IFERROR(__xludf.DUMMYFUNCTION("""COMPUTED_VALUE"""),129.42)</f>
        <v>129.41999999999999</v>
      </c>
      <c r="R637" s="3">
        <f ca="1">IFERROR(__xludf.DUMMYFUNCTION("""COMPUTED_VALUE"""),90.27)</f>
        <v>90.27</v>
      </c>
      <c r="S637" s="3">
        <f ca="1">IFERROR(__xludf.DUMMYFUNCTION("""COMPUTED_VALUE"""),64.3)</f>
        <v>64.3</v>
      </c>
      <c r="T637" s="3">
        <f ca="1">IFERROR(__xludf.DUMMYFUNCTION("""COMPUTED_VALUE"""),23.12)</f>
        <v>23.12</v>
      </c>
      <c r="U637" s="3">
        <f ca="1">IFERROR(__xludf.DUMMYFUNCTION("""COMPUTED_VALUE"""),80.12)</f>
        <v>80.12</v>
      </c>
      <c r="V637" s="3">
        <f ca="1">IFERROR(__xludf.DUMMYFUNCTION("""COMPUTED_VALUE"""),41.89)</f>
        <v>41.89</v>
      </c>
      <c r="W637" s="3">
        <f ca="1">IFERROR(__xludf.DUMMYFUNCTION("""COMPUTED_VALUE"""),43)</f>
        <v>43</v>
      </c>
      <c r="X637" s="3">
        <f ca="1">IFERROR(__xludf.DUMMYFUNCTION("""COMPUTED_VALUE"""),104.62)</f>
        <v>104.62</v>
      </c>
      <c r="Y637" s="3">
        <f ca="1">IFERROR(__xludf.DUMMYFUNCTION("""COMPUTED_VALUE"""),50.3)</f>
        <v>50.3</v>
      </c>
      <c r="Z637" s="3">
        <f ca="1">IFERROR(__xludf.DUMMYFUNCTION("""COMPUTED_VALUE"""),99.44)</f>
        <v>99.44</v>
      </c>
      <c r="AA637" s="3">
        <f ca="1">IFERROR(__xludf.DUMMYFUNCTION("""COMPUTED_VALUE"""),40.16)</f>
        <v>40.159999999999997</v>
      </c>
      <c r="AB637" s="3">
        <f ca="1">IFERROR(__xludf.DUMMYFUNCTION("""COMPUTED_VALUE"""),53.61)</f>
        <v>53.61</v>
      </c>
      <c r="AC637" s="3">
        <f ca="1">IFERROR(__xludf.DUMMYFUNCTION("""COMPUTED_VALUE"""),68.7)</f>
        <v>68.7</v>
      </c>
      <c r="AD637" s="3">
        <f ca="1">IFERROR(__xludf.DUMMYFUNCTION("""COMPUTED_VALUE"""),19.1)</f>
        <v>19.100000000000001</v>
      </c>
      <c r="AE637" s="3">
        <f ca="1">IFERROR(__xludf.DUMMYFUNCTION("""COMPUTED_VALUE"""),22.21)</f>
        <v>22.21</v>
      </c>
      <c r="AF637" s="3">
        <f ca="1">IFERROR(__xludf.DUMMYFUNCTION("""COMPUTED_VALUE"""),5.07)</f>
        <v>5.07</v>
      </c>
      <c r="AG637" s="3">
        <f ca="1">IFERROR(__xludf.DUMMYFUNCTION("""COMPUTED_VALUE"""),60.77)</f>
        <v>60.77</v>
      </c>
    </row>
    <row r="638" spans="1:33" ht="12.75" x14ac:dyDescent="0.2">
      <c r="A638" s="4">
        <f ca="1">IFERROR(__xludf.DUMMYFUNCTION("""COMPUTED_VALUE"""),45489.6666666666)</f>
        <v>45489.666666666599</v>
      </c>
      <c r="B638" s="3">
        <f ca="1">IFERROR(__xludf.DUMMYFUNCTION("""COMPUTED_VALUE"""),233.44)</f>
        <v>233.44</v>
      </c>
      <c r="C638" s="3">
        <f ca="1">IFERROR(__xludf.DUMMYFUNCTION("""COMPUTED_VALUE"""),604.51)</f>
        <v>604.51</v>
      </c>
      <c r="D638" s="3">
        <f ca="1">IFERROR(__xludf.DUMMYFUNCTION("""COMPUTED_VALUE"""),148.01)</f>
        <v>148.01</v>
      </c>
      <c r="E638" s="3">
        <f ca="1">IFERROR(__xludf.DUMMYFUNCTION("""COMPUTED_VALUE"""),261.79)</f>
        <v>261.79000000000002</v>
      </c>
      <c r="F638" s="3">
        <f ca="1">IFERROR(__xludf.DUMMYFUNCTION("""COMPUTED_VALUE"""),66.47)</f>
        <v>66.47</v>
      </c>
      <c r="G638" s="3">
        <f ca="1">IFERROR(__xludf.DUMMYFUNCTION("""COMPUTED_VALUE"""),32.23)</f>
        <v>32.229999999999997</v>
      </c>
      <c r="H638" s="3">
        <f ca="1">IFERROR(__xludf.DUMMYFUNCTION("""COMPUTED_VALUE"""),29.39)</f>
        <v>29.39</v>
      </c>
      <c r="I638" s="3">
        <f ca="1">IFERROR(__xludf.DUMMYFUNCTION("""COMPUTED_VALUE"""),149.86)</f>
        <v>149.86000000000001</v>
      </c>
      <c r="J638" s="3">
        <f ca="1">IFERROR(__xludf.DUMMYFUNCTION("""COMPUTED_VALUE"""),275.73)</f>
        <v>275.73</v>
      </c>
      <c r="K638" s="3">
        <f ca="1">IFERROR(__xludf.DUMMYFUNCTION("""COMPUTED_VALUE"""),147.93)</f>
        <v>147.93</v>
      </c>
      <c r="L638" s="3">
        <f ca="1">IFERROR(__xludf.DUMMYFUNCTION("""COMPUTED_VALUE"""),101.85)</f>
        <v>101.85</v>
      </c>
      <c r="M638" s="3">
        <f ca="1">IFERROR(__xludf.DUMMYFUNCTION("""COMPUTED_VALUE"""),70.22)</f>
        <v>70.22</v>
      </c>
      <c r="N638" s="3">
        <f ca="1">IFERROR(__xludf.DUMMYFUNCTION("""COMPUTED_VALUE"""),71.04)</f>
        <v>71.040000000000006</v>
      </c>
      <c r="O638" s="3">
        <f ca="1">IFERROR(__xludf.DUMMYFUNCTION("""COMPUTED_VALUE"""),47.18)</f>
        <v>47.18</v>
      </c>
      <c r="P638" s="3">
        <f ca="1">IFERROR(__xludf.DUMMYFUNCTION("""COMPUTED_VALUE"""),92.3)</f>
        <v>92.3</v>
      </c>
      <c r="Q638" s="3">
        <f ca="1">IFERROR(__xludf.DUMMYFUNCTION("""COMPUTED_VALUE"""),129.94)</f>
        <v>129.94</v>
      </c>
      <c r="R638" s="3">
        <f ca="1">IFERROR(__xludf.DUMMYFUNCTION("""COMPUTED_VALUE"""),92.02)</f>
        <v>92.02</v>
      </c>
      <c r="S638" s="3">
        <f ca="1">IFERROR(__xludf.DUMMYFUNCTION("""COMPUTED_VALUE"""),65.22)</f>
        <v>65.22</v>
      </c>
      <c r="T638" s="3">
        <f ca="1">IFERROR(__xludf.DUMMYFUNCTION("""COMPUTED_VALUE"""),23.06)</f>
        <v>23.06</v>
      </c>
      <c r="U638" s="3">
        <f ca="1">IFERROR(__xludf.DUMMYFUNCTION("""COMPUTED_VALUE"""),79.06)</f>
        <v>79.06</v>
      </c>
      <c r="V638" s="3">
        <f ca="1">IFERROR(__xludf.DUMMYFUNCTION("""COMPUTED_VALUE"""),43.47)</f>
        <v>43.47</v>
      </c>
      <c r="W638" s="3">
        <f ca="1">IFERROR(__xludf.DUMMYFUNCTION("""COMPUTED_VALUE"""),43.49)</f>
        <v>43.49</v>
      </c>
      <c r="X638" s="3">
        <f ca="1">IFERROR(__xludf.DUMMYFUNCTION("""COMPUTED_VALUE"""),106.15)</f>
        <v>106.15</v>
      </c>
      <c r="Y638" s="3">
        <f ca="1">IFERROR(__xludf.DUMMYFUNCTION("""COMPUTED_VALUE"""),52.35)</f>
        <v>52.35</v>
      </c>
      <c r="Z638" s="3">
        <f ca="1">IFERROR(__xludf.DUMMYFUNCTION("""COMPUTED_VALUE"""),100.78)</f>
        <v>100.78</v>
      </c>
      <c r="AA638" s="3">
        <f ca="1">IFERROR(__xludf.DUMMYFUNCTION("""COMPUTED_VALUE"""),40.54)</f>
        <v>40.54</v>
      </c>
      <c r="AB638" s="3">
        <f ca="1">IFERROR(__xludf.DUMMYFUNCTION("""COMPUTED_VALUE"""),56.06)</f>
        <v>56.06</v>
      </c>
      <c r="AC638" s="3">
        <f ca="1">IFERROR(__xludf.DUMMYFUNCTION("""COMPUTED_VALUE"""),68.31)</f>
        <v>68.31</v>
      </c>
      <c r="AD638" s="3">
        <f ca="1">IFERROR(__xludf.DUMMYFUNCTION("""COMPUTED_VALUE"""),19.55)</f>
        <v>19.55</v>
      </c>
      <c r="AE638" s="3">
        <f ca="1">IFERROR(__xludf.DUMMYFUNCTION("""COMPUTED_VALUE"""),22.85)</f>
        <v>22.85</v>
      </c>
      <c r="AF638" s="3">
        <f ca="1">IFERROR(__xludf.DUMMYFUNCTION("""COMPUTED_VALUE"""),4.96)</f>
        <v>4.96</v>
      </c>
      <c r="AG638" s="3">
        <f ca="1">IFERROR(__xludf.DUMMYFUNCTION("""COMPUTED_VALUE"""),63.49)</f>
        <v>63.49</v>
      </c>
    </row>
    <row r="639" spans="1:33" ht="12.75" x14ac:dyDescent="0.2">
      <c r="A639" s="4">
        <f ca="1">IFERROR(__xludf.DUMMYFUNCTION("""COMPUTED_VALUE"""),45490.6666666666)</f>
        <v>45490.666666666599</v>
      </c>
      <c r="B639" s="3">
        <f ca="1">IFERROR(__xludf.DUMMYFUNCTION("""COMPUTED_VALUE"""),224.36)</f>
        <v>224.36</v>
      </c>
      <c r="C639" s="3">
        <f ca="1">IFERROR(__xludf.DUMMYFUNCTION("""COMPUTED_VALUE"""),582.73)</f>
        <v>582.73</v>
      </c>
      <c r="D639" s="3">
        <f ca="1">IFERROR(__xludf.DUMMYFUNCTION("""COMPUTED_VALUE"""),151.02)</f>
        <v>151.02000000000001</v>
      </c>
      <c r="E639" s="3">
        <f ca="1">IFERROR(__xludf.DUMMYFUNCTION("""COMPUTED_VALUE"""),243.17)</f>
        <v>243.17</v>
      </c>
      <c r="F639" s="3">
        <f ca="1">IFERROR(__xludf.DUMMYFUNCTION("""COMPUTED_VALUE"""),65.13)</f>
        <v>65.13</v>
      </c>
      <c r="G639" s="3">
        <f ca="1">IFERROR(__xludf.DUMMYFUNCTION("""COMPUTED_VALUE"""),31.42)</f>
        <v>31.42</v>
      </c>
      <c r="H639" s="3">
        <f ca="1">IFERROR(__xludf.DUMMYFUNCTION("""COMPUTED_VALUE"""),28.73)</f>
        <v>28.73</v>
      </c>
      <c r="I639" s="3">
        <f ca="1">IFERROR(__xludf.DUMMYFUNCTION("""COMPUTED_VALUE"""),150.54)</f>
        <v>150.54</v>
      </c>
      <c r="J639" s="3">
        <f ca="1">IFERROR(__xludf.DUMMYFUNCTION("""COMPUTED_VALUE"""),276.2)</f>
        <v>276.2</v>
      </c>
      <c r="K639" s="3">
        <f ca="1">IFERROR(__xludf.DUMMYFUNCTION("""COMPUTED_VALUE"""),146.37)</f>
        <v>146.37</v>
      </c>
      <c r="L639" s="3">
        <f ca="1">IFERROR(__xludf.DUMMYFUNCTION("""COMPUTED_VALUE"""),99.8)</f>
        <v>99.8</v>
      </c>
      <c r="M639" s="3">
        <f ca="1">IFERROR(__xludf.DUMMYFUNCTION("""COMPUTED_VALUE"""),69.51)</f>
        <v>69.510000000000005</v>
      </c>
      <c r="N639" s="3">
        <f ca="1">IFERROR(__xludf.DUMMYFUNCTION("""COMPUTED_VALUE"""),71.13)</f>
        <v>71.13</v>
      </c>
      <c r="O639" s="3">
        <f ca="1">IFERROR(__xludf.DUMMYFUNCTION("""COMPUTED_VALUE"""),46.4)</f>
        <v>46.4</v>
      </c>
      <c r="P639" s="3">
        <f ca="1">IFERROR(__xludf.DUMMYFUNCTION("""COMPUTED_VALUE"""),93.22)</f>
        <v>93.22</v>
      </c>
      <c r="Q639" s="3">
        <f ca="1">IFERROR(__xludf.DUMMYFUNCTION("""COMPUTED_VALUE"""),130.95)</f>
        <v>130.94999999999999</v>
      </c>
      <c r="R639" s="3">
        <f ca="1">IFERROR(__xludf.DUMMYFUNCTION("""COMPUTED_VALUE"""),91.83)</f>
        <v>91.83</v>
      </c>
      <c r="S639" s="3">
        <f ca="1">IFERROR(__xludf.DUMMYFUNCTION("""COMPUTED_VALUE"""),63.88)</f>
        <v>63.88</v>
      </c>
      <c r="T639" s="3">
        <f ca="1">IFERROR(__xludf.DUMMYFUNCTION("""COMPUTED_VALUE"""),23.06)</f>
        <v>23.06</v>
      </c>
      <c r="U639" s="3">
        <f ca="1">IFERROR(__xludf.DUMMYFUNCTION("""COMPUTED_VALUE"""),80.62)</f>
        <v>80.62</v>
      </c>
      <c r="V639" s="3">
        <f ca="1">IFERROR(__xludf.DUMMYFUNCTION("""COMPUTED_VALUE"""),42.24)</f>
        <v>42.24</v>
      </c>
      <c r="W639" s="3">
        <f ca="1">IFERROR(__xludf.DUMMYFUNCTION("""COMPUTED_VALUE"""),43.82)</f>
        <v>43.82</v>
      </c>
      <c r="X639" s="3">
        <f ca="1">IFERROR(__xludf.DUMMYFUNCTION("""COMPUTED_VALUE"""),106.9)</f>
        <v>106.9</v>
      </c>
      <c r="Y639" s="3">
        <f ca="1">IFERROR(__xludf.DUMMYFUNCTION("""COMPUTED_VALUE"""),52.81)</f>
        <v>52.81</v>
      </c>
      <c r="Z639" s="3">
        <f ca="1">IFERROR(__xludf.DUMMYFUNCTION("""COMPUTED_VALUE"""),101.36)</f>
        <v>101.36</v>
      </c>
      <c r="AA639" s="3">
        <f ca="1">IFERROR(__xludf.DUMMYFUNCTION("""COMPUTED_VALUE"""),40.9)</f>
        <v>40.9</v>
      </c>
      <c r="AB639" s="3">
        <f ca="1">IFERROR(__xludf.DUMMYFUNCTION("""COMPUTED_VALUE"""),56.74)</f>
        <v>56.74</v>
      </c>
      <c r="AC639" s="3">
        <f ca="1">IFERROR(__xludf.DUMMYFUNCTION("""COMPUTED_VALUE"""),68.78)</f>
        <v>68.78</v>
      </c>
      <c r="AD639" s="3">
        <f ca="1">IFERROR(__xludf.DUMMYFUNCTION("""COMPUTED_VALUE"""),19.31)</f>
        <v>19.309999999999999</v>
      </c>
      <c r="AE639" s="3">
        <f ca="1">IFERROR(__xludf.DUMMYFUNCTION("""COMPUTED_VALUE"""),22.62)</f>
        <v>22.62</v>
      </c>
      <c r="AF639" s="3">
        <f ca="1">IFERROR(__xludf.DUMMYFUNCTION("""COMPUTED_VALUE"""),5.57)</f>
        <v>5.57</v>
      </c>
      <c r="AG639" s="3">
        <f ca="1">IFERROR(__xludf.DUMMYFUNCTION("""COMPUTED_VALUE"""),60.91)</f>
        <v>60.91</v>
      </c>
    </row>
    <row r="640" spans="1:33" ht="12.75" x14ac:dyDescent="0.2">
      <c r="A640" s="4">
        <f ca="1">IFERROR(__xludf.DUMMYFUNCTION("""COMPUTED_VALUE"""),45491.6666666666)</f>
        <v>45491.666666666599</v>
      </c>
      <c r="B640" s="3">
        <f ca="1">IFERROR(__xludf.DUMMYFUNCTION("""COMPUTED_VALUE"""),224.38)</f>
        <v>224.38</v>
      </c>
      <c r="C640" s="3">
        <f ca="1">IFERROR(__xludf.DUMMYFUNCTION("""COMPUTED_VALUE"""),579.7)</f>
        <v>579.70000000000005</v>
      </c>
      <c r="D640" s="3">
        <f ca="1">IFERROR(__xludf.DUMMYFUNCTION("""COMPUTED_VALUE"""),150.73)</f>
        <v>150.72999999999999</v>
      </c>
      <c r="E640" s="3">
        <f ca="1">IFERROR(__xludf.DUMMYFUNCTION("""COMPUTED_VALUE"""),243.9)</f>
        <v>243.9</v>
      </c>
      <c r="F640" s="3">
        <f ca="1">IFERROR(__xludf.DUMMYFUNCTION("""COMPUTED_VALUE"""),64.24)</f>
        <v>64.239999999999995</v>
      </c>
      <c r="G640" s="3">
        <f ca="1">IFERROR(__xludf.DUMMYFUNCTION("""COMPUTED_VALUE"""),30.81)</f>
        <v>30.81</v>
      </c>
      <c r="H640" s="3">
        <f ca="1">IFERROR(__xludf.DUMMYFUNCTION("""COMPUTED_VALUE"""),28.37)</f>
        <v>28.37</v>
      </c>
      <c r="I640" s="3">
        <f ca="1">IFERROR(__xludf.DUMMYFUNCTION("""COMPUTED_VALUE"""),147.12)</f>
        <v>147.12</v>
      </c>
      <c r="J640" s="3">
        <f ca="1">IFERROR(__xludf.DUMMYFUNCTION("""COMPUTED_VALUE"""),269.53)</f>
        <v>269.52999999999997</v>
      </c>
      <c r="K640" s="3">
        <f ca="1">IFERROR(__xludf.DUMMYFUNCTION("""COMPUTED_VALUE"""),144.12)</f>
        <v>144.12</v>
      </c>
      <c r="L640" s="3">
        <f ca="1">IFERROR(__xludf.DUMMYFUNCTION("""COMPUTED_VALUE"""),97.54)</f>
        <v>97.54</v>
      </c>
      <c r="M640" s="3">
        <f ca="1">IFERROR(__xludf.DUMMYFUNCTION("""COMPUTED_VALUE"""),68.63)</f>
        <v>68.63</v>
      </c>
      <c r="N640" s="3">
        <f ca="1">IFERROR(__xludf.DUMMYFUNCTION("""COMPUTED_VALUE"""),69.45)</f>
        <v>69.45</v>
      </c>
      <c r="O640" s="3">
        <f ca="1">IFERROR(__xludf.DUMMYFUNCTION("""COMPUTED_VALUE"""),44.92)</f>
        <v>44.92</v>
      </c>
      <c r="P640" s="3">
        <f ca="1">IFERROR(__xludf.DUMMYFUNCTION("""COMPUTED_VALUE"""),93.39)</f>
        <v>93.39</v>
      </c>
      <c r="Q640" s="3">
        <f ca="1">IFERROR(__xludf.DUMMYFUNCTION("""COMPUTED_VALUE"""),131.06)</f>
        <v>131.06</v>
      </c>
      <c r="R640" s="3">
        <f ca="1">IFERROR(__xludf.DUMMYFUNCTION("""COMPUTED_VALUE"""),90.92)</f>
        <v>90.92</v>
      </c>
      <c r="S640" s="3">
        <f ca="1">IFERROR(__xludf.DUMMYFUNCTION("""COMPUTED_VALUE"""),62.74)</f>
        <v>62.74</v>
      </c>
      <c r="T640" s="3">
        <f ca="1">IFERROR(__xludf.DUMMYFUNCTION("""COMPUTED_VALUE"""),22.89)</f>
        <v>22.89</v>
      </c>
      <c r="U640" s="3">
        <f ca="1">IFERROR(__xludf.DUMMYFUNCTION("""COMPUTED_VALUE"""),79.9)</f>
        <v>79.900000000000006</v>
      </c>
      <c r="V640" s="3">
        <f ca="1">IFERROR(__xludf.DUMMYFUNCTION("""COMPUTED_VALUE"""),41.73)</f>
        <v>41.73</v>
      </c>
      <c r="W640" s="3">
        <f ca="1">IFERROR(__xludf.DUMMYFUNCTION("""COMPUTED_VALUE"""),43.29)</f>
        <v>43.29</v>
      </c>
      <c r="X640" s="3">
        <f ca="1">IFERROR(__xludf.DUMMYFUNCTION("""COMPUTED_VALUE"""),105.41)</f>
        <v>105.41</v>
      </c>
      <c r="Y640" s="3">
        <f ca="1">IFERROR(__xludf.DUMMYFUNCTION("""COMPUTED_VALUE"""),51.96)</f>
        <v>51.96</v>
      </c>
      <c r="Z640" s="3">
        <f ca="1">IFERROR(__xludf.DUMMYFUNCTION("""COMPUTED_VALUE"""),99.96)</f>
        <v>99.96</v>
      </c>
      <c r="AA640" s="3">
        <f ca="1">IFERROR(__xludf.DUMMYFUNCTION("""COMPUTED_VALUE"""),40.56)</f>
        <v>40.56</v>
      </c>
      <c r="AB640" s="3">
        <f ca="1">IFERROR(__xludf.DUMMYFUNCTION("""COMPUTED_VALUE"""),55.71)</f>
        <v>55.71</v>
      </c>
      <c r="AC640" s="3">
        <f ca="1">IFERROR(__xludf.DUMMYFUNCTION("""COMPUTED_VALUE"""),68.86)</f>
        <v>68.86</v>
      </c>
      <c r="AD640" s="3">
        <f ca="1">IFERROR(__xludf.DUMMYFUNCTION("""COMPUTED_VALUE"""),19.1)</f>
        <v>19.100000000000001</v>
      </c>
      <c r="AE640" s="3">
        <f ca="1">IFERROR(__xludf.DUMMYFUNCTION("""COMPUTED_VALUE"""),22.22)</f>
        <v>22.22</v>
      </c>
      <c r="AF640" s="3">
        <f ca="1">IFERROR(__xludf.DUMMYFUNCTION("""COMPUTED_VALUE"""),5.85)</f>
        <v>5.85</v>
      </c>
      <c r="AG640" s="3">
        <f ca="1">IFERROR(__xludf.DUMMYFUNCTION("""COMPUTED_VALUE"""),56.26)</f>
        <v>56.26</v>
      </c>
    </row>
    <row r="641" spans="1:33" ht="12.75" x14ac:dyDescent="0.2">
      <c r="A641" s="4">
        <f ca="1">IFERROR(__xludf.DUMMYFUNCTION("""COMPUTED_VALUE"""),45492.6666666666)</f>
        <v>45492.666666666599</v>
      </c>
      <c r="B641" s="3">
        <f ca="1">IFERROR(__xludf.DUMMYFUNCTION("""COMPUTED_VALUE"""),220.87)</f>
        <v>220.87</v>
      </c>
      <c r="C641" s="3">
        <f ca="1">IFERROR(__xludf.DUMMYFUNCTION("""COMPUTED_VALUE"""),572.82)</f>
        <v>572.82000000000005</v>
      </c>
      <c r="D641" s="3">
        <f ca="1">IFERROR(__xludf.DUMMYFUNCTION("""COMPUTED_VALUE"""),144.27)</f>
        <v>144.27000000000001</v>
      </c>
      <c r="E641" s="3">
        <f ca="1">IFERROR(__xludf.DUMMYFUNCTION("""COMPUTED_VALUE"""),236.44)</f>
        <v>236.44</v>
      </c>
      <c r="F641" s="3">
        <f ca="1">IFERROR(__xludf.DUMMYFUNCTION("""COMPUTED_VALUE"""),63.65)</f>
        <v>63.65</v>
      </c>
      <c r="G641" s="3">
        <f ca="1">IFERROR(__xludf.DUMMYFUNCTION("""COMPUTED_VALUE"""),30.85)</f>
        <v>30.85</v>
      </c>
      <c r="H641" s="3">
        <f ca="1">IFERROR(__xludf.DUMMYFUNCTION("""COMPUTED_VALUE"""),28.24)</f>
        <v>28.24</v>
      </c>
      <c r="I641" s="3">
        <f ca="1">IFERROR(__xludf.DUMMYFUNCTION("""COMPUTED_VALUE"""),147.87)</f>
        <v>147.87</v>
      </c>
      <c r="J641" s="3">
        <f ca="1">IFERROR(__xludf.DUMMYFUNCTION("""COMPUTED_VALUE"""),270.9)</f>
        <v>270.89999999999998</v>
      </c>
      <c r="K641" s="3">
        <f ca="1">IFERROR(__xludf.DUMMYFUNCTION("""COMPUTED_VALUE"""),144.02)</f>
        <v>144.02000000000001</v>
      </c>
      <c r="L641" s="3">
        <f ca="1">IFERROR(__xludf.DUMMYFUNCTION("""COMPUTED_VALUE"""),97.51)</f>
        <v>97.51</v>
      </c>
      <c r="M641" s="3">
        <f ca="1">IFERROR(__xludf.DUMMYFUNCTION("""COMPUTED_VALUE"""),68.39)</f>
        <v>68.39</v>
      </c>
      <c r="N641" s="3">
        <f ca="1">IFERROR(__xludf.DUMMYFUNCTION("""COMPUTED_VALUE"""),69.8)</f>
        <v>69.8</v>
      </c>
      <c r="O641" s="3">
        <f ca="1">IFERROR(__xludf.DUMMYFUNCTION("""COMPUTED_VALUE"""),44.75)</f>
        <v>44.75</v>
      </c>
      <c r="P641" s="3">
        <f ca="1">IFERROR(__xludf.DUMMYFUNCTION("""COMPUTED_VALUE"""),92.37)</f>
        <v>92.37</v>
      </c>
      <c r="Q641" s="3">
        <f ca="1">IFERROR(__xludf.DUMMYFUNCTION("""COMPUTED_VALUE"""),129.61)</f>
        <v>129.61000000000001</v>
      </c>
      <c r="R641" s="3">
        <f ca="1">IFERROR(__xludf.DUMMYFUNCTION("""COMPUTED_VALUE"""),90.11)</f>
        <v>90.11</v>
      </c>
      <c r="S641" s="3">
        <f ca="1">IFERROR(__xludf.DUMMYFUNCTION("""COMPUTED_VALUE"""),62.07)</f>
        <v>62.07</v>
      </c>
      <c r="T641" s="3">
        <f ca="1">IFERROR(__xludf.DUMMYFUNCTION("""COMPUTED_VALUE"""),22.58)</f>
        <v>22.58</v>
      </c>
      <c r="U641" s="3">
        <f ca="1">IFERROR(__xludf.DUMMYFUNCTION("""COMPUTED_VALUE"""),78)</f>
        <v>78</v>
      </c>
      <c r="V641" s="3">
        <f ca="1">IFERROR(__xludf.DUMMYFUNCTION("""COMPUTED_VALUE"""),41.4)</f>
        <v>41.4</v>
      </c>
      <c r="W641" s="3">
        <f ca="1">IFERROR(__xludf.DUMMYFUNCTION("""COMPUTED_VALUE"""),42.85)</f>
        <v>42.85</v>
      </c>
      <c r="X641" s="3">
        <f ca="1">IFERROR(__xludf.DUMMYFUNCTION("""COMPUTED_VALUE"""),104.54)</f>
        <v>104.54</v>
      </c>
      <c r="Y641" s="3">
        <f ca="1">IFERROR(__xludf.DUMMYFUNCTION("""COMPUTED_VALUE"""),52.02)</f>
        <v>52.02</v>
      </c>
      <c r="Z641" s="3">
        <f ca="1">IFERROR(__xludf.DUMMYFUNCTION("""COMPUTED_VALUE"""),99.24)</f>
        <v>99.24</v>
      </c>
      <c r="AA641" s="3">
        <f ca="1">IFERROR(__xludf.DUMMYFUNCTION("""COMPUTED_VALUE"""),40.51)</f>
        <v>40.51</v>
      </c>
      <c r="AB641" s="3">
        <f ca="1">IFERROR(__xludf.DUMMYFUNCTION("""COMPUTED_VALUE"""),55.99)</f>
        <v>55.99</v>
      </c>
      <c r="AC641" s="3">
        <f ca="1">IFERROR(__xludf.DUMMYFUNCTION("""COMPUTED_VALUE"""),67.86)</f>
        <v>67.86</v>
      </c>
      <c r="AD641" s="3">
        <f ca="1">IFERROR(__xludf.DUMMYFUNCTION("""COMPUTED_VALUE"""),20.02)</f>
        <v>20.02</v>
      </c>
      <c r="AE641" s="3">
        <f ca="1">IFERROR(__xludf.DUMMYFUNCTION("""COMPUTED_VALUE"""),23.54)</f>
        <v>23.54</v>
      </c>
      <c r="AF641" s="3">
        <f ca="1">IFERROR(__xludf.DUMMYFUNCTION("""COMPUTED_VALUE"""),6.15)</f>
        <v>6.15</v>
      </c>
      <c r="AG641" s="3">
        <f ca="1">IFERROR(__xludf.DUMMYFUNCTION("""COMPUTED_VALUE"""),59.13)</f>
        <v>59.13</v>
      </c>
    </row>
    <row r="642" spans="1:33" ht="12.75" x14ac:dyDescent="0.2">
      <c r="A642" s="4">
        <f ca="1">IFERROR(__xludf.DUMMYFUNCTION("""COMPUTED_VALUE"""),45495.6666666666)</f>
        <v>45495.666666666599</v>
      </c>
      <c r="B642" s="3">
        <f ca="1">IFERROR(__xludf.DUMMYFUNCTION("""COMPUTED_VALUE"""),226.1)</f>
        <v>226.1</v>
      </c>
      <c r="C642" s="3">
        <f ca="1">IFERROR(__xludf.DUMMYFUNCTION("""COMPUTED_VALUE"""),584.23)</f>
        <v>584.23</v>
      </c>
      <c r="D642" s="3">
        <f ca="1">IFERROR(__xludf.DUMMYFUNCTION("""COMPUTED_VALUE"""),142.95)</f>
        <v>142.94999999999999</v>
      </c>
      <c r="E642" s="3">
        <f ca="1">IFERROR(__xludf.DUMMYFUNCTION("""COMPUTED_VALUE"""),246.24)</f>
        <v>246.24</v>
      </c>
      <c r="F642" s="3">
        <f ca="1">IFERROR(__xludf.DUMMYFUNCTION("""COMPUTED_VALUE"""),63.72)</f>
        <v>63.72</v>
      </c>
      <c r="G642" s="3">
        <f ca="1">IFERROR(__xludf.DUMMYFUNCTION("""COMPUTED_VALUE"""),31.24)</f>
        <v>31.24</v>
      </c>
      <c r="H642" s="3">
        <f ca="1">IFERROR(__xludf.DUMMYFUNCTION("""COMPUTED_VALUE"""),28.59)</f>
        <v>28.59</v>
      </c>
      <c r="I642" s="3">
        <f ca="1">IFERROR(__xludf.DUMMYFUNCTION("""COMPUTED_VALUE"""),148.72)</f>
        <v>148.72</v>
      </c>
      <c r="J642" s="3">
        <f ca="1">IFERROR(__xludf.DUMMYFUNCTION("""COMPUTED_VALUE"""),272.74)</f>
        <v>272.74</v>
      </c>
      <c r="K642" s="3">
        <f ca="1">IFERROR(__xludf.DUMMYFUNCTION("""COMPUTED_VALUE"""),146.24)</f>
        <v>146.24</v>
      </c>
      <c r="L642" s="3">
        <f ca="1">IFERROR(__xludf.DUMMYFUNCTION("""COMPUTED_VALUE"""),98.89)</f>
        <v>98.89</v>
      </c>
      <c r="M642" s="3">
        <f ca="1">IFERROR(__xludf.DUMMYFUNCTION("""COMPUTED_VALUE"""),69.39)</f>
        <v>69.39</v>
      </c>
      <c r="N642" s="3">
        <f ca="1">IFERROR(__xludf.DUMMYFUNCTION("""COMPUTED_VALUE"""),70.33)</f>
        <v>70.33</v>
      </c>
      <c r="O642" s="3">
        <f ca="1">IFERROR(__xludf.DUMMYFUNCTION("""COMPUTED_VALUE"""),45.84)</f>
        <v>45.84</v>
      </c>
      <c r="P642" s="3">
        <f ca="1">IFERROR(__xludf.DUMMYFUNCTION("""COMPUTED_VALUE"""),91.79)</f>
        <v>91.79</v>
      </c>
      <c r="Q642" s="3">
        <f ca="1">IFERROR(__xludf.DUMMYFUNCTION("""COMPUTED_VALUE"""),128.95)</f>
        <v>128.94999999999999</v>
      </c>
      <c r="R642" s="3">
        <f ca="1">IFERROR(__xludf.DUMMYFUNCTION("""COMPUTED_VALUE"""),90.41)</f>
        <v>90.41</v>
      </c>
      <c r="S642" s="3">
        <f ca="1">IFERROR(__xludf.DUMMYFUNCTION("""COMPUTED_VALUE"""),62.07)</f>
        <v>62.07</v>
      </c>
      <c r="T642" s="3">
        <f ca="1">IFERROR(__xludf.DUMMYFUNCTION("""COMPUTED_VALUE"""),22.64)</f>
        <v>22.64</v>
      </c>
      <c r="U642" s="3">
        <f ca="1">IFERROR(__xludf.DUMMYFUNCTION("""COMPUTED_VALUE"""),77.62)</f>
        <v>77.62</v>
      </c>
      <c r="V642" s="3">
        <f ca="1">IFERROR(__xludf.DUMMYFUNCTION("""COMPUTED_VALUE"""),41.62)</f>
        <v>41.62</v>
      </c>
      <c r="W642" s="3">
        <f ca="1">IFERROR(__xludf.DUMMYFUNCTION("""COMPUTED_VALUE"""),43.09)</f>
        <v>43.09</v>
      </c>
      <c r="X642" s="3">
        <f ca="1">IFERROR(__xludf.DUMMYFUNCTION("""COMPUTED_VALUE"""),105.33)</f>
        <v>105.33</v>
      </c>
      <c r="Y642" s="3">
        <f ca="1">IFERROR(__xludf.DUMMYFUNCTION("""COMPUTED_VALUE"""),52.85)</f>
        <v>52.85</v>
      </c>
      <c r="Z642" s="3">
        <f ca="1">IFERROR(__xludf.DUMMYFUNCTION("""COMPUTED_VALUE"""),99.89)</f>
        <v>99.89</v>
      </c>
      <c r="AA642" s="3">
        <f ca="1">IFERROR(__xludf.DUMMYFUNCTION("""COMPUTED_VALUE"""),40.91)</f>
        <v>40.909999999999997</v>
      </c>
      <c r="AB642" s="3">
        <f ca="1">IFERROR(__xludf.DUMMYFUNCTION("""COMPUTED_VALUE"""),56.93)</f>
        <v>56.93</v>
      </c>
      <c r="AC642" s="3">
        <f ca="1">IFERROR(__xludf.DUMMYFUNCTION("""COMPUTED_VALUE"""),68.29)</f>
        <v>68.290000000000006</v>
      </c>
      <c r="AD642" s="3">
        <f ca="1">IFERROR(__xludf.DUMMYFUNCTION("""COMPUTED_VALUE"""),20.05)</f>
        <v>20.05</v>
      </c>
      <c r="AE642" s="3">
        <f ca="1">IFERROR(__xludf.DUMMYFUNCTION("""COMPUTED_VALUE"""),23.88)</f>
        <v>23.88</v>
      </c>
      <c r="AF642" s="3">
        <f ca="1">IFERROR(__xludf.DUMMYFUNCTION("""COMPUTED_VALUE"""),5.91)</f>
        <v>5.91</v>
      </c>
      <c r="AG642" s="3">
        <f ca="1">IFERROR(__xludf.DUMMYFUNCTION("""COMPUTED_VALUE"""),60.27)</f>
        <v>60.27</v>
      </c>
    </row>
    <row r="643" spans="1:33" ht="12.75" x14ac:dyDescent="0.2">
      <c r="A643" s="4">
        <f ca="1">IFERROR(__xludf.DUMMYFUNCTION("""COMPUTED_VALUE"""),45496.6666666666)</f>
        <v>45496.666666666599</v>
      </c>
      <c r="B643" s="3">
        <f ca="1">IFERROR(__xludf.DUMMYFUNCTION("""COMPUTED_VALUE"""),225.2)</f>
        <v>225.2</v>
      </c>
      <c r="C643" s="3">
        <f ca="1">IFERROR(__xludf.DUMMYFUNCTION("""COMPUTED_VALUE"""),583.15)</f>
        <v>583.15</v>
      </c>
      <c r="D643" s="3">
        <f ca="1">IFERROR(__xludf.DUMMYFUNCTION("""COMPUTED_VALUE"""),144.54)</f>
        <v>144.54</v>
      </c>
      <c r="E643" s="3">
        <f ca="1">IFERROR(__xludf.DUMMYFUNCTION("""COMPUTED_VALUE"""),242.57)</f>
        <v>242.57</v>
      </c>
      <c r="F643" s="3">
        <f ca="1">IFERROR(__xludf.DUMMYFUNCTION("""COMPUTED_VALUE"""),64.36)</f>
        <v>64.36</v>
      </c>
      <c r="G643" s="3">
        <f ca="1">IFERROR(__xludf.DUMMYFUNCTION("""COMPUTED_VALUE"""),31.12)</f>
        <v>31.12</v>
      </c>
      <c r="H643" s="3">
        <f ca="1">IFERROR(__xludf.DUMMYFUNCTION("""COMPUTED_VALUE"""),28.49)</f>
        <v>28.49</v>
      </c>
      <c r="I643" s="3">
        <f ca="1">IFERROR(__xludf.DUMMYFUNCTION("""COMPUTED_VALUE"""),148.63)</f>
        <v>148.63</v>
      </c>
      <c r="J643" s="3">
        <f ca="1">IFERROR(__xludf.DUMMYFUNCTION("""COMPUTED_VALUE"""),272.9)</f>
        <v>272.89999999999998</v>
      </c>
      <c r="K643" s="3">
        <f ca="1">IFERROR(__xludf.DUMMYFUNCTION("""COMPUTED_VALUE"""),145.35)</f>
        <v>145.35</v>
      </c>
      <c r="L643" s="3">
        <f ca="1">IFERROR(__xludf.DUMMYFUNCTION("""COMPUTED_VALUE"""),99.76)</f>
        <v>99.76</v>
      </c>
      <c r="M643" s="3">
        <f ca="1">IFERROR(__xludf.DUMMYFUNCTION("""COMPUTED_VALUE"""),69.5)</f>
        <v>69.5</v>
      </c>
      <c r="N643" s="3">
        <f ca="1">IFERROR(__xludf.DUMMYFUNCTION("""COMPUTED_VALUE"""),70.34)</f>
        <v>70.34</v>
      </c>
      <c r="O643" s="3">
        <f ca="1">IFERROR(__xludf.DUMMYFUNCTION("""COMPUTED_VALUE"""),46.24)</f>
        <v>46.24</v>
      </c>
      <c r="P643" s="3">
        <f ca="1">IFERROR(__xludf.DUMMYFUNCTION("""COMPUTED_VALUE"""),90.33)</f>
        <v>90.33</v>
      </c>
      <c r="Q643" s="3">
        <f ca="1">IFERROR(__xludf.DUMMYFUNCTION("""COMPUTED_VALUE"""),127.04)</f>
        <v>127.04</v>
      </c>
      <c r="R643" s="3">
        <f ca="1">IFERROR(__xludf.DUMMYFUNCTION("""COMPUTED_VALUE"""),90.77)</f>
        <v>90.77</v>
      </c>
      <c r="S643" s="3">
        <f ca="1">IFERROR(__xludf.DUMMYFUNCTION("""COMPUTED_VALUE"""),62.5)</f>
        <v>62.5</v>
      </c>
      <c r="T643" s="3">
        <f ca="1">IFERROR(__xludf.DUMMYFUNCTION("""COMPUTED_VALUE"""),22.43)</f>
        <v>22.43</v>
      </c>
      <c r="U643" s="3">
        <f ca="1">IFERROR(__xludf.DUMMYFUNCTION("""COMPUTED_VALUE"""),76.62)</f>
        <v>76.62</v>
      </c>
      <c r="V643" s="3">
        <f ca="1">IFERROR(__xludf.DUMMYFUNCTION("""COMPUTED_VALUE"""),41.44)</f>
        <v>41.44</v>
      </c>
      <c r="W643" s="3">
        <f ca="1">IFERROR(__xludf.DUMMYFUNCTION("""COMPUTED_VALUE"""),43.17)</f>
        <v>43.17</v>
      </c>
      <c r="X643" s="3">
        <f ca="1">IFERROR(__xludf.DUMMYFUNCTION("""COMPUTED_VALUE"""),105.57)</f>
        <v>105.57</v>
      </c>
      <c r="Y643" s="3">
        <f ca="1">IFERROR(__xludf.DUMMYFUNCTION("""COMPUTED_VALUE"""),53.54)</f>
        <v>53.54</v>
      </c>
      <c r="Z643" s="3">
        <f ca="1">IFERROR(__xludf.DUMMYFUNCTION("""COMPUTED_VALUE"""),100.22)</f>
        <v>100.22</v>
      </c>
      <c r="AA643" s="3">
        <f ca="1">IFERROR(__xludf.DUMMYFUNCTION("""COMPUTED_VALUE"""),40.84)</f>
        <v>40.840000000000003</v>
      </c>
      <c r="AB643" s="3">
        <f ca="1">IFERROR(__xludf.DUMMYFUNCTION("""COMPUTED_VALUE"""),57.82)</f>
        <v>57.82</v>
      </c>
      <c r="AC643" s="3">
        <f ca="1">IFERROR(__xludf.DUMMYFUNCTION("""COMPUTED_VALUE"""),69.16)</f>
        <v>69.16</v>
      </c>
      <c r="AD643" s="3">
        <f ca="1">IFERROR(__xludf.DUMMYFUNCTION("""COMPUTED_VALUE"""),19.55)</f>
        <v>19.55</v>
      </c>
      <c r="AE643" s="3">
        <f ca="1">IFERROR(__xludf.DUMMYFUNCTION("""COMPUTED_VALUE"""),22.92)</f>
        <v>22.92</v>
      </c>
      <c r="AF643" s="3">
        <f ca="1">IFERROR(__xludf.DUMMYFUNCTION("""COMPUTED_VALUE"""),5.65)</f>
        <v>5.65</v>
      </c>
      <c r="AG643" s="3">
        <f ca="1">IFERROR(__xludf.DUMMYFUNCTION("""COMPUTED_VALUE"""),57.63)</f>
        <v>57.63</v>
      </c>
    </row>
    <row r="644" spans="1:33" ht="12.75" x14ac:dyDescent="0.2">
      <c r="A644" s="4">
        <f ca="1">IFERROR(__xludf.DUMMYFUNCTION("""COMPUTED_VALUE"""),45497.6666666666)</f>
        <v>45497.666666666599</v>
      </c>
      <c r="B644" s="3">
        <f ca="1">IFERROR(__xludf.DUMMYFUNCTION("""COMPUTED_VALUE"""),215.88)</f>
        <v>215.88</v>
      </c>
      <c r="C644" s="3">
        <f ca="1">IFERROR(__xludf.DUMMYFUNCTION("""COMPUTED_VALUE"""),560.26)</f>
        <v>560.26</v>
      </c>
      <c r="D644" s="3">
        <f ca="1">IFERROR(__xludf.DUMMYFUNCTION("""COMPUTED_VALUE"""),144.14)</f>
        <v>144.13999999999999</v>
      </c>
      <c r="E644" s="3">
        <f ca="1">IFERROR(__xludf.DUMMYFUNCTION("""COMPUTED_VALUE"""),229.67)</f>
        <v>229.67</v>
      </c>
      <c r="F644" s="3">
        <f ca="1">IFERROR(__xludf.DUMMYFUNCTION("""COMPUTED_VALUE"""),62.5)</f>
        <v>62.5</v>
      </c>
      <c r="G644" s="3">
        <f ca="1">IFERROR(__xludf.DUMMYFUNCTION("""COMPUTED_VALUE"""),30.21)</f>
        <v>30.21</v>
      </c>
      <c r="H644" s="3">
        <f ca="1">IFERROR(__xludf.DUMMYFUNCTION("""COMPUTED_VALUE"""),28.12)</f>
        <v>28.12</v>
      </c>
      <c r="I644" s="3">
        <f ca="1">IFERROR(__xludf.DUMMYFUNCTION("""COMPUTED_VALUE"""),149.87)</f>
        <v>149.87</v>
      </c>
      <c r="J644" s="3">
        <f ca="1">IFERROR(__xludf.DUMMYFUNCTION("""COMPUTED_VALUE"""),274.75)</f>
        <v>274.75</v>
      </c>
      <c r="K644" s="3">
        <f ca="1">IFERROR(__xludf.DUMMYFUNCTION("""COMPUTED_VALUE"""),145.65)</f>
        <v>145.65</v>
      </c>
      <c r="L644" s="3">
        <f ca="1">IFERROR(__xludf.DUMMYFUNCTION("""COMPUTED_VALUE"""),99.04)</f>
        <v>99.04</v>
      </c>
      <c r="M644" s="3">
        <f ca="1">IFERROR(__xludf.DUMMYFUNCTION("""COMPUTED_VALUE"""),69.25)</f>
        <v>69.25</v>
      </c>
      <c r="N644" s="3">
        <f ca="1">IFERROR(__xludf.DUMMYFUNCTION("""COMPUTED_VALUE"""),70.8)</f>
        <v>70.8</v>
      </c>
      <c r="O644" s="3">
        <f ca="1">IFERROR(__xludf.DUMMYFUNCTION("""COMPUTED_VALUE"""),45.94)</f>
        <v>45.94</v>
      </c>
      <c r="P644" s="3">
        <f ca="1">IFERROR(__xludf.DUMMYFUNCTION("""COMPUTED_VALUE"""),90.34)</f>
        <v>90.34</v>
      </c>
      <c r="Q644" s="3">
        <f ca="1">IFERROR(__xludf.DUMMYFUNCTION("""COMPUTED_VALUE"""),126.82)</f>
        <v>126.82</v>
      </c>
      <c r="R644" s="3">
        <f ca="1">IFERROR(__xludf.DUMMYFUNCTION("""COMPUTED_VALUE"""),89.61)</f>
        <v>89.61</v>
      </c>
      <c r="S644" s="3">
        <f ca="1">IFERROR(__xludf.DUMMYFUNCTION("""COMPUTED_VALUE"""),61.25)</f>
        <v>61.25</v>
      </c>
      <c r="T644" s="3">
        <f ca="1">IFERROR(__xludf.DUMMYFUNCTION("""COMPUTED_VALUE"""),22.42)</f>
        <v>22.42</v>
      </c>
      <c r="U644" s="3">
        <f ca="1">IFERROR(__xludf.DUMMYFUNCTION("""COMPUTED_VALUE"""),76.81)</f>
        <v>76.81</v>
      </c>
      <c r="V644" s="3">
        <f ca="1">IFERROR(__xludf.DUMMYFUNCTION("""COMPUTED_VALUE"""),41.8)</f>
        <v>41.8</v>
      </c>
      <c r="W644" s="3">
        <f ca="1">IFERROR(__xludf.DUMMYFUNCTION("""COMPUTED_VALUE"""),42.58)</f>
        <v>42.58</v>
      </c>
      <c r="X644" s="3">
        <f ca="1">IFERROR(__xludf.DUMMYFUNCTION("""COMPUTED_VALUE"""),104.07)</f>
        <v>104.07</v>
      </c>
      <c r="Y644" s="3">
        <f ca="1">IFERROR(__xludf.DUMMYFUNCTION("""COMPUTED_VALUE"""),52.62)</f>
        <v>52.62</v>
      </c>
      <c r="Z644" s="3">
        <f ca="1">IFERROR(__xludf.DUMMYFUNCTION("""COMPUTED_VALUE"""),99.12)</f>
        <v>99.12</v>
      </c>
      <c r="AA644" s="3">
        <f ca="1">IFERROR(__xludf.DUMMYFUNCTION("""COMPUTED_VALUE"""),40.28)</f>
        <v>40.28</v>
      </c>
      <c r="AB644" s="3">
        <f ca="1">IFERROR(__xludf.DUMMYFUNCTION("""COMPUTED_VALUE"""),56.76)</f>
        <v>56.76</v>
      </c>
      <c r="AC644" s="3">
        <f ca="1">IFERROR(__xludf.DUMMYFUNCTION("""COMPUTED_VALUE"""),68.94)</f>
        <v>68.94</v>
      </c>
      <c r="AD644" s="3">
        <f ca="1">IFERROR(__xludf.DUMMYFUNCTION("""COMPUTED_VALUE"""),19.28)</f>
        <v>19.28</v>
      </c>
      <c r="AE644" s="3">
        <f ca="1">IFERROR(__xludf.DUMMYFUNCTION("""COMPUTED_VALUE"""),22.96)</f>
        <v>22.96</v>
      </c>
      <c r="AF644" s="3">
        <f ca="1">IFERROR(__xludf.DUMMYFUNCTION("""COMPUTED_VALUE"""),5.94)</f>
        <v>5.94</v>
      </c>
      <c r="AG644" s="3">
        <f ca="1">IFERROR(__xludf.DUMMYFUNCTION("""COMPUTED_VALUE"""),54.46)</f>
        <v>54.46</v>
      </c>
    </row>
    <row r="645" spans="1:33" ht="12.75" x14ac:dyDescent="0.2">
      <c r="A645" s="4">
        <f ca="1">IFERROR(__xludf.DUMMYFUNCTION("""COMPUTED_VALUE"""),45498.6666666666)</f>
        <v>45498.666666666599</v>
      </c>
      <c r="B645" s="3">
        <f ca="1">IFERROR(__xludf.DUMMYFUNCTION("""COMPUTED_VALUE"""),213.57)</f>
        <v>213.57</v>
      </c>
      <c r="C645" s="3">
        <f ca="1">IFERROR(__xludf.DUMMYFUNCTION("""COMPUTED_VALUE"""),554.99)</f>
        <v>554.99</v>
      </c>
      <c r="D645" s="3">
        <f ca="1">IFERROR(__xludf.DUMMYFUNCTION("""COMPUTED_VALUE"""),141.39)</f>
        <v>141.38999999999999</v>
      </c>
      <c r="E645" s="3">
        <f ca="1">IFERROR(__xludf.DUMMYFUNCTION("""COMPUTED_VALUE"""),224.55)</f>
        <v>224.55</v>
      </c>
      <c r="F645" s="3">
        <f ca="1">IFERROR(__xludf.DUMMYFUNCTION("""COMPUTED_VALUE"""),62.95)</f>
        <v>62.95</v>
      </c>
      <c r="G645" s="3">
        <f ca="1">IFERROR(__xludf.DUMMYFUNCTION("""COMPUTED_VALUE"""),29.81)</f>
        <v>29.81</v>
      </c>
      <c r="H645" s="3">
        <f ca="1">IFERROR(__xludf.DUMMYFUNCTION("""COMPUTED_VALUE"""),28.02)</f>
        <v>28.02</v>
      </c>
      <c r="I645" s="3">
        <f ca="1">IFERROR(__xludf.DUMMYFUNCTION("""COMPUTED_VALUE"""),149.12)</f>
        <v>149.12</v>
      </c>
      <c r="J645" s="3">
        <f ca="1">IFERROR(__xludf.DUMMYFUNCTION("""COMPUTED_VALUE"""),273.55)</f>
        <v>273.55</v>
      </c>
      <c r="K645" s="3">
        <f ca="1">IFERROR(__xludf.DUMMYFUNCTION("""COMPUTED_VALUE"""),147.03)</f>
        <v>147.03</v>
      </c>
      <c r="L645" s="3">
        <f ca="1">IFERROR(__xludf.DUMMYFUNCTION("""COMPUTED_VALUE"""),100.98)</f>
        <v>100.98</v>
      </c>
      <c r="M645" s="3">
        <f ca="1">IFERROR(__xludf.DUMMYFUNCTION("""COMPUTED_VALUE"""),70.1)</f>
        <v>70.099999999999994</v>
      </c>
      <c r="N645" s="3">
        <f ca="1">IFERROR(__xludf.DUMMYFUNCTION("""COMPUTED_VALUE"""),70.56)</f>
        <v>70.56</v>
      </c>
      <c r="O645" s="3">
        <f ca="1">IFERROR(__xludf.DUMMYFUNCTION("""COMPUTED_VALUE"""),46.44)</f>
        <v>46.44</v>
      </c>
      <c r="P645" s="3">
        <f ca="1">IFERROR(__xludf.DUMMYFUNCTION("""COMPUTED_VALUE"""),91.9)</f>
        <v>91.9</v>
      </c>
      <c r="Q645" s="3">
        <f ca="1">IFERROR(__xludf.DUMMYFUNCTION("""COMPUTED_VALUE"""),128.65)</f>
        <v>128.65</v>
      </c>
      <c r="R645" s="3">
        <f ca="1">IFERROR(__xludf.DUMMYFUNCTION("""COMPUTED_VALUE"""),89.86)</f>
        <v>89.86</v>
      </c>
      <c r="S645" s="3">
        <f ca="1">IFERROR(__xludf.DUMMYFUNCTION("""COMPUTED_VALUE"""),61.74)</f>
        <v>61.74</v>
      </c>
      <c r="T645" s="3">
        <f ca="1">IFERROR(__xludf.DUMMYFUNCTION("""COMPUTED_VALUE"""),22.47)</f>
        <v>22.47</v>
      </c>
      <c r="U645" s="3">
        <f ca="1">IFERROR(__xludf.DUMMYFUNCTION("""COMPUTED_VALUE"""),77.46)</f>
        <v>77.459999999999994</v>
      </c>
      <c r="V645" s="3">
        <f ca="1">IFERROR(__xludf.DUMMYFUNCTION("""COMPUTED_VALUE"""),42.08)</f>
        <v>42.08</v>
      </c>
      <c r="W645" s="3">
        <f ca="1">IFERROR(__xludf.DUMMYFUNCTION("""COMPUTED_VALUE"""),42.74)</f>
        <v>42.74</v>
      </c>
      <c r="X645" s="3">
        <f ca="1">IFERROR(__xludf.DUMMYFUNCTION("""COMPUTED_VALUE"""),104.73)</f>
        <v>104.73</v>
      </c>
      <c r="Y645" s="3">
        <f ca="1">IFERROR(__xludf.DUMMYFUNCTION("""COMPUTED_VALUE"""),53.81)</f>
        <v>53.81</v>
      </c>
      <c r="Z645" s="3">
        <f ca="1">IFERROR(__xludf.DUMMYFUNCTION("""COMPUTED_VALUE"""),99.77)</f>
        <v>99.77</v>
      </c>
      <c r="AA645" s="3">
        <f ca="1">IFERROR(__xludf.DUMMYFUNCTION("""COMPUTED_VALUE"""),40.06)</f>
        <v>40.06</v>
      </c>
      <c r="AB645" s="3">
        <f ca="1">IFERROR(__xludf.DUMMYFUNCTION("""COMPUTED_VALUE"""),58.22)</f>
        <v>58.22</v>
      </c>
      <c r="AC645" s="3">
        <f ca="1">IFERROR(__xludf.DUMMYFUNCTION("""COMPUTED_VALUE"""),69.59)</f>
        <v>69.59</v>
      </c>
      <c r="AD645" s="3">
        <f ca="1">IFERROR(__xludf.DUMMYFUNCTION("""COMPUTED_VALUE"""),18.43)</f>
        <v>18.43</v>
      </c>
      <c r="AE645" s="3">
        <f ca="1">IFERROR(__xludf.DUMMYFUNCTION("""COMPUTED_VALUE"""),22.57)</f>
        <v>22.57</v>
      </c>
      <c r="AF645" s="3">
        <f ca="1">IFERROR(__xludf.DUMMYFUNCTION("""COMPUTED_VALUE"""),5.85)</f>
        <v>5.85</v>
      </c>
      <c r="AG645" s="3">
        <f ca="1">IFERROR(__xludf.DUMMYFUNCTION("""COMPUTED_VALUE"""),51.35)</f>
        <v>51.35</v>
      </c>
    </row>
    <row r="646" spans="1:33" ht="12.75" x14ac:dyDescent="0.2">
      <c r="A646" s="4">
        <f ca="1">IFERROR(__xludf.DUMMYFUNCTION("""COMPUTED_VALUE"""),45499.6666666666)</f>
        <v>45499.666666666599</v>
      </c>
      <c r="B646" s="3">
        <f ca="1">IFERROR(__xludf.DUMMYFUNCTION("""COMPUTED_VALUE"""),216.28)</f>
        <v>216.28</v>
      </c>
      <c r="C646" s="3">
        <f ca="1">IFERROR(__xludf.DUMMYFUNCTION("""COMPUTED_VALUE"""),561.56)</f>
        <v>561.55999999999995</v>
      </c>
      <c r="D646" s="3">
        <f ca="1">IFERROR(__xludf.DUMMYFUNCTION("""COMPUTED_VALUE"""),146.33)</f>
        <v>146.33000000000001</v>
      </c>
      <c r="E646" s="3">
        <f ca="1">IFERROR(__xludf.DUMMYFUNCTION("""COMPUTED_VALUE"""),229.37)</f>
        <v>229.37</v>
      </c>
      <c r="F646" s="3">
        <f ca="1">IFERROR(__xludf.DUMMYFUNCTION("""COMPUTED_VALUE"""),63.32)</f>
        <v>63.32</v>
      </c>
      <c r="G646" s="3">
        <f ca="1">IFERROR(__xludf.DUMMYFUNCTION("""COMPUTED_VALUE"""),30.39)</f>
        <v>30.39</v>
      </c>
      <c r="H646" s="3">
        <f ca="1">IFERROR(__xludf.DUMMYFUNCTION("""COMPUTED_VALUE"""),28.38)</f>
        <v>28.38</v>
      </c>
      <c r="I646" s="3">
        <f ca="1">IFERROR(__xludf.DUMMYFUNCTION("""COMPUTED_VALUE"""),149.96)</f>
        <v>149.96</v>
      </c>
      <c r="J646" s="3">
        <f ca="1">IFERROR(__xludf.DUMMYFUNCTION("""COMPUTED_VALUE"""),275.43)</f>
        <v>275.43</v>
      </c>
      <c r="K646" s="3">
        <f ca="1">IFERROR(__xludf.DUMMYFUNCTION("""COMPUTED_VALUE"""),148.26)</f>
        <v>148.26</v>
      </c>
      <c r="L646" s="3">
        <f ca="1">IFERROR(__xludf.DUMMYFUNCTION("""COMPUTED_VALUE"""),101.54)</f>
        <v>101.54</v>
      </c>
      <c r="M646" s="3">
        <f ca="1">IFERROR(__xludf.DUMMYFUNCTION("""COMPUTED_VALUE"""),70.84)</f>
        <v>70.84</v>
      </c>
      <c r="N646" s="3">
        <f ca="1">IFERROR(__xludf.DUMMYFUNCTION("""COMPUTED_VALUE"""),70.97)</f>
        <v>70.97</v>
      </c>
      <c r="O646" s="3">
        <f ca="1">IFERROR(__xludf.DUMMYFUNCTION("""COMPUTED_VALUE"""),46.88)</f>
        <v>46.88</v>
      </c>
      <c r="P646" s="3">
        <f ca="1">IFERROR(__xludf.DUMMYFUNCTION("""COMPUTED_VALUE"""),92.19)</f>
        <v>92.19</v>
      </c>
      <c r="Q646" s="3">
        <f ca="1">IFERROR(__xludf.DUMMYFUNCTION("""COMPUTED_VALUE"""),129.2)</f>
        <v>129.19999999999999</v>
      </c>
      <c r="R646" s="3">
        <f ca="1">IFERROR(__xludf.DUMMYFUNCTION("""COMPUTED_VALUE"""),91.33)</f>
        <v>91.33</v>
      </c>
      <c r="S646" s="3">
        <f ca="1">IFERROR(__xludf.DUMMYFUNCTION("""COMPUTED_VALUE"""),62.68)</f>
        <v>62.68</v>
      </c>
      <c r="T646" s="3">
        <f ca="1">IFERROR(__xludf.DUMMYFUNCTION("""COMPUTED_VALUE"""),22.24)</f>
        <v>22.24</v>
      </c>
      <c r="U646" s="3">
        <f ca="1">IFERROR(__xludf.DUMMYFUNCTION("""COMPUTED_VALUE"""),76.11)</f>
        <v>76.11</v>
      </c>
      <c r="V646" s="3">
        <f ca="1">IFERROR(__xludf.DUMMYFUNCTION("""COMPUTED_VALUE"""),42.69)</f>
        <v>42.69</v>
      </c>
      <c r="W646" s="3">
        <f ca="1">IFERROR(__xludf.DUMMYFUNCTION("""COMPUTED_VALUE"""),43.41)</f>
        <v>43.41</v>
      </c>
      <c r="X646" s="3">
        <f ca="1">IFERROR(__xludf.DUMMYFUNCTION("""COMPUTED_VALUE"""),106.29)</f>
        <v>106.29</v>
      </c>
      <c r="Y646" s="3">
        <f ca="1">IFERROR(__xludf.DUMMYFUNCTION("""COMPUTED_VALUE"""),54.71)</f>
        <v>54.71</v>
      </c>
      <c r="Z646" s="3">
        <f ca="1">IFERROR(__xludf.DUMMYFUNCTION("""COMPUTED_VALUE"""),101.19)</f>
        <v>101.19</v>
      </c>
      <c r="AA646" s="3">
        <f ca="1">IFERROR(__xludf.DUMMYFUNCTION("""COMPUTED_VALUE"""),40.73)</f>
        <v>40.729999999999997</v>
      </c>
      <c r="AB646" s="3">
        <f ca="1">IFERROR(__xludf.DUMMYFUNCTION("""COMPUTED_VALUE"""),59.23)</f>
        <v>59.23</v>
      </c>
      <c r="AC646" s="3">
        <f ca="1">IFERROR(__xludf.DUMMYFUNCTION("""COMPUTED_VALUE"""),69.46)</f>
        <v>69.459999999999994</v>
      </c>
      <c r="AD646" s="3">
        <f ca="1">IFERROR(__xludf.DUMMYFUNCTION("""COMPUTED_VALUE"""),19.38)</f>
        <v>19.38</v>
      </c>
      <c r="AE646" s="3">
        <f ca="1">IFERROR(__xludf.DUMMYFUNCTION("""COMPUTED_VALUE"""),23.76)</f>
        <v>23.76</v>
      </c>
      <c r="AF646" s="3">
        <f ca="1">IFERROR(__xludf.DUMMYFUNCTION("""COMPUTED_VALUE"""),5.75)</f>
        <v>5.75</v>
      </c>
      <c r="AG646" s="3">
        <f ca="1">IFERROR(__xludf.DUMMYFUNCTION("""COMPUTED_VALUE"""),53.36)</f>
        <v>53.36</v>
      </c>
    </row>
    <row r="647" spans="1:33" ht="12.75" x14ac:dyDescent="0.2">
      <c r="A647" s="4">
        <f ca="1">IFERROR(__xludf.DUMMYFUNCTION("""COMPUTED_VALUE"""),45502.6666666666)</f>
        <v>45502.666666666599</v>
      </c>
      <c r="B647" s="3">
        <f ca="1">IFERROR(__xludf.DUMMYFUNCTION("""COMPUTED_VALUE"""),215.32)</f>
        <v>215.32</v>
      </c>
      <c r="C647" s="3">
        <f ca="1">IFERROR(__xludf.DUMMYFUNCTION("""COMPUTED_VALUE"""),559.49)</f>
        <v>559.49</v>
      </c>
      <c r="D647" s="3">
        <f ca="1">IFERROR(__xludf.DUMMYFUNCTION("""COMPUTED_VALUE"""),141.77)</f>
        <v>141.77000000000001</v>
      </c>
      <c r="E647" s="3">
        <f ca="1">IFERROR(__xludf.DUMMYFUNCTION("""COMPUTED_VALUE"""),228.89)</f>
        <v>228.89</v>
      </c>
      <c r="F647" s="3">
        <f ca="1">IFERROR(__xludf.DUMMYFUNCTION("""COMPUTED_VALUE"""),63.19)</f>
        <v>63.19</v>
      </c>
      <c r="G647" s="3">
        <f ca="1">IFERROR(__xludf.DUMMYFUNCTION("""COMPUTED_VALUE"""),30.17)</f>
        <v>30.17</v>
      </c>
      <c r="H647" s="3">
        <f ca="1">IFERROR(__xludf.DUMMYFUNCTION("""COMPUTED_VALUE"""),28.39)</f>
        <v>28.39</v>
      </c>
      <c r="I647" s="3">
        <f ca="1">IFERROR(__xludf.DUMMYFUNCTION("""COMPUTED_VALUE"""),150.05)</f>
        <v>150.05000000000001</v>
      </c>
      <c r="J647" s="3">
        <f ca="1">IFERROR(__xludf.DUMMYFUNCTION("""COMPUTED_VALUE"""),275.47)</f>
        <v>275.47000000000003</v>
      </c>
      <c r="K647" s="3">
        <f ca="1">IFERROR(__xludf.DUMMYFUNCTION("""COMPUTED_VALUE"""),147.91)</f>
        <v>147.91</v>
      </c>
      <c r="L647" s="3">
        <f ca="1">IFERROR(__xludf.DUMMYFUNCTION("""COMPUTED_VALUE"""),100.27)</f>
        <v>100.27</v>
      </c>
      <c r="M647" s="3">
        <f ca="1">IFERROR(__xludf.DUMMYFUNCTION("""COMPUTED_VALUE"""),70.16)</f>
        <v>70.16</v>
      </c>
      <c r="N647" s="3">
        <f ca="1">IFERROR(__xludf.DUMMYFUNCTION("""COMPUTED_VALUE"""),70.99)</f>
        <v>70.989999999999995</v>
      </c>
      <c r="O647" s="3">
        <f ca="1">IFERROR(__xludf.DUMMYFUNCTION("""COMPUTED_VALUE"""),46.52)</f>
        <v>46.52</v>
      </c>
      <c r="P647" s="3">
        <f ca="1">IFERROR(__xludf.DUMMYFUNCTION("""COMPUTED_VALUE"""),91.4)</f>
        <v>91.4</v>
      </c>
      <c r="Q647" s="3">
        <f ca="1">IFERROR(__xludf.DUMMYFUNCTION("""COMPUTED_VALUE"""),128.01)</f>
        <v>128.01</v>
      </c>
      <c r="R647" s="3">
        <f ca="1">IFERROR(__xludf.DUMMYFUNCTION("""COMPUTED_VALUE"""),91.49)</f>
        <v>91.49</v>
      </c>
      <c r="S647" s="3">
        <f ca="1">IFERROR(__xludf.DUMMYFUNCTION("""COMPUTED_VALUE"""),62.08)</f>
        <v>62.08</v>
      </c>
      <c r="T647" s="3">
        <f ca="1">IFERROR(__xludf.DUMMYFUNCTION("""COMPUTED_VALUE"""),22.14)</f>
        <v>22.14</v>
      </c>
      <c r="U647" s="3">
        <f ca="1">IFERROR(__xludf.DUMMYFUNCTION("""COMPUTED_VALUE"""),75.19)</f>
        <v>75.19</v>
      </c>
      <c r="V647" s="3">
        <f ca="1">IFERROR(__xludf.DUMMYFUNCTION("""COMPUTED_VALUE"""),41.66)</f>
        <v>41.66</v>
      </c>
      <c r="W647" s="3">
        <f ca="1">IFERROR(__xludf.DUMMYFUNCTION("""COMPUTED_VALUE"""),43.35)</f>
        <v>43.35</v>
      </c>
      <c r="X647" s="3">
        <f ca="1">IFERROR(__xludf.DUMMYFUNCTION("""COMPUTED_VALUE"""),105.9)</f>
        <v>105.9</v>
      </c>
      <c r="Y647" s="3">
        <f ca="1">IFERROR(__xludf.DUMMYFUNCTION("""COMPUTED_VALUE"""),53.71)</f>
        <v>53.71</v>
      </c>
      <c r="Z647" s="3">
        <f ca="1">IFERROR(__xludf.DUMMYFUNCTION("""COMPUTED_VALUE"""),100.65)</f>
        <v>100.65</v>
      </c>
      <c r="AA647" s="3">
        <f ca="1">IFERROR(__xludf.DUMMYFUNCTION("""COMPUTED_VALUE"""),40.99)</f>
        <v>40.99</v>
      </c>
      <c r="AB647" s="3">
        <f ca="1">IFERROR(__xludf.DUMMYFUNCTION("""COMPUTED_VALUE"""),57.97)</f>
        <v>57.97</v>
      </c>
      <c r="AC647" s="3">
        <f ca="1">IFERROR(__xludf.DUMMYFUNCTION("""COMPUTED_VALUE"""),68.19)</f>
        <v>68.19</v>
      </c>
      <c r="AD647" s="3">
        <f ca="1">IFERROR(__xludf.DUMMYFUNCTION("""COMPUTED_VALUE"""),19.3)</f>
        <v>19.3</v>
      </c>
      <c r="AE647" s="3">
        <f ca="1">IFERROR(__xludf.DUMMYFUNCTION("""COMPUTED_VALUE"""),23.43)</f>
        <v>23.43</v>
      </c>
      <c r="AF647" s="3">
        <f ca="1">IFERROR(__xludf.DUMMYFUNCTION("""COMPUTED_VALUE"""),5.5)</f>
        <v>5.5</v>
      </c>
      <c r="AG647" s="3">
        <f ca="1">IFERROR(__xludf.DUMMYFUNCTION("""COMPUTED_VALUE"""),51.64)</f>
        <v>51.64</v>
      </c>
    </row>
    <row r="648" spans="1:33" ht="12.75" x14ac:dyDescent="0.2">
      <c r="A648" s="4">
        <f ca="1">IFERROR(__xludf.DUMMYFUNCTION("""COMPUTED_VALUE"""),45503.6666666666)</f>
        <v>45503.666666666599</v>
      </c>
      <c r="B648" s="3">
        <f ca="1">IFERROR(__xludf.DUMMYFUNCTION("""COMPUTED_VALUE"""),209.91)</f>
        <v>209.91</v>
      </c>
      <c r="C648" s="3">
        <f ca="1">IFERROR(__xludf.DUMMYFUNCTION("""COMPUTED_VALUE"""),548.81)</f>
        <v>548.80999999999995</v>
      </c>
      <c r="D648" s="3">
        <f ca="1">IFERROR(__xludf.DUMMYFUNCTION("""COMPUTED_VALUE"""),138.18)</f>
        <v>138.18</v>
      </c>
      <c r="E648" s="3">
        <f ca="1">IFERROR(__xludf.DUMMYFUNCTION("""COMPUTED_VALUE"""),220.58)</f>
        <v>220.58</v>
      </c>
      <c r="F648" s="3">
        <f ca="1">IFERROR(__xludf.DUMMYFUNCTION("""COMPUTED_VALUE"""),63.26)</f>
        <v>63.26</v>
      </c>
      <c r="G648" s="3">
        <f ca="1">IFERROR(__xludf.DUMMYFUNCTION("""COMPUTED_VALUE"""),29.78)</f>
        <v>29.78</v>
      </c>
      <c r="H648" s="3">
        <f ca="1">IFERROR(__xludf.DUMMYFUNCTION("""COMPUTED_VALUE"""),28.25)</f>
        <v>28.25</v>
      </c>
      <c r="I648" s="3">
        <f ca="1">IFERROR(__xludf.DUMMYFUNCTION("""COMPUTED_VALUE"""),150.18)</f>
        <v>150.18</v>
      </c>
      <c r="J648" s="3">
        <f ca="1">IFERROR(__xludf.DUMMYFUNCTION("""COMPUTED_VALUE"""),275.74)</f>
        <v>275.74</v>
      </c>
      <c r="K648" s="3">
        <f ca="1">IFERROR(__xludf.DUMMYFUNCTION("""COMPUTED_VALUE"""),147.88)</f>
        <v>147.88</v>
      </c>
      <c r="L648" s="3">
        <f ca="1">IFERROR(__xludf.DUMMYFUNCTION("""COMPUTED_VALUE"""),98.99)</f>
        <v>98.99</v>
      </c>
      <c r="M648" s="3">
        <f ca="1">IFERROR(__xludf.DUMMYFUNCTION("""COMPUTED_VALUE"""),70.43)</f>
        <v>70.430000000000007</v>
      </c>
      <c r="N648" s="3">
        <f ca="1">IFERROR(__xludf.DUMMYFUNCTION("""COMPUTED_VALUE"""),71.04)</f>
        <v>71.040000000000006</v>
      </c>
      <c r="O648" s="3">
        <f ca="1">IFERROR(__xludf.DUMMYFUNCTION("""COMPUTED_VALUE"""),46.28)</f>
        <v>46.28</v>
      </c>
      <c r="P648" s="3">
        <f ca="1">IFERROR(__xludf.DUMMYFUNCTION("""COMPUTED_VALUE"""),92.82)</f>
        <v>92.82</v>
      </c>
      <c r="Q648" s="3">
        <f ca="1">IFERROR(__xludf.DUMMYFUNCTION("""COMPUTED_VALUE"""),129.93)</f>
        <v>129.93</v>
      </c>
      <c r="R648" s="3">
        <f ca="1">IFERROR(__xludf.DUMMYFUNCTION("""COMPUTED_VALUE"""),91.19)</f>
        <v>91.19</v>
      </c>
      <c r="S648" s="3">
        <f ca="1">IFERROR(__xludf.DUMMYFUNCTION("""COMPUTED_VALUE"""),61.83)</f>
        <v>61.83</v>
      </c>
      <c r="T648" s="3">
        <f ca="1">IFERROR(__xludf.DUMMYFUNCTION("""COMPUTED_VALUE"""),22.07)</f>
        <v>22.07</v>
      </c>
      <c r="U648" s="3">
        <f ca="1">IFERROR(__xludf.DUMMYFUNCTION("""COMPUTED_VALUE"""),74.46)</f>
        <v>74.459999999999994</v>
      </c>
      <c r="V648" s="3">
        <f ca="1">IFERROR(__xludf.DUMMYFUNCTION("""COMPUTED_VALUE"""),40.98)</f>
        <v>40.98</v>
      </c>
      <c r="W648" s="3">
        <f ca="1">IFERROR(__xludf.DUMMYFUNCTION("""COMPUTED_VALUE"""),43.85)</f>
        <v>43.85</v>
      </c>
      <c r="X648" s="3">
        <f ca="1">IFERROR(__xludf.DUMMYFUNCTION("""COMPUTED_VALUE"""),107.02)</f>
        <v>107.02</v>
      </c>
      <c r="Y648" s="3">
        <f ca="1">IFERROR(__xludf.DUMMYFUNCTION("""COMPUTED_VALUE"""),54.14)</f>
        <v>54.14</v>
      </c>
      <c r="Z648" s="3">
        <f ca="1">IFERROR(__xludf.DUMMYFUNCTION("""COMPUTED_VALUE"""),101.72)</f>
        <v>101.72</v>
      </c>
      <c r="AA648" s="3">
        <f ca="1">IFERROR(__xludf.DUMMYFUNCTION("""COMPUTED_VALUE"""),41.29)</f>
        <v>41.29</v>
      </c>
      <c r="AB648" s="3">
        <f ca="1">IFERROR(__xludf.DUMMYFUNCTION("""COMPUTED_VALUE"""),58.52)</f>
        <v>58.52</v>
      </c>
      <c r="AC648" s="3">
        <f ca="1">IFERROR(__xludf.DUMMYFUNCTION("""COMPUTED_VALUE"""),66.18)</f>
        <v>66.180000000000007</v>
      </c>
      <c r="AD648" s="3">
        <f ca="1">IFERROR(__xludf.DUMMYFUNCTION("""COMPUTED_VALUE"""),18.99)</f>
        <v>18.989999999999998</v>
      </c>
      <c r="AE648" s="3">
        <f ca="1">IFERROR(__xludf.DUMMYFUNCTION("""COMPUTED_VALUE"""),22.95)</f>
        <v>22.95</v>
      </c>
      <c r="AF648" s="3">
        <f ca="1">IFERROR(__xludf.DUMMYFUNCTION("""COMPUTED_VALUE"""),5.53)</f>
        <v>5.53</v>
      </c>
      <c r="AG648" s="3">
        <f ca="1">IFERROR(__xludf.DUMMYFUNCTION("""COMPUTED_VALUE"""),49.75)</f>
        <v>49.75</v>
      </c>
    </row>
    <row r="649" spans="1:33" ht="12.75" x14ac:dyDescent="0.2">
      <c r="A649" s="4">
        <f ca="1">IFERROR(__xludf.DUMMYFUNCTION("""COMPUTED_VALUE"""),45504.6666666666)</f>
        <v>45504.666666666599</v>
      </c>
      <c r="B649" s="3">
        <f ca="1">IFERROR(__xludf.DUMMYFUNCTION("""COMPUTED_VALUE"""),218.8)</f>
        <v>218.8</v>
      </c>
      <c r="C649" s="3">
        <f ca="1">IFERROR(__xludf.DUMMYFUNCTION("""COMPUTED_VALUE"""),568.01)</f>
        <v>568.01</v>
      </c>
      <c r="D649" s="3">
        <f ca="1">IFERROR(__xludf.DUMMYFUNCTION("""COMPUTED_VALUE"""),133.32)</f>
        <v>133.32</v>
      </c>
      <c r="E649" s="3">
        <f ca="1">IFERROR(__xludf.DUMMYFUNCTION("""COMPUTED_VALUE"""),235.38)</f>
        <v>235.38</v>
      </c>
      <c r="F649" s="3">
        <f ca="1">IFERROR(__xludf.DUMMYFUNCTION("""COMPUTED_VALUE"""),64.32)</f>
        <v>64.319999999999993</v>
      </c>
      <c r="G649" s="3">
        <f ca="1">IFERROR(__xludf.DUMMYFUNCTION("""COMPUTED_VALUE"""),30.8)</f>
        <v>30.8</v>
      </c>
      <c r="H649" s="3">
        <f ca="1">IFERROR(__xludf.DUMMYFUNCTION("""COMPUTED_VALUE"""),28.52)</f>
        <v>28.52</v>
      </c>
      <c r="I649" s="3">
        <f ca="1">IFERROR(__xludf.DUMMYFUNCTION("""COMPUTED_VALUE"""),149.63)</f>
        <v>149.63</v>
      </c>
      <c r="J649" s="3">
        <f ca="1">IFERROR(__xludf.DUMMYFUNCTION("""COMPUTED_VALUE"""),274.68)</f>
        <v>274.68</v>
      </c>
      <c r="K649" s="3">
        <f ca="1">IFERROR(__xludf.DUMMYFUNCTION("""COMPUTED_VALUE"""),147.97)</f>
        <v>147.97</v>
      </c>
      <c r="L649" s="3">
        <f ca="1">IFERROR(__xludf.DUMMYFUNCTION("""COMPUTED_VALUE"""),99.06)</f>
        <v>99.06</v>
      </c>
      <c r="M649" s="3">
        <f ca="1">IFERROR(__xludf.DUMMYFUNCTION("""COMPUTED_VALUE"""),70.17)</f>
        <v>70.17</v>
      </c>
      <c r="N649" s="3">
        <f ca="1">IFERROR(__xludf.DUMMYFUNCTION("""COMPUTED_VALUE"""),70.75)</f>
        <v>70.75</v>
      </c>
      <c r="O649" s="3">
        <f ca="1">IFERROR(__xludf.DUMMYFUNCTION("""COMPUTED_VALUE"""),46.52)</f>
        <v>46.52</v>
      </c>
      <c r="P649" s="3">
        <f ca="1">IFERROR(__xludf.DUMMYFUNCTION("""COMPUTED_VALUE"""),93.21)</f>
        <v>93.21</v>
      </c>
      <c r="Q649" s="3">
        <f ca="1">IFERROR(__xludf.DUMMYFUNCTION("""COMPUTED_VALUE"""),130.67)</f>
        <v>130.66999999999999</v>
      </c>
      <c r="R649" s="3">
        <f ca="1">IFERROR(__xludf.DUMMYFUNCTION("""COMPUTED_VALUE"""),92.14)</f>
        <v>92.14</v>
      </c>
      <c r="S649" s="3">
        <f ca="1">IFERROR(__xludf.DUMMYFUNCTION("""COMPUTED_VALUE"""),63.47)</f>
        <v>63.47</v>
      </c>
      <c r="T649" s="3">
        <f ca="1">IFERROR(__xludf.DUMMYFUNCTION("""COMPUTED_VALUE"""),22.58)</f>
        <v>22.58</v>
      </c>
      <c r="U649" s="3">
        <f ca="1">IFERROR(__xludf.DUMMYFUNCTION("""COMPUTED_VALUE"""),77.74)</f>
        <v>77.739999999999995</v>
      </c>
      <c r="V649" s="3">
        <f ca="1">IFERROR(__xludf.DUMMYFUNCTION("""COMPUTED_VALUE"""),42.13)</f>
        <v>42.13</v>
      </c>
      <c r="W649" s="3">
        <f ca="1">IFERROR(__xludf.DUMMYFUNCTION("""COMPUTED_VALUE"""),43.74)</f>
        <v>43.74</v>
      </c>
      <c r="X649" s="3">
        <f ca="1">IFERROR(__xludf.DUMMYFUNCTION("""COMPUTED_VALUE"""),106.89)</f>
        <v>106.89</v>
      </c>
      <c r="Y649" s="3">
        <f ca="1">IFERROR(__xludf.DUMMYFUNCTION("""COMPUTED_VALUE"""),53.95)</f>
        <v>53.95</v>
      </c>
      <c r="Z649" s="3">
        <f ca="1">IFERROR(__xludf.DUMMYFUNCTION("""COMPUTED_VALUE"""),101.29)</f>
        <v>101.29</v>
      </c>
      <c r="AA649" s="3">
        <f ca="1">IFERROR(__xludf.DUMMYFUNCTION("""COMPUTED_VALUE"""),41.19)</f>
        <v>41.19</v>
      </c>
      <c r="AB649" s="3">
        <f ca="1">IFERROR(__xludf.DUMMYFUNCTION("""COMPUTED_VALUE"""),58.28)</f>
        <v>58.28</v>
      </c>
      <c r="AC649" s="3">
        <f ca="1">IFERROR(__xludf.DUMMYFUNCTION("""COMPUTED_VALUE"""),64.2)</f>
        <v>64.2</v>
      </c>
      <c r="AD649" s="3">
        <f ca="1">IFERROR(__xludf.DUMMYFUNCTION("""COMPUTED_VALUE"""),18.87)</f>
        <v>18.87</v>
      </c>
      <c r="AE649" s="3">
        <f ca="1">IFERROR(__xludf.DUMMYFUNCTION("""COMPUTED_VALUE"""),22.69)</f>
        <v>22.69</v>
      </c>
      <c r="AF649" s="3">
        <f ca="1">IFERROR(__xludf.DUMMYFUNCTION("""COMPUTED_VALUE"""),5.77)</f>
        <v>5.77</v>
      </c>
      <c r="AG649" s="3">
        <f ca="1">IFERROR(__xludf.DUMMYFUNCTION("""COMPUTED_VALUE"""),51.34)</f>
        <v>51.34</v>
      </c>
    </row>
    <row r="650" spans="1:33" ht="12.75" x14ac:dyDescent="0.2">
      <c r="A650" s="4">
        <f ca="1">IFERROR(__xludf.DUMMYFUNCTION("""COMPUTED_VALUE"""),45505.6666666666)</f>
        <v>45505.666666666599</v>
      </c>
      <c r="B650" s="3">
        <f ca="1">IFERROR(__xludf.DUMMYFUNCTION("""COMPUTED_VALUE"""),210.64)</f>
        <v>210.64</v>
      </c>
      <c r="C650" s="3">
        <f ca="1">IFERROR(__xludf.DUMMYFUNCTION("""COMPUTED_VALUE"""),547.48)</f>
        <v>547.48</v>
      </c>
      <c r="D650" s="3">
        <f ca="1">IFERROR(__xludf.DUMMYFUNCTION("""COMPUTED_VALUE"""),134.59)</f>
        <v>134.59</v>
      </c>
      <c r="E650" s="3">
        <f ca="1">IFERROR(__xludf.DUMMYFUNCTION("""COMPUTED_VALUE"""),218.42)</f>
        <v>218.42</v>
      </c>
      <c r="F650" s="3">
        <f ca="1">IFERROR(__xludf.DUMMYFUNCTION("""COMPUTED_VALUE"""),62.17)</f>
        <v>62.17</v>
      </c>
      <c r="G650" s="3">
        <f ca="1">IFERROR(__xludf.DUMMYFUNCTION("""COMPUTED_VALUE"""),29.46)</f>
        <v>29.46</v>
      </c>
      <c r="H650" s="3">
        <f ca="1">IFERROR(__xludf.DUMMYFUNCTION("""COMPUTED_VALUE"""),28.02)</f>
        <v>28.02</v>
      </c>
      <c r="I650" s="3">
        <f ca="1">IFERROR(__xludf.DUMMYFUNCTION("""COMPUTED_VALUE"""),151.16)</f>
        <v>151.16</v>
      </c>
      <c r="J650" s="3">
        <f ca="1">IFERROR(__xludf.DUMMYFUNCTION("""COMPUTED_VALUE"""),277.21)</f>
        <v>277.20999999999998</v>
      </c>
      <c r="K650" s="3">
        <f ca="1">IFERROR(__xludf.DUMMYFUNCTION("""COMPUTED_VALUE"""),147.1)</f>
        <v>147.1</v>
      </c>
      <c r="L650" s="3">
        <f ca="1">IFERROR(__xludf.DUMMYFUNCTION("""COMPUTED_VALUE"""),98.67)</f>
        <v>98.67</v>
      </c>
      <c r="M650" s="3">
        <f ca="1">IFERROR(__xludf.DUMMYFUNCTION("""COMPUTED_VALUE"""),69.89)</f>
        <v>69.89</v>
      </c>
      <c r="N650" s="3">
        <f ca="1">IFERROR(__xludf.DUMMYFUNCTION("""COMPUTED_VALUE"""),71.46)</f>
        <v>71.459999999999994</v>
      </c>
      <c r="O650" s="3">
        <f ca="1">IFERROR(__xludf.DUMMYFUNCTION("""COMPUTED_VALUE"""),45.56)</f>
        <v>45.56</v>
      </c>
      <c r="P650" s="3">
        <f ca="1">IFERROR(__xludf.DUMMYFUNCTION("""COMPUTED_VALUE"""),90.74)</f>
        <v>90.74</v>
      </c>
      <c r="Q650" s="3">
        <f ca="1">IFERROR(__xludf.DUMMYFUNCTION("""COMPUTED_VALUE"""),127.19)</f>
        <v>127.19</v>
      </c>
      <c r="R650" s="3">
        <f ca="1">IFERROR(__xludf.DUMMYFUNCTION("""COMPUTED_VALUE"""),91.77)</f>
        <v>91.77</v>
      </c>
      <c r="S650" s="3">
        <f ca="1">IFERROR(__xludf.DUMMYFUNCTION("""COMPUTED_VALUE"""),60.89)</f>
        <v>60.89</v>
      </c>
      <c r="T650" s="3">
        <f ca="1">IFERROR(__xludf.DUMMYFUNCTION("""COMPUTED_VALUE"""),22.31)</f>
        <v>22.31</v>
      </c>
      <c r="U650" s="3">
        <f ca="1">IFERROR(__xludf.DUMMYFUNCTION("""COMPUTED_VALUE"""),76.29)</f>
        <v>76.290000000000006</v>
      </c>
      <c r="V650" s="3">
        <f ca="1">IFERROR(__xludf.DUMMYFUNCTION("""COMPUTED_VALUE"""),41.41)</f>
        <v>41.41</v>
      </c>
      <c r="W650" s="3">
        <f ca="1">IFERROR(__xludf.DUMMYFUNCTION("""COMPUTED_VALUE"""),43.12)</f>
        <v>43.12</v>
      </c>
      <c r="X650" s="3">
        <f ca="1">IFERROR(__xludf.DUMMYFUNCTION("""COMPUTED_VALUE"""),105.02)</f>
        <v>105.02</v>
      </c>
      <c r="Y650" s="3">
        <f ca="1">IFERROR(__xludf.DUMMYFUNCTION("""COMPUTED_VALUE"""),51.7)</f>
        <v>51.7</v>
      </c>
      <c r="Z650" s="3">
        <f ca="1">IFERROR(__xludf.DUMMYFUNCTION("""COMPUTED_VALUE"""),99.49)</f>
        <v>99.49</v>
      </c>
      <c r="AA650" s="3">
        <f ca="1">IFERROR(__xludf.DUMMYFUNCTION("""COMPUTED_VALUE"""),41.83)</f>
        <v>41.83</v>
      </c>
      <c r="AB650" s="3">
        <f ca="1">IFERROR(__xludf.DUMMYFUNCTION("""COMPUTED_VALUE"""),55.67)</f>
        <v>55.67</v>
      </c>
      <c r="AC650" s="3">
        <f ca="1">IFERROR(__xludf.DUMMYFUNCTION("""COMPUTED_VALUE"""),65.18)</f>
        <v>65.180000000000007</v>
      </c>
      <c r="AD650" s="3">
        <f ca="1">IFERROR(__xludf.DUMMYFUNCTION("""COMPUTED_VALUE"""),18.18)</f>
        <v>18.18</v>
      </c>
      <c r="AE650" s="3">
        <f ca="1">IFERROR(__xludf.DUMMYFUNCTION("""COMPUTED_VALUE"""),20.61)</f>
        <v>20.61</v>
      </c>
      <c r="AF650" s="3">
        <f ca="1">IFERROR(__xludf.DUMMYFUNCTION("""COMPUTED_VALUE"""),5.38)</f>
        <v>5.38</v>
      </c>
      <c r="AG650" s="3">
        <f ca="1">IFERROR(__xludf.DUMMYFUNCTION("""COMPUTED_VALUE"""),48.16)</f>
        <v>48.16</v>
      </c>
    </row>
    <row r="651" spans="1:33" ht="12.75" x14ac:dyDescent="0.2">
      <c r="A651" s="4">
        <f ca="1">IFERROR(__xludf.DUMMYFUNCTION("""COMPUTED_VALUE"""),45506.6666666666)</f>
        <v>45506.666666666599</v>
      </c>
      <c r="B651" s="3">
        <f ca="1">IFERROR(__xludf.DUMMYFUNCTION("""COMPUTED_VALUE"""),204.72)</f>
        <v>204.72</v>
      </c>
      <c r="C651" s="3">
        <f ca="1">IFERROR(__xludf.DUMMYFUNCTION("""COMPUTED_VALUE"""),534.05)</f>
        <v>534.04999999999995</v>
      </c>
      <c r="D651" s="3">
        <f ca="1">IFERROR(__xludf.DUMMYFUNCTION("""COMPUTED_VALUE"""),133.16)</f>
        <v>133.16</v>
      </c>
      <c r="E651" s="3">
        <f ca="1">IFERROR(__xludf.DUMMYFUNCTION("""COMPUTED_VALUE"""),206.81)</f>
        <v>206.81</v>
      </c>
      <c r="F651" s="3">
        <f ca="1">IFERROR(__xludf.DUMMYFUNCTION("""COMPUTED_VALUE"""),61.32)</f>
        <v>61.32</v>
      </c>
      <c r="G651" s="3">
        <f ca="1">IFERROR(__xludf.DUMMYFUNCTION("""COMPUTED_VALUE"""),28.6)</f>
        <v>28.6</v>
      </c>
      <c r="H651" s="3">
        <f ca="1">IFERROR(__xludf.DUMMYFUNCTION("""COMPUTED_VALUE"""),27.37)</f>
        <v>27.37</v>
      </c>
      <c r="I651" s="3">
        <f ca="1">IFERROR(__xludf.DUMMYFUNCTION("""COMPUTED_VALUE"""),150.86)</f>
        <v>150.86000000000001</v>
      </c>
      <c r="J651" s="3">
        <f ca="1">IFERROR(__xludf.DUMMYFUNCTION("""COMPUTED_VALUE"""),275.91)</f>
        <v>275.91000000000003</v>
      </c>
      <c r="K651" s="3">
        <f ca="1">IFERROR(__xludf.DUMMYFUNCTION("""COMPUTED_VALUE"""),144.17)</f>
        <v>144.16999999999999</v>
      </c>
      <c r="L651" s="3">
        <f ca="1">IFERROR(__xludf.DUMMYFUNCTION("""COMPUTED_VALUE"""),96.47)</f>
        <v>96.47</v>
      </c>
      <c r="M651" s="3">
        <f ca="1">IFERROR(__xludf.DUMMYFUNCTION("""COMPUTED_VALUE"""),68.47)</f>
        <v>68.47</v>
      </c>
      <c r="N651" s="3">
        <f ca="1">IFERROR(__xludf.DUMMYFUNCTION("""COMPUTED_VALUE"""),71.16)</f>
        <v>71.16</v>
      </c>
      <c r="O651" s="3">
        <f ca="1">IFERROR(__xludf.DUMMYFUNCTION("""COMPUTED_VALUE"""),44.32)</f>
        <v>44.32</v>
      </c>
      <c r="P651" s="3">
        <f ca="1">IFERROR(__xludf.DUMMYFUNCTION("""COMPUTED_VALUE"""),88.4)</f>
        <v>88.4</v>
      </c>
      <c r="Q651" s="3">
        <f ca="1">IFERROR(__xludf.DUMMYFUNCTION("""COMPUTED_VALUE"""),123.41)</f>
        <v>123.41</v>
      </c>
      <c r="R651" s="3">
        <f ca="1">IFERROR(__xludf.DUMMYFUNCTION("""COMPUTED_VALUE"""),90.04)</f>
        <v>90.04</v>
      </c>
      <c r="S651" s="3">
        <f ca="1">IFERROR(__xludf.DUMMYFUNCTION("""COMPUTED_VALUE"""),57.88)</f>
        <v>57.88</v>
      </c>
      <c r="T651" s="3">
        <f ca="1">IFERROR(__xludf.DUMMYFUNCTION("""COMPUTED_VALUE"""),21.9)</f>
        <v>21.9</v>
      </c>
      <c r="U651" s="3">
        <f ca="1">IFERROR(__xludf.DUMMYFUNCTION("""COMPUTED_VALUE"""),73.39)</f>
        <v>73.39</v>
      </c>
      <c r="V651" s="3">
        <f ca="1">IFERROR(__xludf.DUMMYFUNCTION("""COMPUTED_VALUE"""),40.19)</f>
        <v>40.19</v>
      </c>
      <c r="W651" s="3">
        <f ca="1">IFERROR(__xludf.DUMMYFUNCTION("""COMPUTED_VALUE"""),42.06)</f>
        <v>42.06</v>
      </c>
      <c r="X651" s="3">
        <f ca="1">IFERROR(__xludf.DUMMYFUNCTION("""COMPUTED_VALUE"""),102.35)</f>
        <v>102.35</v>
      </c>
      <c r="Y651" s="3">
        <f ca="1">IFERROR(__xludf.DUMMYFUNCTION("""COMPUTED_VALUE"""),49.93)</f>
        <v>49.93</v>
      </c>
      <c r="Z651" s="3">
        <f ca="1">IFERROR(__xludf.DUMMYFUNCTION("""COMPUTED_VALUE"""),96.64)</f>
        <v>96.64</v>
      </c>
      <c r="AA651" s="3">
        <f ca="1">IFERROR(__xludf.DUMMYFUNCTION("""COMPUTED_VALUE"""),41.86)</f>
        <v>41.86</v>
      </c>
      <c r="AB651" s="3">
        <f ca="1">IFERROR(__xludf.DUMMYFUNCTION("""COMPUTED_VALUE"""),53.83)</f>
        <v>53.83</v>
      </c>
      <c r="AC651" s="3">
        <f ca="1">IFERROR(__xludf.DUMMYFUNCTION("""COMPUTED_VALUE"""),65.17)</f>
        <v>65.17</v>
      </c>
      <c r="AD651" s="3">
        <f ca="1">IFERROR(__xludf.DUMMYFUNCTION("""COMPUTED_VALUE"""),17.72)</f>
        <v>17.72</v>
      </c>
      <c r="AE651" s="3">
        <f ca="1">IFERROR(__xludf.DUMMYFUNCTION("""COMPUTED_VALUE"""),20.35)</f>
        <v>20.350000000000001</v>
      </c>
      <c r="AF651" s="3">
        <f ca="1">IFERROR(__xludf.DUMMYFUNCTION("""COMPUTED_VALUE"""),5.43)</f>
        <v>5.43</v>
      </c>
      <c r="AG651" s="3">
        <f ca="1">IFERROR(__xludf.DUMMYFUNCTION("""COMPUTED_VALUE"""),44.3)</f>
        <v>44.3</v>
      </c>
    </row>
    <row r="652" spans="1:33" ht="12.75" x14ac:dyDescent="0.2">
      <c r="A652" s="4">
        <f ca="1">IFERROR(__xludf.DUMMYFUNCTION("""COMPUTED_VALUE"""),45509.6666666666)</f>
        <v>45509.666666666599</v>
      </c>
      <c r="B652" s="3">
        <f ca="1">IFERROR(__xludf.DUMMYFUNCTION("""COMPUTED_VALUE"""),197.9)</f>
        <v>197.9</v>
      </c>
      <c r="C652" s="3">
        <f ca="1">IFERROR(__xludf.DUMMYFUNCTION("""COMPUTED_VALUE"""),515.36)</f>
        <v>515.36</v>
      </c>
      <c r="D652" s="3">
        <f ca="1">IFERROR(__xludf.DUMMYFUNCTION("""COMPUTED_VALUE"""),137.92)</f>
        <v>137.91999999999999</v>
      </c>
      <c r="E652" s="3">
        <f ca="1">IFERROR(__xludf.DUMMYFUNCTION("""COMPUTED_VALUE"""),203.16)</f>
        <v>203.16</v>
      </c>
      <c r="F652" s="3">
        <f ca="1">IFERROR(__xludf.DUMMYFUNCTION("""COMPUTED_VALUE"""),59.96)</f>
        <v>59.96</v>
      </c>
      <c r="G652" s="3">
        <f ca="1">IFERROR(__xludf.DUMMYFUNCTION("""COMPUTED_VALUE"""),27.68)</f>
        <v>27.68</v>
      </c>
      <c r="H652" s="3">
        <f ca="1">IFERROR(__xludf.DUMMYFUNCTION("""COMPUTED_VALUE"""),26.74)</f>
        <v>26.74</v>
      </c>
      <c r="I652" s="3">
        <f ca="1">IFERROR(__xludf.DUMMYFUNCTION("""COMPUTED_VALUE"""),146.83)</f>
        <v>146.83000000000001</v>
      </c>
      <c r="J652" s="3">
        <f ca="1">IFERROR(__xludf.DUMMYFUNCTION("""COMPUTED_VALUE"""),268.95)</f>
        <v>268.95</v>
      </c>
      <c r="K652" s="3">
        <f ca="1">IFERROR(__xludf.DUMMYFUNCTION("""COMPUTED_VALUE"""),140.1)</f>
        <v>140.1</v>
      </c>
      <c r="L652" s="3">
        <f ca="1">IFERROR(__xludf.DUMMYFUNCTION("""COMPUTED_VALUE"""),93.43)</f>
        <v>93.43</v>
      </c>
      <c r="M652" s="3">
        <f ca="1">IFERROR(__xludf.DUMMYFUNCTION("""COMPUTED_VALUE"""),66.25)</f>
        <v>66.25</v>
      </c>
      <c r="N652" s="3">
        <f ca="1">IFERROR(__xludf.DUMMYFUNCTION("""COMPUTED_VALUE"""),69.26)</f>
        <v>69.260000000000005</v>
      </c>
      <c r="O652" s="3">
        <f ca="1">IFERROR(__xludf.DUMMYFUNCTION("""COMPUTED_VALUE"""),43)</f>
        <v>43</v>
      </c>
      <c r="P652" s="3">
        <f ca="1">IFERROR(__xludf.DUMMYFUNCTION("""COMPUTED_VALUE"""),86.45)</f>
        <v>86.45</v>
      </c>
      <c r="Q652" s="3">
        <f ca="1">IFERROR(__xludf.DUMMYFUNCTION("""COMPUTED_VALUE"""),120.8)</f>
        <v>120.8</v>
      </c>
      <c r="R652" s="3">
        <f ca="1">IFERROR(__xludf.DUMMYFUNCTION("""COMPUTED_VALUE"""),88.03)</f>
        <v>88.03</v>
      </c>
      <c r="S652" s="3">
        <f ca="1">IFERROR(__xludf.DUMMYFUNCTION("""COMPUTED_VALUE"""),56.14)</f>
        <v>56.14</v>
      </c>
      <c r="T652" s="3">
        <f ca="1">IFERROR(__xludf.DUMMYFUNCTION("""COMPUTED_VALUE"""),21.86)</f>
        <v>21.86</v>
      </c>
      <c r="U652" s="3">
        <f ca="1">IFERROR(__xludf.DUMMYFUNCTION("""COMPUTED_VALUE"""),73.22)</f>
        <v>73.22</v>
      </c>
      <c r="V652" s="3">
        <f ca="1">IFERROR(__xludf.DUMMYFUNCTION("""COMPUTED_VALUE"""),39.12)</f>
        <v>39.119999999999997</v>
      </c>
      <c r="W652" s="3">
        <f ca="1">IFERROR(__xludf.DUMMYFUNCTION("""COMPUTED_VALUE"""),40.84)</f>
        <v>40.840000000000003</v>
      </c>
      <c r="X652" s="3">
        <f ca="1">IFERROR(__xludf.DUMMYFUNCTION("""COMPUTED_VALUE"""),99.27)</f>
        <v>99.27</v>
      </c>
      <c r="Y652" s="3">
        <f ca="1">IFERROR(__xludf.DUMMYFUNCTION("""COMPUTED_VALUE"""),48.51)</f>
        <v>48.51</v>
      </c>
      <c r="Z652" s="3">
        <f ca="1">IFERROR(__xludf.DUMMYFUNCTION("""COMPUTED_VALUE"""),93.83)</f>
        <v>93.83</v>
      </c>
      <c r="AA652" s="3">
        <f ca="1">IFERROR(__xludf.DUMMYFUNCTION("""COMPUTED_VALUE"""),40.65)</f>
        <v>40.65</v>
      </c>
      <c r="AB652" s="3">
        <f ca="1">IFERROR(__xludf.DUMMYFUNCTION("""COMPUTED_VALUE"""),52.35)</f>
        <v>52.35</v>
      </c>
      <c r="AC652" s="3">
        <f ca="1">IFERROR(__xludf.DUMMYFUNCTION("""COMPUTED_VALUE"""),66.3)</f>
        <v>66.3</v>
      </c>
      <c r="AD652" s="3">
        <f ca="1">IFERROR(__xludf.DUMMYFUNCTION("""COMPUTED_VALUE"""),14.67)</f>
        <v>14.67</v>
      </c>
      <c r="AE652" s="3">
        <f ca="1">IFERROR(__xludf.DUMMYFUNCTION("""COMPUTED_VALUE"""),17.41)</f>
        <v>17.41</v>
      </c>
      <c r="AF652" s="3">
        <f ca="1">IFERROR(__xludf.DUMMYFUNCTION("""COMPUTED_VALUE"""),5.36)</f>
        <v>5.36</v>
      </c>
      <c r="AG652" s="3">
        <f ca="1">IFERROR(__xludf.DUMMYFUNCTION("""COMPUTED_VALUE"""),41.19)</f>
        <v>41.19</v>
      </c>
    </row>
    <row r="653" spans="1:33" ht="12.75" x14ac:dyDescent="0.2">
      <c r="A653" s="4">
        <f ca="1">IFERROR(__xludf.DUMMYFUNCTION("""COMPUTED_VALUE"""),45510.6666666666)</f>
        <v>45510.666666666599</v>
      </c>
      <c r="B653" s="3">
        <f ca="1">IFERROR(__xludf.DUMMYFUNCTION("""COMPUTED_VALUE"""),200.59)</f>
        <v>200.59</v>
      </c>
      <c r="C653" s="3">
        <f ca="1">IFERROR(__xludf.DUMMYFUNCTION("""COMPUTED_VALUE"""),520.48)</f>
        <v>520.48</v>
      </c>
      <c r="D653" s="3">
        <f ca="1">IFERROR(__xludf.DUMMYFUNCTION("""COMPUTED_VALUE"""),138.88)</f>
        <v>138.88</v>
      </c>
      <c r="E653" s="3">
        <f ca="1">IFERROR(__xludf.DUMMYFUNCTION("""COMPUTED_VALUE"""),205)</f>
        <v>205</v>
      </c>
      <c r="F653" s="3">
        <f ca="1">IFERROR(__xludf.DUMMYFUNCTION("""COMPUTED_VALUE"""),60.24)</f>
        <v>60.24</v>
      </c>
      <c r="G653" s="3">
        <f ca="1">IFERROR(__xludf.DUMMYFUNCTION("""COMPUTED_VALUE"""),28.19)</f>
        <v>28.19</v>
      </c>
      <c r="H653" s="3">
        <f ca="1">IFERROR(__xludf.DUMMYFUNCTION("""COMPUTED_VALUE"""),26.98)</f>
        <v>26.98</v>
      </c>
      <c r="I653" s="3">
        <f ca="1">IFERROR(__xludf.DUMMYFUNCTION("""COMPUTED_VALUE"""),147.51)</f>
        <v>147.51</v>
      </c>
      <c r="J653" s="3">
        <f ca="1">IFERROR(__xludf.DUMMYFUNCTION("""COMPUTED_VALUE"""),270.13)</f>
        <v>270.13</v>
      </c>
      <c r="K653" s="3">
        <f ca="1">IFERROR(__xludf.DUMMYFUNCTION("""COMPUTED_VALUE"""),140.73)</f>
        <v>140.72999999999999</v>
      </c>
      <c r="L653" s="3">
        <f ca="1">IFERROR(__xludf.DUMMYFUNCTION("""COMPUTED_VALUE"""),94.44)</f>
        <v>94.44</v>
      </c>
      <c r="M653" s="3">
        <f ca="1">IFERROR(__xludf.DUMMYFUNCTION("""COMPUTED_VALUE"""),66.93)</f>
        <v>66.930000000000007</v>
      </c>
      <c r="N653" s="3">
        <f ca="1">IFERROR(__xludf.DUMMYFUNCTION("""COMPUTED_VALUE"""),69.56)</f>
        <v>69.56</v>
      </c>
      <c r="O653" s="3">
        <f ca="1">IFERROR(__xludf.DUMMYFUNCTION("""COMPUTED_VALUE"""),43.84)</f>
        <v>43.84</v>
      </c>
      <c r="P653" s="3">
        <f ca="1">IFERROR(__xludf.DUMMYFUNCTION("""COMPUTED_VALUE"""),86.98)</f>
        <v>86.98</v>
      </c>
      <c r="Q653" s="3">
        <f ca="1">IFERROR(__xludf.DUMMYFUNCTION("""COMPUTED_VALUE"""),121.28)</f>
        <v>121.28</v>
      </c>
      <c r="R653" s="3">
        <f ca="1">IFERROR(__xludf.DUMMYFUNCTION("""COMPUTED_VALUE"""),88.48)</f>
        <v>88.48</v>
      </c>
      <c r="S653" s="3">
        <f ca="1">IFERROR(__xludf.DUMMYFUNCTION("""COMPUTED_VALUE"""),56.72)</f>
        <v>56.72</v>
      </c>
      <c r="T653" s="3">
        <f ca="1">IFERROR(__xludf.DUMMYFUNCTION("""COMPUTED_VALUE"""),21.68)</f>
        <v>21.68</v>
      </c>
      <c r="U653" s="3">
        <f ca="1">IFERROR(__xludf.DUMMYFUNCTION("""COMPUTED_VALUE"""),72.45)</f>
        <v>72.45</v>
      </c>
      <c r="V653" s="3">
        <f ca="1">IFERROR(__xludf.DUMMYFUNCTION("""COMPUTED_VALUE"""),39.18)</f>
        <v>39.18</v>
      </c>
      <c r="W653" s="3">
        <f ca="1">IFERROR(__xludf.DUMMYFUNCTION("""COMPUTED_VALUE"""),41.5)</f>
        <v>41.5</v>
      </c>
      <c r="X653" s="3">
        <f ca="1">IFERROR(__xludf.DUMMYFUNCTION("""COMPUTED_VALUE"""),100.67)</f>
        <v>100.67</v>
      </c>
      <c r="Y653" s="3">
        <f ca="1">IFERROR(__xludf.DUMMYFUNCTION("""COMPUTED_VALUE"""),48.77)</f>
        <v>48.77</v>
      </c>
      <c r="Z653" s="3">
        <f ca="1">IFERROR(__xludf.DUMMYFUNCTION("""COMPUTED_VALUE"""),95.2)</f>
        <v>95.2</v>
      </c>
      <c r="AA653" s="3">
        <f ca="1">IFERROR(__xludf.DUMMYFUNCTION("""COMPUTED_VALUE"""),41.55)</f>
        <v>41.55</v>
      </c>
      <c r="AB653" s="3">
        <f ca="1">IFERROR(__xludf.DUMMYFUNCTION("""COMPUTED_VALUE"""),52.47)</f>
        <v>52.47</v>
      </c>
      <c r="AC653" s="3">
        <f ca="1">IFERROR(__xludf.DUMMYFUNCTION("""COMPUTED_VALUE"""),66.63)</f>
        <v>66.63</v>
      </c>
      <c r="AD653" s="3">
        <f ca="1">IFERROR(__xludf.DUMMYFUNCTION("""COMPUTED_VALUE"""),15.43)</f>
        <v>15.43</v>
      </c>
      <c r="AE653" s="3">
        <f ca="1">IFERROR(__xludf.DUMMYFUNCTION("""COMPUTED_VALUE"""),18.5)</f>
        <v>18.5</v>
      </c>
      <c r="AF653" s="3">
        <f ca="1">IFERROR(__xludf.DUMMYFUNCTION("""COMPUTED_VALUE"""),5.08)</f>
        <v>5.08</v>
      </c>
      <c r="AG653" s="3">
        <f ca="1">IFERROR(__xludf.DUMMYFUNCTION("""COMPUTED_VALUE"""),42.45)</f>
        <v>42.45</v>
      </c>
    </row>
    <row r="654" spans="1:33" ht="12.75" x14ac:dyDescent="0.2">
      <c r="A654" s="4">
        <f ca="1">IFERROR(__xludf.DUMMYFUNCTION("""COMPUTED_VALUE"""),45511.6666666666)</f>
        <v>45511.666666666599</v>
      </c>
      <c r="B654" s="3">
        <f ca="1">IFERROR(__xludf.DUMMYFUNCTION("""COMPUTED_VALUE"""),197.34)</f>
        <v>197.34</v>
      </c>
      <c r="C654" s="3">
        <f ca="1">IFERROR(__xludf.DUMMYFUNCTION("""COMPUTED_VALUE"""),514.43)</f>
        <v>514.42999999999995</v>
      </c>
      <c r="D654" s="3">
        <f ca="1">IFERROR(__xludf.DUMMYFUNCTION("""COMPUTED_VALUE"""),139.66)</f>
        <v>139.66</v>
      </c>
      <c r="E654" s="3">
        <f ca="1">IFERROR(__xludf.DUMMYFUNCTION("""COMPUTED_VALUE"""),199.29)</f>
        <v>199.29</v>
      </c>
      <c r="F654" s="3">
        <f ca="1">IFERROR(__xludf.DUMMYFUNCTION("""COMPUTED_VALUE"""),60.77)</f>
        <v>60.77</v>
      </c>
      <c r="G654" s="3">
        <f ca="1">IFERROR(__xludf.DUMMYFUNCTION("""COMPUTED_VALUE"""),28.27)</f>
        <v>28.27</v>
      </c>
      <c r="H654" s="3">
        <f ca="1">IFERROR(__xludf.DUMMYFUNCTION("""COMPUTED_VALUE"""),26.76)</f>
        <v>26.76</v>
      </c>
      <c r="I654" s="3">
        <f ca="1">IFERROR(__xludf.DUMMYFUNCTION("""COMPUTED_VALUE"""),146.01)</f>
        <v>146.01</v>
      </c>
      <c r="J654" s="3">
        <f ca="1">IFERROR(__xludf.DUMMYFUNCTION("""COMPUTED_VALUE"""),267.29)</f>
        <v>267.29000000000002</v>
      </c>
      <c r="K654" s="3">
        <f ca="1">IFERROR(__xludf.DUMMYFUNCTION("""COMPUTED_VALUE"""),138.19)</f>
        <v>138.19</v>
      </c>
      <c r="L654" s="3">
        <f ca="1">IFERROR(__xludf.DUMMYFUNCTION("""COMPUTED_VALUE"""),92.36)</f>
        <v>92.36</v>
      </c>
      <c r="M654" s="3">
        <f ca="1">IFERROR(__xludf.DUMMYFUNCTION("""COMPUTED_VALUE"""),66.88)</f>
        <v>66.88</v>
      </c>
      <c r="N654" s="3">
        <f ca="1">IFERROR(__xludf.DUMMYFUNCTION("""COMPUTED_VALUE"""),68.82)</f>
        <v>68.819999999999993</v>
      </c>
      <c r="O654" s="3">
        <f ca="1">IFERROR(__xludf.DUMMYFUNCTION("""COMPUTED_VALUE"""),43.24)</f>
        <v>43.24</v>
      </c>
      <c r="P654" s="3">
        <f ca="1">IFERROR(__xludf.DUMMYFUNCTION("""COMPUTED_VALUE"""),87.33)</f>
        <v>87.33</v>
      </c>
      <c r="Q654" s="3">
        <f ca="1">IFERROR(__xludf.DUMMYFUNCTION("""COMPUTED_VALUE"""),121.85)</f>
        <v>121.85</v>
      </c>
      <c r="R654" s="3">
        <f ca="1">IFERROR(__xludf.DUMMYFUNCTION("""COMPUTED_VALUE"""),87.28)</f>
        <v>87.28</v>
      </c>
      <c r="S654" s="3">
        <f ca="1">IFERROR(__xludf.DUMMYFUNCTION("""COMPUTED_VALUE"""),56.03)</f>
        <v>56.03</v>
      </c>
      <c r="T654" s="3">
        <f ca="1">IFERROR(__xludf.DUMMYFUNCTION("""COMPUTED_VALUE"""),21.88)</f>
        <v>21.88</v>
      </c>
      <c r="U654" s="3">
        <f ca="1">IFERROR(__xludf.DUMMYFUNCTION("""COMPUTED_VALUE"""),74.69)</f>
        <v>74.69</v>
      </c>
      <c r="V654" s="3">
        <f ca="1">IFERROR(__xludf.DUMMYFUNCTION("""COMPUTED_VALUE"""),39.46)</f>
        <v>39.46</v>
      </c>
      <c r="W654" s="3">
        <f ca="1">IFERROR(__xludf.DUMMYFUNCTION("""COMPUTED_VALUE"""),41.55)</f>
        <v>41.55</v>
      </c>
      <c r="X654" s="3">
        <f ca="1">IFERROR(__xludf.DUMMYFUNCTION("""COMPUTED_VALUE"""),100.61)</f>
        <v>100.61</v>
      </c>
      <c r="Y654" s="3">
        <f ca="1">IFERROR(__xludf.DUMMYFUNCTION("""COMPUTED_VALUE"""),48.52)</f>
        <v>48.52</v>
      </c>
      <c r="Z654" s="3">
        <f ca="1">IFERROR(__xludf.DUMMYFUNCTION("""COMPUTED_VALUE"""),95.23)</f>
        <v>95.23</v>
      </c>
      <c r="AA654" s="3">
        <f ca="1">IFERROR(__xludf.DUMMYFUNCTION("""COMPUTED_VALUE"""),41.25)</f>
        <v>41.25</v>
      </c>
      <c r="AB654" s="3">
        <f ca="1">IFERROR(__xludf.DUMMYFUNCTION("""COMPUTED_VALUE"""),52.14)</f>
        <v>52.14</v>
      </c>
      <c r="AC654" s="3">
        <f ca="1">IFERROR(__xludf.DUMMYFUNCTION("""COMPUTED_VALUE"""),66.19)</f>
        <v>66.19</v>
      </c>
      <c r="AD654" s="3">
        <f ca="1">IFERROR(__xludf.DUMMYFUNCTION("""COMPUTED_VALUE"""),14.67)</f>
        <v>14.67</v>
      </c>
      <c r="AE654" s="3">
        <f ca="1">IFERROR(__xludf.DUMMYFUNCTION("""COMPUTED_VALUE"""),17.8)</f>
        <v>17.8</v>
      </c>
      <c r="AF654" s="3">
        <f ca="1">IFERROR(__xludf.DUMMYFUNCTION("""COMPUTED_VALUE"""),4)</f>
        <v>4</v>
      </c>
      <c r="AG654" s="3">
        <f ca="1">IFERROR(__xludf.DUMMYFUNCTION("""COMPUTED_VALUE"""),39.57)</f>
        <v>39.57</v>
      </c>
    </row>
    <row r="655" spans="1:33" ht="12.75" x14ac:dyDescent="0.2">
      <c r="A655" s="4">
        <f ca="1">IFERROR(__xludf.DUMMYFUNCTION("""COMPUTED_VALUE"""),45512.6666666666)</f>
        <v>45512.666666666599</v>
      </c>
      <c r="B655" s="3">
        <f ca="1">IFERROR(__xludf.DUMMYFUNCTION("""COMPUTED_VALUE"""),204.71)</f>
        <v>204.71</v>
      </c>
      <c r="C655" s="3">
        <f ca="1">IFERROR(__xludf.DUMMYFUNCTION("""COMPUTED_VALUE"""),532.25)</f>
        <v>532.25</v>
      </c>
      <c r="D655" s="3">
        <f ca="1">IFERROR(__xludf.DUMMYFUNCTION("""COMPUTED_VALUE"""),143.58)</f>
        <v>143.58000000000001</v>
      </c>
      <c r="E655" s="3">
        <f ca="1">IFERROR(__xludf.DUMMYFUNCTION("""COMPUTED_VALUE"""),213.04)</f>
        <v>213.04</v>
      </c>
      <c r="F655" s="3">
        <f ca="1">IFERROR(__xludf.DUMMYFUNCTION("""COMPUTED_VALUE"""),62.39)</f>
        <v>62.39</v>
      </c>
      <c r="G655" s="3">
        <f ca="1">IFERROR(__xludf.DUMMYFUNCTION("""COMPUTED_VALUE"""),29.06)</f>
        <v>29.06</v>
      </c>
      <c r="H655" s="3">
        <f ca="1">IFERROR(__xludf.DUMMYFUNCTION("""COMPUTED_VALUE"""),27.59)</f>
        <v>27.59</v>
      </c>
      <c r="I655" s="3">
        <f ca="1">IFERROR(__xludf.DUMMYFUNCTION("""COMPUTED_VALUE"""),149.24)</f>
        <v>149.24</v>
      </c>
      <c r="J655" s="3">
        <f ca="1">IFERROR(__xludf.DUMMYFUNCTION("""COMPUTED_VALUE"""),273.24)</f>
        <v>273.24</v>
      </c>
      <c r="K655" s="3">
        <f ca="1">IFERROR(__xludf.DUMMYFUNCTION("""COMPUTED_VALUE"""),142.18)</f>
        <v>142.18</v>
      </c>
      <c r="L655" s="3">
        <f ca="1">IFERROR(__xludf.DUMMYFUNCTION("""COMPUTED_VALUE"""),95)</f>
        <v>95</v>
      </c>
      <c r="M655" s="3">
        <f ca="1">IFERROR(__xludf.DUMMYFUNCTION("""COMPUTED_VALUE"""),68.11)</f>
        <v>68.11</v>
      </c>
      <c r="N655" s="3">
        <f ca="1">IFERROR(__xludf.DUMMYFUNCTION("""COMPUTED_VALUE"""),70.39)</f>
        <v>70.39</v>
      </c>
      <c r="O655" s="3">
        <f ca="1">IFERROR(__xludf.DUMMYFUNCTION("""COMPUTED_VALUE"""),44.4)</f>
        <v>44.4</v>
      </c>
      <c r="P655" s="3">
        <f ca="1">IFERROR(__xludf.DUMMYFUNCTION("""COMPUTED_VALUE"""),89.21)</f>
        <v>89.21</v>
      </c>
      <c r="Q655" s="3">
        <f ca="1">IFERROR(__xludf.DUMMYFUNCTION("""COMPUTED_VALUE"""),124.54)</f>
        <v>124.54</v>
      </c>
      <c r="R655" s="3">
        <f ca="1">IFERROR(__xludf.DUMMYFUNCTION("""COMPUTED_VALUE"""),88.63)</f>
        <v>88.63</v>
      </c>
      <c r="S655" s="3">
        <f ca="1">IFERROR(__xludf.DUMMYFUNCTION("""COMPUTED_VALUE"""),57.29)</f>
        <v>57.29</v>
      </c>
      <c r="T655" s="3">
        <f ca="1">IFERROR(__xludf.DUMMYFUNCTION("""COMPUTED_VALUE"""),22.08)</f>
        <v>22.08</v>
      </c>
      <c r="U655" s="3">
        <f ca="1">IFERROR(__xludf.DUMMYFUNCTION("""COMPUTED_VALUE"""),75.36)</f>
        <v>75.36</v>
      </c>
      <c r="V655" s="3">
        <f ca="1">IFERROR(__xludf.DUMMYFUNCTION("""COMPUTED_VALUE"""),40.2)</f>
        <v>40.200000000000003</v>
      </c>
      <c r="W655" s="3">
        <f ca="1">IFERROR(__xludf.DUMMYFUNCTION("""COMPUTED_VALUE"""),42.22)</f>
        <v>42.22</v>
      </c>
      <c r="X655" s="3">
        <f ca="1">IFERROR(__xludf.DUMMYFUNCTION("""COMPUTED_VALUE"""),102.38)</f>
        <v>102.38</v>
      </c>
      <c r="Y655" s="3">
        <f ca="1">IFERROR(__xludf.DUMMYFUNCTION("""COMPUTED_VALUE"""),49.48)</f>
        <v>49.48</v>
      </c>
      <c r="Z655" s="3">
        <f ca="1">IFERROR(__xludf.DUMMYFUNCTION("""COMPUTED_VALUE"""),96.84)</f>
        <v>96.84</v>
      </c>
      <c r="AA655" s="3">
        <f ca="1">IFERROR(__xludf.DUMMYFUNCTION("""COMPUTED_VALUE"""),41.6)</f>
        <v>41.6</v>
      </c>
      <c r="AB655" s="3">
        <f ca="1">IFERROR(__xludf.DUMMYFUNCTION("""COMPUTED_VALUE"""),53.07)</f>
        <v>53.07</v>
      </c>
      <c r="AC655" s="3">
        <f ca="1">IFERROR(__xludf.DUMMYFUNCTION("""COMPUTED_VALUE"""),66.93)</f>
        <v>66.930000000000007</v>
      </c>
      <c r="AD655" s="3">
        <f ca="1">IFERROR(__xludf.DUMMYFUNCTION("""COMPUTED_VALUE"""),16)</f>
        <v>16</v>
      </c>
      <c r="AE655" s="3">
        <f ca="1">IFERROR(__xludf.DUMMYFUNCTION("""COMPUTED_VALUE"""),19.4)</f>
        <v>19.399999999999999</v>
      </c>
      <c r="AF655" s="3">
        <f ca="1">IFERROR(__xludf.DUMMYFUNCTION("""COMPUTED_VALUE"""),4.66)</f>
        <v>4.66</v>
      </c>
      <c r="AG655" s="3">
        <f ca="1">IFERROR(__xludf.DUMMYFUNCTION("""COMPUTED_VALUE"""),43.72)</f>
        <v>43.72</v>
      </c>
    </row>
    <row r="656" spans="1:33" ht="12.75" x14ac:dyDescent="0.2">
      <c r="A656" s="4">
        <f ca="1">IFERROR(__xludf.DUMMYFUNCTION("""COMPUTED_VALUE"""),45513.6666666666)</f>
        <v>45513.666666666599</v>
      </c>
      <c r="B656" s="3">
        <f ca="1">IFERROR(__xludf.DUMMYFUNCTION("""COMPUTED_VALUE"""),205.63)</f>
        <v>205.63</v>
      </c>
      <c r="C656" s="3">
        <f ca="1">IFERROR(__xludf.DUMMYFUNCTION("""COMPUTED_VALUE"""),535.64)</f>
        <v>535.64</v>
      </c>
      <c r="D656" s="3">
        <f ca="1">IFERROR(__xludf.DUMMYFUNCTION("""COMPUTED_VALUE"""),144.08)</f>
        <v>144.08000000000001</v>
      </c>
      <c r="E656" s="3">
        <f ca="1">IFERROR(__xludf.DUMMYFUNCTION("""COMPUTED_VALUE"""),211.78)</f>
        <v>211.78</v>
      </c>
      <c r="F656" s="3">
        <f ca="1">IFERROR(__xludf.DUMMYFUNCTION("""COMPUTED_VALUE"""),63.23)</f>
        <v>63.23</v>
      </c>
      <c r="G656" s="3">
        <f ca="1">IFERROR(__xludf.DUMMYFUNCTION("""COMPUTED_VALUE"""),29.03)</f>
        <v>29.03</v>
      </c>
      <c r="H656" s="3">
        <f ca="1">IFERROR(__xludf.DUMMYFUNCTION("""COMPUTED_VALUE"""),27.6)</f>
        <v>27.6</v>
      </c>
      <c r="I656" s="3">
        <f ca="1">IFERROR(__xludf.DUMMYFUNCTION("""COMPUTED_VALUE"""),149.98)</f>
        <v>149.97999999999999</v>
      </c>
      <c r="J656" s="3">
        <f ca="1">IFERROR(__xludf.DUMMYFUNCTION("""COMPUTED_VALUE"""),274.47)</f>
        <v>274.47000000000003</v>
      </c>
      <c r="K656" s="3">
        <f ca="1">IFERROR(__xludf.DUMMYFUNCTION("""COMPUTED_VALUE"""),142.17)</f>
        <v>142.16999999999999</v>
      </c>
      <c r="L656" s="3">
        <f ca="1">IFERROR(__xludf.DUMMYFUNCTION("""COMPUTED_VALUE"""),95.54)</f>
        <v>95.54</v>
      </c>
      <c r="M656" s="3">
        <f ca="1">IFERROR(__xludf.DUMMYFUNCTION("""COMPUTED_VALUE"""),68.05)</f>
        <v>68.05</v>
      </c>
      <c r="N656" s="3">
        <f ca="1">IFERROR(__xludf.DUMMYFUNCTION("""COMPUTED_VALUE"""),70.77)</f>
        <v>70.77</v>
      </c>
      <c r="O656" s="3">
        <f ca="1">IFERROR(__xludf.DUMMYFUNCTION("""COMPUTED_VALUE"""),44.4)</f>
        <v>44.4</v>
      </c>
      <c r="P656" s="3">
        <f ca="1">IFERROR(__xludf.DUMMYFUNCTION("""COMPUTED_VALUE"""),89.41)</f>
        <v>89.41</v>
      </c>
      <c r="Q656" s="3">
        <f ca="1">IFERROR(__xludf.DUMMYFUNCTION("""COMPUTED_VALUE"""),124.66)</f>
        <v>124.66</v>
      </c>
      <c r="R656" s="3">
        <f ca="1">IFERROR(__xludf.DUMMYFUNCTION("""COMPUTED_VALUE"""),88.56)</f>
        <v>88.56</v>
      </c>
      <c r="S656" s="3">
        <f ca="1">IFERROR(__xludf.DUMMYFUNCTION("""COMPUTED_VALUE"""),57.39)</f>
        <v>57.39</v>
      </c>
      <c r="T656" s="3">
        <f ca="1">IFERROR(__xludf.DUMMYFUNCTION("""COMPUTED_VALUE"""),22.21)</f>
        <v>22.21</v>
      </c>
      <c r="U656" s="3">
        <f ca="1">IFERROR(__xludf.DUMMYFUNCTION("""COMPUTED_VALUE"""),76.22)</f>
        <v>76.22</v>
      </c>
      <c r="V656" s="3">
        <f ca="1">IFERROR(__xludf.DUMMYFUNCTION("""COMPUTED_VALUE"""),39.39)</f>
        <v>39.39</v>
      </c>
      <c r="W656" s="3">
        <f ca="1">IFERROR(__xludf.DUMMYFUNCTION("""COMPUTED_VALUE"""),42.4)</f>
        <v>42.4</v>
      </c>
      <c r="X656" s="3">
        <f ca="1">IFERROR(__xludf.DUMMYFUNCTION("""COMPUTED_VALUE"""),102.76)</f>
        <v>102.76</v>
      </c>
      <c r="Y656" s="3">
        <f ca="1">IFERROR(__xludf.DUMMYFUNCTION("""COMPUTED_VALUE"""),49.38)</f>
        <v>49.38</v>
      </c>
      <c r="Z656" s="3">
        <f ca="1">IFERROR(__xludf.DUMMYFUNCTION("""COMPUTED_VALUE"""),97.36)</f>
        <v>97.36</v>
      </c>
      <c r="AA656" s="3">
        <f ca="1">IFERROR(__xludf.DUMMYFUNCTION("""COMPUTED_VALUE"""),41.81)</f>
        <v>41.81</v>
      </c>
      <c r="AB656" s="3">
        <f ca="1">IFERROR(__xludf.DUMMYFUNCTION("""COMPUTED_VALUE"""),52.81)</f>
        <v>52.81</v>
      </c>
      <c r="AC656" s="3">
        <f ca="1">IFERROR(__xludf.DUMMYFUNCTION("""COMPUTED_VALUE"""),67.58)</f>
        <v>67.58</v>
      </c>
      <c r="AD656" s="3">
        <f ca="1">IFERROR(__xludf.DUMMYFUNCTION("""COMPUTED_VALUE"""),16.25)</f>
        <v>16.25</v>
      </c>
      <c r="AE656" s="3">
        <f ca="1">IFERROR(__xludf.DUMMYFUNCTION("""COMPUTED_VALUE"""),19.8)</f>
        <v>19.8</v>
      </c>
      <c r="AF656" s="3">
        <f ca="1">IFERROR(__xludf.DUMMYFUNCTION("""COMPUTED_VALUE"""),4.64)</f>
        <v>4.6399999999999997</v>
      </c>
      <c r="AG656" s="3">
        <f ca="1">IFERROR(__xludf.DUMMYFUNCTION("""COMPUTED_VALUE"""),42.96)</f>
        <v>42.96</v>
      </c>
    </row>
    <row r="657" spans="1:33" ht="12.75" x14ac:dyDescent="0.2">
      <c r="A657" s="4">
        <f ca="1">IFERROR(__xludf.DUMMYFUNCTION("""COMPUTED_VALUE"""),45516.6666666666)</f>
        <v>45516.666666666599</v>
      </c>
      <c r="B657" s="3">
        <f ca="1">IFERROR(__xludf.DUMMYFUNCTION("""COMPUTED_VALUE"""),207.31)</f>
        <v>207.31</v>
      </c>
      <c r="C657" s="3">
        <f ca="1">IFERROR(__xludf.DUMMYFUNCTION("""COMPUTED_VALUE"""),538.42)</f>
        <v>538.41999999999996</v>
      </c>
      <c r="D657" s="3">
        <f ca="1">IFERROR(__xludf.DUMMYFUNCTION("""COMPUTED_VALUE"""),147.71)</f>
        <v>147.71</v>
      </c>
      <c r="E657" s="3">
        <f ca="1">IFERROR(__xludf.DUMMYFUNCTION("""COMPUTED_VALUE"""),213)</f>
        <v>213</v>
      </c>
      <c r="F657" s="3">
        <f ca="1">IFERROR(__xludf.DUMMYFUNCTION("""COMPUTED_VALUE"""),62.87)</f>
        <v>62.87</v>
      </c>
      <c r="G657" s="3">
        <f ca="1">IFERROR(__xludf.DUMMYFUNCTION("""COMPUTED_VALUE"""),29.18)</f>
        <v>29.18</v>
      </c>
      <c r="H657" s="3">
        <f ca="1">IFERROR(__xludf.DUMMYFUNCTION("""COMPUTED_VALUE"""),27.45)</f>
        <v>27.45</v>
      </c>
      <c r="I657" s="3">
        <f ca="1">IFERROR(__xludf.DUMMYFUNCTION("""COMPUTED_VALUE"""),149.41)</f>
        <v>149.41</v>
      </c>
      <c r="J657" s="3">
        <f ca="1">IFERROR(__xludf.DUMMYFUNCTION("""COMPUTED_VALUE"""),273.51)</f>
        <v>273.51</v>
      </c>
      <c r="K657" s="3">
        <f ca="1">IFERROR(__xludf.DUMMYFUNCTION("""COMPUTED_VALUE"""),141.56)</f>
        <v>141.56</v>
      </c>
      <c r="L657" s="3">
        <f ca="1">IFERROR(__xludf.DUMMYFUNCTION("""COMPUTED_VALUE"""),95.81)</f>
        <v>95.81</v>
      </c>
      <c r="M657" s="3">
        <f ca="1">IFERROR(__xludf.DUMMYFUNCTION("""COMPUTED_VALUE"""),68.22)</f>
        <v>68.22</v>
      </c>
      <c r="N657" s="3">
        <f ca="1">IFERROR(__xludf.DUMMYFUNCTION("""COMPUTED_VALUE"""),70.46)</f>
        <v>70.459999999999994</v>
      </c>
      <c r="O657" s="3">
        <f ca="1">IFERROR(__xludf.DUMMYFUNCTION("""COMPUTED_VALUE"""),44.04)</f>
        <v>44.04</v>
      </c>
      <c r="P657" s="3">
        <f ca="1">IFERROR(__xludf.DUMMYFUNCTION("""COMPUTED_VALUE"""),89.85)</f>
        <v>89.85</v>
      </c>
      <c r="Q657" s="3">
        <f ca="1">IFERROR(__xludf.DUMMYFUNCTION("""COMPUTED_VALUE"""),125.49)</f>
        <v>125.49</v>
      </c>
      <c r="R657" s="3">
        <f ca="1">IFERROR(__xludf.DUMMYFUNCTION("""COMPUTED_VALUE"""),88.17)</f>
        <v>88.17</v>
      </c>
      <c r="S657" s="3">
        <f ca="1">IFERROR(__xludf.DUMMYFUNCTION("""COMPUTED_VALUE"""),57.38)</f>
        <v>57.38</v>
      </c>
      <c r="T657" s="3">
        <f ca="1">IFERROR(__xludf.DUMMYFUNCTION("""COMPUTED_VALUE"""),22.52)</f>
        <v>22.52</v>
      </c>
      <c r="U657" s="3">
        <f ca="1">IFERROR(__xludf.DUMMYFUNCTION("""COMPUTED_VALUE"""),78.63)</f>
        <v>78.63</v>
      </c>
      <c r="V657" s="3">
        <f ca="1">IFERROR(__xludf.DUMMYFUNCTION("""COMPUTED_VALUE"""),39.26)</f>
        <v>39.26</v>
      </c>
      <c r="W657" s="3">
        <f ca="1">IFERROR(__xludf.DUMMYFUNCTION("""COMPUTED_VALUE"""),42.18)</f>
        <v>42.18</v>
      </c>
      <c r="X657" s="3">
        <f ca="1">IFERROR(__xludf.DUMMYFUNCTION("""COMPUTED_VALUE"""),102.19)</f>
        <v>102.19</v>
      </c>
      <c r="Y657" s="3">
        <f ca="1">IFERROR(__xludf.DUMMYFUNCTION("""COMPUTED_VALUE"""),48.88)</f>
        <v>48.88</v>
      </c>
      <c r="Z657" s="3">
        <f ca="1">IFERROR(__xludf.DUMMYFUNCTION("""COMPUTED_VALUE"""),96.78)</f>
        <v>96.78</v>
      </c>
      <c r="AA657" s="3">
        <f ca="1">IFERROR(__xludf.DUMMYFUNCTION("""COMPUTED_VALUE"""),41.56)</f>
        <v>41.56</v>
      </c>
      <c r="AB657" s="3">
        <f ca="1">IFERROR(__xludf.DUMMYFUNCTION("""COMPUTED_VALUE"""),52.26)</f>
        <v>52.26</v>
      </c>
      <c r="AC657" s="3">
        <f ca="1">IFERROR(__xludf.DUMMYFUNCTION("""COMPUTED_VALUE"""),68.35)</f>
        <v>68.349999999999994</v>
      </c>
      <c r="AD657" s="3">
        <f ca="1">IFERROR(__xludf.DUMMYFUNCTION("""COMPUTED_VALUE"""),16.18)</f>
        <v>16.18</v>
      </c>
      <c r="AE657" s="3">
        <f ca="1">IFERROR(__xludf.DUMMYFUNCTION("""COMPUTED_VALUE"""),19.2)</f>
        <v>19.2</v>
      </c>
      <c r="AF657" s="3">
        <f ca="1">IFERROR(__xludf.DUMMYFUNCTION("""COMPUTED_VALUE"""),4.47)</f>
        <v>4.47</v>
      </c>
      <c r="AG657" s="3">
        <f ca="1">IFERROR(__xludf.DUMMYFUNCTION("""COMPUTED_VALUE"""),41.93)</f>
        <v>41.93</v>
      </c>
    </row>
    <row r="658" spans="1:33" ht="12.75" x14ac:dyDescent="0.2">
      <c r="A658" s="4">
        <f ca="1">IFERROR(__xludf.DUMMYFUNCTION("""COMPUTED_VALUE"""),45517.6666666666)</f>
        <v>45517.666666666599</v>
      </c>
      <c r="B658" s="3">
        <f ca="1">IFERROR(__xludf.DUMMYFUNCTION("""COMPUTED_VALUE"""),213.68)</f>
        <v>213.68</v>
      </c>
      <c r="C658" s="3">
        <f ca="1">IFERROR(__xludf.DUMMYFUNCTION("""COMPUTED_VALUE"""),553.98)</f>
        <v>553.98</v>
      </c>
      <c r="D658" s="3">
        <f ca="1">IFERROR(__xludf.DUMMYFUNCTION("""COMPUTED_VALUE"""),147.98)</f>
        <v>147.97999999999999</v>
      </c>
      <c r="E658" s="3">
        <f ca="1">IFERROR(__xludf.DUMMYFUNCTION("""COMPUTED_VALUE"""),221.65)</f>
        <v>221.65</v>
      </c>
      <c r="F658" s="3">
        <f ca="1">IFERROR(__xludf.DUMMYFUNCTION("""COMPUTED_VALUE"""),64.22)</f>
        <v>64.22</v>
      </c>
      <c r="G658" s="3">
        <f ca="1">IFERROR(__xludf.DUMMYFUNCTION("""COMPUTED_VALUE"""),29.89)</f>
        <v>29.89</v>
      </c>
      <c r="H658" s="3">
        <f ca="1">IFERROR(__xludf.DUMMYFUNCTION("""COMPUTED_VALUE"""),27.93)</f>
        <v>27.93</v>
      </c>
      <c r="I658" s="3">
        <f ca="1">IFERROR(__xludf.DUMMYFUNCTION("""COMPUTED_VALUE"""),151.22)</f>
        <v>151.22</v>
      </c>
      <c r="J658" s="3">
        <f ca="1">IFERROR(__xludf.DUMMYFUNCTION("""COMPUTED_VALUE"""),276.79)</f>
        <v>276.79000000000002</v>
      </c>
      <c r="K658" s="3">
        <f ca="1">IFERROR(__xludf.DUMMYFUNCTION("""COMPUTED_VALUE"""),143.55)</f>
        <v>143.55000000000001</v>
      </c>
      <c r="L658" s="3">
        <f ca="1">IFERROR(__xludf.DUMMYFUNCTION("""COMPUTED_VALUE"""),96.95)</f>
        <v>96.95</v>
      </c>
      <c r="M658" s="3">
        <f ca="1">IFERROR(__xludf.DUMMYFUNCTION("""COMPUTED_VALUE"""),69.02)</f>
        <v>69.02</v>
      </c>
      <c r="N658" s="3">
        <f ca="1">IFERROR(__xludf.DUMMYFUNCTION("""COMPUTED_VALUE"""),71.3)</f>
        <v>71.3</v>
      </c>
      <c r="O658" s="3">
        <f ca="1">IFERROR(__xludf.DUMMYFUNCTION("""COMPUTED_VALUE"""),44.96)</f>
        <v>44.96</v>
      </c>
      <c r="P658" s="3">
        <f ca="1">IFERROR(__xludf.DUMMYFUNCTION("""COMPUTED_VALUE"""),88.98)</f>
        <v>88.98</v>
      </c>
      <c r="Q658" s="3">
        <f ca="1">IFERROR(__xludf.DUMMYFUNCTION("""COMPUTED_VALUE"""),124.32)</f>
        <v>124.32</v>
      </c>
      <c r="R658" s="3">
        <f ca="1">IFERROR(__xludf.DUMMYFUNCTION("""COMPUTED_VALUE"""),89.05)</f>
        <v>89.05</v>
      </c>
      <c r="S658" s="3">
        <f ca="1">IFERROR(__xludf.DUMMYFUNCTION("""COMPUTED_VALUE"""),58.03)</f>
        <v>58.03</v>
      </c>
      <c r="T658" s="3">
        <f ca="1">IFERROR(__xludf.DUMMYFUNCTION("""COMPUTED_VALUE"""),22.31)</f>
        <v>22.31</v>
      </c>
      <c r="U658" s="3">
        <f ca="1">IFERROR(__xludf.DUMMYFUNCTION("""COMPUTED_VALUE"""),77.64)</f>
        <v>77.64</v>
      </c>
      <c r="V658" s="3">
        <f ca="1">IFERROR(__xludf.DUMMYFUNCTION("""COMPUTED_VALUE"""),40.66)</f>
        <v>40.659999999999997</v>
      </c>
      <c r="W658" s="3">
        <f ca="1">IFERROR(__xludf.DUMMYFUNCTION("""COMPUTED_VALUE"""),42.53)</f>
        <v>42.53</v>
      </c>
      <c r="X658" s="3">
        <f ca="1">IFERROR(__xludf.DUMMYFUNCTION("""COMPUTED_VALUE"""),103.19)</f>
        <v>103.19</v>
      </c>
      <c r="Y658" s="3">
        <f ca="1">IFERROR(__xludf.DUMMYFUNCTION("""COMPUTED_VALUE"""),49.48)</f>
        <v>49.48</v>
      </c>
      <c r="Z658" s="3">
        <f ca="1">IFERROR(__xludf.DUMMYFUNCTION("""COMPUTED_VALUE"""),97.64)</f>
        <v>97.64</v>
      </c>
      <c r="AA658" s="3">
        <f ca="1">IFERROR(__xludf.DUMMYFUNCTION("""COMPUTED_VALUE"""),41.85)</f>
        <v>41.85</v>
      </c>
      <c r="AB658" s="3">
        <f ca="1">IFERROR(__xludf.DUMMYFUNCTION("""COMPUTED_VALUE"""),52.9)</f>
        <v>52.9</v>
      </c>
      <c r="AC658" s="3">
        <f ca="1">IFERROR(__xludf.DUMMYFUNCTION("""COMPUTED_VALUE"""),68.79)</f>
        <v>68.790000000000006</v>
      </c>
      <c r="AD658" s="3">
        <f ca="1">IFERROR(__xludf.DUMMYFUNCTION("""COMPUTED_VALUE"""),16.59)</f>
        <v>16.59</v>
      </c>
      <c r="AE658" s="3">
        <f ca="1">IFERROR(__xludf.DUMMYFUNCTION("""COMPUTED_VALUE"""),19.8)</f>
        <v>19.8</v>
      </c>
      <c r="AF658" s="3">
        <f ca="1">IFERROR(__xludf.DUMMYFUNCTION("""COMPUTED_VALUE"""),4.7)</f>
        <v>4.7</v>
      </c>
      <c r="AG658" s="3">
        <f ca="1">IFERROR(__xludf.DUMMYFUNCTION("""COMPUTED_VALUE"""),41.91)</f>
        <v>41.91</v>
      </c>
    </row>
    <row r="659" spans="1:33" ht="12.75" x14ac:dyDescent="0.2">
      <c r="A659" s="4">
        <f ca="1">IFERROR(__xludf.DUMMYFUNCTION("""COMPUTED_VALUE"""),45518.6666666666)</f>
        <v>45518.666666666599</v>
      </c>
      <c r="B659" s="3">
        <f ca="1">IFERROR(__xludf.DUMMYFUNCTION("""COMPUTED_VALUE"""),214.85)</f>
        <v>214.85</v>
      </c>
      <c r="C659" s="3">
        <f ca="1">IFERROR(__xludf.DUMMYFUNCTION("""COMPUTED_VALUE"""),556.42)</f>
        <v>556.41999999999996</v>
      </c>
      <c r="D659" s="3">
        <f ca="1">IFERROR(__xludf.DUMMYFUNCTION("""COMPUTED_VALUE"""),150)</f>
        <v>150</v>
      </c>
      <c r="E659" s="3">
        <f ca="1">IFERROR(__xludf.DUMMYFUNCTION("""COMPUTED_VALUE"""),221.09)</f>
        <v>221.09</v>
      </c>
      <c r="F659" s="3">
        <f ca="1">IFERROR(__xludf.DUMMYFUNCTION("""COMPUTED_VALUE"""),64.89)</f>
        <v>64.89</v>
      </c>
      <c r="G659" s="3">
        <f ca="1">IFERROR(__xludf.DUMMYFUNCTION("""COMPUTED_VALUE"""),29.92)</f>
        <v>29.92</v>
      </c>
      <c r="H659" s="3">
        <f ca="1">IFERROR(__xludf.DUMMYFUNCTION("""COMPUTED_VALUE"""),27.85)</f>
        <v>27.85</v>
      </c>
      <c r="I659" s="3">
        <f ca="1">IFERROR(__xludf.DUMMYFUNCTION("""COMPUTED_VALUE"""),151.76)</f>
        <v>151.76</v>
      </c>
      <c r="J659" s="3">
        <f ca="1">IFERROR(__xludf.DUMMYFUNCTION("""COMPUTED_VALUE"""),277.41)</f>
        <v>277.41000000000003</v>
      </c>
      <c r="K659" s="3">
        <f ca="1">IFERROR(__xludf.DUMMYFUNCTION("""COMPUTED_VALUE"""),142.79)</f>
        <v>142.79</v>
      </c>
      <c r="L659" s="3">
        <f ca="1">IFERROR(__xludf.DUMMYFUNCTION("""COMPUTED_VALUE"""),96.09)</f>
        <v>96.09</v>
      </c>
      <c r="M659" s="3">
        <f ca="1">IFERROR(__xludf.DUMMYFUNCTION("""COMPUTED_VALUE"""),68.64)</f>
        <v>68.64</v>
      </c>
      <c r="N659" s="3">
        <f ca="1">IFERROR(__xludf.DUMMYFUNCTION("""COMPUTED_VALUE"""),71.54)</f>
        <v>71.540000000000006</v>
      </c>
      <c r="O659" s="3">
        <f ca="1">IFERROR(__xludf.DUMMYFUNCTION("""COMPUTED_VALUE"""),43.92)</f>
        <v>43.92</v>
      </c>
      <c r="P659" s="3">
        <f ca="1">IFERROR(__xludf.DUMMYFUNCTION("""COMPUTED_VALUE"""),89.5)</f>
        <v>89.5</v>
      </c>
      <c r="Q659" s="3">
        <f ca="1">IFERROR(__xludf.DUMMYFUNCTION("""COMPUTED_VALUE"""),124.95)</f>
        <v>124.95</v>
      </c>
      <c r="R659" s="3">
        <f ca="1">IFERROR(__xludf.DUMMYFUNCTION("""COMPUTED_VALUE"""),89.05)</f>
        <v>89.05</v>
      </c>
      <c r="S659" s="3">
        <f ca="1">IFERROR(__xludf.DUMMYFUNCTION("""COMPUTED_VALUE"""),57.01)</f>
        <v>57.01</v>
      </c>
      <c r="T659" s="3">
        <f ca="1">IFERROR(__xludf.DUMMYFUNCTION("""COMPUTED_VALUE"""),22.17)</f>
        <v>22.17</v>
      </c>
      <c r="U659" s="3">
        <f ca="1">IFERROR(__xludf.DUMMYFUNCTION("""COMPUTED_VALUE"""),76.59)</f>
        <v>76.59</v>
      </c>
      <c r="V659" s="3">
        <f ca="1">IFERROR(__xludf.DUMMYFUNCTION("""COMPUTED_VALUE"""),40.07)</f>
        <v>40.07</v>
      </c>
      <c r="W659" s="3">
        <f ca="1">IFERROR(__xludf.DUMMYFUNCTION("""COMPUTED_VALUE"""),43.05)</f>
        <v>43.05</v>
      </c>
      <c r="X659" s="3">
        <f ca="1">IFERROR(__xludf.DUMMYFUNCTION("""COMPUTED_VALUE"""),104.25)</f>
        <v>104.25</v>
      </c>
      <c r="Y659" s="3">
        <f ca="1">IFERROR(__xludf.DUMMYFUNCTION("""COMPUTED_VALUE"""),49.42)</f>
        <v>49.42</v>
      </c>
      <c r="Z659" s="3">
        <f ca="1">IFERROR(__xludf.DUMMYFUNCTION("""COMPUTED_VALUE"""),99.04)</f>
        <v>99.04</v>
      </c>
      <c r="AA659" s="3">
        <f ca="1">IFERROR(__xludf.DUMMYFUNCTION("""COMPUTED_VALUE"""),42)</f>
        <v>42</v>
      </c>
      <c r="AB659" s="3">
        <f ca="1">IFERROR(__xludf.DUMMYFUNCTION("""COMPUTED_VALUE"""),52.78)</f>
        <v>52.78</v>
      </c>
      <c r="AC659" s="3">
        <f ca="1">IFERROR(__xludf.DUMMYFUNCTION("""COMPUTED_VALUE"""),69.23)</f>
        <v>69.23</v>
      </c>
      <c r="AD659" s="3">
        <f ca="1">IFERROR(__xludf.DUMMYFUNCTION("""COMPUTED_VALUE"""),16.19)</f>
        <v>16.190000000000001</v>
      </c>
      <c r="AE659" s="3">
        <f ca="1">IFERROR(__xludf.DUMMYFUNCTION("""COMPUTED_VALUE"""),19.14)</f>
        <v>19.14</v>
      </c>
      <c r="AF659" s="3">
        <f ca="1">IFERROR(__xludf.DUMMYFUNCTION("""COMPUTED_VALUE"""),4.48)</f>
        <v>4.4800000000000004</v>
      </c>
      <c r="AG659" s="3">
        <f ca="1">IFERROR(__xludf.DUMMYFUNCTION("""COMPUTED_VALUE"""),41.38)</f>
        <v>41.38</v>
      </c>
    </row>
    <row r="660" spans="1:33" ht="12.75" x14ac:dyDescent="0.2">
      <c r="A660" s="4">
        <f ca="1">IFERROR(__xludf.DUMMYFUNCTION("""COMPUTED_VALUE"""),45519.6666666666)</f>
        <v>45519.666666666599</v>
      </c>
      <c r="B660" s="3">
        <f ca="1">IFERROR(__xludf.DUMMYFUNCTION("""COMPUTED_VALUE"""),221.03)</f>
        <v>221.03</v>
      </c>
      <c r="C660" s="3">
        <f ca="1">IFERROR(__xludf.DUMMYFUNCTION("""COMPUTED_VALUE"""),571.39)</f>
        <v>571.39</v>
      </c>
      <c r="D660" s="3">
        <f ca="1">IFERROR(__xludf.DUMMYFUNCTION("""COMPUTED_VALUE"""),149.53)</f>
        <v>149.53</v>
      </c>
      <c r="E660" s="3">
        <f ca="1">IFERROR(__xludf.DUMMYFUNCTION("""COMPUTED_VALUE"""),231.72)</f>
        <v>231.72</v>
      </c>
      <c r="F660" s="3">
        <f ca="1">IFERROR(__xludf.DUMMYFUNCTION("""COMPUTED_VALUE"""),65.99)</f>
        <v>65.989999999999995</v>
      </c>
      <c r="G660" s="3">
        <f ca="1">IFERROR(__xludf.DUMMYFUNCTION("""COMPUTED_VALUE"""),30.28)</f>
        <v>30.28</v>
      </c>
      <c r="H660" s="3">
        <f ca="1">IFERROR(__xludf.DUMMYFUNCTION("""COMPUTED_VALUE"""),28.4)</f>
        <v>28.4</v>
      </c>
      <c r="I660" s="3">
        <f ca="1">IFERROR(__xludf.DUMMYFUNCTION("""COMPUTED_VALUE"""),152.71)</f>
        <v>152.71</v>
      </c>
      <c r="J660" s="3">
        <f ca="1">IFERROR(__xludf.DUMMYFUNCTION("""COMPUTED_VALUE"""),279.78)</f>
        <v>279.77999999999997</v>
      </c>
      <c r="K660" s="3">
        <f ca="1">IFERROR(__xludf.DUMMYFUNCTION("""COMPUTED_VALUE"""),144.95)</f>
        <v>144.94999999999999</v>
      </c>
      <c r="L660" s="3">
        <f ca="1">IFERROR(__xludf.DUMMYFUNCTION("""COMPUTED_VALUE"""),97.71)</f>
        <v>97.71</v>
      </c>
      <c r="M660" s="3">
        <f ca="1">IFERROR(__xludf.DUMMYFUNCTION("""COMPUTED_VALUE"""),69.56)</f>
        <v>69.56</v>
      </c>
      <c r="N660" s="3">
        <f ca="1">IFERROR(__xludf.DUMMYFUNCTION("""COMPUTED_VALUE"""),72.04)</f>
        <v>72.040000000000006</v>
      </c>
      <c r="O660" s="3">
        <f ca="1">IFERROR(__xludf.DUMMYFUNCTION("""COMPUTED_VALUE"""),45.19)</f>
        <v>45.19</v>
      </c>
      <c r="P660" s="3">
        <f ca="1">IFERROR(__xludf.DUMMYFUNCTION("""COMPUTED_VALUE"""),90.57)</f>
        <v>90.57</v>
      </c>
      <c r="Q660" s="3">
        <f ca="1">IFERROR(__xludf.DUMMYFUNCTION("""COMPUTED_VALUE"""),126.62)</f>
        <v>126.62</v>
      </c>
      <c r="R660" s="3">
        <f ca="1">IFERROR(__xludf.DUMMYFUNCTION("""COMPUTED_VALUE"""),90.46)</f>
        <v>90.46</v>
      </c>
      <c r="S660" s="3">
        <f ca="1">IFERROR(__xludf.DUMMYFUNCTION("""COMPUTED_VALUE"""),58.16)</f>
        <v>58.16</v>
      </c>
      <c r="T660" s="3">
        <f ca="1">IFERROR(__xludf.DUMMYFUNCTION("""COMPUTED_VALUE"""),22.35)</f>
        <v>22.35</v>
      </c>
      <c r="U660" s="3">
        <f ca="1">IFERROR(__xludf.DUMMYFUNCTION("""COMPUTED_VALUE"""),77.41)</f>
        <v>77.41</v>
      </c>
      <c r="V660" s="3">
        <f ca="1">IFERROR(__xludf.DUMMYFUNCTION("""COMPUTED_VALUE"""),41.11)</f>
        <v>41.11</v>
      </c>
      <c r="W660" s="3">
        <f ca="1">IFERROR(__xludf.DUMMYFUNCTION("""COMPUTED_VALUE"""),43.45)</f>
        <v>43.45</v>
      </c>
      <c r="X660" s="3">
        <f ca="1">IFERROR(__xludf.DUMMYFUNCTION("""COMPUTED_VALUE"""),105.52)</f>
        <v>105.52</v>
      </c>
      <c r="Y660" s="3">
        <f ca="1">IFERROR(__xludf.DUMMYFUNCTION("""COMPUTED_VALUE"""),50.51)</f>
        <v>50.51</v>
      </c>
      <c r="Z660" s="3">
        <f ca="1">IFERROR(__xludf.DUMMYFUNCTION("""COMPUTED_VALUE"""),99.91)</f>
        <v>99.91</v>
      </c>
      <c r="AA660" s="3">
        <f ca="1">IFERROR(__xludf.DUMMYFUNCTION("""COMPUTED_VALUE"""),41.88)</f>
        <v>41.88</v>
      </c>
      <c r="AB660" s="3">
        <f ca="1">IFERROR(__xludf.DUMMYFUNCTION("""COMPUTED_VALUE"""),53.99)</f>
        <v>53.99</v>
      </c>
      <c r="AC660" s="3">
        <f ca="1">IFERROR(__xludf.DUMMYFUNCTION("""COMPUTED_VALUE"""),68.92)</f>
        <v>68.92</v>
      </c>
      <c r="AD660" s="3">
        <f ca="1">IFERROR(__xludf.DUMMYFUNCTION("""COMPUTED_VALUE"""),15.57)</f>
        <v>15.57</v>
      </c>
      <c r="AE660" s="3">
        <f ca="1">IFERROR(__xludf.DUMMYFUNCTION("""COMPUTED_VALUE"""),18.56)</f>
        <v>18.559999999999999</v>
      </c>
      <c r="AF660" s="3">
        <f ca="1">IFERROR(__xludf.DUMMYFUNCTION("""COMPUTED_VALUE"""),4.49)</f>
        <v>4.49</v>
      </c>
      <c r="AG660" s="3">
        <f ca="1">IFERROR(__xludf.DUMMYFUNCTION("""COMPUTED_VALUE"""),42.69)</f>
        <v>42.69</v>
      </c>
    </row>
    <row r="661" spans="1:33" ht="12.75" x14ac:dyDescent="0.2">
      <c r="A661" s="4">
        <f ca="1">IFERROR(__xludf.DUMMYFUNCTION("""COMPUTED_VALUE"""),45520.6666666666)</f>
        <v>45520.666666666599</v>
      </c>
      <c r="B661" s="3">
        <f ca="1">IFERROR(__xludf.DUMMYFUNCTION("""COMPUTED_VALUE"""),221.4)</f>
        <v>221.4</v>
      </c>
      <c r="C661" s="3">
        <f ca="1">IFERROR(__xludf.DUMMYFUNCTION("""COMPUTED_VALUE"""),572.71)</f>
        <v>572.71</v>
      </c>
      <c r="D661" s="3">
        <f ca="1">IFERROR(__xludf.DUMMYFUNCTION("""COMPUTED_VALUE"""),150.39)</f>
        <v>150.38999999999999</v>
      </c>
      <c r="E661" s="3">
        <f ca="1">IFERROR(__xludf.DUMMYFUNCTION("""COMPUTED_VALUE"""),231.23)</f>
        <v>231.23</v>
      </c>
      <c r="F661" s="3">
        <f ca="1">IFERROR(__xludf.DUMMYFUNCTION("""COMPUTED_VALUE"""),66.28)</f>
        <v>66.28</v>
      </c>
      <c r="G661" s="3">
        <f ca="1">IFERROR(__xludf.DUMMYFUNCTION("""COMPUTED_VALUE"""),30.5)</f>
        <v>30.5</v>
      </c>
      <c r="H661" s="3">
        <f ca="1">IFERROR(__xludf.DUMMYFUNCTION("""COMPUTED_VALUE"""),28.48)</f>
        <v>28.48</v>
      </c>
      <c r="I661" s="3">
        <f ca="1">IFERROR(__xludf.DUMMYFUNCTION("""COMPUTED_VALUE"""),152.87)</f>
        <v>152.87</v>
      </c>
      <c r="J661" s="3">
        <f ca="1">IFERROR(__xludf.DUMMYFUNCTION("""COMPUTED_VALUE"""),279.94)</f>
        <v>279.94</v>
      </c>
      <c r="K661" s="3">
        <f ca="1">IFERROR(__xludf.DUMMYFUNCTION("""COMPUTED_VALUE"""),144.85)</f>
        <v>144.85</v>
      </c>
      <c r="L661" s="3">
        <f ca="1">IFERROR(__xludf.DUMMYFUNCTION("""COMPUTED_VALUE"""),97.77)</f>
        <v>97.77</v>
      </c>
      <c r="M661" s="3">
        <f ca="1">IFERROR(__xludf.DUMMYFUNCTION("""COMPUTED_VALUE"""),69.47)</f>
        <v>69.47</v>
      </c>
      <c r="N661" s="3">
        <f ca="1">IFERROR(__xludf.DUMMYFUNCTION("""COMPUTED_VALUE"""),72.11)</f>
        <v>72.11</v>
      </c>
      <c r="O661" s="3">
        <f ca="1">IFERROR(__xludf.DUMMYFUNCTION("""COMPUTED_VALUE"""),45.48)</f>
        <v>45.48</v>
      </c>
      <c r="P661" s="3">
        <f ca="1">IFERROR(__xludf.DUMMYFUNCTION("""COMPUTED_VALUE"""),90.47)</f>
        <v>90.47</v>
      </c>
      <c r="Q661" s="3">
        <f ca="1">IFERROR(__xludf.DUMMYFUNCTION("""COMPUTED_VALUE"""),126.53)</f>
        <v>126.53</v>
      </c>
      <c r="R661" s="3">
        <f ca="1">IFERROR(__xludf.DUMMYFUNCTION("""COMPUTED_VALUE"""),90.57)</f>
        <v>90.57</v>
      </c>
      <c r="S661" s="3">
        <f ca="1">IFERROR(__xludf.DUMMYFUNCTION("""COMPUTED_VALUE"""),58.55)</f>
        <v>58.55</v>
      </c>
      <c r="T661" s="3">
        <f ca="1">IFERROR(__xludf.DUMMYFUNCTION("""COMPUTED_VALUE"""),22.21)</f>
        <v>22.21</v>
      </c>
      <c r="U661" s="3">
        <f ca="1">IFERROR(__xludf.DUMMYFUNCTION("""COMPUTED_VALUE"""),76.32)</f>
        <v>76.319999999999993</v>
      </c>
      <c r="V661" s="3">
        <f ca="1">IFERROR(__xludf.DUMMYFUNCTION("""COMPUTED_VALUE"""),40.7)</f>
        <v>40.700000000000003</v>
      </c>
      <c r="W661" s="3">
        <f ca="1">IFERROR(__xludf.DUMMYFUNCTION("""COMPUTED_VALUE"""),43.77)</f>
        <v>43.77</v>
      </c>
      <c r="X661" s="3">
        <f ca="1">IFERROR(__xludf.DUMMYFUNCTION("""COMPUTED_VALUE"""),106.2)</f>
        <v>106.2</v>
      </c>
      <c r="Y661" s="3">
        <f ca="1">IFERROR(__xludf.DUMMYFUNCTION("""COMPUTED_VALUE"""),51.26)</f>
        <v>51.26</v>
      </c>
      <c r="Z661" s="3">
        <f ca="1">IFERROR(__xludf.DUMMYFUNCTION("""COMPUTED_VALUE"""),100.61)</f>
        <v>100.61</v>
      </c>
      <c r="AA661" s="3">
        <f ca="1">IFERROR(__xludf.DUMMYFUNCTION("""COMPUTED_VALUE"""),41.86)</f>
        <v>41.86</v>
      </c>
      <c r="AB661" s="3">
        <f ca="1">IFERROR(__xludf.DUMMYFUNCTION("""COMPUTED_VALUE"""),54.87)</f>
        <v>54.87</v>
      </c>
      <c r="AC661" s="3">
        <f ca="1">IFERROR(__xludf.DUMMYFUNCTION("""COMPUTED_VALUE"""),68.77)</f>
        <v>68.77</v>
      </c>
      <c r="AD661" s="3">
        <f ca="1">IFERROR(__xludf.DUMMYFUNCTION("""COMPUTED_VALUE"""),16.22)</f>
        <v>16.22</v>
      </c>
      <c r="AE661" s="3">
        <f ca="1">IFERROR(__xludf.DUMMYFUNCTION("""COMPUTED_VALUE"""),19.45)</f>
        <v>19.45</v>
      </c>
      <c r="AF661" s="3">
        <f ca="1">IFERROR(__xludf.DUMMYFUNCTION("""COMPUTED_VALUE"""),4.53)</f>
        <v>4.53</v>
      </c>
      <c r="AG661" s="3">
        <f ca="1">IFERROR(__xludf.DUMMYFUNCTION("""COMPUTED_VALUE"""),44.31)</f>
        <v>44.31</v>
      </c>
    </row>
    <row r="662" spans="1:33" ht="12.75" x14ac:dyDescent="0.2">
      <c r="A662" s="4">
        <f ca="1">IFERROR(__xludf.DUMMYFUNCTION("""COMPUTED_VALUE"""),45523.6666666666)</f>
        <v>45523.666666666599</v>
      </c>
      <c r="B662" s="3">
        <f ca="1">IFERROR(__xludf.DUMMYFUNCTION("""COMPUTED_VALUE"""),225.05)</f>
        <v>225.05</v>
      </c>
      <c r="C662" s="3">
        <f ca="1">IFERROR(__xludf.DUMMYFUNCTION("""COMPUTED_VALUE"""),580.69)</f>
        <v>580.69000000000005</v>
      </c>
      <c r="D662" s="3">
        <f ca="1">IFERROR(__xludf.DUMMYFUNCTION("""COMPUTED_VALUE"""),147.36)</f>
        <v>147.36000000000001</v>
      </c>
      <c r="E662" s="3">
        <f ca="1">IFERROR(__xludf.DUMMYFUNCTION("""COMPUTED_VALUE"""),235.16)</f>
        <v>235.16</v>
      </c>
      <c r="F662" s="3">
        <f ca="1">IFERROR(__xludf.DUMMYFUNCTION("""COMPUTED_VALUE"""),67.04)</f>
        <v>67.040000000000006</v>
      </c>
      <c r="G662" s="3">
        <f ca="1">IFERROR(__xludf.DUMMYFUNCTION("""COMPUTED_VALUE"""),31.07)</f>
        <v>31.07</v>
      </c>
      <c r="H662" s="3">
        <f ca="1">IFERROR(__xludf.DUMMYFUNCTION("""COMPUTED_VALUE"""),28.86)</f>
        <v>28.86</v>
      </c>
      <c r="I662" s="3">
        <f ca="1">IFERROR(__xludf.DUMMYFUNCTION("""COMPUTED_VALUE"""),153.8)</f>
        <v>153.80000000000001</v>
      </c>
      <c r="J662" s="3">
        <f ca="1">IFERROR(__xludf.DUMMYFUNCTION("""COMPUTED_VALUE"""),282.15)</f>
        <v>282.14999999999998</v>
      </c>
      <c r="K662" s="3">
        <f ca="1">IFERROR(__xludf.DUMMYFUNCTION("""COMPUTED_VALUE"""),147.8)</f>
        <v>147.80000000000001</v>
      </c>
      <c r="L662" s="3">
        <f ca="1">IFERROR(__xludf.DUMMYFUNCTION("""COMPUTED_VALUE"""),100.85)</f>
        <v>100.85</v>
      </c>
      <c r="M662" s="3">
        <f ca="1">IFERROR(__xludf.DUMMYFUNCTION("""COMPUTED_VALUE"""),71.46)</f>
        <v>71.459999999999994</v>
      </c>
      <c r="N662" s="3">
        <f ca="1">IFERROR(__xludf.DUMMYFUNCTION("""COMPUTED_VALUE"""),72.73)</f>
        <v>72.73</v>
      </c>
      <c r="O662" s="3">
        <f ca="1">IFERROR(__xludf.DUMMYFUNCTION("""COMPUTED_VALUE"""),46.32)</f>
        <v>46.32</v>
      </c>
      <c r="P662" s="3">
        <f ca="1">IFERROR(__xludf.DUMMYFUNCTION("""COMPUTED_VALUE"""),91.08)</f>
        <v>91.08</v>
      </c>
      <c r="Q662" s="3">
        <f ca="1">IFERROR(__xludf.DUMMYFUNCTION("""COMPUTED_VALUE"""),127.28)</f>
        <v>127.28</v>
      </c>
      <c r="R662" s="3">
        <f ca="1">IFERROR(__xludf.DUMMYFUNCTION("""COMPUTED_VALUE"""),91)</f>
        <v>91</v>
      </c>
      <c r="S662" s="3">
        <f ca="1">IFERROR(__xludf.DUMMYFUNCTION("""COMPUTED_VALUE"""),59.1)</f>
        <v>59.1</v>
      </c>
      <c r="T662" s="3">
        <f ca="1">IFERROR(__xludf.DUMMYFUNCTION("""COMPUTED_VALUE"""),22.09)</f>
        <v>22.09</v>
      </c>
      <c r="U662" s="3">
        <f ca="1">IFERROR(__xludf.DUMMYFUNCTION("""COMPUTED_VALUE"""),74.38)</f>
        <v>74.38</v>
      </c>
      <c r="V662" s="3">
        <f ca="1">IFERROR(__xludf.DUMMYFUNCTION("""COMPUTED_VALUE"""),41.6)</f>
        <v>41.6</v>
      </c>
      <c r="W662" s="3">
        <f ca="1">IFERROR(__xludf.DUMMYFUNCTION("""COMPUTED_VALUE"""),44.01)</f>
        <v>44.01</v>
      </c>
      <c r="X662" s="3">
        <f ca="1">IFERROR(__xludf.DUMMYFUNCTION("""COMPUTED_VALUE"""),106.9)</f>
        <v>106.9</v>
      </c>
      <c r="Y662" s="3">
        <f ca="1">IFERROR(__xludf.DUMMYFUNCTION("""COMPUTED_VALUE"""),51.73)</f>
        <v>51.73</v>
      </c>
      <c r="Z662" s="3">
        <f ca="1">IFERROR(__xludf.DUMMYFUNCTION("""COMPUTED_VALUE"""),101.3)</f>
        <v>101.3</v>
      </c>
      <c r="AA662" s="3">
        <f ca="1">IFERROR(__xludf.DUMMYFUNCTION("""COMPUTED_VALUE"""),42.11)</f>
        <v>42.11</v>
      </c>
      <c r="AB662" s="3">
        <f ca="1">IFERROR(__xludf.DUMMYFUNCTION("""COMPUTED_VALUE"""),55.5)</f>
        <v>55.5</v>
      </c>
      <c r="AC662" s="3">
        <f ca="1">IFERROR(__xludf.DUMMYFUNCTION("""COMPUTED_VALUE"""),69.07)</f>
        <v>69.069999999999993</v>
      </c>
      <c r="AD662" s="3">
        <f ca="1">IFERROR(__xludf.DUMMYFUNCTION("""COMPUTED_VALUE"""),16.03)</f>
        <v>16.03</v>
      </c>
      <c r="AE662" s="3">
        <f ca="1">IFERROR(__xludf.DUMMYFUNCTION("""COMPUTED_VALUE"""),19.2)</f>
        <v>19.2</v>
      </c>
      <c r="AF662" s="3">
        <f ca="1">IFERROR(__xludf.DUMMYFUNCTION("""COMPUTED_VALUE"""),4.45)</f>
        <v>4.45</v>
      </c>
      <c r="AG662" s="3">
        <f ca="1">IFERROR(__xludf.DUMMYFUNCTION("""COMPUTED_VALUE"""),45.38)</f>
        <v>45.38</v>
      </c>
    </row>
    <row r="663" spans="1:33" ht="12.75" x14ac:dyDescent="0.2">
      <c r="A663" s="4">
        <f ca="1">IFERROR(__xludf.DUMMYFUNCTION("""COMPUTED_VALUE"""),45524.6666666666)</f>
        <v>45524.666666666599</v>
      </c>
      <c r="B663" s="3">
        <f ca="1">IFERROR(__xludf.DUMMYFUNCTION("""COMPUTED_VALUE"""),224.26)</f>
        <v>224.26</v>
      </c>
      <c r="C663" s="3">
        <f ca="1">IFERROR(__xludf.DUMMYFUNCTION("""COMPUTED_VALUE"""),578.75)</f>
        <v>578.75</v>
      </c>
      <c r="D663" s="3">
        <f ca="1">IFERROR(__xludf.DUMMYFUNCTION("""COMPUTED_VALUE"""),149.38)</f>
        <v>149.38</v>
      </c>
      <c r="E663" s="3">
        <f ca="1">IFERROR(__xludf.DUMMYFUNCTION("""COMPUTED_VALUE"""),232.05)</f>
        <v>232.05</v>
      </c>
      <c r="F663" s="3">
        <f ca="1">IFERROR(__xludf.DUMMYFUNCTION("""COMPUTED_VALUE"""),67.32)</f>
        <v>67.319999999999993</v>
      </c>
      <c r="G663" s="3">
        <f ca="1">IFERROR(__xludf.DUMMYFUNCTION("""COMPUTED_VALUE"""),30.9)</f>
        <v>30.9</v>
      </c>
      <c r="H663" s="3">
        <f ca="1">IFERROR(__xludf.DUMMYFUNCTION("""COMPUTED_VALUE"""),28.63)</f>
        <v>28.63</v>
      </c>
      <c r="I663" s="3">
        <f ca="1">IFERROR(__xludf.DUMMYFUNCTION("""COMPUTED_VALUE"""),154.42)</f>
        <v>154.41999999999999</v>
      </c>
      <c r="J663" s="3">
        <f ca="1">IFERROR(__xludf.DUMMYFUNCTION("""COMPUTED_VALUE"""),282.89)</f>
        <v>282.89</v>
      </c>
      <c r="K663" s="3">
        <f ca="1">IFERROR(__xludf.DUMMYFUNCTION("""COMPUTED_VALUE"""),147.38)</f>
        <v>147.38</v>
      </c>
      <c r="L663" s="3">
        <f ca="1">IFERROR(__xludf.DUMMYFUNCTION("""COMPUTED_VALUE"""),100.83)</f>
        <v>100.83</v>
      </c>
      <c r="M663" s="3">
        <f ca="1">IFERROR(__xludf.DUMMYFUNCTION("""COMPUTED_VALUE"""),71.31)</f>
        <v>71.31</v>
      </c>
      <c r="N663" s="3">
        <f ca="1">IFERROR(__xludf.DUMMYFUNCTION("""COMPUTED_VALUE"""),72.93)</f>
        <v>72.930000000000007</v>
      </c>
      <c r="O663" s="3">
        <f ca="1">IFERROR(__xludf.DUMMYFUNCTION("""COMPUTED_VALUE"""),45.96)</f>
        <v>45.96</v>
      </c>
      <c r="P663" s="3">
        <f ca="1">IFERROR(__xludf.DUMMYFUNCTION("""COMPUTED_VALUE"""),88.68)</f>
        <v>88.68</v>
      </c>
      <c r="Q663" s="3">
        <f ca="1">IFERROR(__xludf.DUMMYFUNCTION("""COMPUTED_VALUE"""),124.06)</f>
        <v>124.06</v>
      </c>
      <c r="R663" s="3">
        <f ca="1">IFERROR(__xludf.DUMMYFUNCTION("""COMPUTED_VALUE"""),90.67)</f>
        <v>90.67</v>
      </c>
      <c r="S663" s="3">
        <f ca="1">IFERROR(__xludf.DUMMYFUNCTION("""COMPUTED_VALUE"""),58.59)</f>
        <v>58.59</v>
      </c>
      <c r="T663" s="3">
        <f ca="1">IFERROR(__xludf.DUMMYFUNCTION("""COMPUTED_VALUE"""),22)</f>
        <v>22</v>
      </c>
      <c r="U663" s="3">
        <f ca="1">IFERROR(__xludf.DUMMYFUNCTION("""COMPUTED_VALUE"""),73.83)</f>
        <v>73.83</v>
      </c>
      <c r="V663" s="3">
        <f ca="1">IFERROR(__xludf.DUMMYFUNCTION("""COMPUTED_VALUE"""),40.74)</f>
        <v>40.74</v>
      </c>
      <c r="W663" s="3">
        <f ca="1">IFERROR(__xludf.DUMMYFUNCTION("""COMPUTED_VALUE"""),43.87)</f>
        <v>43.87</v>
      </c>
      <c r="X663" s="3">
        <f ca="1">IFERROR(__xludf.DUMMYFUNCTION("""COMPUTED_VALUE"""),106.33)</f>
        <v>106.33</v>
      </c>
      <c r="Y663" s="3">
        <f ca="1">IFERROR(__xludf.DUMMYFUNCTION("""COMPUTED_VALUE"""),50.89)</f>
        <v>50.89</v>
      </c>
      <c r="Z663" s="3">
        <f ca="1">IFERROR(__xludf.DUMMYFUNCTION("""COMPUTED_VALUE"""),100.72)</f>
        <v>100.72</v>
      </c>
      <c r="AA663" s="3">
        <f ca="1">IFERROR(__xludf.DUMMYFUNCTION("""COMPUTED_VALUE"""),42.15)</f>
        <v>42.15</v>
      </c>
      <c r="AB663" s="3">
        <f ca="1">IFERROR(__xludf.DUMMYFUNCTION("""COMPUTED_VALUE"""),54.46)</f>
        <v>54.46</v>
      </c>
      <c r="AC663" s="3">
        <f ca="1">IFERROR(__xludf.DUMMYFUNCTION("""COMPUTED_VALUE"""),69.92)</f>
        <v>69.92</v>
      </c>
      <c r="AD663" s="3">
        <f ca="1">IFERROR(__xludf.DUMMYFUNCTION("""COMPUTED_VALUE"""),16.07)</f>
        <v>16.07</v>
      </c>
      <c r="AE663" s="3">
        <f ca="1">IFERROR(__xludf.DUMMYFUNCTION("""COMPUTED_VALUE"""),19.35)</f>
        <v>19.350000000000001</v>
      </c>
      <c r="AF663" s="3">
        <f ca="1">IFERROR(__xludf.DUMMYFUNCTION("""COMPUTED_VALUE"""),4.63)</f>
        <v>4.63</v>
      </c>
      <c r="AG663" s="3">
        <f ca="1">IFERROR(__xludf.DUMMYFUNCTION("""COMPUTED_VALUE"""),45.73)</f>
        <v>45.73</v>
      </c>
    </row>
    <row r="664" spans="1:33" ht="12.75" x14ac:dyDescent="0.2">
      <c r="A664" s="4">
        <f ca="1">IFERROR(__xludf.DUMMYFUNCTION("""COMPUTED_VALUE"""),45525.6666666666)</f>
        <v>45525.666666666599</v>
      </c>
      <c r="B664" s="3">
        <f ca="1">IFERROR(__xludf.DUMMYFUNCTION("""COMPUTED_VALUE"""),225.58)</f>
        <v>225.58</v>
      </c>
      <c r="C664" s="3">
        <f ca="1">IFERROR(__xludf.DUMMYFUNCTION("""COMPUTED_VALUE"""),582.04)</f>
        <v>582.04</v>
      </c>
      <c r="D664" s="3">
        <f ca="1">IFERROR(__xludf.DUMMYFUNCTION("""COMPUTED_VALUE"""),147.96)</f>
        <v>147.96</v>
      </c>
      <c r="E664" s="3">
        <f ca="1">IFERROR(__xludf.DUMMYFUNCTION("""COMPUTED_VALUE"""),235.34)</f>
        <v>235.34</v>
      </c>
      <c r="F664" s="3">
        <f ca="1">IFERROR(__xludf.DUMMYFUNCTION("""COMPUTED_VALUE"""),67.58)</f>
        <v>67.58</v>
      </c>
      <c r="G664" s="3">
        <f ca="1">IFERROR(__xludf.DUMMYFUNCTION("""COMPUTED_VALUE"""),31.64)</f>
        <v>31.64</v>
      </c>
      <c r="H664" s="3">
        <f ca="1">IFERROR(__xludf.DUMMYFUNCTION("""COMPUTED_VALUE"""),28.94)</f>
        <v>28.94</v>
      </c>
      <c r="I664" s="3">
        <f ca="1">IFERROR(__xludf.DUMMYFUNCTION("""COMPUTED_VALUE"""),154.68)</f>
        <v>154.68</v>
      </c>
      <c r="J664" s="3">
        <f ca="1">IFERROR(__xludf.DUMMYFUNCTION("""COMPUTED_VALUE"""),283.94)</f>
        <v>283.94</v>
      </c>
      <c r="K664" s="3">
        <f ca="1">IFERROR(__xludf.DUMMYFUNCTION("""COMPUTED_VALUE"""),148.15)</f>
        <v>148.15</v>
      </c>
      <c r="L664" s="3">
        <f ca="1">IFERROR(__xludf.DUMMYFUNCTION("""COMPUTED_VALUE"""),101.82)</f>
        <v>101.82</v>
      </c>
      <c r="M664" s="3">
        <f ca="1">IFERROR(__xludf.DUMMYFUNCTION("""COMPUTED_VALUE"""),71.62)</f>
        <v>71.62</v>
      </c>
      <c r="N664" s="3">
        <f ca="1">IFERROR(__xludf.DUMMYFUNCTION("""COMPUTED_VALUE"""),73.18)</f>
        <v>73.180000000000007</v>
      </c>
      <c r="O664" s="3">
        <f ca="1">IFERROR(__xludf.DUMMYFUNCTION("""COMPUTED_VALUE"""),46.6)</f>
        <v>46.6</v>
      </c>
      <c r="P664" s="3">
        <f ca="1">IFERROR(__xludf.DUMMYFUNCTION("""COMPUTED_VALUE"""),88.83)</f>
        <v>88.83</v>
      </c>
      <c r="Q664" s="3">
        <f ca="1">IFERROR(__xludf.DUMMYFUNCTION("""COMPUTED_VALUE"""),124.02)</f>
        <v>124.02</v>
      </c>
      <c r="R664" s="3">
        <f ca="1">IFERROR(__xludf.DUMMYFUNCTION("""COMPUTED_VALUE"""),91.71)</f>
        <v>91.71</v>
      </c>
      <c r="S664" s="3">
        <f ca="1">IFERROR(__xludf.DUMMYFUNCTION("""COMPUTED_VALUE"""),59.58)</f>
        <v>59.58</v>
      </c>
      <c r="T664" s="3">
        <f ca="1">IFERROR(__xludf.DUMMYFUNCTION("""COMPUTED_VALUE"""),21.89)</f>
        <v>21.89</v>
      </c>
      <c r="U664" s="3">
        <f ca="1">IFERROR(__xludf.DUMMYFUNCTION("""COMPUTED_VALUE"""),72.6)</f>
        <v>72.599999999999994</v>
      </c>
      <c r="V664" s="3">
        <f ca="1">IFERROR(__xludf.DUMMYFUNCTION("""COMPUTED_VALUE"""),41.13)</f>
        <v>41.13</v>
      </c>
      <c r="W664" s="3">
        <f ca="1">IFERROR(__xludf.DUMMYFUNCTION("""COMPUTED_VALUE"""),43.8)</f>
        <v>43.8</v>
      </c>
      <c r="X664" s="3">
        <f ca="1">IFERROR(__xludf.DUMMYFUNCTION("""COMPUTED_VALUE"""),106.3)</f>
        <v>106.3</v>
      </c>
      <c r="Y664" s="3">
        <f ca="1">IFERROR(__xludf.DUMMYFUNCTION("""COMPUTED_VALUE"""),51.07)</f>
        <v>51.07</v>
      </c>
      <c r="Z664" s="3">
        <f ca="1">IFERROR(__xludf.DUMMYFUNCTION("""COMPUTED_VALUE"""),100.72)</f>
        <v>100.72</v>
      </c>
      <c r="AA664" s="3">
        <f ca="1">IFERROR(__xludf.DUMMYFUNCTION("""COMPUTED_VALUE"""),42.29)</f>
        <v>42.29</v>
      </c>
      <c r="AB664" s="3">
        <f ca="1">IFERROR(__xludf.DUMMYFUNCTION("""COMPUTED_VALUE"""),54.78)</f>
        <v>54.78</v>
      </c>
      <c r="AC664" s="3">
        <f ca="1">IFERROR(__xludf.DUMMYFUNCTION("""COMPUTED_VALUE"""),70.06)</f>
        <v>70.06</v>
      </c>
      <c r="AD664" s="3">
        <f ca="1">IFERROR(__xludf.DUMMYFUNCTION("""COMPUTED_VALUE"""),16.49)</f>
        <v>16.489999999999998</v>
      </c>
      <c r="AE664" s="3">
        <f ca="1">IFERROR(__xludf.DUMMYFUNCTION("""COMPUTED_VALUE"""),20.03)</f>
        <v>20.03</v>
      </c>
      <c r="AF664" s="3">
        <f ca="1">IFERROR(__xludf.DUMMYFUNCTION("""COMPUTED_VALUE"""),4.6)</f>
        <v>4.5999999999999996</v>
      </c>
      <c r="AG664" s="3">
        <f ca="1">IFERROR(__xludf.DUMMYFUNCTION("""COMPUTED_VALUE"""),47.55)</f>
        <v>47.55</v>
      </c>
    </row>
    <row r="665" spans="1:33" ht="12.75" x14ac:dyDescent="0.2">
      <c r="A665" s="4">
        <f ca="1">IFERROR(__xludf.DUMMYFUNCTION("""COMPUTED_VALUE"""),45526.6666666666)</f>
        <v>45526.666666666599</v>
      </c>
      <c r="B665" s="3">
        <f ca="1">IFERROR(__xludf.DUMMYFUNCTION("""COMPUTED_VALUE"""),220.39)</f>
        <v>220.39</v>
      </c>
      <c r="C665" s="3">
        <f ca="1">IFERROR(__xludf.DUMMYFUNCTION("""COMPUTED_VALUE"""),569.86)</f>
        <v>569.86</v>
      </c>
      <c r="D665" s="3">
        <f ca="1">IFERROR(__xludf.DUMMYFUNCTION("""COMPUTED_VALUE"""),148.58)</f>
        <v>148.58000000000001</v>
      </c>
      <c r="E665" s="3">
        <f ca="1">IFERROR(__xludf.DUMMYFUNCTION("""COMPUTED_VALUE"""),227.3)</f>
        <v>227.3</v>
      </c>
      <c r="F665" s="3">
        <f ca="1">IFERROR(__xludf.DUMMYFUNCTION("""COMPUTED_VALUE"""),66.89)</f>
        <v>66.89</v>
      </c>
      <c r="G665" s="3">
        <f ca="1">IFERROR(__xludf.DUMMYFUNCTION("""COMPUTED_VALUE"""),31.13)</f>
        <v>31.13</v>
      </c>
      <c r="H665" s="3">
        <f ca="1">IFERROR(__xludf.DUMMYFUNCTION("""COMPUTED_VALUE"""),28.67)</f>
        <v>28.67</v>
      </c>
      <c r="I665" s="3">
        <f ca="1">IFERROR(__xludf.DUMMYFUNCTION("""COMPUTED_VALUE"""),154.78)</f>
        <v>154.78</v>
      </c>
      <c r="J665" s="3">
        <f ca="1">IFERROR(__xludf.DUMMYFUNCTION("""COMPUTED_VALUE"""),283.58)</f>
        <v>283.58</v>
      </c>
      <c r="K665" s="3">
        <f ca="1">IFERROR(__xludf.DUMMYFUNCTION("""COMPUTED_VALUE"""),146.45)</f>
        <v>146.44999999999999</v>
      </c>
      <c r="L665" s="3">
        <f ca="1">IFERROR(__xludf.DUMMYFUNCTION("""COMPUTED_VALUE"""),100.14)</f>
        <v>100.14</v>
      </c>
      <c r="M665" s="3">
        <f ca="1">IFERROR(__xludf.DUMMYFUNCTION("""COMPUTED_VALUE"""),70.59)</f>
        <v>70.59</v>
      </c>
      <c r="N665" s="3">
        <f ca="1">IFERROR(__xludf.DUMMYFUNCTION("""COMPUTED_VALUE"""),73.03)</f>
        <v>73.03</v>
      </c>
      <c r="O665" s="3">
        <f ca="1">IFERROR(__xludf.DUMMYFUNCTION("""COMPUTED_VALUE"""),45.36)</f>
        <v>45.36</v>
      </c>
      <c r="P665" s="3">
        <f ca="1">IFERROR(__xludf.DUMMYFUNCTION("""COMPUTED_VALUE"""),89.06)</f>
        <v>89.06</v>
      </c>
      <c r="Q665" s="3">
        <f ca="1">IFERROR(__xludf.DUMMYFUNCTION("""COMPUTED_VALUE"""),124.27)</f>
        <v>124.27</v>
      </c>
      <c r="R665" s="3">
        <f ca="1">IFERROR(__xludf.DUMMYFUNCTION("""COMPUTED_VALUE"""),91.52)</f>
        <v>91.52</v>
      </c>
      <c r="S665" s="3">
        <f ca="1">IFERROR(__xludf.DUMMYFUNCTION("""COMPUTED_VALUE"""),58.43)</f>
        <v>58.43</v>
      </c>
      <c r="T665" s="3">
        <f ca="1">IFERROR(__xludf.DUMMYFUNCTION("""COMPUTED_VALUE"""),21.87)</f>
        <v>21.87</v>
      </c>
      <c r="U665" s="3">
        <f ca="1">IFERROR(__xludf.DUMMYFUNCTION("""COMPUTED_VALUE"""),73.58)</f>
        <v>73.58</v>
      </c>
      <c r="V665" s="3">
        <f ca="1">IFERROR(__xludf.DUMMYFUNCTION("""COMPUTED_VALUE"""),40.08)</f>
        <v>40.08</v>
      </c>
      <c r="W665" s="3">
        <f ca="1">IFERROR(__xludf.DUMMYFUNCTION("""COMPUTED_VALUE"""),44.05)</f>
        <v>44.05</v>
      </c>
      <c r="X665" s="3">
        <f ca="1">IFERROR(__xludf.DUMMYFUNCTION("""COMPUTED_VALUE"""),106.73)</f>
        <v>106.73</v>
      </c>
      <c r="Y665" s="3">
        <f ca="1">IFERROR(__xludf.DUMMYFUNCTION("""COMPUTED_VALUE"""),51.29)</f>
        <v>51.29</v>
      </c>
      <c r="Z665" s="3">
        <f ca="1">IFERROR(__xludf.DUMMYFUNCTION("""COMPUTED_VALUE"""),101.26)</f>
        <v>101.26</v>
      </c>
      <c r="AA665" s="3">
        <f ca="1">IFERROR(__xludf.DUMMYFUNCTION("""COMPUTED_VALUE"""),42.55)</f>
        <v>42.55</v>
      </c>
      <c r="AB665" s="3">
        <f ca="1">IFERROR(__xludf.DUMMYFUNCTION("""COMPUTED_VALUE"""),54.94)</f>
        <v>54.94</v>
      </c>
      <c r="AC665" s="3">
        <f ca="1">IFERROR(__xludf.DUMMYFUNCTION("""COMPUTED_VALUE"""),70.34)</f>
        <v>70.34</v>
      </c>
      <c r="AD665" s="3">
        <f ca="1">IFERROR(__xludf.DUMMYFUNCTION("""COMPUTED_VALUE"""),16.19)</f>
        <v>16.190000000000001</v>
      </c>
      <c r="AE665" s="3">
        <f ca="1">IFERROR(__xludf.DUMMYFUNCTION("""COMPUTED_VALUE"""),19.6)</f>
        <v>19.600000000000001</v>
      </c>
      <c r="AF665" s="3">
        <f ca="1">IFERROR(__xludf.DUMMYFUNCTION("""COMPUTED_VALUE"""),4.87)</f>
        <v>4.87</v>
      </c>
      <c r="AG665" s="3">
        <f ca="1">IFERROR(__xludf.DUMMYFUNCTION("""COMPUTED_VALUE"""),45.89)</f>
        <v>45.89</v>
      </c>
    </row>
    <row r="666" spans="1:33" ht="12.75" x14ac:dyDescent="0.2">
      <c r="A666" s="4">
        <f ca="1">IFERROR(__xludf.DUMMYFUNCTION("""COMPUTED_VALUE"""),45527.6666666666)</f>
        <v>45527.666666666599</v>
      </c>
      <c r="B666" s="3">
        <f ca="1">IFERROR(__xludf.DUMMYFUNCTION("""COMPUTED_VALUE"""),223.96)</f>
        <v>223.96</v>
      </c>
      <c r="C666" s="3">
        <f ca="1">IFERROR(__xludf.DUMMYFUNCTION("""COMPUTED_VALUE"""),580.01)</f>
        <v>580.01</v>
      </c>
      <c r="D666" s="3">
        <f ca="1">IFERROR(__xludf.DUMMYFUNCTION("""COMPUTED_VALUE"""),146.71)</f>
        <v>146.71</v>
      </c>
      <c r="E666" s="3">
        <f ca="1">IFERROR(__xludf.DUMMYFUNCTION("""COMPUTED_VALUE"""),233.39)</f>
        <v>233.39</v>
      </c>
      <c r="F666" s="3">
        <f ca="1">IFERROR(__xludf.DUMMYFUNCTION("""COMPUTED_VALUE"""),67.72)</f>
        <v>67.72</v>
      </c>
      <c r="G666" s="3">
        <f ca="1">IFERROR(__xludf.DUMMYFUNCTION("""COMPUTED_VALUE"""),31.87)</f>
        <v>31.87</v>
      </c>
      <c r="H666" s="3">
        <f ca="1">IFERROR(__xludf.DUMMYFUNCTION("""COMPUTED_VALUE"""),29.13)</f>
        <v>29.13</v>
      </c>
      <c r="I666" s="3">
        <f ca="1">IFERROR(__xludf.DUMMYFUNCTION("""COMPUTED_VALUE"""),155.45)</f>
        <v>155.44999999999999</v>
      </c>
      <c r="J666" s="3">
        <f ca="1">IFERROR(__xludf.DUMMYFUNCTION("""COMPUTED_VALUE"""),285.4)</f>
        <v>285.39999999999998</v>
      </c>
      <c r="K666" s="3">
        <f ca="1">IFERROR(__xludf.DUMMYFUNCTION("""COMPUTED_VALUE"""),147.95)</f>
        <v>147.94999999999999</v>
      </c>
      <c r="L666" s="3">
        <f ca="1">IFERROR(__xludf.DUMMYFUNCTION("""COMPUTED_VALUE"""),101.51)</f>
        <v>101.51</v>
      </c>
      <c r="M666" s="3">
        <f ca="1">IFERROR(__xludf.DUMMYFUNCTION("""COMPUTED_VALUE"""),71.35)</f>
        <v>71.349999999999994</v>
      </c>
      <c r="N666" s="3">
        <f ca="1">IFERROR(__xludf.DUMMYFUNCTION("""COMPUTED_VALUE"""),73.54)</f>
        <v>73.540000000000006</v>
      </c>
      <c r="O666" s="3">
        <f ca="1">IFERROR(__xludf.DUMMYFUNCTION("""COMPUTED_VALUE"""),46.2)</f>
        <v>46.2</v>
      </c>
      <c r="P666" s="3">
        <f ca="1">IFERROR(__xludf.DUMMYFUNCTION("""COMPUTED_VALUE"""),90.39)</f>
        <v>90.39</v>
      </c>
      <c r="Q666" s="3">
        <f ca="1">IFERROR(__xludf.DUMMYFUNCTION("""COMPUTED_VALUE"""),126.37)</f>
        <v>126.37</v>
      </c>
      <c r="R666" s="3">
        <f ca="1">IFERROR(__xludf.DUMMYFUNCTION("""COMPUTED_VALUE"""),92.73)</f>
        <v>92.73</v>
      </c>
      <c r="S666" s="3">
        <f ca="1">IFERROR(__xludf.DUMMYFUNCTION("""COMPUTED_VALUE"""),59.8)</f>
        <v>59.8</v>
      </c>
      <c r="T666" s="3">
        <f ca="1">IFERROR(__xludf.DUMMYFUNCTION("""COMPUTED_VALUE"""),22.26)</f>
        <v>22.26</v>
      </c>
      <c r="U666" s="3">
        <f ca="1">IFERROR(__xludf.DUMMYFUNCTION("""COMPUTED_VALUE"""),75.55)</f>
        <v>75.55</v>
      </c>
      <c r="V666" s="3">
        <f ca="1">IFERROR(__xludf.DUMMYFUNCTION("""COMPUTED_VALUE"""),42.17)</f>
        <v>42.17</v>
      </c>
      <c r="W666" s="3">
        <f ca="1">IFERROR(__xludf.DUMMYFUNCTION("""COMPUTED_VALUE"""),44.43)</f>
        <v>44.43</v>
      </c>
      <c r="X666" s="3">
        <f ca="1">IFERROR(__xludf.DUMMYFUNCTION("""COMPUTED_VALUE"""),108.02)</f>
        <v>108.02</v>
      </c>
      <c r="Y666" s="3">
        <f ca="1">IFERROR(__xludf.DUMMYFUNCTION("""COMPUTED_VALUE"""),53.48)</f>
        <v>53.48</v>
      </c>
      <c r="Z666" s="3">
        <f ca="1">IFERROR(__xludf.DUMMYFUNCTION("""COMPUTED_VALUE"""),102.41)</f>
        <v>102.41</v>
      </c>
      <c r="AA666" s="3">
        <f ca="1">IFERROR(__xludf.DUMMYFUNCTION("""COMPUTED_VALUE"""),43.37)</f>
        <v>43.37</v>
      </c>
      <c r="AB666" s="3">
        <f ca="1">IFERROR(__xludf.DUMMYFUNCTION("""COMPUTED_VALUE"""),57.73)</f>
        <v>57.73</v>
      </c>
      <c r="AC666" s="3">
        <f ca="1">IFERROR(__xludf.DUMMYFUNCTION("""COMPUTED_VALUE"""),70.48)</f>
        <v>70.48</v>
      </c>
      <c r="AD666" s="3">
        <f ca="1">IFERROR(__xludf.DUMMYFUNCTION("""COMPUTED_VALUE"""),17.08)</f>
        <v>17.079999999999998</v>
      </c>
      <c r="AE666" s="3">
        <f ca="1">IFERROR(__xludf.DUMMYFUNCTION("""COMPUTED_VALUE"""),20.69)</f>
        <v>20.69</v>
      </c>
      <c r="AF666" s="3">
        <f ca="1">IFERROR(__xludf.DUMMYFUNCTION("""COMPUTED_VALUE"""),4.68)</f>
        <v>4.68</v>
      </c>
      <c r="AG666" s="3">
        <f ca="1">IFERROR(__xludf.DUMMYFUNCTION("""COMPUTED_VALUE"""),48.95)</f>
        <v>48.95</v>
      </c>
    </row>
    <row r="667" spans="1:33" ht="12.75" x14ac:dyDescent="0.2">
      <c r="A667" s="4">
        <f ca="1">IFERROR(__xludf.DUMMYFUNCTION("""COMPUTED_VALUE"""),45530.6666666666)</f>
        <v>45530.666666666599</v>
      </c>
      <c r="B667" s="3">
        <f ca="1">IFERROR(__xludf.DUMMYFUNCTION("""COMPUTED_VALUE"""),221.15)</f>
        <v>221.15</v>
      </c>
      <c r="C667" s="3">
        <f ca="1">IFERROR(__xludf.DUMMYFUNCTION("""COMPUTED_VALUE"""),574.52)</f>
        <v>574.52</v>
      </c>
      <c r="D667" s="3">
        <f ca="1">IFERROR(__xludf.DUMMYFUNCTION("""COMPUTED_VALUE"""),146.11)</f>
        <v>146.11000000000001</v>
      </c>
      <c r="E667" s="3">
        <f ca="1">IFERROR(__xludf.DUMMYFUNCTION("""COMPUTED_VALUE"""),227.53)</f>
        <v>227.53</v>
      </c>
      <c r="F667" s="3">
        <f ca="1">IFERROR(__xludf.DUMMYFUNCTION("""COMPUTED_VALUE"""),67.2)</f>
        <v>67.2</v>
      </c>
      <c r="G667" s="3">
        <f ca="1">IFERROR(__xludf.DUMMYFUNCTION("""COMPUTED_VALUE"""),31.49)</f>
        <v>31.49</v>
      </c>
      <c r="H667" s="3">
        <f ca="1">IFERROR(__xludf.DUMMYFUNCTION("""COMPUTED_VALUE"""),29.04)</f>
        <v>29.04</v>
      </c>
      <c r="I667" s="3">
        <f ca="1">IFERROR(__xludf.DUMMYFUNCTION("""COMPUTED_VALUE"""),155.37)</f>
        <v>155.37</v>
      </c>
      <c r="J667" s="3">
        <f ca="1">IFERROR(__xludf.DUMMYFUNCTION("""COMPUTED_VALUE"""),284.96)</f>
        <v>284.95999999999998</v>
      </c>
      <c r="K667" s="3">
        <f ca="1">IFERROR(__xludf.DUMMYFUNCTION("""COMPUTED_VALUE"""),147.88)</f>
        <v>147.88</v>
      </c>
      <c r="L667" s="3">
        <f ca="1">IFERROR(__xludf.DUMMYFUNCTION("""COMPUTED_VALUE"""),101.7)</f>
        <v>101.7</v>
      </c>
      <c r="M667" s="3">
        <f ca="1">IFERROR(__xludf.DUMMYFUNCTION("""COMPUTED_VALUE"""),71.3)</f>
        <v>71.3</v>
      </c>
      <c r="N667" s="3">
        <f ca="1">IFERROR(__xludf.DUMMYFUNCTION("""COMPUTED_VALUE"""),73.48)</f>
        <v>73.48</v>
      </c>
      <c r="O667" s="3">
        <f ca="1">IFERROR(__xludf.DUMMYFUNCTION("""COMPUTED_VALUE"""),46.08)</f>
        <v>46.08</v>
      </c>
      <c r="P667" s="3">
        <f ca="1">IFERROR(__xludf.DUMMYFUNCTION("""COMPUTED_VALUE"""),91.2)</f>
        <v>91.2</v>
      </c>
      <c r="Q667" s="3">
        <f ca="1">IFERROR(__xludf.DUMMYFUNCTION("""COMPUTED_VALUE"""),127.56)</f>
        <v>127.56</v>
      </c>
      <c r="R667" s="3">
        <f ca="1">IFERROR(__xludf.DUMMYFUNCTION("""COMPUTED_VALUE"""),93.14)</f>
        <v>93.14</v>
      </c>
      <c r="S667" s="3">
        <f ca="1">IFERROR(__xludf.DUMMYFUNCTION("""COMPUTED_VALUE"""),59.97)</f>
        <v>59.97</v>
      </c>
      <c r="T667" s="3">
        <f ca="1">IFERROR(__xludf.DUMMYFUNCTION("""COMPUTED_VALUE"""),22.49)</f>
        <v>22.49</v>
      </c>
      <c r="U667" s="3">
        <f ca="1">IFERROR(__xludf.DUMMYFUNCTION("""COMPUTED_VALUE"""),77.83)</f>
        <v>77.83</v>
      </c>
      <c r="V667" s="3">
        <f ca="1">IFERROR(__xludf.DUMMYFUNCTION("""COMPUTED_VALUE"""),41.68)</f>
        <v>41.68</v>
      </c>
      <c r="W667" s="3">
        <f ca="1">IFERROR(__xludf.DUMMYFUNCTION("""COMPUTED_VALUE"""),44.57)</f>
        <v>44.57</v>
      </c>
      <c r="X667" s="3">
        <f ca="1">IFERROR(__xludf.DUMMYFUNCTION("""COMPUTED_VALUE"""),108.3)</f>
        <v>108.3</v>
      </c>
      <c r="Y667" s="3">
        <f ca="1">IFERROR(__xludf.DUMMYFUNCTION("""COMPUTED_VALUE"""),53.21)</f>
        <v>53.21</v>
      </c>
      <c r="Z667" s="3">
        <f ca="1">IFERROR(__xludf.DUMMYFUNCTION("""COMPUTED_VALUE"""),102.73)</f>
        <v>102.73</v>
      </c>
      <c r="AA667" s="3">
        <f ca="1">IFERROR(__xludf.DUMMYFUNCTION("""COMPUTED_VALUE"""),43.34)</f>
        <v>43.34</v>
      </c>
      <c r="AB667" s="3">
        <f ca="1">IFERROR(__xludf.DUMMYFUNCTION("""COMPUTED_VALUE"""),57.3)</f>
        <v>57.3</v>
      </c>
      <c r="AC667" s="3">
        <f ca="1">IFERROR(__xludf.DUMMYFUNCTION("""COMPUTED_VALUE"""),71.01)</f>
        <v>71.010000000000005</v>
      </c>
      <c r="AD667" s="3">
        <f ca="1">IFERROR(__xludf.DUMMYFUNCTION("""COMPUTED_VALUE"""),16.82)</f>
        <v>16.82</v>
      </c>
      <c r="AE667" s="3">
        <f ca="1">IFERROR(__xludf.DUMMYFUNCTION("""COMPUTED_VALUE"""),20.58)</f>
        <v>20.58</v>
      </c>
      <c r="AF667" s="3">
        <f ca="1">IFERROR(__xludf.DUMMYFUNCTION("""COMPUTED_VALUE"""),4.87)</f>
        <v>4.87</v>
      </c>
      <c r="AG667" s="3">
        <f ca="1">IFERROR(__xludf.DUMMYFUNCTION("""COMPUTED_VALUE"""),47.93)</f>
        <v>47.93</v>
      </c>
    </row>
    <row r="668" spans="1:33" ht="12.75" x14ac:dyDescent="0.2">
      <c r="A668" s="4">
        <f ca="1">IFERROR(__xludf.DUMMYFUNCTION("""COMPUTED_VALUE"""),45531.6666666666)</f>
        <v>45531.666666666599</v>
      </c>
      <c r="B668" s="3">
        <f ca="1">IFERROR(__xludf.DUMMYFUNCTION("""COMPUTED_VALUE"""),222.49)</f>
        <v>222.49</v>
      </c>
      <c r="C668" s="3">
        <f ca="1">IFERROR(__xludf.DUMMYFUNCTION("""COMPUTED_VALUE"""),577.2)</f>
        <v>577.20000000000005</v>
      </c>
      <c r="D668" s="3">
        <f ca="1">IFERROR(__xludf.DUMMYFUNCTION("""COMPUTED_VALUE"""),147.76)</f>
        <v>147.76</v>
      </c>
      <c r="E668" s="3">
        <f ca="1">IFERROR(__xludf.DUMMYFUNCTION("""COMPUTED_VALUE"""),230.05)</f>
        <v>230.05</v>
      </c>
      <c r="F668" s="3">
        <f ca="1">IFERROR(__xludf.DUMMYFUNCTION("""COMPUTED_VALUE"""),67.41)</f>
        <v>67.41</v>
      </c>
      <c r="G668" s="3">
        <f ca="1">IFERROR(__xludf.DUMMYFUNCTION("""COMPUTED_VALUE"""),31.69)</f>
        <v>31.69</v>
      </c>
      <c r="H668" s="3">
        <f ca="1">IFERROR(__xludf.DUMMYFUNCTION("""COMPUTED_VALUE"""),29.17)</f>
        <v>29.17</v>
      </c>
      <c r="I668" s="3">
        <f ca="1">IFERROR(__xludf.DUMMYFUNCTION("""COMPUTED_VALUE"""),155.61)</f>
        <v>155.61000000000001</v>
      </c>
      <c r="J668" s="3">
        <f ca="1">IFERROR(__xludf.DUMMYFUNCTION("""COMPUTED_VALUE"""),285.5)</f>
        <v>285.5</v>
      </c>
      <c r="K668" s="3">
        <f ca="1">IFERROR(__xludf.DUMMYFUNCTION("""COMPUTED_VALUE"""),147.87)</f>
        <v>147.87</v>
      </c>
      <c r="L668" s="3">
        <f ca="1">IFERROR(__xludf.DUMMYFUNCTION("""COMPUTED_VALUE"""),101.07)</f>
        <v>101.07</v>
      </c>
      <c r="M668" s="3">
        <f ca="1">IFERROR(__xludf.DUMMYFUNCTION("""COMPUTED_VALUE"""),71.43)</f>
        <v>71.430000000000007</v>
      </c>
      <c r="N668" s="3">
        <f ca="1">IFERROR(__xludf.DUMMYFUNCTION("""COMPUTED_VALUE"""),73.5)</f>
        <v>73.5</v>
      </c>
      <c r="O668" s="3">
        <f ca="1">IFERROR(__xludf.DUMMYFUNCTION("""COMPUTED_VALUE"""),45.92)</f>
        <v>45.92</v>
      </c>
      <c r="P668" s="3">
        <f ca="1">IFERROR(__xludf.DUMMYFUNCTION("""COMPUTED_VALUE"""),90.35)</f>
        <v>90.35</v>
      </c>
      <c r="Q668" s="3">
        <f ca="1">IFERROR(__xludf.DUMMYFUNCTION("""COMPUTED_VALUE"""),126.34)</f>
        <v>126.34</v>
      </c>
      <c r="R668" s="3">
        <f ca="1">IFERROR(__xludf.DUMMYFUNCTION("""COMPUTED_VALUE"""),93.15)</f>
        <v>93.15</v>
      </c>
      <c r="S668" s="3">
        <f ca="1">IFERROR(__xludf.DUMMYFUNCTION("""COMPUTED_VALUE"""),60.22)</f>
        <v>60.22</v>
      </c>
      <c r="T668" s="3">
        <f ca="1">IFERROR(__xludf.DUMMYFUNCTION("""COMPUTED_VALUE"""),22.38)</f>
        <v>22.38</v>
      </c>
      <c r="U668" s="3">
        <f ca="1">IFERROR(__xludf.DUMMYFUNCTION("""COMPUTED_VALUE"""),76.49)</f>
        <v>76.489999999999995</v>
      </c>
      <c r="V668" s="3">
        <f ca="1">IFERROR(__xludf.DUMMYFUNCTION("""COMPUTED_VALUE"""),41.53)</f>
        <v>41.53</v>
      </c>
      <c r="W668" s="3">
        <f ca="1">IFERROR(__xludf.DUMMYFUNCTION("""COMPUTED_VALUE"""),44.8)</f>
        <v>44.8</v>
      </c>
      <c r="X668" s="3">
        <f ca="1">IFERROR(__xludf.DUMMYFUNCTION("""COMPUTED_VALUE"""),108.64)</f>
        <v>108.64</v>
      </c>
      <c r="Y668" s="3">
        <f ca="1">IFERROR(__xludf.DUMMYFUNCTION("""COMPUTED_VALUE"""),52.82)</f>
        <v>52.82</v>
      </c>
      <c r="Z668" s="3">
        <f ca="1">IFERROR(__xludf.DUMMYFUNCTION("""COMPUTED_VALUE"""),102.97)</f>
        <v>102.97</v>
      </c>
      <c r="AA668" s="3">
        <f ca="1">IFERROR(__xludf.DUMMYFUNCTION("""COMPUTED_VALUE"""),43.45)</f>
        <v>43.45</v>
      </c>
      <c r="AB668" s="3">
        <f ca="1">IFERROR(__xludf.DUMMYFUNCTION("""COMPUTED_VALUE"""),56.75)</f>
        <v>56.75</v>
      </c>
      <c r="AC668" s="3">
        <f ca="1">IFERROR(__xludf.DUMMYFUNCTION("""COMPUTED_VALUE"""),71.76)</f>
        <v>71.760000000000005</v>
      </c>
      <c r="AD668" s="3">
        <f ca="1">IFERROR(__xludf.DUMMYFUNCTION("""COMPUTED_VALUE"""),16.35)</f>
        <v>16.350000000000001</v>
      </c>
      <c r="AE668" s="3">
        <f ca="1">IFERROR(__xludf.DUMMYFUNCTION("""COMPUTED_VALUE"""),20.17)</f>
        <v>20.170000000000002</v>
      </c>
      <c r="AF668" s="3">
        <f ca="1">IFERROR(__xludf.DUMMYFUNCTION("""COMPUTED_VALUE"""),4.82)</f>
        <v>4.82</v>
      </c>
      <c r="AG668" s="3">
        <f ca="1">IFERROR(__xludf.DUMMYFUNCTION("""COMPUTED_VALUE"""),46.24)</f>
        <v>46.24</v>
      </c>
    </row>
    <row r="669" spans="1:33" ht="12.75" x14ac:dyDescent="0.2">
      <c r="A669" s="4">
        <f ca="1">IFERROR(__xludf.DUMMYFUNCTION("""COMPUTED_VALUE"""),45532.6666666666)</f>
        <v>45532.666666666599</v>
      </c>
      <c r="B669" s="3">
        <f ca="1">IFERROR(__xludf.DUMMYFUNCTION("""COMPUTED_VALUE"""),219.42)</f>
        <v>219.42</v>
      </c>
      <c r="C669" s="3">
        <f ca="1">IFERROR(__xludf.DUMMYFUNCTION("""COMPUTED_VALUE"""),569.59)</f>
        <v>569.59</v>
      </c>
      <c r="D669" s="3">
        <f ca="1">IFERROR(__xludf.DUMMYFUNCTION("""COMPUTED_VALUE"""),141.58)</f>
        <v>141.58000000000001</v>
      </c>
      <c r="E669" s="3">
        <f ca="1">IFERROR(__xludf.DUMMYFUNCTION("""COMPUTED_VALUE"""),225.9)</f>
        <v>225.9</v>
      </c>
      <c r="F669" s="3">
        <f ca="1">IFERROR(__xludf.DUMMYFUNCTION("""COMPUTED_VALUE"""),66.9)</f>
        <v>66.900000000000006</v>
      </c>
      <c r="G669" s="3">
        <f ca="1">IFERROR(__xludf.DUMMYFUNCTION("""COMPUTED_VALUE"""),31.31)</f>
        <v>31.31</v>
      </c>
      <c r="H669" s="3">
        <f ca="1">IFERROR(__xludf.DUMMYFUNCTION("""COMPUTED_VALUE"""),28.89)</f>
        <v>28.89</v>
      </c>
      <c r="I669" s="3">
        <f ca="1">IFERROR(__xludf.DUMMYFUNCTION("""COMPUTED_VALUE"""),155.79)</f>
        <v>155.79</v>
      </c>
      <c r="J669" s="3">
        <f ca="1">IFERROR(__xludf.DUMMYFUNCTION("""COMPUTED_VALUE"""),285.41)</f>
        <v>285.41000000000003</v>
      </c>
      <c r="K669" s="3">
        <f ca="1">IFERROR(__xludf.DUMMYFUNCTION("""COMPUTED_VALUE"""),147.78)</f>
        <v>147.78</v>
      </c>
      <c r="L669" s="3">
        <f ca="1">IFERROR(__xludf.DUMMYFUNCTION("""COMPUTED_VALUE"""),100.54)</f>
        <v>100.54</v>
      </c>
      <c r="M669" s="3">
        <f ca="1">IFERROR(__xludf.DUMMYFUNCTION("""COMPUTED_VALUE"""),71.15)</f>
        <v>71.150000000000006</v>
      </c>
      <c r="N669" s="3">
        <f ca="1">IFERROR(__xludf.DUMMYFUNCTION("""COMPUTED_VALUE"""),73.55)</f>
        <v>73.55</v>
      </c>
      <c r="O669" s="3">
        <f ca="1">IFERROR(__xludf.DUMMYFUNCTION("""COMPUTED_VALUE"""),45.6)</f>
        <v>45.6</v>
      </c>
      <c r="P669" s="3">
        <f ca="1">IFERROR(__xludf.DUMMYFUNCTION("""COMPUTED_VALUE"""),89.77)</f>
        <v>89.77</v>
      </c>
      <c r="Q669" s="3">
        <f ca="1">IFERROR(__xludf.DUMMYFUNCTION("""COMPUTED_VALUE"""),125.47)</f>
        <v>125.47</v>
      </c>
      <c r="R669" s="3">
        <f ca="1">IFERROR(__xludf.DUMMYFUNCTION("""COMPUTED_VALUE"""),92.75)</f>
        <v>92.75</v>
      </c>
      <c r="S669" s="3">
        <f ca="1">IFERROR(__xludf.DUMMYFUNCTION("""COMPUTED_VALUE"""),59.09)</f>
        <v>59.09</v>
      </c>
      <c r="T669" s="3">
        <f ca="1">IFERROR(__xludf.DUMMYFUNCTION("""COMPUTED_VALUE"""),22.11)</f>
        <v>22.11</v>
      </c>
      <c r="U669" s="3">
        <f ca="1">IFERROR(__xludf.DUMMYFUNCTION("""COMPUTED_VALUE"""),75.48)</f>
        <v>75.48</v>
      </c>
      <c r="V669" s="3">
        <f ca="1">IFERROR(__xludf.DUMMYFUNCTION("""COMPUTED_VALUE"""),40.92)</f>
        <v>40.92</v>
      </c>
      <c r="W669" s="3">
        <f ca="1">IFERROR(__xludf.DUMMYFUNCTION("""COMPUTED_VALUE"""),44.91)</f>
        <v>44.91</v>
      </c>
      <c r="X669" s="3">
        <f ca="1">IFERROR(__xludf.DUMMYFUNCTION("""COMPUTED_VALUE"""),108.93)</f>
        <v>108.93</v>
      </c>
      <c r="Y669" s="3">
        <f ca="1">IFERROR(__xludf.DUMMYFUNCTION("""COMPUTED_VALUE"""),53.24)</f>
        <v>53.24</v>
      </c>
      <c r="Z669" s="3">
        <f ca="1">IFERROR(__xludf.DUMMYFUNCTION("""COMPUTED_VALUE"""),103.31)</f>
        <v>103.31</v>
      </c>
      <c r="AA669" s="3">
        <f ca="1">IFERROR(__xludf.DUMMYFUNCTION("""COMPUTED_VALUE"""),43.3)</f>
        <v>43.3</v>
      </c>
      <c r="AB669" s="3">
        <f ca="1">IFERROR(__xludf.DUMMYFUNCTION("""COMPUTED_VALUE"""),57.24)</f>
        <v>57.24</v>
      </c>
      <c r="AC669" s="3">
        <f ca="1">IFERROR(__xludf.DUMMYFUNCTION("""COMPUTED_VALUE"""),71.04)</f>
        <v>71.040000000000006</v>
      </c>
      <c r="AD669" s="3">
        <f ca="1">IFERROR(__xludf.DUMMYFUNCTION("""COMPUTED_VALUE"""),15.7)</f>
        <v>15.7</v>
      </c>
      <c r="AE669" s="3">
        <f ca="1">IFERROR(__xludf.DUMMYFUNCTION("""COMPUTED_VALUE"""),19.1)</f>
        <v>19.100000000000001</v>
      </c>
      <c r="AF669" s="3">
        <f ca="1">IFERROR(__xludf.DUMMYFUNCTION("""COMPUTED_VALUE"""),5)</f>
        <v>5</v>
      </c>
      <c r="AG669" s="3">
        <f ca="1">IFERROR(__xludf.DUMMYFUNCTION("""COMPUTED_VALUE"""),43.95)</f>
        <v>43.95</v>
      </c>
    </row>
    <row r="670" spans="1:33" ht="12.75" x14ac:dyDescent="0.2">
      <c r="A670" s="4">
        <f ca="1">IFERROR(__xludf.DUMMYFUNCTION("""COMPUTED_VALUE"""),45533.6666666666)</f>
        <v>45533.666666666599</v>
      </c>
      <c r="B670" s="3">
        <f ca="1">IFERROR(__xludf.DUMMYFUNCTION("""COMPUTED_VALUE"""),217.44)</f>
        <v>217.44</v>
      </c>
      <c r="C670" s="3">
        <f ca="1">IFERROR(__xludf.DUMMYFUNCTION("""COMPUTED_VALUE"""),568.07)</f>
        <v>568.07000000000005</v>
      </c>
      <c r="D670" s="3">
        <f ca="1">IFERROR(__xludf.DUMMYFUNCTION("""COMPUTED_VALUE"""),141.04)</f>
        <v>141.04</v>
      </c>
      <c r="E670" s="3">
        <f ca="1">IFERROR(__xludf.DUMMYFUNCTION("""COMPUTED_VALUE"""),225.25)</f>
        <v>225.25</v>
      </c>
      <c r="F670" s="3">
        <f ca="1">IFERROR(__xludf.DUMMYFUNCTION("""COMPUTED_VALUE"""),67.1)</f>
        <v>67.099999999999994</v>
      </c>
      <c r="G670" s="3">
        <f ca="1">IFERROR(__xludf.DUMMYFUNCTION("""COMPUTED_VALUE"""),31.4)</f>
        <v>31.4</v>
      </c>
      <c r="H670" s="3">
        <f ca="1">IFERROR(__xludf.DUMMYFUNCTION("""COMPUTED_VALUE"""),29.02)</f>
        <v>29.02</v>
      </c>
      <c r="I670" s="3">
        <f ca="1">IFERROR(__xludf.DUMMYFUNCTION("""COMPUTED_VALUE"""),156.12)</f>
        <v>156.12</v>
      </c>
      <c r="J670" s="3">
        <f ca="1">IFERROR(__xludf.DUMMYFUNCTION("""COMPUTED_VALUE"""),286.47)</f>
        <v>286.47000000000003</v>
      </c>
      <c r="K670" s="3">
        <f ca="1">IFERROR(__xludf.DUMMYFUNCTION("""COMPUTED_VALUE"""),148.28)</f>
        <v>148.28</v>
      </c>
      <c r="L670" s="3">
        <f ca="1">IFERROR(__xludf.DUMMYFUNCTION("""COMPUTED_VALUE"""),100.91)</f>
        <v>100.91</v>
      </c>
      <c r="M670" s="3">
        <f ca="1">IFERROR(__xludf.DUMMYFUNCTION("""COMPUTED_VALUE"""),71.83)</f>
        <v>71.83</v>
      </c>
      <c r="N670" s="3">
        <f ca="1">IFERROR(__xludf.DUMMYFUNCTION("""COMPUTED_VALUE"""),73.82)</f>
        <v>73.819999999999993</v>
      </c>
      <c r="O670" s="3">
        <f ca="1">IFERROR(__xludf.DUMMYFUNCTION("""COMPUTED_VALUE"""),45.96)</f>
        <v>45.96</v>
      </c>
      <c r="P670" s="3">
        <f ca="1">IFERROR(__xludf.DUMMYFUNCTION("""COMPUTED_VALUE"""),90.94)</f>
        <v>90.94</v>
      </c>
      <c r="Q670" s="3">
        <f ca="1">IFERROR(__xludf.DUMMYFUNCTION("""COMPUTED_VALUE"""),127.09)</f>
        <v>127.09</v>
      </c>
      <c r="R670" s="3">
        <f ca="1">IFERROR(__xludf.DUMMYFUNCTION("""COMPUTED_VALUE"""),93.26)</f>
        <v>93.26</v>
      </c>
      <c r="S670" s="3">
        <f ca="1">IFERROR(__xludf.DUMMYFUNCTION("""COMPUTED_VALUE"""),59.82)</f>
        <v>59.82</v>
      </c>
      <c r="T670" s="3">
        <f ca="1">IFERROR(__xludf.DUMMYFUNCTION("""COMPUTED_VALUE"""),22.36)</f>
        <v>22.36</v>
      </c>
      <c r="U670" s="3">
        <f ca="1">IFERROR(__xludf.DUMMYFUNCTION("""COMPUTED_VALUE"""),76.77)</f>
        <v>76.77</v>
      </c>
      <c r="V670" s="3">
        <f ca="1">IFERROR(__xludf.DUMMYFUNCTION("""COMPUTED_VALUE"""),40.78)</f>
        <v>40.78</v>
      </c>
      <c r="W670" s="3">
        <f ca="1">IFERROR(__xludf.DUMMYFUNCTION("""COMPUTED_VALUE"""),45.31)</f>
        <v>45.31</v>
      </c>
      <c r="X670" s="3">
        <f ca="1">IFERROR(__xludf.DUMMYFUNCTION("""COMPUTED_VALUE"""),109.79)</f>
        <v>109.79</v>
      </c>
      <c r="Y670" s="3">
        <f ca="1">IFERROR(__xludf.DUMMYFUNCTION("""COMPUTED_VALUE"""),53.37)</f>
        <v>53.37</v>
      </c>
      <c r="Z670" s="3">
        <f ca="1">IFERROR(__xludf.DUMMYFUNCTION("""COMPUTED_VALUE"""),103.9)</f>
        <v>103.9</v>
      </c>
      <c r="AA670" s="3">
        <f ca="1">IFERROR(__xludf.DUMMYFUNCTION("""COMPUTED_VALUE"""),43.13)</f>
        <v>43.13</v>
      </c>
      <c r="AB670" s="3">
        <f ca="1">IFERROR(__xludf.DUMMYFUNCTION("""COMPUTED_VALUE"""),57.4)</f>
        <v>57.4</v>
      </c>
      <c r="AC670" s="3">
        <f ca="1">IFERROR(__xludf.DUMMYFUNCTION("""COMPUTED_VALUE"""),70.95)</f>
        <v>70.95</v>
      </c>
      <c r="AD670" s="3">
        <f ca="1">IFERROR(__xludf.DUMMYFUNCTION("""COMPUTED_VALUE"""),15.8)</f>
        <v>15.8</v>
      </c>
      <c r="AE670" s="3">
        <f ca="1">IFERROR(__xludf.DUMMYFUNCTION("""COMPUTED_VALUE"""),19.21)</f>
        <v>19.21</v>
      </c>
      <c r="AF670" s="3">
        <f ca="1">IFERROR(__xludf.DUMMYFUNCTION("""COMPUTED_VALUE"""),4.89)</f>
        <v>4.8899999999999997</v>
      </c>
      <c r="AG670" s="3">
        <f ca="1">IFERROR(__xludf.DUMMYFUNCTION("""COMPUTED_VALUE"""),44.32)</f>
        <v>44.32</v>
      </c>
    </row>
    <row r="671" spans="1:33" ht="12.75" x14ac:dyDescent="0.2">
      <c r="A671" s="4">
        <f ca="1">IFERROR(__xludf.DUMMYFUNCTION("""COMPUTED_VALUE"""),45534.6666666666)</f>
        <v>45534.666666666599</v>
      </c>
      <c r="B671" s="3">
        <f ca="1">IFERROR(__xludf.DUMMYFUNCTION("""COMPUTED_VALUE"""),220.33)</f>
        <v>220.33</v>
      </c>
      <c r="C671" s="3">
        <f ca="1">IFERROR(__xludf.DUMMYFUNCTION("""COMPUTED_VALUE"""),573.97)</f>
        <v>573.97</v>
      </c>
      <c r="D671" s="3">
        <f ca="1">IFERROR(__xludf.DUMMYFUNCTION("""COMPUTED_VALUE"""),141.04)</f>
        <v>141.04</v>
      </c>
      <c r="E671" s="3">
        <f ca="1">IFERROR(__xludf.DUMMYFUNCTION("""COMPUTED_VALUE"""),231.14)</f>
        <v>231.14</v>
      </c>
      <c r="F671" s="3">
        <f ca="1">IFERROR(__xludf.DUMMYFUNCTION("""COMPUTED_VALUE"""),67.58)</f>
        <v>67.58</v>
      </c>
      <c r="G671" s="3">
        <f ca="1">IFERROR(__xludf.DUMMYFUNCTION("""COMPUTED_VALUE"""),31.56)</f>
        <v>31.56</v>
      </c>
      <c r="H671" s="3">
        <f ca="1">IFERROR(__xludf.DUMMYFUNCTION("""COMPUTED_VALUE"""),29.08)</f>
        <v>29.08</v>
      </c>
      <c r="I671" s="3">
        <f ca="1">IFERROR(__xludf.DUMMYFUNCTION("""COMPUTED_VALUE"""),157.2)</f>
        <v>157.19999999999999</v>
      </c>
      <c r="J671" s="3">
        <f ca="1">IFERROR(__xludf.DUMMYFUNCTION("""COMPUTED_VALUE"""),288.1)</f>
        <v>288.10000000000002</v>
      </c>
      <c r="K671" s="3">
        <f ca="1">IFERROR(__xludf.DUMMYFUNCTION("""COMPUTED_VALUE"""),148.17)</f>
        <v>148.16999999999999</v>
      </c>
      <c r="L671" s="3">
        <f ca="1">IFERROR(__xludf.DUMMYFUNCTION("""COMPUTED_VALUE"""),101.26)</f>
        <v>101.26</v>
      </c>
      <c r="M671" s="3">
        <f ca="1">IFERROR(__xludf.DUMMYFUNCTION("""COMPUTED_VALUE"""),71.87)</f>
        <v>71.87</v>
      </c>
      <c r="N671" s="3">
        <f ca="1">IFERROR(__xludf.DUMMYFUNCTION("""COMPUTED_VALUE"""),74.17)</f>
        <v>74.17</v>
      </c>
      <c r="O671" s="3">
        <f ca="1">IFERROR(__xludf.DUMMYFUNCTION("""COMPUTED_VALUE"""),45.52)</f>
        <v>45.52</v>
      </c>
      <c r="P671" s="3">
        <f ca="1">IFERROR(__xludf.DUMMYFUNCTION("""COMPUTED_VALUE"""),91.28)</f>
        <v>91.28</v>
      </c>
      <c r="Q671" s="3">
        <f ca="1">IFERROR(__xludf.DUMMYFUNCTION("""COMPUTED_VALUE"""),127.43)</f>
        <v>127.43</v>
      </c>
      <c r="R671" s="3">
        <f ca="1">IFERROR(__xludf.DUMMYFUNCTION("""COMPUTED_VALUE"""),94.28)</f>
        <v>94.28</v>
      </c>
      <c r="S671" s="3">
        <f ca="1">IFERROR(__xludf.DUMMYFUNCTION("""COMPUTED_VALUE"""),59.84)</f>
        <v>59.84</v>
      </c>
      <c r="T671" s="3">
        <f ca="1">IFERROR(__xludf.DUMMYFUNCTION("""COMPUTED_VALUE"""),22.11)</f>
        <v>22.11</v>
      </c>
      <c r="U671" s="3">
        <f ca="1">IFERROR(__xludf.DUMMYFUNCTION("""COMPUTED_VALUE"""),74.34)</f>
        <v>74.34</v>
      </c>
      <c r="V671" s="3">
        <f ca="1">IFERROR(__xludf.DUMMYFUNCTION("""COMPUTED_VALUE"""),41.28)</f>
        <v>41.28</v>
      </c>
      <c r="W671" s="3">
        <f ca="1">IFERROR(__xludf.DUMMYFUNCTION("""COMPUTED_VALUE"""),45.74)</f>
        <v>45.74</v>
      </c>
      <c r="X671" s="3">
        <f ca="1">IFERROR(__xludf.DUMMYFUNCTION("""COMPUTED_VALUE"""),110.85)</f>
        <v>110.85</v>
      </c>
      <c r="Y671" s="3">
        <f ca="1">IFERROR(__xludf.DUMMYFUNCTION("""COMPUTED_VALUE"""),53.86)</f>
        <v>53.86</v>
      </c>
      <c r="Z671" s="3">
        <f ca="1">IFERROR(__xludf.DUMMYFUNCTION("""COMPUTED_VALUE"""),105.05)</f>
        <v>105.05</v>
      </c>
      <c r="AA671" s="3">
        <f ca="1">IFERROR(__xludf.DUMMYFUNCTION("""COMPUTED_VALUE"""),43.55)</f>
        <v>43.55</v>
      </c>
      <c r="AB671" s="3">
        <f ca="1">IFERROR(__xludf.DUMMYFUNCTION("""COMPUTED_VALUE"""),57.83)</f>
        <v>57.83</v>
      </c>
      <c r="AC671" s="3">
        <f ca="1">IFERROR(__xludf.DUMMYFUNCTION("""COMPUTED_VALUE"""),70.19)</f>
        <v>70.19</v>
      </c>
      <c r="AD671" s="3">
        <f ca="1">IFERROR(__xludf.DUMMYFUNCTION("""COMPUTED_VALUE"""),15.66)</f>
        <v>15.66</v>
      </c>
      <c r="AE671" s="3">
        <f ca="1">IFERROR(__xludf.DUMMYFUNCTION("""COMPUTED_VALUE"""),19)</f>
        <v>19</v>
      </c>
      <c r="AF671" s="3">
        <f ca="1">IFERROR(__xludf.DUMMYFUNCTION("""COMPUTED_VALUE"""),4.63)</f>
        <v>4.63</v>
      </c>
      <c r="AG671" s="3">
        <f ca="1">IFERROR(__xludf.DUMMYFUNCTION("""COMPUTED_VALUE"""),43.45)</f>
        <v>43.45</v>
      </c>
    </row>
    <row r="672" spans="1:33" ht="12.75" x14ac:dyDescent="0.2">
      <c r="A672" s="4">
        <f ca="1">IFERROR(__xludf.DUMMYFUNCTION("""COMPUTED_VALUE"""),45538.6666666666)</f>
        <v>45538.666666666599</v>
      </c>
      <c r="B672" s="3">
        <f ca="1">IFERROR(__xludf.DUMMYFUNCTION("""COMPUTED_VALUE"""),210.21)</f>
        <v>210.21</v>
      </c>
      <c r="C672" s="3">
        <f ca="1">IFERROR(__xludf.DUMMYFUNCTION("""COMPUTED_VALUE"""),548.69)</f>
        <v>548.69000000000005</v>
      </c>
      <c r="D672" s="3">
        <f ca="1">IFERROR(__xludf.DUMMYFUNCTION("""COMPUTED_VALUE"""),137.7)</f>
        <v>137.69999999999999</v>
      </c>
      <c r="E672" s="3">
        <f ca="1">IFERROR(__xludf.DUMMYFUNCTION("""COMPUTED_VALUE"""),213.5)</f>
        <v>213.5</v>
      </c>
      <c r="F672" s="3">
        <f ca="1">IFERROR(__xludf.DUMMYFUNCTION("""COMPUTED_VALUE"""),66.06)</f>
        <v>66.06</v>
      </c>
      <c r="G672" s="3">
        <f ca="1">IFERROR(__xludf.DUMMYFUNCTION("""COMPUTED_VALUE"""),30.17)</f>
        <v>30.17</v>
      </c>
      <c r="H672" s="3">
        <f ca="1">IFERROR(__xludf.DUMMYFUNCTION("""COMPUTED_VALUE"""),28.36)</f>
        <v>28.36</v>
      </c>
      <c r="I672" s="3">
        <f ca="1">IFERROR(__xludf.DUMMYFUNCTION("""COMPUTED_VALUE"""),156.9)</f>
        <v>156.9</v>
      </c>
      <c r="J672" s="3">
        <f ca="1">IFERROR(__xludf.DUMMYFUNCTION("""COMPUTED_VALUE"""),286.95)</f>
        <v>286.95</v>
      </c>
      <c r="K672" s="3">
        <f ca="1">IFERROR(__xludf.DUMMYFUNCTION("""COMPUTED_VALUE"""),145.66)</f>
        <v>145.66</v>
      </c>
      <c r="L672" s="3">
        <f ca="1">IFERROR(__xludf.DUMMYFUNCTION("""COMPUTED_VALUE"""),98.66)</f>
        <v>98.66</v>
      </c>
      <c r="M672" s="3">
        <f ca="1">IFERROR(__xludf.DUMMYFUNCTION("""COMPUTED_VALUE"""),70.25)</f>
        <v>70.25</v>
      </c>
      <c r="N672" s="3">
        <f ca="1">IFERROR(__xludf.DUMMYFUNCTION("""COMPUTED_VALUE"""),73.95)</f>
        <v>73.95</v>
      </c>
      <c r="O672" s="3">
        <f ca="1">IFERROR(__xludf.DUMMYFUNCTION("""COMPUTED_VALUE"""),44.28)</f>
        <v>44.28</v>
      </c>
      <c r="P672" s="3">
        <f ca="1">IFERROR(__xludf.DUMMYFUNCTION("""COMPUTED_VALUE"""),89.01)</f>
        <v>89.01</v>
      </c>
      <c r="Q672" s="3">
        <f ca="1">IFERROR(__xludf.DUMMYFUNCTION("""COMPUTED_VALUE"""),123.95)</f>
        <v>123.95</v>
      </c>
      <c r="R672" s="3">
        <f ca="1">IFERROR(__xludf.DUMMYFUNCTION("""COMPUTED_VALUE"""),92.14)</f>
        <v>92.14</v>
      </c>
      <c r="S672" s="3">
        <f ca="1">IFERROR(__xludf.DUMMYFUNCTION("""COMPUTED_VALUE"""),56.22)</f>
        <v>56.22</v>
      </c>
      <c r="T672" s="3">
        <f ca="1">IFERROR(__xludf.DUMMYFUNCTION("""COMPUTED_VALUE"""),21.67)</f>
        <v>21.67</v>
      </c>
      <c r="U672" s="3">
        <f ca="1">IFERROR(__xludf.DUMMYFUNCTION("""COMPUTED_VALUE"""),71.09)</f>
        <v>71.09</v>
      </c>
      <c r="V672" s="3">
        <f ca="1">IFERROR(__xludf.DUMMYFUNCTION("""COMPUTED_VALUE"""),39.82)</f>
        <v>39.82</v>
      </c>
      <c r="W672" s="3">
        <f ca="1">IFERROR(__xludf.DUMMYFUNCTION("""COMPUTED_VALUE"""),45.4)</f>
        <v>45.4</v>
      </c>
      <c r="X672" s="3">
        <f ca="1">IFERROR(__xludf.DUMMYFUNCTION("""COMPUTED_VALUE"""),109.75)</f>
        <v>109.75</v>
      </c>
      <c r="Y672" s="3">
        <f ca="1">IFERROR(__xludf.DUMMYFUNCTION("""COMPUTED_VALUE"""),53.13)</f>
        <v>53.13</v>
      </c>
      <c r="Z672" s="3">
        <f ca="1">IFERROR(__xludf.DUMMYFUNCTION("""COMPUTED_VALUE"""),103.92)</f>
        <v>103.92</v>
      </c>
      <c r="AA672" s="3">
        <f ca="1">IFERROR(__xludf.DUMMYFUNCTION("""COMPUTED_VALUE"""),43.65)</f>
        <v>43.65</v>
      </c>
      <c r="AB672" s="3">
        <f ca="1">IFERROR(__xludf.DUMMYFUNCTION("""COMPUTED_VALUE"""),57.09)</f>
        <v>57.09</v>
      </c>
      <c r="AC672" s="3">
        <f ca="1">IFERROR(__xludf.DUMMYFUNCTION("""COMPUTED_VALUE"""),69)</f>
        <v>69</v>
      </c>
      <c r="AD672" s="3">
        <f ca="1">IFERROR(__xludf.DUMMYFUNCTION("""COMPUTED_VALUE"""),15.37)</f>
        <v>15.37</v>
      </c>
      <c r="AE672" s="3">
        <f ca="1">IFERROR(__xludf.DUMMYFUNCTION("""COMPUTED_VALUE"""),17.59)</f>
        <v>17.59</v>
      </c>
      <c r="AF672" s="3">
        <f ca="1">IFERROR(__xludf.DUMMYFUNCTION("""COMPUTED_VALUE"""),4.61)</f>
        <v>4.6100000000000003</v>
      </c>
      <c r="AG672" s="3">
        <f ca="1">IFERROR(__xludf.DUMMYFUNCTION("""COMPUTED_VALUE"""),39.18)</f>
        <v>39.18</v>
      </c>
    </row>
    <row r="673" spans="1:33" ht="12.75" x14ac:dyDescent="0.2">
      <c r="A673" s="4">
        <f ca="1">IFERROR(__xludf.DUMMYFUNCTION("""COMPUTED_VALUE"""),45539.6666666666)</f>
        <v>45539.666666666599</v>
      </c>
      <c r="B673" s="3">
        <f ca="1">IFERROR(__xludf.DUMMYFUNCTION("""COMPUTED_VALUE"""),209.67)</f>
        <v>209.67</v>
      </c>
      <c r="C673" s="3">
        <f ca="1">IFERROR(__xludf.DUMMYFUNCTION("""COMPUTED_VALUE"""),547.51)</f>
        <v>547.51</v>
      </c>
      <c r="D673" s="3">
        <f ca="1">IFERROR(__xludf.DUMMYFUNCTION("""COMPUTED_VALUE"""),139.41)</f>
        <v>139.41</v>
      </c>
      <c r="E673" s="3">
        <f ca="1">IFERROR(__xludf.DUMMYFUNCTION("""COMPUTED_VALUE"""),214.2)</f>
        <v>214.2</v>
      </c>
      <c r="F673" s="3">
        <f ca="1">IFERROR(__xludf.DUMMYFUNCTION("""COMPUTED_VALUE"""),65.34)</f>
        <v>65.34</v>
      </c>
      <c r="G673" s="3">
        <f ca="1">IFERROR(__xludf.DUMMYFUNCTION("""COMPUTED_VALUE"""),29.97)</f>
        <v>29.97</v>
      </c>
      <c r="H673" s="3">
        <f ca="1">IFERROR(__xludf.DUMMYFUNCTION("""COMPUTED_VALUE"""),28.43)</f>
        <v>28.43</v>
      </c>
      <c r="I673" s="3">
        <f ca="1">IFERROR(__xludf.DUMMYFUNCTION("""COMPUTED_VALUE"""),156.63)</f>
        <v>156.63</v>
      </c>
      <c r="J673" s="3">
        <f ca="1">IFERROR(__xludf.DUMMYFUNCTION("""COMPUTED_VALUE"""),286.49)</f>
        <v>286.49</v>
      </c>
      <c r="K673" s="3">
        <f ca="1">IFERROR(__xludf.DUMMYFUNCTION("""COMPUTED_VALUE"""),145.5)</f>
        <v>145.5</v>
      </c>
      <c r="L673" s="3">
        <f ca="1">IFERROR(__xludf.DUMMYFUNCTION("""COMPUTED_VALUE"""),98.52)</f>
        <v>98.52</v>
      </c>
      <c r="M673" s="3">
        <f ca="1">IFERROR(__xludf.DUMMYFUNCTION("""COMPUTED_VALUE"""),69.92)</f>
        <v>69.92</v>
      </c>
      <c r="N673" s="3">
        <f ca="1">IFERROR(__xludf.DUMMYFUNCTION("""COMPUTED_VALUE"""),73.76)</f>
        <v>73.760000000000005</v>
      </c>
      <c r="O673" s="3">
        <f ca="1">IFERROR(__xludf.DUMMYFUNCTION("""COMPUTED_VALUE"""),43.88)</f>
        <v>43.88</v>
      </c>
      <c r="P673" s="3">
        <f ca="1">IFERROR(__xludf.DUMMYFUNCTION("""COMPUTED_VALUE"""),87.78)</f>
        <v>87.78</v>
      </c>
      <c r="Q673" s="3">
        <f ca="1">IFERROR(__xludf.DUMMYFUNCTION("""COMPUTED_VALUE"""),122.14)</f>
        <v>122.14</v>
      </c>
      <c r="R673" s="3">
        <f ca="1">IFERROR(__xludf.DUMMYFUNCTION("""COMPUTED_VALUE"""),91.76)</f>
        <v>91.76</v>
      </c>
      <c r="S673" s="3">
        <f ca="1">IFERROR(__xludf.DUMMYFUNCTION("""COMPUTED_VALUE"""),55.77)</f>
        <v>55.77</v>
      </c>
      <c r="T673" s="3">
        <f ca="1">IFERROR(__xludf.DUMMYFUNCTION("""COMPUTED_VALUE"""),21.51)</f>
        <v>21.51</v>
      </c>
      <c r="U673" s="3">
        <f ca="1">IFERROR(__xludf.DUMMYFUNCTION("""COMPUTED_VALUE"""),69.61)</f>
        <v>69.61</v>
      </c>
      <c r="V673" s="3">
        <f ca="1">IFERROR(__xludf.DUMMYFUNCTION("""COMPUTED_VALUE"""),40.28)</f>
        <v>40.28</v>
      </c>
      <c r="W673" s="3">
        <f ca="1">IFERROR(__xludf.DUMMYFUNCTION("""COMPUTED_VALUE"""),45.45)</f>
        <v>45.45</v>
      </c>
      <c r="X673" s="3">
        <f ca="1">IFERROR(__xludf.DUMMYFUNCTION("""COMPUTED_VALUE"""),109.61)</f>
        <v>109.61</v>
      </c>
      <c r="Y673" s="3">
        <f ca="1">IFERROR(__xludf.DUMMYFUNCTION("""COMPUTED_VALUE"""),52.66)</f>
        <v>52.66</v>
      </c>
      <c r="Z673" s="3">
        <f ca="1">IFERROR(__xludf.DUMMYFUNCTION("""COMPUTED_VALUE"""),103.8)</f>
        <v>103.8</v>
      </c>
      <c r="AA673" s="3">
        <f ca="1">IFERROR(__xludf.DUMMYFUNCTION("""COMPUTED_VALUE"""),43.75)</f>
        <v>43.75</v>
      </c>
      <c r="AB673" s="3">
        <f ca="1">IFERROR(__xludf.DUMMYFUNCTION("""COMPUTED_VALUE"""),56.4)</f>
        <v>56.4</v>
      </c>
      <c r="AC673" s="3">
        <f ca="1">IFERROR(__xludf.DUMMYFUNCTION("""COMPUTED_VALUE"""),69.96)</f>
        <v>69.959999999999994</v>
      </c>
      <c r="AD673" s="3">
        <f ca="1">IFERROR(__xludf.DUMMYFUNCTION("""COMPUTED_VALUE"""),15.38)</f>
        <v>15.38</v>
      </c>
      <c r="AE673" s="3">
        <f ca="1">IFERROR(__xludf.DUMMYFUNCTION("""COMPUTED_VALUE"""),17.62)</f>
        <v>17.62</v>
      </c>
      <c r="AF673" s="3">
        <f ca="1">IFERROR(__xludf.DUMMYFUNCTION("""COMPUTED_VALUE"""),4.6)</f>
        <v>4.5999999999999996</v>
      </c>
      <c r="AG673" s="3">
        <f ca="1">IFERROR(__xludf.DUMMYFUNCTION("""COMPUTED_VALUE"""),39.25)</f>
        <v>39.25</v>
      </c>
    </row>
    <row r="674" spans="1:33" ht="12.75" x14ac:dyDescent="0.2">
      <c r="A674" s="4">
        <f ca="1">IFERROR(__xludf.DUMMYFUNCTION("""COMPUTED_VALUE"""),45540.6666666666)</f>
        <v>45540.666666666599</v>
      </c>
      <c r="B674" s="3">
        <f ca="1">IFERROR(__xludf.DUMMYFUNCTION("""COMPUTED_VALUE"""),209.35)</f>
        <v>209.35</v>
      </c>
      <c r="C674" s="3">
        <f ca="1">IFERROR(__xludf.DUMMYFUNCTION("""COMPUTED_VALUE"""),546.29)</f>
        <v>546.29</v>
      </c>
      <c r="D674" s="3">
        <f ca="1">IFERROR(__xludf.DUMMYFUNCTION("""COMPUTED_VALUE"""),140.95)</f>
        <v>140.94999999999999</v>
      </c>
      <c r="E674" s="3">
        <f ca="1">IFERROR(__xludf.DUMMYFUNCTION("""COMPUTED_VALUE"""),213.05)</f>
        <v>213.05</v>
      </c>
      <c r="F674" s="3">
        <f ca="1">IFERROR(__xludf.DUMMYFUNCTION("""COMPUTED_VALUE"""),64.87)</f>
        <v>64.87</v>
      </c>
      <c r="G674" s="3">
        <f ca="1">IFERROR(__xludf.DUMMYFUNCTION("""COMPUTED_VALUE"""),29.93)</f>
        <v>29.93</v>
      </c>
      <c r="H674" s="3">
        <f ca="1">IFERROR(__xludf.DUMMYFUNCTION("""COMPUTED_VALUE"""),28.36)</f>
        <v>28.36</v>
      </c>
      <c r="I674" s="3">
        <f ca="1">IFERROR(__xludf.DUMMYFUNCTION("""COMPUTED_VALUE"""),154.48)</f>
        <v>154.47999999999999</v>
      </c>
      <c r="J674" s="3">
        <f ca="1">IFERROR(__xludf.DUMMYFUNCTION("""COMPUTED_VALUE"""),282.84)</f>
        <v>282.83999999999997</v>
      </c>
      <c r="K674" s="3">
        <f ca="1">IFERROR(__xludf.DUMMYFUNCTION("""COMPUTED_VALUE"""),144.79)</f>
        <v>144.79</v>
      </c>
      <c r="L674" s="3">
        <f ca="1">IFERROR(__xludf.DUMMYFUNCTION("""COMPUTED_VALUE"""),98.08)</f>
        <v>98.08</v>
      </c>
      <c r="M674" s="3">
        <f ca="1">IFERROR(__xludf.DUMMYFUNCTION("""COMPUTED_VALUE"""),69.27)</f>
        <v>69.27</v>
      </c>
      <c r="N674" s="3">
        <f ca="1">IFERROR(__xludf.DUMMYFUNCTION("""COMPUTED_VALUE"""),72.94)</f>
        <v>72.94</v>
      </c>
      <c r="O674" s="3">
        <f ca="1">IFERROR(__xludf.DUMMYFUNCTION("""COMPUTED_VALUE"""),43.92)</f>
        <v>43.92</v>
      </c>
      <c r="P674" s="3">
        <f ca="1">IFERROR(__xludf.DUMMYFUNCTION("""COMPUTED_VALUE"""),87.1)</f>
        <v>87.1</v>
      </c>
      <c r="Q674" s="3">
        <f ca="1">IFERROR(__xludf.DUMMYFUNCTION("""COMPUTED_VALUE"""),121.29)</f>
        <v>121.29</v>
      </c>
      <c r="R674" s="3">
        <f ca="1">IFERROR(__xludf.DUMMYFUNCTION("""COMPUTED_VALUE"""),91.04)</f>
        <v>91.04</v>
      </c>
      <c r="S674" s="3">
        <f ca="1">IFERROR(__xludf.DUMMYFUNCTION("""COMPUTED_VALUE"""),55.41)</f>
        <v>55.41</v>
      </c>
      <c r="T674" s="3">
        <f ca="1">IFERROR(__xludf.DUMMYFUNCTION("""COMPUTED_VALUE"""),21.56)</f>
        <v>21.56</v>
      </c>
      <c r="U674" s="3">
        <f ca="1">IFERROR(__xludf.DUMMYFUNCTION("""COMPUTED_VALUE"""),69.89)</f>
        <v>69.89</v>
      </c>
      <c r="V674" s="3">
        <f ca="1">IFERROR(__xludf.DUMMYFUNCTION("""COMPUTED_VALUE"""),39.99)</f>
        <v>39.99</v>
      </c>
      <c r="W674" s="3">
        <f ca="1">IFERROR(__xludf.DUMMYFUNCTION("""COMPUTED_VALUE"""),44.95)</f>
        <v>44.95</v>
      </c>
      <c r="X674" s="3">
        <f ca="1">IFERROR(__xludf.DUMMYFUNCTION("""COMPUTED_VALUE"""),108.65)</f>
        <v>108.65</v>
      </c>
      <c r="Y674" s="3">
        <f ca="1">IFERROR(__xludf.DUMMYFUNCTION("""COMPUTED_VALUE"""),52.16)</f>
        <v>52.16</v>
      </c>
      <c r="Z674" s="3">
        <f ca="1">IFERROR(__xludf.DUMMYFUNCTION("""COMPUTED_VALUE"""),102.87)</f>
        <v>102.87</v>
      </c>
      <c r="AA674" s="3">
        <f ca="1">IFERROR(__xludf.DUMMYFUNCTION("""COMPUTED_VALUE"""),43.63)</f>
        <v>43.63</v>
      </c>
      <c r="AB674" s="3">
        <f ca="1">IFERROR(__xludf.DUMMYFUNCTION("""COMPUTED_VALUE"""),55.85)</f>
        <v>55.85</v>
      </c>
      <c r="AC674" s="3">
        <f ca="1">IFERROR(__xludf.DUMMYFUNCTION("""COMPUTED_VALUE"""),69.18)</f>
        <v>69.180000000000007</v>
      </c>
      <c r="AD674" s="3">
        <f ca="1">IFERROR(__xludf.DUMMYFUNCTION("""COMPUTED_VALUE"""),14.82)</f>
        <v>14.82</v>
      </c>
      <c r="AE674" s="3">
        <f ca="1">IFERROR(__xludf.DUMMYFUNCTION("""COMPUTED_VALUE"""),16.97)</f>
        <v>16.97</v>
      </c>
      <c r="AF674" s="3">
        <f ca="1">IFERROR(__xludf.DUMMYFUNCTION("""COMPUTED_VALUE"""),4.51)</f>
        <v>4.51</v>
      </c>
      <c r="AG674" s="3">
        <f ca="1">IFERROR(__xludf.DUMMYFUNCTION("""COMPUTED_VALUE"""),39.87)</f>
        <v>39.869999999999997</v>
      </c>
    </row>
    <row r="675" spans="1:33" ht="12.75" x14ac:dyDescent="0.2">
      <c r="A675" s="4">
        <f ca="1">IFERROR(__xludf.DUMMYFUNCTION("""COMPUTED_VALUE"""),45541.6666666666)</f>
        <v>45541.666666666599</v>
      </c>
      <c r="B675" s="3">
        <f ca="1">IFERROR(__xludf.DUMMYFUNCTION("""COMPUTED_VALUE"""),203.92)</f>
        <v>203.92</v>
      </c>
      <c r="C675" s="3">
        <f ca="1">IFERROR(__xludf.DUMMYFUNCTION("""COMPUTED_VALUE"""),533.17)</f>
        <v>533.16999999999996</v>
      </c>
      <c r="D675" s="3">
        <f ca="1">IFERROR(__xludf.DUMMYFUNCTION("""COMPUTED_VALUE"""),144.91)</f>
        <v>144.91</v>
      </c>
      <c r="E675" s="3">
        <f ca="1">IFERROR(__xludf.DUMMYFUNCTION("""COMPUTED_VALUE"""),203.93)</f>
        <v>203.93</v>
      </c>
      <c r="F675" s="3">
        <f ca="1">IFERROR(__xludf.DUMMYFUNCTION("""COMPUTED_VALUE"""),63.06)</f>
        <v>63.06</v>
      </c>
      <c r="G675" s="3">
        <f ca="1">IFERROR(__xludf.DUMMYFUNCTION("""COMPUTED_VALUE"""),29)</f>
        <v>29</v>
      </c>
      <c r="H675" s="3">
        <f ca="1">IFERROR(__xludf.DUMMYFUNCTION("""COMPUTED_VALUE"""),27.91)</f>
        <v>27.91</v>
      </c>
      <c r="I675" s="3">
        <f ca="1">IFERROR(__xludf.DUMMYFUNCTION("""COMPUTED_VALUE"""),153.95)</f>
        <v>153.94999999999999</v>
      </c>
      <c r="J675" s="3">
        <f ca="1">IFERROR(__xludf.DUMMYFUNCTION("""COMPUTED_VALUE"""),281.39)</f>
        <v>281.39</v>
      </c>
      <c r="K675" s="3">
        <f ca="1">IFERROR(__xludf.DUMMYFUNCTION("""COMPUTED_VALUE"""),142.75)</f>
        <v>142.75</v>
      </c>
      <c r="L675" s="3">
        <f ca="1">IFERROR(__xludf.DUMMYFUNCTION("""COMPUTED_VALUE"""),96.52)</f>
        <v>96.52</v>
      </c>
      <c r="M675" s="3">
        <f ca="1">IFERROR(__xludf.DUMMYFUNCTION("""COMPUTED_VALUE"""),68.02)</f>
        <v>68.02</v>
      </c>
      <c r="N675" s="3">
        <f ca="1">IFERROR(__xludf.DUMMYFUNCTION("""COMPUTED_VALUE"""),72.5)</f>
        <v>72.5</v>
      </c>
      <c r="O675" s="3">
        <f ca="1">IFERROR(__xludf.DUMMYFUNCTION("""COMPUTED_VALUE"""),42.72)</f>
        <v>42.72</v>
      </c>
      <c r="P675" s="3">
        <f ca="1">IFERROR(__xludf.DUMMYFUNCTION("""COMPUTED_VALUE"""),86.01)</f>
        <v>86.01</v>
      </c>
      <c r="Q675" s="3">
        <f ca="1">IFERROR(__xludf.DUMMYFUNCTION("""COMPUTED_VALUE"""),119.72)</f>
        <v>119.72</v>
      </c>
      <c r="R675" s="3">
        <f ca="1">IFERROR(__xludf.DUMMYFUNCTION("""COMPUTED_VALUE"""),89.89)</f>
        <v>89.89</v>
      </c>
      <c r="S675" s="3">
        <f ca="1">IFERROR(__xludf.DUMMYFUNCTION("""COMPUTED_VALUE"""),54.2)</f>
        <v>54.2</v>
      </c>
      <c r="T675" s="3">
        <f ca="1">IFERROR(__xludf.DUMMYFUNCTION("""COMPUTED_VALUE"""),21.27)</f>
        <v>21.27</v>
      </c>
      <c r="U675" s="3">
        <f ca="1">IFERROR(__xludf.DUMMYFUNCTION("""COMPUTED_VALUE"""),68.93)</f>
        <v>68.930000000000007</v>
      </c>
      <c r="V675" s="3">
        <f ca="1">IFERROR(__xludf.DUMMYFUNCTION("""COMPUTED_VALUE"""),38.97)</f>
        <v>38.97</v>
      </c>
      <c r="W675" s="3">
        <f ca="1">IFERROR(__xludf.DUMMYFUNCTION("""COMPUTED_VALUE"""),44.29)</f>
        <v>44.29</v>
      </c>
      <c r="X675" s="3">
        <f ca="1">IFERROR(__xludf.DUMMYFUNCTION("""COMPUTED_VALUE"""),106.93)</f>
        <v>106.93</v>
      </c>
      <c r="Y675" s="3">
        <f ca="1">IFERROR(__xludf.DUMMYFUNCTION("""COMPUTED_VALUE"""),51.16)</f>
        <v>51.16</v>
      </c>
      <c r="Z675" s="3">
        <f ca="1">IFERROR(__xludf.DUMMYFUNCTION("""COMPUTED_VALUE"""),101.02)</f>
        <v>101.02</v>
      </c>
      <c r="AA675" s="3">
        <f ca="1">IFERROR(__xludf.DUMMYFUNCTION("""COMPUTED_VALUE"""),43.63)</f>
        <v>43.63</v>
      </c>
      <c r="AB675" s="3">
        <f ca="1">IFERROR(__xludf.DUMMYFUNCTION("""COMPUTED_VALUE"""),54.84)</f>
        <v>54.84</v>
      </c>
      <c r="AC675" s="3">
        <f ca="1">IFERROR(__xludf.DUMMYFUNCTION("""COMPUTED_VALUE"""),69.03)</f>
        <v>69.03</v>
      </c>
      <c r="AD675" s="3">
        <f ca="1">IFERROR(__xludf.DUMMYFUNCTION("""COMPUTED_VALUE"""),14.05)</f>
        <v>14.05</v>
      </c>
      <c r="AE675" s="3">
        <f ca="1">IFERROR(__xludf.DUMMYFUNCTION("""COMPUTED_VALUE"""),16.19)</f>
        <v>16.190000000000001</v>
      </c>
      <c r="AF675" s="3">
        <f ca="1">IFERROR(__xludf.DUMMYFUNCTION("""COMPUTED_VALUE"""),4.59)</f>
        <v>4.59</v>
      </c>
      <c r="AG675" s="3">
        <f ca="1">IFERROR(__xludf.DUMMYFUNCTION("""COMPUTED_VALUE"""),37.8)</f>
        <v>37.799999999999997</v>
      </c>
    </row>
    <row r="676" spans="1:33" ht="12.75" x14ac:dyDescent="0.2">
      <c r="A676" s="4">
        <f ca="1">IFERROR(__xludf.DUMMYFUNCTION("""COMPUTED_VALUE"""),45544.6666666666)</f>
        <v>45544.666666666599</v>
      </c>
      <c r="B676" s="3">
        <f ca="1">IFERROR(__xludf.DUMMYFUNCTION("""COMPUTED_VALUE"""),207.26)</f>
        <v>207.26</v>
      </c>
      <c r="C676" s="3">
        <f ca="1">IFERROR(__xludf.DUMMYFUNCTION("""COMPUTED_VALUE"""),540.37)</f>
        <v>540.37</v>
      </c>
      <c r="D676" s="3">
        <f ca="1">IFERROR(__xludf.DUMMYFUNCTION("""COMPUTED_VALUE"""),146.16)</f>
        <v>146.16</v>
      </c>
      <c r="E676" s="3">
        <f ca="1">IFERROR(__xludf.DUMMYFUNCTION("""COMPUTED_VALUE"""),207.96)</f>
        <v>207.96</v>
      </c>
      <c r="F676" s="3">
        <f ca="1">IFERROR(__xludf.DUMMYFUNCTION("""COMPUTED_VALUE"""),63.45)</f>
        <v>63.45</v>
      </c>
      <c r="G676" s="3">
        <f ca="1">IFERROR(__xludf.DUMMYFUNCTION("""COMPUTED_VALUE"""),29.45)</f>
        <v>29.45</v>
      </c>
      <c r="H676" s="3">
        <f ca="1">IFERROR(__xludf.DUMMYFUNCTION("""COMPUTED_VALUE"""),28.13)</f>
        <v>28.13</v>
      </c>
      <c r="I676" s="3">
        <f ca="1">IFERROR(__xludf.DUMMYFUNCTION("""COMPUTED_VALUE"""),155.03)</f>
        <v>155.03</v>
      </c>
      <c r="J676" s="3">
        <f ca="1">IFERROR(__xludf.DUMMYFUNCTION("""COMPUTED_VALUE"""),283.34)</f>
        <v>283.33999999999997</v>
      </c>
      <c r="K676" s="3">
        <f ca="1">IFERROR(__xludf.DUMMYFUNCTION("""COMPUTED_VALUE"""),144.53)</f>
        <v>144.53</v>
      </c>
      <c r="L676" s="3">
        <f ca="1">IFERROR(__xludf.DUMMYFUNCTION("""COMPUTED_VALUE"""),97.89)</f>
        <v>97.89</v>
      </c>
      <c r="M676" s="3">
        <f ca="1">IFERROR(__xludf.DUMMYFUNCTION("""COMPUTED_VALUE"""),69.27)</f>
        <v>69.27</v>
      </c>
      <c r="N676" s="3">
        <f ca="1">IFERROR(__xludf.DUMMYFUNCTION("""COMPUTED_VALUE"""),73.05)</f>
        <v>73.05</v>
      </c>
      <c r="O676" s="3">
        <f ca="1">IFERROR(__xludf.DUMMYFUNCTION("""COMPUTED_VALUE"""),43.36)</f>
        <v>43.36</v>
      </c>
      <c r="P676" s="3">
        <f ca="1">IFERROR(__xludf.DUMMYFUNCTION("""COMPUTED_VALUE"""),86.63)</f>
        <v>86.63</v>
      </c>
      <c r="Q676" s="3">
        <f ca="1">IFERROR(__xludf.DUMMYFUNCTION("""COMPUTED_VALUE"""),120.31)</f>
        <v>120.31</v>
      </c>
      <c r="R676" s="3">
        <f ca="1">IFERROR(__xludf.DUMMYFUNCTION("""COMPUTED_VALUE"""),90.76)</f>
        <v>90.76</v>
      </c>
      <c r="S676" s="3">
        <f ca="1">IFERROR(__xludf.DUMMYFUNCTION("""COMPUTED_VALUE"""),54.53)</f>
        <v>54.53</v>
      </c>
      <c r="T676" s="3">
        <f ca="1">IFERROR(__xludf.DUMMYFUNCTION("""COMPUTED_VALUE"""),21.33)</f>
        <v>21.33</v>
      </c>
      <c r="U676" s="3">
        <f ca="1">IFERROR(__xludf.DUMMYFUNCTION("""COMPUTED_VALUE"""),69.27)</f>
        <v>69.27</v>
      </c>
      <c r="V676" s="3">
        <f ca="1">IFERROR(__xludf.DUMMYFUNCTION("""COMPUTED_VALUE"""),38.17)</f>
        <v>38.17</v>
      </c>
      <c r="W676" s="3">
        <f ca="1">IFERROR(__xludf.DUMMYFUNCTION("""COMPUTED_VALUE"""),44.95)</f>
        <v>44.95</v>
      </c>
      <c r="X676" s="3">
        <f ca="1">IFERROR(__xludf.DUMMYFUNCTION("""COMPUTED_VALUE"""),108.34)</f>
        <v>108.34</v>
      </c>
      <c r="Y676" s="3">
        <f ca="1">IFERROR(__xludf.DUMMYFUNCTION("""COMPUTED_VALUE"""),51.49)</f>
        <v>51.49</v>
      </c>
      <c r="Z676" s="3">
        <f ca="1">IFERROR(__xludf.DUMMYFUNCTION("""COMPUTED_VALUE"""),102.23)</f>
        <v>102.23</v>
      </c>
      <c r="AA676" s="3">
        <f ca="1">IFERROR(__xludf.DUMMYFUNCTION("""COMPUTED_VALUE"""),44.15)</f>
        <v>44.15</v>
      </c>
      <c r="AB676" s="3">
        <f ca="1">IFERROR(__xludf.DUMMYFUNCTION("""COMPUTED_VALUE"""),55.27)</f>
        <v>55.27</v>
      </c>
      <c r="AC676" s="3">
        <f ca="1">IFERROR(__xludf.DUMMYFUNCTION("""COMPUTED_VALUE"""),69.07)</f>
        <v>69.069999999999993</v>
      </c>
      <c r="AD676" s="3">
        <f ca="1">IFERROR(__xludf.DUMMYFUNCTION("""COMPUTED_VALUE"""),14.93)</f>
        <v>14.93</v>
      </c>
      <c r="AE676" s="3">
        <f ca="1">IFERROR(__xludf.DUMMYFUNCTION("""COMPUTED_VALUE"""),17.34)</f>
        <v>17.34</v>
      </c>
      <c r="AF676" s="3">
        <f ca="1">IFERROR(__xludf.DUMMYFUNCTION("""COMPUTED_VALUE"""),4.19)</f>
        <v>4.1900000000000004</v>
      </c>
      <c r="AG676" s="3">
        <f ca="1">IFERROR(__xludf.DUMMYFUNCTION("""COMPUTED_VALUE"""),41)</f>
        <v>41</v>
      </c>
    </row>
    <row r="677" spans="1:33" ht="12.75" x14ac:dyDescent="0.2">
      <c r="A677" s="4">
        <f ca="1">IFERROR(__xludf.DUMMYFUNCTION("""COMPUTED_VALUE"""),45545.6666666666)</f>
        <v>45545.666666666599</v>
      </c>
      <c r="B677" s="3">
        <f ca="1">IFERROR(__xludf.DUMMYFUNCTION("""COMPUTED_VALUE"""),210.36)</f>
        <v>210.36</v>
      </c>
      <c r="C677" s="3">
        <f ca="1">IFERROR(__xludf.DUMMYFUNCTION("""COMPUTED_VALUE"""),545.85)</f>
        <v>545.85</v>
      </c>
      <c r="D677" s="3">
        <f ca="1">IFERROR(__xludf.DUMMYFUNCTION("""COMPUTED_VALUE"""),146.94)</f>
        <v>146.94</v>
      </c>
      <c r="E677" s="3">
        <f ca="1">IFERROR(__xludf.DUMMYFUNCTION("""COMPUTED_VALUE"""),210.15)</f>
        <v>210.15</v>
      </c>
      <c r="F677" s="3">
        <f ca="1">IFERROR(__xludf.DUMMYFUNCTION("""COMPUTED_VALUE"""),63.9)</f>
        <v>63.9</v>
      </c>
      <c r="G677" s="3">
        <f ca="1">IFERROR(__xludf.DUMMYFUNCTION("""COMPUTED_VALUE"""),29.41)</f>
        <v>29.41</v>
      </c>
      <c r="H677" s="3">
        <f ca="1">IFERROR(__xludf.DUMMYFUNCTION("""COMPUTED_VALUE"""),28.15)</f>
        <v>28.15</v>
      </c>
      <c r="I677" s="3">
        <f ca="1">IFERROR(__xludf.DUMMYFUNCTION("""COMPUTED_VALUE"""),155.74)</f>
        <v>155.74</v>
      </c>
      <c r="J677" s="3">
        <f ca="1">IFERROR(__xludf.DUMMYFUNCTION("""COMPUTED_VALUE"""),284.5)</f>
        <v>284.5</v>
      </c>
      <c r="K677" s="3">
        <f ca="1">IFERROR(__xludf.DUMMYFUNCTION("""COMPUTED_VALUE"""),144.92)</f>
        <v>144.91999999999999</v>
      </c>
      <c r="L677" s="3">
        <f ca="1">IFERROR(__xludf.DUMMYFUNCTION("""COMPUTED_VALUE"""),98.1)</f>
        <v>98.1</v>
      </c>
      <c r="M677" s="3">
        <f ca="1">IFERROR(__xludf.DUMMYFUNCTION("""COMPUTED_VALUE"""),69.46)</f>
        <v>69.459999999999994</v>
      </c>
      <c r="N677" s="3">
        <f ca="1">IFERROR(__xludf.DUMMYFUNCTION("""COMPUTED_VALUE"""),73.36)</f>
        <v>73.36</v>
      </c>
      <c r="O677" s="3">
        <f ca="1">IFERROR(__xludf.DUMMYFUNCTION("""COMPUTED_VALUE"""),43.68)</f>
        <v>43.68</v>
      </c>
      <c r="P677" s="3">
        <f ca="1">IFERROR(__xludf.DUMMYFUNCTION("""COMPUTED_VALUE"""),85.14)</f>
        <v>85.14</v>
      </c>
      <c r="Q677" s="3">
        <f ca="1">IFERROR(__xludf.DUMMYFUNCTION("""COMPUTED_VALUE"""),118.24)</f>
        <v>118.24</v>
      </c>
      <c r="R677" s="3">
        <f ca="1">IFERROR(__xludf.DUMMYFUNCTION("""COMPUTED_VALUE"""),90.8)</f>
        <v>90.8</v>
      </c>
      <c r="S677" s="3">
        <f ca="1">IFERROR(__xludf.DUMMYFUNCTION("""COMPUTED_VALUE"""),54.29)</f>
        <v>54.29</v>
      </c>
      <c r="T677" s="3">
        <f ca="1">IFERROR(__xludf.DUMMYFUNCTION("""COMPUTED_VALUE"""),21.02)</f>
        <v>21.02</v>
      </c>
      <c r="U677" s="3">
        <f ca="1">IFERROR(__xludf.DUMMYFUNCTION("""COMPUTED_VALUE"""),66.96)</f>
        <v>66.959999999999994</v>
      </c>
      <c r="V677" s="3">
        <f ca="1">IFERROR(__xludf.DUMMYFUNCTION("""COMPUTED_VALUE"""),38.1)</f>
        <v>38.1</v>
      </c>
      <c r="W677" s="3">
        <f ca="1">IFERROR(__xludf.DUMMYFUNCTION("""COMPUTED_VALUE"""),44.49)</f>
        <v>44.49</v>
      </c>
      <c r="X677" s="3">
        <f ca="1">IFERROR(__xludf.DUMMYFUNCTION("""COMPUTED_VALUE"""),107.27)</f>
        <v>107.27</v>
      </c>
      <c r="Y677" s="3">
        <f ca="1">IFERROR(__xludf.DUMMYFUNCTION("""COMPUTED_VALUE"""),51.05)</f>
        <v>51.05</v>
      </c>
      <c r="Z677" s="3">
        <f ca="1">IFERROR(__xludf.DUMMYFUNCTION("""COMPUTED_VALUE"""),101.21)</f>
        <v>101.21</v>
      </c>
      <c r="AA677" s="3">
        <f ca="1">IFERROR(__xludf.DUMMYFUNCTION("""COMPUTED_VALUE"""),44.93)</f>
        <v>44.93</v>
      </c>
      <c r="AB677" s="3">
        <f ca="1">IFERROR(__xludf.DUMMYFUNCTION("""COMPUTED_VALUE"""),54.79)</f>
        <v>54.79</v>
      </c>
      <c r="AC677" s="3">
        <f ca="1">IFERROR(__xludf.DUMMYFUNCTION("""COMPUTED_VALUE"""),69.41)</f>
        <v>69.41</v>
      </c>
      <c r="AD677" s="3">
        <f ca="1">IFERROR(__xludf.DUMMYFUNCTION("""COMPUTED_VALUE"""),15.13)</f>
        <v>15.13</v>
      </c>
      <c r="AE677" s="3">
        <f ca="1">IFERROR(__xludf.DUMMYFUNCTION("""COMPUTED_VALUE"""),17.59)</f>
        <v>17.59</v>
      </c>
      <c r="AF677" s="3">
        <f ca="1">IFERROR(__xludf.DUMMYFUNCTION("""COMPUTED_VALUE"""),4.2)</f>
        <v>4.2</v>
      </c>
      <c r="AG677" s="3">
        <f ca="1">IFERROR(__xludf.DUMMYFUNCTION("""COMPUTED_VALUE"""),42.49)</f>
        <v>42.49</v>
      </c>
    </row>
    <row r="678" spans="1:33" ht="12.75" x14ac:dyDescent="0.2">
      <c r="A678" s="4">
        <f ca="1">IFERROR(__xludf.DUMMYFUNCTION("""COMPUTED_VALUE"""),45546.6666666666)</f>
        <v>45546.666666666599</v>
      </c>
      <c r="B678" s="3">
        <f ca="1">IFERROR(__xludf.DUMMYFUNCTION("""COMPUTED_VALUE"""),217.54)</f>
        <v>217.54</v>
      </c>
      <c r="C678" s="3">
        <f ca="1">IFERROR(__xludf.DUMMYFUNCTION("""COMPUTED_VALUE"""),561.58)</f>
        <v>561.58000000000004</v>
      </c>
      <c r="D678" s="3">
        <f ca="1">IFERROR(__xludf.DUMMYFUNCTION("""COMPUTED_VALUE"""),146.04)</f>
        <v>146.04</v>
      </c>
      <c r="E678" s="3">
        <f ca="1">IFERROR(__xludf.DUMMYFUNCTION("""COMPUTED_VALUE"""),219.91)</f>
        <v>219.91</v>
      </c>
      <c r="F678" s="3">
        <f ca="1">IFERROR(__xludf.DUMMYFUNCTION("""COMPUTED_VALUE"""),64.66)</f>
        <v>64.66</v>
      </c>
      <c r="G678" s="3">
        <f ca="1">IFERROR(__xludf.DUMMYFUNCTION("""COMPUTED_VALUE"""),30)</f>
        <v>30</v>
      </c>
      <c r="H678" s="3">
        <f ca="1">IFERROR(__xludf.DUMMYFUNCTION("""COMPUTED_VALUE"""),28.6)</f>
        <v>28.6</v>
      </c>
      <c r="I678" s="3">
        <f ca="1">IFERROR(__xludf.DUMMYFUNCTION("""COMPUTED_VALUE"""),155.28)</f>
        <v>155.28</v>
      </c>
      <c r="J678" s="3">
        <f ca="1">IFERROR(__xludf.DUMMYFUNCTION("""COMPUTED_VALUE"""),283.82)</f>
        <v>283.82</v>
      </c>
      <c r="K678" s="3">
        <f ca="1">IFERROR(__xludf.DUMMYFUNCTION("""COMPUTED_VALUE"""),145.62)</f>
        <v>145.62</v>
      </c>
      <c r="L678" s="3">
        <f ca="1">IFERROR(__xludf.DUMMYFUNCTION("""COMPUTED_VALUE"""),98.9)</f>
        <v>98.9</v>
      </c>
      <c r="M678" s="3">
        <f ca="1">IFERROR(__xludf.DUMMYFUNCTION("""COMPUTED_VALUE"""),69.77)</f>
        <v>69.77</v>
      </c>
      <c r="N678" s="3">
        <f ca="1">IFERROR(__xludf.DUMMYFUNCTION("""COMPUTED_VALUE"""),73.14)</f>
        <v>73.14</v>
      </c>
      <c r="O678" s="3">
        <f ca="1">IFERROR(__xludf.DUMMYFUNCTION("""COMPUTED_VALUE"""),43.92)</f>
        <v>43.92</v>
      </c>
      <c r="P678" s="3">
        <f ca="1">IFERROR(__xludf.DUMMYFUNCTION("""COMPUTED_VALUE"""),84.35)</f>
        <v>84.35</v>
      </c>
      <c r="Q678" s="3">
        <f ca="1">IFERROR(__xludf.DUMMYFUNCTION("""COMPUTED_VALUE"""),117.44)</f>
        <v>117.44</v>
      </c>
      <c r="R678" s="3">
        <f ca="1">IFERROR(__xludf.DUMMYFUNCTION("""COMPUTED_VALUE"""),91.02)</f>
        <v>91.02</v>
      </c>
      <c r="S678" s="3">
        <f ca="1">IFERROR(__xludf.DUMMYFUNCTION("""COMPUTED_VALUE"""),55.35)</f>
        <v>55.35</v>
      </c>
      <c r="T678" s="3">
        <f ca="1">IFERROR(__xludf.DUMMYFUNCTION("""COMPUTED_VALUE"""),21.21)</f>
        <v>21.21</v>
      </c>
      <c r="U678" s="3">
        <f ca="1">IFERROR(__xludf.DUMMYFUNCTION("""COMPUTED_VALUE"""),67.85)</f>
        <v>67.849999999999994</v>
      </c>
      <c r="V678" s="3">
        <f ca="1">IFERROR(__xludf.DUMMYFUNCTION("""COMPUTED_VALUE"""),40.49)</f>
        <v>40.49</v>
      </c>
      <c r="W678" s="3">
        <f ca="1">IFERROR(__xludf.DUMMYFUNCTION("""COMPUTED_VALUE"""),44.28)</f>
        <v>44.28</v>
      </c>
      <c r="X678" s="3">
        <f ca="1">IFERROR(__xludf.DUMMYFUNCTION("""COMPUTED_VALUE"""),106.89)</f>
        <v>106.89</v>
      </c>
      <c r="Y678" s="3">
        <f ca="1">IFERROR(__xludf.DUMMYFUNCTION("""COMPUTED_VALUE"""),50.52)</f>
        <v>50.52</v>
      </c>
      <c r="Z678" s="3">
        <f ca="1">IFERROR(__xludf.DUMMYFUNCTION("""COMPUTED_VALUE"""),100.6)</f>
        <v>100.6</v>
      </c>
      <c r="AA678" s="3">
        <f ca="1">IFERROR(__xludf.DUMMYFUNCTION("""COMPUTED_VALUE"""),44.81)</f>
        <v>44.81</v>
      </c>
      <c r="AB678" s="3">
        <f ca="1">IFERROR(__xludf.DUMMYFUNCTION("""COMPUTED_VALUE"""),54.15)</f>
        <v>54.15</v>
      </c>
      <c r="AC678" s="3">
        <f ca="1">IFERROR(__xludf.DUMMYFUNCTION("""COMPUTED_VALUE"""),70.33)</f>
        <v>70.33</v>
      </c>
      <c r="AD678" s="3">
        <f ca="1">IFERROR(__xludf.DUMMYFUNCTION("""COMPUTED_VALUE"""),14.96)</f>
        <v>14.96</v>
      </c>
      <c r="AE678" s="3">
        <f ca="1">IFERROR(__xludf.DUMMYFUNCTION("""COMPUTED_VALUE"""),17.47)</f>
        <v>17.47</v>
      </c>
      <c r="AF678" s="3">
        <f ca="1">IFERROR(__xludf.DUMMYFUNCTION("""COMPUTED_VALUE"""),4.27)</f>
        <v>4.2699999999999996</v>
      </c>
      <c r="AG678" s="3">
        <f ca="1">IFERROR(__xludf.DUMMYFUNCTION("""COMPUTED_VALUE"""),42.33)</f>
        <v>42.33</v>
      </c>
    </row>
    <row r="679" spans="1:33" ht="12.75" x14ac:dyDescent="0.2">
      <c r="A679" s="4">
        <f ca="1">IFERROR(__xludf.DUMMYFUNCTION("""COMPUTED_VALUE"""),45547.6666666666)</f>
        <v>45547.666666666599</v>
      </c>
      <c r="B679" s="3">
        <f ca="1">IFERROR(__xludf.DUMMYFUNCTION("""COMPUTED_VALUE"""),219.34)</f>
        <v>219.34</v>
      </c>
      <c r="C679" s="3">
        <f ca="1">IFERROR(__xludf.DUMMYFUNCTION("""COMPUTED_VALUE"""),565.9)</f>
        <v>565.9</v>
      </c>
      <c r="D679" s="3">
        <f ca="1">IFERROR(__xludf.DUMMYFUNCTION("""COMPUTED_VALUE"""),146.11)</f>
        <v>146.11000000000001</v>
      </c>
      <c r="E679" s="3">
        <f ca="1">IFERROR(__xludf.DUMMYFUNCTION("""COMPUTED_VALUE"""),218.94)</f>
        <v>218.94</v>
      </c>
      <c r="F679" s="3">
        <f ca="1">IFERROR(__xludf.DUMMYFUNCTION("""COMPUTED_VALUE"""),65.52)</f>
        <v>65.52</v>
      </c>
      <c r="G679" s="3">
        <f ca="1">IFERROR(__xludf.DUMMYFUNCTION("""COMPUTED_VALUE"""),30.45)</f>
        <v>30.45</v>
      </c>
      <c r="H679" s="3">
        <f ca="1">IFERROR(__xludf.DUMMYFUNCTION("""COMPUTED_VALUE"""),28.7)</f>
        <v>28.7</v>
      </c>
      <c r="I679" s="3">
        <f ca="1">IFERROR(__xludf.DUMMYFUNCTION("""COMPUTED_VALUE"""),155.84)</f>
        <v>155.84</v>
      </c>
      <c r="J679" s="3">
        <f ca="1">IFERROR(__xludf.DUMMYFUNCTION("""COMPUTED_VALUE"""),285.26)</f>
        <v>285.26</v>
      </c>
      <c r="K679" s="3">
        <f ca="1">IFERROR(__xludf.DUMMYFUNCTION("""COMPUTED_VALUE"""),145.56)</f>
        <v>145.56</v>
      </c>
      <c r="L679" s="3">
        <f ca="1">IFERROR(__xludf.DUMMYFUNCTION("""COMPUTED_VALUE"""),99.06)</f>
        <v>99.06</v>
      </c>
      <c r="M679" s="3">
        <f ca="1">IFERROR(__xludf.DUMMYFUNCTION("""COMPUTED_VALUE"""),69.93)</f>
        <v>69.930000000000007</v>
      </c>
      <c r="N679" s="3">
        <f ca="1">IFERROR(__xludf.DUMMYFUNCTION("""COMPUTED_VALUE"""),73.53)</f>
        <v>73.53</v>
      </c>
      <c r="O679" s="3">
        <f ca="1">IFERROR(__xludf.DUMMYFUNCTION("""COMPUTED_VALUE"""),44)</f>
        <v>44</v>
      </c>
      <c r="P679" s="3">
        <f ca="1">IFERROR(__xludf.DUMMYFUNCTION("""COMPUTED_VALUE"""),85.11)</f>
        <v>85.11</v>
      </c>
      <c r="Q679" s="3">
        <f ca="1">IFERROR(__xludf.DUMMYFUNCTION("""COMPUTED_VALUE"""),118.5)</f>
        <v>118.5</v>
      </c>
      <c r="R679" s="3">
        <f ca="1">IFERROR(__xludf.DUMMYFUNCTION("""COMPUTED_VALUE"""),91.86)</f>
        <v>91.86</v>
      </c>
      <c r="S679" s="3">
        <f ca="1">IFERROR(__xludf.DUMMYFUNCTION("""COMPUTED_VALUE"""),57.19)</f>
        <v>57.19</v>
      </c>
      <c r="T679" s="3">
        <f ca="1">IFERROR(__xludf.DUMMYFUNCTION("""COMPUTED_VALUE"""),21.62)</f>
        <v>21.62</v>
      </c>
      <c r="U679" s="3">
        <f ca="1">IFERROR(__xludf.DUMMYFUNCTION("""COMPUTED_VALUE"""),69.89)</f>
        <v>69.89</v>
      </c>
      <c r="V679" s="3">
        <f ca="1">IFERROR(__xludf.DUMMYFUNCTION("""COMPUTED_VALUE"""),40.04)</f>
        <v>40.04</v>
      </c>
      <c r="W679" s="3">
        <f ca="1">IFERROR(__xludf.DUMMYFUNCTION("""COMPUTED_VALUE"""),44.38)</f>
        <v>44.38</v>
      </c>
      <c r="X679" s="3">
        <f ca="1">IFERROR(__xludf.DUMMYFUNCTION("""COMPUTED_VALUE"""),107.33)</f>
        <v>107.33</v>
      </c>
      <c r="Y679" s="3">
        <f ca="1">IFERROR(__xludf.DUMMYFUNCTION("""COMPUTED_VALUE"""),50.8)</f>
        <v>50.8</v>
      </c>
      <c r="Z679" s="3">
        <f ca="1">IFERROR(__xludf.DUMMYFUNCTION("""COMPUTED_VALUE"""),100.92)</f>
        <v>100.92</v>
      </c>
      <c r="AA679" s="3">
        <f ca="1">IFERROR(__xludf.DUMMYFUNCTION("""COMPUTED_VALUE"""),44.89)</f>
        <v>44.89</v>
      </c>
      <c r="AB679" s="3">
        <f ca="1">IFERROR(__xludf.DUMMYFUNCTION("""COMPUTED_VALUE"""),54.36)</f>
        <v>54.36</v>
      </c>
      <c r="AC679" s="3">
        <f ca="1">IFERROR(__xludf.DUMMYFUNCTION("""COMPUTED_VALUE"""),70.79)</f>
        <v>70.790000000000006</v>
      </c>
      <c r="AD679" s="3">
        <f ca="1">IFERROR(__xludf.DUMMYFUNCTION("""COMPUTED_VALUE"""),15.12)</f>
        <v>15.12</v>
      </c>
      <c r="AE679" s="3">
        <f ca="1">IFERROR(__xludf.DUMMYFUNCTION("""COMPUTED_VALUE"""),17.7)</f>
        <v>17.7</v>
      </c>
      <c r="AF679" s="3">
        <f ca="1">IFERROR(__xludf.DUMMYFUNCTION("""COMPUTED_VALUE"""),4.16)</f>
        <v>4.16</v>
      </c>
      <c r="AG679" s="3">
        <f ca="1">IFERROR(__xludf.DUMMYFUNCTION("""COMPUTED_VALUE"""),42.77)</f>
        <v>42.77</v>
      </c>
    </row>
    <row r="680" spans="1:33" ht="12.75" x14ac:dyDescent="0.2">
      <c r="A680" s="4">
        <f ca="1">IFERROR(__xludf.DUMMYFUNCTION("""COMPUTED_VALUE"""),45548.6666666666)</f>
        <v>45548.666666666599</v>
      </c>
      <c r="B680" s="3">
        <f ca="1">IFERROR(__xludf.DUMMYFUNCTION("""COMPUTED_VALUE"""),220.44)</f>
        <v>220.44</v>
      </c>
      <c r="C680" s="3">
        <f ca="1">IFERROR(__xludf.DUMMYFUNCTION("""COMPUTED_VALUE"""),569.24)</f>
        <v>569.24</v>
      </c>
      <c r="D680" s="3">
        <f ca="1">IFERROR(__xludf.DUMMYFUNCTION("""COMPUTED_VALUE"""),145.43)</f>
        <v>145.43</v>
      </c>
      <c r="E680" s="3">
        <f ca="1">IFERROR(__xludf.DUMMYFUNCTION("""COMPUTED_VALUE"""),222.85)</f>
        <v>222.85</v>
      </c>
      <c r="F680" s="3">
        <f ca="1">IFERROR(__xludf.DUMMYFUNCTION("""COMPUTED_VALUE"""),66.28)</f>
        <v>66.28</v>
      </c>
      <c r="G680" s="3">
        <f ca="1">IFERROR(__xludf.DUMMYFUNCTION("""COMPUTED_VALUE"""),30.54)</f>
        <v>30.54</v>
      </c>
      <c r="H680" s="3">
        <f ca="1">IFERROR(__xludf.DUMMYFUNCTION("""COMPUTED_VALUE"""),29.1)</f>
        <v>29.1</v>
      </c>
      <c r="I680" s="3">
        <f ca="1">IFERROR(__xludf.DUMMYFUNCTION("""COMPUTED_VALUE"""),156.16)</f>
        <v>156.16</v>
      </c>
      <c r="J680" s="3">
        <f ca="1">IFERROR(__xludf.DUMMYFUNCTION("""COMPUTED_VALUE"""),286.14)</f>
        <v>286.14</v>
      </c>
      <c r="K680" s="3">
        <f ca="1">IFERROR(__xludf.DUMMYFUNCTION("""COMPUTED_VALUE"""),147.81)</f>
        <v>147.81</v>
      </c>
      <c r="L680" s="3">
        <f ca="1">IFERROR(__xludf.DUMMYFUNCTION("""COMPUTED_VALUE"""),101.21)</f>
        <v>101.21</v>
      </c>
      <c r="M680" s="3">
        <f ca="1">IFERROR(__xludf.DUMMYFUNCTION("""COMPUTED_VALUE"""),71.13)</f>
        <v>71.13</v>
      </c>
      <c r="N680" s="3">
        <f ca="1">IFERROR(__xludf.DUMMYFUNCTION("""COMPUTED_VALUE"""),73.72)</f>
        <v>73.72</v>
      </c>
      <c r="O680" s="3">
        <f ca="1">IFERROR(__xludf.DUMMYFUNCTION("""COMPUTED_VALUE"""),45.36)</f>
        <v>45.36</v>
      </c>
      <c r="P680" s="3">
        <f ca="1">IFERROR(__xludf.DUMMYFUNCTION("""COMPUTED_VALUE"""),85.59)</f>
        <v>85.59</v>
      </c>
      <c r="Q680" s="3">
        <f ca="1">IFERROR(__xludf.DUMMYFUNCTION("""COMPUTED_VALUE"""),119.23)</f>
        <v>119.23</v>
      </c>
      <c r="R680" s="3">
        <f ca="1">IFERROR(__xludf.DUMMYFUNCTION("""COMPUTED_VALUE"""),92.69)</f>
        <v>92.69</v>
      </c>
      <c r="S680" s="3">
        <f ca="1">IFERROR(__xludf.DUMMYFUNCTION("""COMPUTED_VALUE"""),58.65)</f>
        <v>58.65</v>
      </c>
      <c r="T680" s="3">
        <f ca="1">IFERROR(__xludf.DUMMYFUNCTION("""COMPUTED_VALUE"""),21.66)</f>
        <v>21.66</v>
      </c>
      <c r="U680" s="3">
        <f ca="1">IFERROR(__xludf.DUMMYFUNCTION("""COMPUTED_VALUE"""),69.84)</f>
        <v>69.84</v>
      </c>
      <c r="V680" s="3">
        <f ca="1">IFERROR(__xludf.DUMMYFUNCTION("""COMPUTED_VALUE"""),40.58)</f>
        <v>40.58</v>
      </c>
      <c r="W680" s="3">
        <f ca="1">IFERROR(__xludf.DUMMYFUNCTION("""COMPUTED_VALUE"""),44.51)</f>
        <v>44.51</v>
      </c>
      <c r="X680" s="3">
        <f ca="1">IFERROR(__xludf.DUMMYFUNCTION("""COMPUTED_VALUE"""),108)</f>
        <v>108</v>
      </c>
      <c r="Y680" s="3">
        <f ca="1">IFERROR(__xludf.DUMMYFUNCTION("""COMPUTED_VALUE"""),52.04)</f>
        <v>52.04</v>
      </c>
      <c r="Z680" s="3">
        <f ca="1">IFERROR(__xludf.DUMMYFUNCTION("""COMPUTED_VALUE"""),101.38)</f>
        <v>101.38</v>
      </c>
      <c r="AA680" s="3">
        <f ca="1">IFERROR(__xludf.DUMMYFUNCTION("""COMPUTED_VALUE"""),45.21)</f>
        <v>45.21</v>
      </c>
      <c r="AB680" s="3">
        <f ca="1">IFERROR(__xludf.DUMMYFUNCTION("""COMPUTED_VALUE"""),55.82)</f>
        <v>55.82</v>
      </c>
      <c r="AC680" s="3">
        <f ca="1">IFERROR(__xludf.DUMMYFUNCTION("""COMPUTED_VALUE"""),70.61)</f>
        <v>70.61</v>
      </c>
      <c r="AD680" s="3">
        <f ca="1">IFERROR(__xludf.DUMMYFUNCTION("""COMPUTED_VALUE"""),15.47)</f>
        <v>15.47</v>
      </c>
      <c r="AE680" s="3">
        <f ca="1">IFERROR(__xludf.DUMMYFUNCTION("""COMPUTED_VALUE"""),18.12)</f>
        <v>18.12</v>
      </c>
      <c r="AF680" s="3">
        <f ca="1">IFERROR(__xludf.DUMMYFUNCTION("""COMPUTED_VALUE"""),4.29)</f>
        <v>4.29</v>
      </c>
      <c r="AG680" s="3">
        <f ca="1">IFERROR(__xludf.DUMMYFUNCTION("""COMPUTED_VALUE"""),43.29)</f>
        <v>43.29</v>
      </c>
    </row>
    <row r="681" spans="1:33" ht="12.75" x14ac:dyDescent="0.2">
      <c r="A681" s="4">
        <f ca="1">IFERROR(__xludf.DUMMYFUNCTION("""COMPUTED_VALUE"""),45551.6666666666)</f>
        <v>45551.666666666599</v>
      </c>
      <c r="B681" s="3">
        <f ca="1">IFERROR(__xludf.DUMMYFUNCTION("""COMPUTED_VALUE"""),219.6)</f>
        <v>219.6</v>
      </c>
      <c r="C681" s="3">
        <f ca="1">IFERROR(__xludf.DUMMYFUNCTION("""COMPUTED_VALUE"""),565.9)</f>
        <v>565.9</v>
      </c>
      <c r="D681" s="3">
        <f ca="1">IFERROR(__xludf.DUMMYFUNCTION("""COMPUTED_VALUE"""),149.89)</f>
        <v>149.88999999999999</v>
      </c>
      <c r="E681" s="3">
        <f ca="1">IFERROR(__xludf.DUMMYFUNCTION("""COMPUTED_VALUE"""),219.88)</f>
        <v>219.88</v>
      </c>
      <c r="F681" s="3">
        <f ca="1">IFERROR(__xludf.DUMMYFUNCTION("""COMPUTED_VALUE"""),66.71)</f>
        <v>66.709999999999994</v>
      </c>
      <c r="G681" s="3">
        <f ca="1">IFERROR(__xludf.DUMMYFUNCTION("""COMPUTED_VALUE"""),30.52)</f>
        <v>30.52</v>
      </c>
      <c r="H681" s="3">
        <f ca="1">IFERROR(__xludf.DUMMYFUNCTION("""COMPUTED_VALUE"""),29.14)</f>
        <v>29.14</v>
      </c>
      <c r="I681" s="3">
        <f ca="1">IFERROR(__xludf.DUMMYFUNCTION("""COMPUTED_VALUE"""),157.24)</f>
        <v>157.24</v>
      </c>
      <c r="J681" s="3">
        <f ca="1">IFERROR(__xludf.DUMMYFUNCTION("""COMPUTED_VALUE"""),287.86)</f>
        <v>287.86</v>
      </c>
      <c r="K681" s="3">
        <f ca="1">IFERROR(__xludf.DUMMYFUNCTION("""COMPUTED_VALUE"""),148.09)</f>
        <v>148.09</v>
      </c>
      <c r="L681" s="3">
        <f ca="1">IFERROR(__xludf.DUMMYFUNCTION("""COMPUTED_VALUE"""),101.28)</f>
        <v>101.28</v>
      </c>
      <c r="M681" s="3">
        <f ca="1">IFERROR(__xludf.DUMMYFUNCTION("""COMPUTED_VALUE"""),71.22)</f>
        <v>71.22</v>
      </c>
      <c r="N681" s="3">
        <f ca="1">IFERROR(__xludf.DUMMYFUNCTION("""COMPUTED_VALUE"""),74.23)</f>
        <v>74.23</v>
      </c>
      <c r="O681" s="3">
        <f ca="1">IFERROR(__xludf.DUMMYFUNCTION("""COMPUTED_VALUE"""),45)</f>
        <v>45</v>
      </c>
      <c r="P681" s="3">
        <f ca="1">IFERROR(__xludf.DUMMYFUNCTION("""COMPUTED_VALUE"""),86.57)</f>
        <v>86.57</v>
      </c>
      <c r="Q681" s="3">
        <f ca="1">IFERROR(__xludf.DUMMYFUNCTION("""COMPUTED_VALUE"""),120.84)</f>
        <v>120.84</v>
      </c>
      <c r="R681" s="3">
        <f ca="1">IFERROR(__xludf.DUMMYFUNCTION("""COMPUTED_VALUE"""),93.55)</f>
        <v>93.55</v>
      </c>
      <c r="S681" s="3">
        <f ca="1">IFERROR(__xludf.DUMMYFUNCTION("""COMPUTED_VALUE"""),58.61)</f>
        <v>58.61</v>
      </c>
      <c r="T681" s="3">
        <f ca="1">IFERROR(__xludf.DUMMYFUNCTION("""COMPUTED_VALUE"""),21.82)</f>
        <v>21.82</v>
      </c>
      <c r="U681" s="3">
        <f ca="1">IFERROR(__xludf.DUMMYFUNCTION("""COMPUTED_VALUE"""),70.88)</f>
        <v>70.88</v>
      </c>
      <c r="V681" s="3">
        <f ca="1">IFERROR(__xludf.DUMMYFUNCTION("""COMPUTED_VALUE"""),40.57)</f>
        <v>40.57</v>
      </c>
      <c r="W681" s="3">
        <f ca="1">IFERROR(__xludf.DUMMYFUNCTION("""COMPUTED_VALUE"""),45.09)</f>
        <v>45.09</v>
      </c>
      <c r="X681" s="3">
        <f ca="1">IFERROR(__xludf.DUMMYFUNCTION("""COMPUTED_VALUE"""),109.34)</f>
        <v>109.34</v>
      </c>
      <c r="Y681" s="3">
        <f ca="1">IFERROR(__xludf.DUMMYFUNCTION("""COMPUTED_VALUE"""),52.69)</f>
        <v>52.69</v>
      </c>
      <c r="Z681" s="3">
        <f ca="1">IFERROR(__xludf.DUMMYFUNCTION("""COMPUTED_VALUE"""),102.8)</f>
        <v>102.8</v>
      </c>
      <c r="AA681" s="3">
        <f ca="1">IFERROR(__xludf.DUMMYFUNCTION("""COMPUTED_VALUE"""),45.36)</f>
        <v>45.36</v>
      </c>
      <c r="AB681" s="3">
        <f ca="1">IFERROR(__xludf.DUMMYFUNCTION("""COMPUTED_VALUE"""),56.54)</f>
        <v>56.54</v>
      </c>
      <c r="AC681" s="3">
        <f ca="1">IFERROR(__xludf.DUMMYFUNCTION("""COMPUTED_VALUE"""),71.67)</f>
        <v>71.67</v>
      </c>
      <c r="AD681" s="3">
        <f ca="1">IFERROR(__xludf.DUMMYFUNCTION("""COMPUTED_VALUE"""),14.8)</f>
        <v>14.8</v>
      </c>
      <c r="AE681" s="3">
        <f ca="1">IFERROR(__xludf.DUMMYFUNCTION("""COMPUTED_VALUE"""),17.55)</f>
        <v>17.55</v>
      </c>
      <c r="AF681" s="3">
        <f ca="1">IFERROR(__xludf.DUMMYFUNCTION("""COMPUTED_VALUE"""),4.36)</f>
        <v>4.3600000000000003</v>
      </c>
      <c r="AG681" s="3">
        <f ca="1">IFERROR(__xludf.DUMMYFUNCTION("""COMPUTED_VALUE"""),42.03)</f>
        <v>42.03</v>
      </c>
    </row>
    <row r="682" spans="1:33" ht="12.75" x14ac:dyDescent="0.2">
      <c r="A682" s="4">
        <f ca="1">IFERROR(__xludf.DUMMYFUNCTION("""COMPUTED_VALUE"""),45552.6666666666)</f>
        <v>45552.666666666599</v>
      </c>
      <c r="B682" s="3">
        <f ca="1">IFERROR(__xludf.DUMMYFUNCTION("""COMPUTED_VALUE"""),219.17)</f>
        <v>219.17</v>
      </c>
      <c r="C682" s="3">
        <f ca="1">IFERROR(__xludf.DUMMYFUNCTION("""COMPUTED_VALUE"""),565.61)</f>
        <v>565.61</v>
      </c>
      <c r="D682" s="3">
        <f ca="1">IFERROR(__xludf.DUMMYFUNCTION("""COMPUTED_VALUE"""),149.42)</f>
        <v>149.41999999999999</v>
      </c>
      <c r="E682" s="3">
        <f ca="1">IFERROR(__xludf.DUMMYFUNCTION("""COMPUTED_VALUE"""),220.15)</f>
        <v>220.15</v>
      </c>
      <c r="F682" s="3">
        <f ca="1">IFERROR(__xludf.DUMMYFUNCTION("""COMPUTED_VALUE"""),66.56)</f>
        <v>66.56</v>
      </c>
      <c r="G682" s="3">
        <f ca="1">IFERROR(__xludf.DUMMYFUNCTION("""COMPUTED_VALUE"""),30.47)</f>
        <v>30.47</v>
      </c>
      <c r="H682" s="3">
        <f ca="1">IFERROR(__xludf.DUMMYFUNCTION("""COMPUTED_VALUE"""),29.35)</f>
        <v>29.35</v>
      </c>
      <c r="I682" s="3">
        <f ca="1">IFERROR(__xludf.DUMMYFUNCTION("""COMPUTED_VALUE"""),155.62)</f>
        <v>155.62</v>
      </c>
      <c r="J682" s="3">
        <f ca="1">IFERROR(__xludf.DUMMYFUNCTION("""COMPUTED_VALUE"""),285.36)</f>
        <v>285.36</v>
      </c>
      <c r="K682" s="3">
        <f ca="1">IFERROR(__xludf.DUMMYFUNCTION("""COMPUTED_VALUE"""),147.83)</f>
        <v>147.83000000000001</v>
      </c>
      <c r="L682" s="3">
        <f ca="1">IFERROR(__xludf.DUMMYFUNCTION("""COMPUTED_VALUE"""),100.95)</f>
        <v>100.95</v>
      </c>
      <c r="M682" s="3">
        <f ca="1">IFERROR(__xludf.DUMMYFUNCTION("""COMPUTED_VALUE"""),71.17)</f>
        <v>71.17</v>
      </c>
      <c r="N682" s="3">
        <f ca="1">IFERROR(__xludf.DUMMYFUNCTION("""COMPUTED_VALUE"""),73.48)</f>
        <v>73.48</v>
      </c>
      <c r="O682" s="3">
        <f ca="1">IFERROR(__xludf.DUMMYFUNCTION("""COMPUTED_VALUE"""),45.76)</f>
        <v>45.76</v>
      </c>
      <c r="P682" s="3">
        <f ca="1">IFERROR(__xludf.DUMMYFUNCTION("""COMPUTED_VALUE"""),87.74)</f>
        <v>87.74</v>
      </c>
      <c r="Q682" s="3">
        <f ca="1">IFERROR(__xludf.DUMMYFUNCTION("""COMPUTED_VALUE"""),122.6)</f>
        <v>122.6</v>
      </c>
      <c r="R682" s="3">
        <f ca="1">IFERROR(__xludf.DUMMYFUNCTION("""COMPUTED_VALUE"""),93.73)</f>
        <v>93.73</v>
      </c>
      <c r="S682" s="3">
        <f ca="1">IFERROR(__xludf.DUMMYFUNCTION("""COMPUTED_VALUE"""),58.66)</f>
        <v>58.66</v>
      </c>
      <c r="T682" s="3">
        <f ca="1">IFERROR(__xludf.DUMMYFUNCTION("""COMPUTED_VALUE"""),21.97)</f>
        <v>21.97</v>
      </c>
      <c r="U682" s="3">
        <f ca="1">IFERROR(__xludf.DUMMYFUNCTION("""COMPUTED_VALUE"""),71.72)</f>
        <v>71.72</v>
      </c>
      <c r="V682" s="3">
        <f ca="1">IFERROR(__xludf.DUMMYFUNCTION("""COMPUTED_VALUE"""),41.46)</f>
        <v>41.46</v>
      </c>
      <c r="W682" s="3">
        <f ca="1">IFERROR(__xludf.DUMMYFUNCTION("""COMPUTED_VALUE"""),45.33)</f>
        <v>45.33</v>
      </c>
      <c r="X682" s="3">
        <f ca="1">IFERROR(__xludf.DUMMYFUNCTION("""COMPUTED_VALUE"""),109.95)</f>
        <v>109.95</v>
      </c>
      <c r="Y682" s="3">
        <f ca="1">IFERROR(__xludf.DUMMYFUNCTION("""COMPUTED_VALUE"""),53.08)</f>
        <v>53.08</v>
      </c>
      <c r="Z682" s="3">
        <f ca="1">IFERROR(__xludf.DUMMYFUNCTION("""COMPUTED_VALUE"""),103.29)</f>
        <v>103.29</v>
      </c>
      <c r="AA682" s="3">
        <f ca="1">IFERROR(__xludf.DUMMYFUNCTION("""COMPUTED_VALUE"""),45)</f>
        <v>45</v>
      </c>
      <c r="AB682" s="3">
        <f ca="1">IFERROR(__xludf.DUMMYFUNCTION("""COMPUTED_VALUE"""),57.01)</f>
        <v>57.01</v>
      </c>
      <c r="AC682" s="3">
        <f ca="1">IFERROR(__xludf.DUMMYFUNCTION("""COMPUTED_VALUE"""),71.4)</f>
        <v>71.400000000000006</v>
      </c>
      <c r="AD682" s="3">
        <f ca="1">IFERROR(__xludf.DUMMYFUNCTION("""COMPUTED_VALUE"""),15.32)</f>
        <v>15.32</v>
      </c>
      <c r="AE682" s="3">
        <f ca="1">IFERROR(__xludf.DUMMYFUNCTION("""COMPUTED_VALUE"""),18.18)</f>
        <v>18.18</v>
      </c>
      <c r="AF682" s="3">
        <f ca="1">IFERROR(__xludf.DUMMYFUNCTION("""COMPUTED_VALUE"""),4.45)</f>
        <v>4.45</v>
      </c>
      <c r="AG682" s="3">
        <f ca="1">IFERROR(__xludf.DUMMYFUNCTION("""COMPUTED_VALUE"""),43.25)</f>
        <v>43.25</v>
      </c>
    </row>
    <row r="683" spans="1:33" ht="12.75" x14ac:dyDescent="0.2">
      <c r="A683" s="4">
        <f ca="1">IFERROR(__xludf.DUMMYFUNCTION("""COMPUTED_VALUE"""),45553.6666666666)</f>
        <v>45553.666666666599</v>
      </c>
      <c r="B683" s="3">
        <f ca="1">IFERROR(__xludf.DUMMYFUNCTION("""COMPUTED_VALUE"""),217.17)</f>
        <v>217.17</v>
      </c>
      <c r="C683" s="3">
        <f ca="1">IFERROR(__xludf.DUMMYFUNCTION("""COMPUTED_VALUE"""),563)</f>
        <v>563</v>
      </c>
      <c r="D683" s="3">
        <f ca="1">IFERROR(__xludf.DUMMYFUNCTION("""COMPUTED_VALUE"""),149.26)</f>
        <v>149.26</v>
      </c>
      <c r="E683" s="3">
        <f ca="1">IFERROR(__xludf.DUMMYFUNCTION("""COMPUTED_VALUE"""),217.72)</f>
        <v>217.72</v>
      </c>
      <c r="F683" s="3">
        <f ca="1">IFERROR(__xludf.DUMMYFUNCTION("""COMPUTED_VALUE"""),65.99)</f>
        <v>65.989999999999995</v>
      </c>
      <c r="G683" s="3">
        <f ca="1">IFERROR(__xludf.DUMMYFUNCTION("""COMPUTED_VALUE"""),30.36)</f>
        <v>30.36</v>
      </c>
      <c r="H683" s="3">
        <f ca="1">IFERROR(__xludf.DUMMYFUNCTION("""COMPUTED_VALUE"""),29.29)</f>
        <v>29.29</v>
      </c>
      <c r="I683" s="3">
        <f ca="1">IFERROR(__xludf.DUMMYFUNCTION("""COMPUTED_VALUE"""),155.36)</f>
        <v>155.36000000000001</v>
      </c>
      <c r="J683" s="3">
        <f ca="1">IFERROR(__xludf.DUMMYFUNCTION("""COMPUTED_VALUE"""),284.83)</f>
        <v>284.83</v>
      </c>
      <c r="K683" s="3">
        <f ca="1">IFERROR(__xludf.DUMMYFUNCTION("""COMPUTED_VALUE"""),147.52)</f>
        <v>147.52000000000001</v>
      </c>
      <c r="L683" s="3">
        <f ca="1">IFERROR(__xludf.DUMMYFUNCTION("""COMPUTED_VALUE"""),100.81)</f>
        <v>100.81</v>
      </c>
      <c r="M683" s="3">
        <f ca="1">IFERROR(__xludf.DUMMYFUNCTION("""COMPUTED_VALUE"""),71.2)</f>
        <v>71.2</v>
      </c>
      <c r="N683" s="3">
        <f ca="1">IFERROR(__xludf.DUMMYFUNCTION("""COMPUTED_VALUE"""),73.46)</f>
        <v>73.459999999999994</v>
      </c>
      <c r="O683" s="3">
        <f ca="1">IFERROR(__xludf.DUMMYFUNCTION("""COMPUTED_VALUE"""),45.4)</f>
        <v>45.4</v>
      </c>
      <c r="P683" s="3">
        <f ca="1">IFERROR(__xludf.DUMMYFUNCTION("""COMPUTED_VALUE"""),87.91)</f>
        <v>87.91</v>
      </c>
      <c r="Q683" s="3">
        <f ca="1">IFERROR(__xludf.DUMMYFUNCTION("""COMPUTED_VALUE"""),122.76)</f>
        <v>122.76</v>
      </c>
      <c r="R683" s="3">
        <f ca="1">IFERROR(__xludf.DUMMYFUNCTION("""COMPUTED_VALUE"""),93.33)</f>
        <v>93.33</v>
      </c>
      <c r="S683" s="3">
        <f ca="1">IFERROR(__xludf.DUMMYFUNCTION("""COMPUTED_VALUE"""),58.43)</f>
        <v>58.43</v>
      </c>
      <c r="T683" s="3">
        <f ca="1">IFERROR(__xludf.DUMMYFUNCTION("""COMPUTED_VALUE"""),21.83)</f>
        <v>21.83</v>
      </c>
      <c r="U683" s="3">
        <f ca="1">IFERROR(__xludf.DUMMYFUNCTION("""COMPUTED_VALUE"""),70.66)</f>
        <v>70.66</v>
      </c>
      <c r="V683" s="3">
        <f ca="1">IFERROR(__xludf.DUMMYFUNCTION("""COMPUTED_VALUE"""),41.45)</f>
        <v>41.45</v>
      </c>
      <c r="W683" s="3">
        <f ca="1">IFERROR(__xludf.DUMMYFUNCTION("""COMPUTED_VALUE"""),45.19)</f>
        <v>45.19</v>
      </c>
      <c r="X683" s="3">
        <f ca="1">IFERROR(__xludf.DUMMYFUNCTION("""COMPUTED_VALUE"""),109.77)</f>
        <v>109.77</v>
      </c>
      <c r="Y683" s="3">
        <f ca="1">IFERROR(__xludf.DUMMYFUNCTION("""COMPUTED_VALUE"""),53.29)</f>
        <v>53.29</v>
      </c>
      <c r="Z683" s="3">
        <f ca="1">IFERROR(__xludf.DUMMYFUNCTION("""COMPUTED_VALUE"""),103.13)</f>
        <v>103.13</v>
      </c>
      <c r="AA683" s="3">
        <f ca="1">IFERROR(__xludf.DUMMYFUNCTION("""COMPUTED_VALUE"""),44.87)</f>
        <v>44.87</v>
      </c>
      <c r="AB683" s="3">
        <f ca="1">IFERROR(__xludf.DUMMYFUNCTION("""COMPUTED_VALUE"""),57.26)</f>
        <v>57.26</v>
      </c>
      <c r="AC683" s="3">
        <f ca="1">IFERROR(__xludf.DUMMYFUNCTION("""COMPUTED_VALUE"""),71.38)</f>
        <v>71.38</v>
      </c>
      <c r="AD683" s="3">
        <f ca="1">IFERROR(__xludf.DUMMYFUNCTION("""COMPUTED_VALUE"""),15.16)</f>
        <v>15.16</v>
      </c>
      <c r="AE683" s="3">
        <f ca="1">IFERROR(__xludf.DUMMYFUNCTION("""COMPUTED_VALUE"""),18.19)</f>
        <v>18.190000000000001</v>
      </c>
      <c r="AF683" s="3">
        <f ca="1">IFERROR(__xludf.DUMMYFUNCTION("""COMPUTED_VALUE"""),4.44)</f>
        <v>4.4400000000000004</v>
      </c>
      <c r="AG683" s="3">
        <f ca="1">IFERROR(__xludf.DUMMYFUNCTION("""COMPUTED_VALUE"""),42.7)</f>
        <v>42.7</v>
      </c>
    </row>
    <row r="684" spans="1:33" ht="12.75" x14ac:dyDescent="0.2">
      <c r="A684" s="4">
        <f ca="1">IFERROR(__xludf.DUMMYFUNCTION("""COMPUTED_VALUE"""),45554.6666666666)</f>
        <v>45554.666666666599</v>
      </c>
      <c r="B684" s="3">
        <f ca="1">IFERROR(__xludf.DUMMYFUNCTION("""COMPUTED_VALUE"""),223.62)</f>
        <v>223.62</v>
      </c>
      <c r="C684" s="3">
        <f ca="1">IFERROR(__xludf.DUMMYFUNCTION("""COMPUTED_VALUE"""),579.65)</f>
        <v>579.65</v>
      </c>
      <c r="D684" s="3">
        <f ca="1">IFERROR(__xludf.DUMMYFUNCTION("""COMPUTED_VALUE"""),150.32)</f>
        <v>150.32</v>
      </c>
      <c r="E684" s="3">
        <f ca="1">IFERROR(__xludf.DUMMYFUNCTION("""COMPUTED_VALUE"""),226.99)</f>
        <v>226.99</v>
      </c>
      <c r="F684" s="3">
        <f ca="1">IFERROR(__xludf.DUMMYFUNCTION("""COMPUTED_VALUE"""),67.14)</f>
        <v>67.14</v>
      </c>
      <c r="G684" s="3">
        <f ca="1">IFERROR(__xludf.DUMMYFUNCTION("""COMPUTED_VALUE"""),31.05)</f>
        <v>31.05</v>
      </c>
      <c r="H684" s="3">
        <f ca="1">IFERROR(__xludf.DUMMYFUNCTION("""COMPUTED_VALUE"""),29.76)</f>
        <v>29.76</v>
      </c>
      <c r="I684" s="3">
        <f ca="1">IFERROR(__xludf.DUMMYFUNCTION("""COMPUTED_VALUE"""),155.92)</f>
        <v>155.91999999999999</v>
      </c>
      <c r="J684" s="3">
        <f ca="1">IFERROR(__xludf.DUMMYFUNCTION("""COMPUTED_VALUE"""),286.45)</f>
        <v>286.45</v>
      </c>
      <c r="K684" s="3">
        <f ca="1">IFERROR(__xludf.DUMMYFUNCTION("""COMPUTED_VALUE"""),149.47)</f>
        <v>149.47</v>
      </c>
      <c r="L684" s="3">
        <f ca="1">IFERROR(__xludf.DUMMYFUNCTION("""COMPUTED_VALUE"""),102.43)</f>
        <v>102.43</v>
      </c>
      <c r="M684" s="3">
        <f ca="1">IFERROR(__xludf.DUMMYFUNCTION("""COMPUTED_VALUE"""),71.97)</f>
        <v>71.97</v>
      </c>
      <c r="N684" s="3">
        <f ca="1">IFERROR(__xludf.DUMMYFUNCTION("""COMPUTED_VALUE"""),73.75)</f>
        <v>73.75</v>
      </c>
      <c r="O684" s="3">
        <f ca="1">IFERROR(__xludf.DUMMYFUNCTION("""COMPUTED_VALUE"""),46.24)</f>
        <v>46.24</v>
      </c>
      <c r="P684" s="3">
        <f ca="1">IFERROR(__xludf.DUMMYFUNCTION("""COMPUTED_VALUE"""),88.96)</f>
        <v>88.96</v>
      </c>
      <c r="Q684" s="3">
        <f ca="1">IFERROR(__xludf.DUMMYFUNCTION("""COMPUTED_VALUE"""),124.34)</f>
        <v>124.34</v>
      </c>
      <c r="R684" s="3">
        <f ca="1">IFERROR(__xludf.DUMMYFUNCTION("""COMPUTED_VALUE"""),94.74)</f>
        <v>94.74</v>
      </c>
      <c r="S684" s="3">
        <f ca="1">IFERROR(__xludf.DUMMYFUNCTION("""COMPUTED_VALUE"""),60.41)</f>
        <v>60.41</v>
      </c>
      <c r="T684" s="3">
        <f ca="1">IFERROR(__xludf.DUMMYFUNCTION("""COMPUTED_VALUE"""),22.22)</f>
        <v>22.22</v>
      </c>
      <c r="U684" s="3">
        <f ca="1">IFERROR(__xludf.DUMMYFUNCTION("""COMPUTED_VALUE"""),72.75)</f>
        <v>72.75</v>
      </c>
      <c r="V684" s="3">
        <f ca="1">IFERROR(__xludf.DUMMYFUNCTION("""COMPUTED_VALUE"""),41.14)</f>
        <v>41.14</v>
      </c>
      <c r="W684" s="3">
        <f ca="1">IFERROR(__xludf.DUMMYFUNCTION("""COMPUTED_VALUE"""),45.69)</f>
        <v>45.69</v>
      </c>
      <c r="X684" s="3">
        <f ca="1">IFERROR(__xludf.DUMMYFUNCTION("""COMPUTED_VALUE"""),111.21)</f>
        <v>111.21</v>
      </c>
      <c r="Y684" s="3">
        <f ca="1">IFERROR(__xludf.DUMMYFUNCTION("""COMPUTED_VALUE"""),54.61)</f>
        <v>54.61</v>
      </c>
      <c r="Z684" s="3">
        <f ca="1">IFERROR(__xludf.DUMMYFUNCTION("""COMPUTED_VALUE"""),104.5)</f>
        <v>104.5</v>
      </c>
      <c r="AA684" s="3">
        <f ca="1">IFERROR(__xludf.DUMMYFUNCTION("""COMPUTED_VALUE"""),44.76)</f>
        <v>44.76</v>
      </c>
      <c r="AB684" s="3">
        <f ca="1">IFERROR(__xludf.DUMMYFUNCTION("""COMPUTED_VALUE"""),58.88)</f>
        <v>58.88</v>
      </c>
      <c r="AC684" s="3">
        <f ca="1">IFERROR(__xludf.DUMMYFUNCTION("""COMPUTED_VALUE"""),70.7)</f>
        <v>70.7</v>
      </c>
      <c r="AD684" s="3">
        <f ca="1">IFERROR(__xludf.DUMMYFUNCTION("""COMPUTED_VALUE"""),15.96)</f>
        <v>15.96</v>
      </c>
      <c r="AE684" s="3">
        <f ca="1">IFERROR(__xludf.DUMMYFUNCTION("""COMPUTED_VALUE"""),19.17)</f>
        <v>19.170000000000002</v>
      </c>
      <c r="AF684" s="3">
        <f ca="1">IFERROR(__xludf.DUMMYFUNCTION("""COMPUTED_VALUE"""),4.5)</f>
        <v>4.5</v>
      </c>
      <c r="AG684" s="3">
        <f ca="1">IFERROR(__xludf.DUMMYFUNCTION("""COMPUTED_VALUE"""),43.96)</f>
        <v>43.96</v>
      </c>
    </row>
    <row r="685" spans="1:33" ht="12.75" x14ac:dyDescent="0.2">
      <c r="A685" s="4">
        <f ca="1">IFERROR(__xludf.DUMMYFUNCTION("""COMPUTED_VALUE"""),45555.6666666666)</f>
        <v>45555.666666666599</v>
      </c>
      <c r="B685" s="3">
        <f ca="1">IFERROR(__xludf.DUMMYFUNCTION("""COMPUTED_VALUE"""),222.53)</f>
        <v>222.53</v>
      </c>
      <c r="C685" s="3">
        <f ca="1">IFERROR(__xludf.DUMMYFUNCTION("""COMPUTED_VALUE"""),577.62)</f>
        <v>577.62</v>
      </c>
      <c r="D685" s="3">
        <f ca="1">IFERROR(__xludf.DUMMYFUNCTION("""COMPUTED_VALUE"""),150.73)</f>
        <v>150.72999999999999</v>
      </c>
      <c r="E685" s="3">
        <f ca="1">IFERROR(__xludf.DUMMYFUNCTION("""COMPUTED_VALUE"""),223.67)</f>
        <v>223.67</v>
      </c>
      <c r="F685" s="3">
        <f ca="1">IFERROR(__xludf.DUMMYFUNCTION("""COMPUTED_VALUE"""),68)</f>
        <v>68</v>
      </c>
      <c r="G685" s="3">
        <f ca="1">IFERROR(__xludf.DUMMYFUNCTION("""COMPUTED_VALUE"""),30.99)</f>
        <v>30.99</v>
      </c>
      <c r="H685" s="3">
        <f ca="1">IFERROR(__xludf.DUMMYFUNCTION("""COMPUTED_VALUE"""),29.56)</f>
        <v>29.56</v>
      </c>
      <c r="I685" s="3">
        <f ca="1">IFERROR(__xludf.DUMMYFUNCTION("""COMPUTED_VALUE"""),155.28)</f>
        <v>155.28</v>
      </c>
      <c r="J685" s="3">
        <f ca="1">IFERROR(__xludf.DUMMYFUNCTION("""COMPUTED_VALUE"""),285.07)</f>
        <v>285.07</v>
      </c>
      <c r="K685" s="3">
        <f ca="1">IFERROR(__xludf.DUMMYFUNCTION("""COMPUTED_VALUE"""),147.98)</f>
        <v>147.97999999999999</v>
      </c>
      <c r="L685" s="3">
        <f ca="1">IFERROR(__xludf.DUMMYFUNCTION("""COMPUTED_VALUE"""),101.61)</f>
        <v>101.61</v>
      </c>
      <c r="M685" s="3">
        <f ca="1">IFERROR(__xludf.DUMMYFUNCTION("""COMPUTED_VALUE"""),71.35)</f>
        <v>71.349999999999994</v>
      </c>
      <c r="N685" s="3">
        <f ca="1">IFERROR(__xludf.DUMMYFUNCTION("""COMPUTED_VALUE"""),73.25)</f>
        <v>73.25</v>
      </c>
      <c r="O685" s="3">
        <f ca="1">IFERROR(__xludf.DUMMYFUNCTION("""COMPUTED_VALUE"""),45.28)</f>
        <v>45.28</v>
      </c>
      <c r="P685" s="3">
        <f ca="1">IFERROR(__xludf.DUMMYFUNCTION("""COMPUTED_VALUE"""),88.76)</f>
        <v>88.76</v>
      </c>
      <c r="Q685" s="3">
        <f ca="1">IFERROR(__xludf.DUMMYFUNCTION("""COMPUTED_VALUE"""),124.17)</f>
        <v>124.17</v>
      </c>
      <c r="R685" s="3">
        <f ca="1">IFERROR(__xludf.DUMMYFUNCTION("""COMPUTED_VALUE"""),94.07)</f>
        <v>94.07</v>
      </c>
      <c r="S685" s="3">
        <f ca="1">IFERROR(__xludf.DUMMYFUNCTION("""COMPUTED_VALUE"""),60.38)</f>
        <v>60.38</v>
      </c>
      <c r="T685" s="3">
        <f ca="1">IFERROR(__xludf.DUMMYFUNCTION("""COMPUTED_VALUE"""),22.22)</f>
        <v>22.22</v>
      </c>
      <c r="U685" s="3">
        <f ca="1">IFERROR(__xludf.DUMMYFUNCTION("""COMPUTED_VALUE"""),72.92)</f>
        <v>72.92</v>
      </c>
      <c r="V685" s="3">
        <f ca="1">IFERROR(__xludf.DUMMYFUNCTION("""COMPUTED_VALUE"""),40.66)</f>
        <v>40.659999999999997</v>
      </c>
      <c r="W685" s="3">
        <f ca="1">IFERROR(__xludf.DUMMYFUNCTION("""COMPUTED_VALUE"""),45.66)</f>
        <v>45.66</v>
      </c>
      <c r="X685" s="3">
        <f ca="1">IFERROR(__xludf.DUMMYFUNCTION("""COMPUTED_VALUE"""),110.72)</f>
        <v>110.72</v>
      </c>
      <c r="Y685" s="3">
        <f ca="1">IFERROR(__xludf.DUMMYFUNCTION("""COMPUTED_VALUE"""),53.72)</f>
        <v>53.72</v>
      </c>
      <c r="Z685" s="3">
        <f ca="1">IFERROR(__xludf.DUMMYFUNCTION("""COMPUTED_VALUE"""),104.26)</f>
        <v>104.26</v>
      </c>
      <c r="AA685" s="3">
        <f ca="1">IFERROR(__xludf.DUMMYFUNCTION("""COMPUTED_VALUE"""),44.68)</f>
        <v>44.68</v>
      </c>
      <c r="AB685" s="3">
        <f ca="1">IFERROR(__xludf.DUMMYFUNCTION("""COMPUTED_VALUE"""),57.69)</f>
        <v>57.69</v>
      </c>
      <c r="AC685" s="3">
        <f ca="1">IFERROR(__xludf.DUMMYFUNCTION("""COMPUTED_VALUE"""),70)</f>
        <v>70</v>
      </c>
      <c r="AD685" s="3">
        <f ca="1">IFERROR(__xludf.DUMMYFUNCTION("""COMPUTED_VALUE"""),16.16)</f>
        <v>16.16</v>
      </c>
      <c r="AE685" s="3">
        <f ca="1">IFERROR(__xludf.DUMMYFUNCTION("""COMPUTED_VALUE"""),19.04)</f>
        <v>19.04</v>
      </c>
      <c r="AF685" s="3">
        <f ca="1">IFERROR(__xludf.DUMMYFUNCTION("""COMPUTED_VALUE"""),4.49)</f>
        <v>4.49</v>
      </c>
      <c r="AG685" s="3">
        <f ca="1">IFERROR(__xludf.DUMMYFUNCTION("""COMPUTED_VALUE"""),43.64)</f>
        <v>43.64</v>
      </c>
    </row>
    <row r="686" spans="1:33" ht="12.75" x14ac:dyDescent="0.2">
      <c r="A686" s="4">
        <f ca="1">IFERROR(__xludf.DUMMYFUNCTION("""COMPUTED_VALUE"""),45558.6666666666)</f>
        <v>45558.666666666599</v>
      </c>
      <c r="B686" s="3">
        <f ca="1">IFERROR(__xludf.DUMMYFUNCTION("""COMPUTED_VALUE"""),222.09)</f>
        <v>222.09</v>
      </c>
      <c r="C686" s="3">
        <f ca="1">IFERROR(__xludf.DUMMYFUNCTION("""COMPUTED_VALUE"""),577.42)</f>
        <v>577.41999999999996</v>
      </c>
      <c r="D686" s="3">
        <f ca="1">IFERROR(__xludf.DUMMYFUNCTION("""COMPUTED_VALUE"""),152.2)</f>
        <v>152.19999999999999</v>
      </c>
      <c r="E686" s="3">
        <f ca="1">IFERROR(__xludf.DUMMYFUNCTION("""COMPUTED_VALUE"""),224.54)</f>
        <v>224.54</v>
      </c>
      <c r="F686" s="3">
        <f ca="1">IFERROR(__xludf.DUMMYFUNCTION("""COMPUTED_VALUE"""),68.56)</f>
        <v>68.56</v>
      </c>
      <c r="G686" s="3">
        <f ca="1">IFERROR(__xludf.DUMMYFUNCTION("""COMPUTED_VALUE"""),31.14)</f>
        <v>31.14</v>
      </c>
      <c r="H686" s="3">
        <f ca="1">IFERROR(__xludf.DUMMYFUNCTION("""COMPUTED_VALUE"""),29.63)</f>
        <v>29.63</v>
      </c>
      <c r="I686" s="3">
        <f ca="1">IFERROR(__xludf.DUMMYFUNCTION("""COMPUTED_VALUE"""),154.4)</f>
        <v>154.4</v>
      </c>
      <c r="J686" s="3">
        <f ca="1">IFERROR(__xludf.DUMMYFUNCTION("""COMPUTED_VALUE"""),284.1)</f>
        <v>284.10000000000002</v>
      </c>
      <c r="K686" s="3">
        <f ca="1">IFERROR(__xludf.DUMMYFUNCTION("""COMPUTED_VALUE"""),145.58)</f>
        <v>145.58000000000001</v>
      </c>
      <c r="L686" s="3">
        <f ca="1">IFERROR(__xludf.DUMMYFUNCTION("""COMPUTED_VALUE"""),99.19)</f>
        <v>99.19</v>
      </c>
      <c r="M686" s="3">
        <f ca="1">IFERROR(__xludf.DUMMYFUNCTION("""COMPUTED_VALUE"""),70.12)</f>
        <v>70.12</v>
      </c>
      <c r="N686" s="3">
        <f ca="1">IFERROR(__xludf.DUMMYFUNCTION("""COMPUTED_VALUE"""),72.94)</f>
        <v>72.94</v>
      </c>
      <c r="O686" s="3">
        <f ca="1">IFERROR(__xludf.DUMMYFUNCTION("""COMPUTED_VALUE"""),44.24)</f>
        <v>44.24</v>
      </c>
      <c r="P686" s="3">
        <f ca="1">IFERROR(__xludf.DUMMYFUNCTION("""COMPUTED_VALUE"""),89.12)</f>
        <v>89.12</v>
      </c>
      <c r="Q686" s="3">
        <f ca="1">IFERROR(__xludf.DUMMYFUNCTION("""COMPUTED_VALUE"""),125.65)</f>
        <v>125.65</v>
      </c>
      <c r="R686" s="3">
        <f ca="1">IFERROR(__xludf.DUMMYFUNCTION("""COMPUTED_VALUE"""),94.47)</f>
        <v>94.47</v>
      </c>
      <c r="S686" s="3">
        <f ca="1">IFERROR(__xludf.DUMMYFUNCTION("""COMPUTED_VALUE"""),60.69)</f>
        <v>60.69</v>
      </c>
      <c r="T686" s="3">
        <f ca="1">IFERROR(__xludf.DUMMYFUNCTION("""COMPUTED_VALUE"""),22.23)</f>
        <v>22.23</v>
      </c>
      <c r="U686" s="3">
        <f ca="1">IFERROR(__xludf.DUMMYFUNCTION("""COMPUTED_VALUE"""),72.25)</f>
        <v>72.25</v>
      </c>
      <c r="V686" s="3">
        <f ca="1">IFERROR(__xludf.DUMMYFUNCTION("""COMPUTED_VALUE"""),40.94)</f>
        <v>40.94</v>
      </c>
      <c r="W686" s="3">
        <f ca="1">IFERROR(__xludf.DUMMYFUNCTION("""COMPUTED_VALUE"""),45.44)</f>
        <v>45.44</v>
      </c>
      <c r="X686" s="3">
        <f ca="1">IFERROR(__xludf.DUMMYFUNCTION("""COMPUTED_VALUE"""),110.88)</f>
        <v>110.88</v>
      </c>
      <c r="Y686" s="3">
        <f ca="1">IFERROR(__xludf.DUMMYFUNCTION("""COMPUTED_VALUE"""),53.21)</f>
        <v>53.21</v>
      </c>
      <c r="Z686" s="3">
        <f ca="1">IFERROR(__xludf.DUMMYFUNCTION("""COMPUTED_VALUE"""),104.13)</f>
        <v>104.13</v>
      </c>
      <c r="AA686" s="3">
        <f ca="1">IFERROR(__xludf.DUMMYFUNCTION("""COMPUTED_VALUE"""),44.86)</f>
        <v>44.86</v>
      </c>
      <c r="AB686" s="3">
        <f ca="1">IFERROR(__xludf.DUMMYFUNCTION("""COMPUTED_VALUE"""),56.85)</f>
        <v>56.85</v>
      </c>
      <c r="AC686" s="3">
        <f ca="1">IFERROR(__xludf.DUMMYFUNCTION("""COMPUTED_VALUE"""),70.47)</f>
        <v>70.47</v>
      </c>
      <c r="AD686" s="3">
        <f ca="1">IFERROR(__xludf.DUMMYFUNCTION("""COMPUTED_VALUE"""),16.65)</f>
        <v>16.649999999999999</v>
      </c>
      <c r="AE686" s="3">
        <f ca="1">IFERROR(__xludf.DUMMYFUNCTION("""COMPUTED_VALUE"""),19.18)</f>
        <v>19.18</v>
      </c>
      <c r="AF686" s="3">
        <f ca="1">IFERROR(__xludf.DUMMYFUNCTION("""COMPUTED_VALUE"""),4.51)</f>
        <v>4.51</v>
      </c>
      <c r="AG686" s="3">
        <f ca="1">IFERROR(__xludf.DUMMYFUNCTION("""COMPUTED_VALUE"""),44.8)</f>
        <v>44.8</v>
      </c>
    </row>
    <row r="687" spans="1:33" ht="12.75" x14ac:dyDescent="0.2">
      <c r="A687" s="4">
        <f ca="1">IFERROR(__xludf.DUMMYFUNCTION("""COMPUTED_VALUE"""),45559.6666666666)</f>
        <v>45559.666666666599</v>
      </c>
      <c r="B687" s="3">
        <f ca="1">IFERROR(__xludf.DUMMYFUNCTION("""COMPUTED_VALUE"""),223.61)</f>
        <v>223.61</v>
      </c>
      <c r="C687" s="3">
        <f ca="1">IFERROR(__xludf.DUMMYFUNCTION("""COMPUTED_VALUE"""),582.63)</f>
        <v>582.63</v>
      </c>
      <c r="D687" s="3">
        <f ca="1">IFERROR(__xludf.DUMMYFUNCTION("""COMPUTED_VALUE"""),151.01)</f>
        <v>151.01</v>
      </c>
      <c r="E687" s="3">
        <f ca="1">IFERROR(__xludf.DUMMYFUNCTION("""COMPUTED_VALUE"""),227.26)</f>
        <v>227.26</v>
      </c>
      <c r="F687" s="3">
        <f ca="1">IFERROR(__xludf.DUMMYFUNCTION("""COMPUTED_VALUE"""),68.56)</f>
        <v>68.56</v>
      </c>
      <c r="G687" s="3">
        <f ca="1">IFERROR(__xludf.DUMMYFUNCTION("""COMPUTED_VALUE"""),31.33)</f>
        <v>31.33</v>
      </c>
      <c r="H687" s="3">
        <f ca="1">IFERROR(__xludf.DUMMYFUNCTION("""COMPUTED_VALUE"""),29.95)</f>
        <v>29.95</v>
      </c>
      <c r="I687" s="3">
        <f ca="1">IFERROR(__xludf.DUMMYFUNCTION("""COMPUTED_VALUE"""),154.09)</f>
        <v>154.09</v>
      </c>
      <c r="J687" s="3">
        <f ca="1">IFERROR(__xludf.DUMMYFUNCTION("""COMPUTED_VALUE"""),283.4)</f>
        <v>283.39999999999998</v>
      </c>
      <c r="K687" s="3">
        <f ca="1">IFERROR(__xludf.DUMMYFUNCTION("""COMPUTED_VALUE"""),145.08)</f>
        <v>145.08000000000001</v>
      </c>
      <c r="L687" s="3">
        <f ca="1">IFERROR(__xludf.DUMMYFUNCTION("""COMPUTED_VALUE"""),98.71)</f>
        <v>98.71</v>
      </c>
      <c r="M687" s="3">
        <f ca="1">IFERROR(__xludf.DUMMYFUNCTION("""COMPUTED_VALUE"""),69.68)</f>
        <v>69.680000000000007</v>
      </c>
      <c r="N687" s="3">
        <f ca="1">IFERROR(__xludf.DUMMYFUNCTION("""COMPUTED_VALUE"""),72.82)</f>
        <v>72.819999999999993</v>
      </c>
      <c r="O687" s="3">
        <f ca="1">IFERROR(__xludf.DUMMYFUNCTION("""COMPUTED_VALUE"""),44.22)</f>
        <v>44.22</v>
      </c>
      <c r="P687" s="3">
        <f ca="1">IFERROR(__xludf.DUMMYFUNCTION("""COMPUTED_VALUE"""),88.9)</f>
        <v>88.9</v>
      </c>
      <c r="Q687" s="3">
        <f ca="1">IFERROR(__xludf.DUMMYFUNCTION("""COMPUTED_VALUE"""),125.29)</f>
        <v>125.29</v>
      </c>
      <c r="R687" s="3">
        <f ca="1">IFERROR(__xludf.DUMMYFUNCTION("""COMPUTED_VALUE"""),95.76)</f>
        <v>95.76</v>
      </c>
      <c r="S687" s="3">
        <f ca="1">IFERROR(__xludf.DUMMYFUNCTION("""COMPUTED_VALUE"""),63.25)</f>
        <v>63.25</v>
      </c>
      <c r="T687" s="3">
        <f ca="1">IFERROR(__xludf.DUMMYFUNCTION("""COMPUTED_VALUE"""),22.6)</f>
        <v>22.6</v>
      </c>
      <c r="U687" s="3">
        <f ca="1">IFERROR(__xludf.DUMMYFUNCTION("""COMPUTED_VALUE"""),73.29)</f>
        <v>73.290000000000006</v>
      </c>
      <c r="V687" s="3">
        <f ca="1">IFERROR(__xludf.DUMMYFUNCTION("""COMPUTED_VALUE"""),41.51)</f>
        <v>41.51</v>
      </c>
      <c r="W687" s="3">
        <f ca="1">IFERROR(__xludf.DUMMYFUNCTION("""COMPUTED_VALUE"""),45.06)</f>
        <v>45.06</v>
      </c>
      <c r="X687" s="3">
        <f ca="1">IFERROR(__xludf.DUMMYFUNCTION("""COMPUTED_VALUE"""),109.87)</f>
        <v>109.87</v>
      </c>
      <c r="Y687" s="3">
        <f ca="1">IFERROR(__xludf.DUMMYFUNCTION("""COMPUTED_VALUE"""),52.52)</f>
        <v>52.52</v>
      </c>
      <c r="Z687" s="3">
        <f ca="1">IFERROR(__xludf.DUMMYFUNCTION("""COMPUTED_VALUE"""),103.76)</f>
        <v>103.76</v>
      </c>
      <c r="AA687" s="3">
        <f ca="1">IFERROR(__xludf.DUMMYFUNCTION("""COMPUTED_VALUE"""),44.86)</f>
        <v>44.86</v>
      </c>
      <c r="AB687" s="3">
        <f ca="1">IFERROR(__xludf.DUMMYFUNCTION("""COMPUTED_VALUE"""),56.08)</f>
        <v>56.08</v>
      </c>
      <c r="AC687" s="3">
        <f ca="1">IFERROR(__xludf.DUMMYFUNCTION("""COMPUTED_VALUE"""),70.74)</f>
        <v>70.739999999999995</v>
      </c>
      <c r="AD687" s="3">
        <f ca="1">IFERROR(__xludf.DUMMYFUNCTION("""COMPUTED_VALUE"""),16.68)</f>
        <v>16.68</v>
      </c>
      <c r="AE687" s="3">
        <f ca="1">IFERROR(__xludf.DUMMYFUNCTION("""COMPUTED_VALUE"""),19.5)</f>
        <v>19.5</v>
      </c>
      <c r="AF687" s="3">
        <f ca="1">IFERROR(__xludf.DUMMYFUNCTION("""COMPUTED_VALUE"""),4.64)</f>
        <v>4.6399999999999997</v>
      </c>
      <c r="AG687" s="3">
        <f ca="1">IFERROR(__xludf.DUMMYFUNCTION("""COMPUTED_VALUE"""),47)</f>
        <v>47</v>
      </c>
    </row>
    <row r="688" spans="1:33" ht="12.75" x14ac:dyDescent="0.2">
      <c r="A688" s="4">
        <f ca="1">IFERROR(__xludf.DUMMYFUNCTION("""COMPUTED_VALUE"""),45560.6666666666)</f>
        <v>45560.666666666599</v>
      </c>
      <c r="B688" s="3">
        <f ca="1">IFERROR(__xludf.DUMMYFUNCTION("""COMPUTED_VALUE"""),224.25)</f>
        <v>224.25</v>
      </c>
      <c r="C688" s="3">
        <f ca="1">IFERROR(__xludf.DUMMYFUNCTION("""COMPUTED_VALUE"""),583.02)</f>
        <v>583.02</v>
      </c>
      <c r="D688" s="3">
        <f ca="1">IFERROR(__xludf.DUMMYFUNCTION("""COMPUTED_VALUE"""),151.62)</f>
        <v>151.62</v>
      </c>
      <c r="E688" s="3">
        <f ca="1">IFERROR(__xludf.DUMMYFUNCTION("""COMPUTED_VALUE"""),228.27)</f>
        <v>228.27</v>
      </c>
      <c r="F688" s="3">
        <f ca="1">IFERROR(__xludf.DUMMYFUNCTION("""COMPUTED_VALUE"""),68.05)</f>
        <v>68.05</v>
      </c>
      <c r="G688" s="3">
        <f ca="1">IFERROR(__xludf.DUMMYFUNCTION("""COMPUTED_VALUE"""),31.56)</f>
        <v>31.56</v>
      </c>
      <c r="H688" s="3">
        <f ca="1">IFERROR(__xludf.DUMMYFUNCTION("""COMPUTED_VALUE"""),29.72)</f>
        <v>29.72</v>
      </c>
      <c r="I688" s="3">
        <f ca="1">IFERROR(__xludf.DUMMYFUNCTION("""COMPUTED_VALUE"""),152.59)</f>
        <v>152.59</v>
      </c>
      <c r="J688" s="3">
        <f ca="1">IFERROR(__xludf.DUMMYFUNCTION("""COMPUTED_VALUE"""),280.59)</f>
        <v>280.58999999999997</v>
      </c>
      <c r="K688" s="3">
        <f ca="1">IFERROR(__xludf.DUMMYFUNCTION("""COMPUTED_VALUE"""),142.68)</f>
        <v>142.68</v>
      </c>
      <c r="L688" s="3">
        <f ca="1">IFERROR(__xludf.DUMMYFUNCTION("""COMPUTED_VALUE"""),97.75)</f>
        <v>97.75</v>
      </c>
      <c r="M688" s="3">
        <f ca="1">IFERROR(__xludf.DUMMYFUNCTION("""COMPUTED_VALUE"""),68.46)</f>
        <v>68.459999999999994</v>
      </c>
      <c r="N688" s="3">
        <f ca="1">IFERROR(__xludf.DUMMYFUNCTION("""COMPUTED_VALUE"""),72.06)</f>
        <v>72.06</v>
      </c>
      <c r="O688" s="3">
        <f ca="1">IFERROR(__xludf.DUMMYFUNCTION("""COMPUTED_VALUE"""),43.44)</f>
        <v>43.44</v>
      </c>
      <c r="P688" s="3">
        <f ca="1">IFERROR(__xludf.DUMMYFUNCTION("""COMPUTED_VALUE"""),87.16)</f>
        <v>87.16</v>
      </c>
      <c r="Q688" s="3">
        <f ca="1">IFERROR(__xludf.DUMMYFUNCTION("""COMPUTED_VALUE"""),122.79)</f>
        <v>122.79</v>
      </c>
      <c r="R688" s="3">
        <f ca="1">IFERROR(__xludf.DUMMYFUNCTION("""COMPUTED_VALUE"""),95.12)</f>
        <v>95.12</v>
      </c>
      <c r="S688" s="3">
        <f ca="1">IFERROR(__xludf.DUMMYFUNCTION("""COMPUTED_VALUE"""),62.84)</f>
        <v>62.84</v>
      </c>
      <c r="T688" s="3">
        <f ca="1">IFERROR(__xludf.DUMMYFUNCTION("""COMPUTED_VALUE"""),22.41)</f>
        <v>22.41</v>
      </c>
      <c r="U688" s="3">
        <f ca="1">IFERROR(__xludf.DUMMYFUNCTION("""COMPUTED_VALUE"""),71.48)</f>
        <v>71.48</v>
      </c>
      <c r="V688" s="3">
        <f ca="1">IFERROR(__xludf.DUMMYFUNCTION("""COMPUTED_VALUE"""),40.58)</f>
        <v>40.58</v>
      </c>
      <c r="W688" s="3">
        <f ca="1">IFERROR(__xludf.DUMMYFUNCTION("""COMPUTED_VALUE"""),44.79)</f>
        <v>44.79</v>
      </c>
      <c r="X688" s="3">
        <f ca="1">IFERROR(__xludf.DUMMYFUNCTION("""COMPUTED_VALUE"""),109.13)</f>
        <v>109.13</v>
      </c>
      <c r="Y688" s="3">
        <f ca="1">IFERROR(__xludf.DUMMYFUNCTION("""COMPUTED_VALUE"""),51.84)</f>
        <v>51.84</v>
      </c>
      <c r="Z688" s="3">
        <f ca="1">IFERROR(__xludf.DUMMYFUNCTION("""COMPUTED_VALUE"""),102.75)</f>
        <v>102.75</v>
      </c>
      <c r="AA688" s="3">
        <f ca="1">IFERROR(__xludf.DUMMYFUNCTION("""COMPUTED_VALUE"""),44.67)</f>
        <v>44.67</v>
      </c>
      <c r="AB688" s="3">
        <f ca="1">IFERROR(__xludf.DUMMYFUNCTION("""COMPUTED_VALUE"""),55.24)</f>
        <v>55.24</v>
      </c>
      <c r="AC688" s="3">
        <f ca="1">IFERROR(__xludf.DUMMYFUNCTION("""COMPUTED_VALUE"""),71.02)</f>
        <v>71.02</v>
      </c>
      <c r="AD688" s="3">
        <f ca="1">IFERROR(__xludf.DUMMYFUNCTION("""COMPUTED_VALUE"""),16.29)</f>
        <v>16.29</v>
      </c>
      <c r="AE688" s="3">
        <f ca="1">IFERROR(__xludf.DUMMYFUNCTION("""COMPUTED_VALUE"""),19.13)</f>
        <v>19.13</v>
      </c>
      <c r="AF688" s="3">
        <f ca="1">IFERROR(__xludf.DUMMYFUNCTION("""COMPUTED_VALUE"""),4.56)</f>
        <v>4.5599999999999996</v>
      </c>
      <c r="AG688" s="3">
        <f ca="1">IFERROR(__xludf.DUMMYFUNCTION("""COMPUTED_VALUE"""),46.78)</f>
        <v>46.78</v>
      </c>
    </row>
    <row r="689" spans="1:33" ht="12.75" x14ac:dyDescent="0.2">
      <c r="A689" s="4">
        <f ca="1">IFERROR(__xludf.DUMMYFUNCTION("""COMPUTED_VALUE"""),45561.6666666666)</f>
        <v>45561.666666666599</v>
      </c>
      <c r="B689" s="3">
        <f ca="1">IFERROR(__xludf.DUMMYFUNCTION("""COMPUTED_VALUE"""),227.22)</f>
        <v>227.22</v>
      </c>
      <c r="C689" s="3">
        <f ca="1">IFERROR(__xludf.DUMMYFUNCTION("""COMPUTED_VALUE"""),590.25)</f>
        <v>590.25</v>
      </c>
      <c r="D689" s="3">
        <f ca="1">IFERROR(__xludf.DUMMYFUNCTION("""COMPUTED_VALUE"""),148.14)</f>
        <v>148.13999999999999</v>
      </c>
      <c r="E689" s="3">
        <f ca="1">IFERROR(__xludf.DUMMYFUNCTION("""COMPUTED_VALUE"""),236.43)</f>
        <v>236.43</v>
      </c>
      <c r="F689" s="3">
        <f ca="1">IFERROR(__xludf.DUMMYFUNCTION("""COMPUTED_VALUE"""),68.29)</f>
        <v>68.290000000000006</v>
      </c>
      <c r="G689" s="3">
        <f ca="1">IFERROR(__xludf.DUMMYFUNCTION("""COMPUTED_VALUE"""),32.27)</f>
        <v>32.270000000000003</v>
      </c>
      <c r="H689" s="3">
        <f ca="1">IFERROR(__xludf.DUMMYFUNCTION("""COMPUTED_VALUE"""),30.28)</f>
        <v>30.28</v>
      </c>
      <c r="I689" s="3">
        <f ca="1">IFERROR(__xludf.DUMMYFUNCTION("""COMPUTED_VALUE"""),153.1)</f>
        <v>153.1</v>
      </c>
      <c r="J689" s="3">
        <f ca="1">IFERROR(__xludf.DUMMYFUNCTION("""COMPUTED_VALUE"""),281.65)</f>
        <v>281.64999999999998</v>
      </c>
      <c r="K689" s="3">
        <f ca="1">IFERROR(__xludf.DUMMYFUNCTION("""COMPUTED_VALUE"""),144.24)</f>
        <v>144.24</v>
      </c>
      <c r="L689" s="3">
        <f ca="1">IFERROR(__xludf.DUMMYFUNCTION("""COMPUTED_VALUE"""),98.19)</f>
        <v>98.19</v>
      </c>
      <c r="M689" s="3">
        <f ca="1">IFERROR(__xludf.DUMMYFUNCTION("""COMPUTED_VALUE"""),69.53)</f>
        <v>69.53</v>
      </c>
      <c r="N689" s="3">
        <f ca="1">IFERROR(__xludf.DUMMYFUNCTION("""COMPUTED_VALUE"""),72.31)</f>
        <v>72.31</v>
      </c>
      <c r="O689" s="3">
        <f ca="1">IFERROR(__xludf.DUMMYFUNCTION("""COMPUTED_VALUE"""),44.08)</f>
        <v>44.08</v>
      </c>
      <c r="P689" s="3">
        <f ca="1">IFERROR(__xludf.DUMMYFUNCTION("""COMPUTED_VALUE"""),85.45)</f>
        <v>85.45</v>
      </c>
      <c r="Q689" s="3">
        <f ca="1">IFERROR(__xludf.DUMMYFUNCTION("""COMPUTED_VALUE"""),120.23)</f>
        <v>120.23</v>
      </c>
      <c r="R689" s="3">
        <f ca="1">IFERROR(__xludf.DUMMYFUNCTION("""COMPUTED_VALUE"""),97.09)</f>
        <v>97.09</v>
      </c>
      <c r="S689" s="3">
        <f ca="1">IFERROR(__xludf.DUMMYFUNCTION("""COMPUTED_VALUE"""),64.24)</f>
        <v>64.239999999999995</v>
      </c>
      <c r="T689" s="3">
        <f ca="1">IFERROR(__xludf.DUMMYFUNCTION("""COMPUTED_VALUE"""),22.21)</f>
        <v>22.21</v>
      </c>
      <c r="U689" s="3">
        <f ca="1">IFERROR(__xludf.DUMMYFUNCTION("""COMPUTED_VALUE"""),69.01)</f>
        <v>69.010000000000005</v>
      </c>
      <c r="V689" s="3">
        <f ca="1">IFERROR(__xludf.DUMMYFUNCTION("""COMPUTED_VALUE"""),41.94)</f>
        <v>41.94</v>
      </c>
      <c r="W689" s="3">
        <f ca="1">IFERROR(__xludf.DUMMYFUNCTION("""COMPUTED_VALUE"""),45.02)</f>
        <v>45.02</v>
      </c>
      <c r="X689" s="3">
        <f ca="1">IFERROR(__xludf.DUMMYFUNCTION("""COMPUTED_VALUE"""),109.7)</f>
        <v>109.7</v>
      </c>
      <c r="Y689" s="3">
        <f ca="1">IFERROR(__xludf.DUMMYFUNCTION("""COMPUTED_VALUE"""),52.3)</f>
        <v>52.3</v>
      </c>
      <c r="Z689" s="3">
        <f ca="1">IFERROR(__xludf.DUMMYFUNCTION("""COMPUTED_VALUE"""),103.21)</f>
        <v>103.21</v>
      </c>
      <c r="AA689" s="3">
        <f ca="1">IFERROR(__xludf.DUMMYFUNCTION("""COMPUTED_VALUE"""),44.23)</f>
        <v>44.23</v>
      </c>
      <c r="AB689" s="3">
        <f ca="1">IFERROR(__xludf.DUMMYFUNCTION("""COMPUTED_VALUE"""),55.85)</f>
        <v>55.85</v>
      </c>
      <c r="AC689" s="3">
        <f ca="1">IFERROR(__xludf.DUMMYFUNCTION("""COMPUTED_VALUE"""),70.44)</f>
        <v>70.44</v>
      </c>
      <c r="AD689" s="3">
        <f ca="1">IFERROR(__xludf.DUMMYFUNCTION("""COMPUTED_VALUE"""),16.76)</f>
        <v>16.760000000000002</v>
      </c>
      <c r="AE689" s="3">
        <f ca="1">IFERROR(__xludf.DUMMYFUNCTION("""COMPUTED_VALUE"""),19.61)</f>
        <v>19.61</v>
      </c>
      <c r="AF689" s="3">
        <f ca="1">IFERROR(__xludf.DUMMYFUNCTION("""COMPUTED_VALUE"""),4.6)</f>
        <v>4.5999999999999996</v>
      </c>
      <c r="AG689" s="3">
        <f ca="1">IFERROR(__xludf.DUMMYFUNCTION("""COMPUTED_VALUE"""),49.37)</f>
        <v>49.37</v>
      </c>
    </row>
    <row r="690" spans="1:33" ht="12.75" x14ac:dyDescent="0.2">
      <c r="A690" s="4">
        <f ca="1">IFERROR(__xludf.DUMMYFUNCTION("""COMPUTED_VALUE"""),45562.6666666666)</f>
        <v>45562.666666666599</v>
      </c>
      <c r="B690" s="3">
        <f ca="1">IFERROR(__xludf.DUMMYFUNCTION("""COMPUTED_VALUE"""),225.1)</f>
        <v>225.1</v>
      </c>
      <c r="C690" s="3">
        <f ca="1">IFERROR(__xludf.DUMMYFUNCTION("""COMPUTED_VALUE"""),584.96)</f>
        <v>584.96</v>
      </c>
      <c r="D690" s="3">
        <f ca="1">IFERROR(__xludf.DUMMYFUNCTION("""COMPUTED_VALUE"""),149.05)</f>
        <v>149.05000000000001</v>
      </c>
      <c r="E690" s="3">
        <f ca="1">IFERROR(__xludf.DUMMYFUNCTION("""COMPUTED_VALUE"""),232.68)</f>
        <v>232.68</v>
      </c>
      <c r="F690" s="3">
        <f ca="1">IFERROR(__xludf.DUMMYFUNCTION("""COMPUTED_VALUE"""),68.08)</f>
        <v>68.08</v>
      </c>
      <c r="G690" s="3">
        <f ca="1">IFERROR(__xludf.DUMMYFUNCTION("""COMPUTED_VALUE"""),32)</f>
        <v>32</v>
      </c>
      <c r="H690" s="3">
        <f ca="1">IFERROR(__xludf.DUMMYFUNCTION("""COMPUTED_VALUE"""),30.35)</f>
        <v>30.35</v>
      </c>
      <c r="I690" s="3">
        <f ca="1">IFERROR(__xludf.DUMMYFUNCTION("""COMPUTED_VALUE"""),153.02)</f>
        <v>153.02000000000001</v>
      </c>
      <c r="J690" s="3">
        <f ca="1">IFERROR(__xludf.DUMMYFUNCTION("""COMPUTED_VALUE"""),280.29)</f>
        <v>280.29000000000002</v>
      </c>
      <c r="K690" s="3">
        <f ca="1">IFERROR(__xludf.DUMMYFUNCTION("""COMPUTED_VALUE"""),144.9)</f>
        <v>144.9</v>
      </c>
      <c r="L690" s="3">
        <f ca="1">IFERROR(__xludf.DUMMYFUNCTION("""COMPUTED_VALUE"""),98.43)</f>
        <v>98.43</v>
      </c>
      <c r="M690" s="3">
        <f ca="1">IFERROR(__xludf.DUMMYFUNCTION("""COMPUTED_VALUE"""),69.81)</f>
        <v>69.81</v>
      </c>
      <c r="N690" s="3">
        <f ca="1">IFERROR(__xludf.DUMMYFUNCTION("""COMPUTED_VALUE"""),72.34)</f>
        <v>72.34</v>
      </c>
      <c r="O690" s="3">
        <f ca="1">IFERROR(__xludf.DUMMYFUNCTION("""COMPUTED_VALUE"""),44.6)</f>
        <v>44.6</v>
      </c>
      <c r="P690" s="3">
        <f ca="1">IFERROR(__xludf.DUMMYFUNCTION("""COMPUTED_VALUE"""),87.19)</f>
        <v>87.19</v>
      </c>
      <c r="Q690" s="3">
        <f ca="1">IFERROR(__xludf.DUMMYFUNCTION("""COMPUTED_VALUE"""),121.73)</f>
        <v>121.73</v>
      </c>
      <c r="R690" s="3">
        <f ca="1">IFERROR(__xludf.DUMMYFUNCTION("""COMPUTED_VALUE"""),96.92)</f>
        <v>96.92</v>
      </c>
      <c r="S690" s="3">
        <f ca="1">IFERROR(__xludf.DUMMYFUNCTION("""COMPUTED_VALUE"""),64.2)</f>
        <v>64.2</v>
      </c>
      <c r="T690" s="3">
        <f ca="1">IFERROR(__xludf.DUMMYFUNCTION("""COMPUTED_VALUE"""),22.32)</f>
        <v>22.32</v>
      </c>
      <c r="U690" s="3">
        <f ca="1">IFERROR(__xludf.DUMMYFUNCTION("""COMPUTED_VALUE"""),70.27)</f>
        <v>70.27</v>
      </c>
      <c r="V690" s="3">
        <f ca="1">IFERROR(__xludf.DUMMYFUNCTION("""COMPUTED_VALUE"""),43)</f>
        <v>43</v>
      </c>
      <c r="W690" s="3">
        <f ca="1">IFERROR(__xludf.DUMMYFUNCTION("""COMPUTED_VALUE"""),45.15)</f>
        <v>45.15</v>
      </c>
      <c r="X690" s="3">
        <f ca="1">IFERROR(__xludf.DUMMYFUNCTION("""COMPUTED_VALUE"""),109.59)</f>
        <v>109.59</v>
      </c>
      <c r="Y690" s="3">
        <f ca="1">IFERROR(__xludf.DUMMYFUNCTION("""COMPUTED_VALUE"""),52.35)</f>
        <v>52.35</v>
      </c>
      <c r="Z690" s="3">
        <f ca="1">IFERROR(__xludf.DUMMYFUNCTION("""COMPUTED_VALUE"""),103.47)</f>
        <v>103.47</v>
      </c>
      <c r="AA690" s="3">
        <f ca="1">IFERROR(__xludf.DUMMYFUNCTION("""COMPUTED_VALUE"""),44.29)</f>
        <v>44.29</v>
      </c>
      <c r="AB690" s="3">
        <f ca="1">IFERROR(__xludf.DUMMYFUNCTION("""COMPUTED_VALUE"""),55.92)</f>
        <v>55.92</v>
      </c>
      <c r="AC690" s="3">
        <f ca="1">IFERROR(__xludf.DUMMYFUNCTION("""COMPUTED_VALUE"""),70.49)</f>
        <v>70.489999999999995</v>
      </c>
      <c r="AD690" s="3">
        <f ca="1">IFERROR(__xludf.DUMMYFUNCTION("""COMPUTED_VALUE"""),17)</f>
        <v>17</v>
      </c>
      <c r="AE690" s="3">
        <f ca="1">IFERROR(__xludf.DUMMYFUNCTION("""COMPUTED_VALUE"""),19.88)</f>
        <v>19.88</v>
      </c>
      <c r="AF690" s="3">
        <f ca="1">IFERROR(__xludf.DUMMYFUNCTION("""COMPUTED_VALUE"""),4.61)</f>
        <v>4.6100000000000003</v>
      </c>
      <c r="AG690" s="3">
        <f ca="1">IFERROR(__xludf.DUMMYFUNCTION("""COMPUTED_VALUE"""),49.36)</f>
        <v>49.36</v>
      </c>
    </row>
    <row r="691" spans="1:33" ht="12.75" x14ac:dyDescent="0.2">
      <c r="A691" s="4">
        <f ca="1">IFERROR(__xludf.DUMMYFUNCTION("""COMPUTED_VALUE"""),45565.6666666666)</f>
        <v>45565.666666666599</v>
      </c>
      <c r="B691" s="3">
        <f ca="1">IFERROR(__xludf.DUMMYFUNCTION("""COMPUTED_VALUE"""),225.76)</f>
        <v>225.76</v>
      </c>
      <c r="C691" s="3">
        <f ca="1">IFERROR(__xludf.DUMMYFUNCTION("""COMPUTED_VALUE"""),586.52)</f>
        <v>586.52</v>
      </c>
      <c r="D691" s="3">
        <f ca="1">IFERROR(__xludf.DUMMYFUNCTION("""COMPUTED_VALUE"""),149.71)</f>
        <v>149.71</v>
      </c>
      <c r="E691" s="3">
        <f ca="1">IFERROR(__xludf.DUMMYFUNCTION("""COMPUTED_VALUE"""),230.59)</f>
        <v>230.59</v>
      </c>
      <c r="F691" s="3">
        <f ca="1">IFERROR(__xludf.DUMMYFUNCTION("""COMPUTED_VALUE"""),68.28)</f>
        <v>68.28</v>
      </c>
      <c r="G691" s="3">
        <f ca="1">IFERROR(__xludf.DUMMYFUNCTION("""COMPUTED_VALUE"""),32.15)</f>
        <v>32.15</v>
      </c>
      <c r="H691" s="3">
        <f ca="1">IFERROR(__xludf.DUMMYFUNCTION("""COMPUTED_VALUE"""),30.37)</f>
        <v>30.37</v>
      </c>
      <c r="I691" s="3">
        <f ca="1">IFERROR(__xludf.DUMMYFUNCTION("""COMPUTED_VALUE"""),154.02)</f>
        <v>154.02000000000001</v>
      </c>
      <c r="J691" s="3">
        <f ca="1">IFERROR(__xludf.DUMMYFUNCTION("""COMPUTED_VALUE"""),282.2)</f>
        <v>282.2</v>
      </c>
      <c r="K691" s="3">
        <f ca="1">IFERROR(__xludf.DUMMYFUNCTION("""COMPUTED_VALUE"""),145.6)</f>
        <v>145.6</v>
      </c>
      <c r="L691" s="3">
        <f ca="1">IFERROR(__xludf.DUMMYFUNCTION("""COMPUTED_VALUE"""),98.8)</f>
        <v>98.8</v>
      </c>
      <c r="M691" s="3">
        <f ca="1">IFERROR(__xludf.DUMMYFUNCTION("""COMPUTED_VALUE"""),69.82)</f>
        <v>69.819999999999993</v>
      </c>
      <c r="N691" s="3">
        <f ca="1">IFERROR(__xludf.DUMMYFUNCTION("""COMPUTED_VALUE"""),72.8)</f>
        <v>72.8</v>
      </c>
      <c r="O691" s="3">
        <f ca="1">IFERROR(__xludf.DUMMYFUNCTION("""COMPUTED_VALUE"""),45)</f>
        <v>45</v>
      </c>
      <c r="P691" s="3">
        <f ca="1">IFERROR(__xludf.DUMMYFUNCTION("""COMPUTED_VALUE"""),87.8)</f>
        <v>87.8</v>
      </c>
      <c r="Q691" s="3">
        <f ca="1">IFERROR(__xludf.DUMMYFUNCTION("""COMPUTED_VALUE"""),122.47)</f>
        <v>122.47</v>
      </c>
      <c r="R691" s="3">
        <f ca="1">IFERROR(__xludf.DUMMYFUNCTION("""COMPUTED_VALUE"""),96.38)</f>
        <v>96.38</v>
      </c>
      <c r="S691" s="3">
        <f ca="1">IFERROR(__xludf.DUMMYFUNCTION("""COMPUTED_VALUE"""),63.72)</f>
        <v>63.72</v>
      </c>
      <c r="T691" s="3">
        <f ca="1">IFERROR(__xludf.DUMMYFUNCTION("""COMPUTED_VALUE"""),22.27)</f>
        <v>22.27</v>
      </c>
      <c r="U691" s="3">
        <f ca="1">IFERROR(__xludf.DUMMYFUNCTION("""COMPUTED_VALUE"""),69.92)</f>
        <v>69.92</v>
      </c>
      <c r="V691" s="3">
        <f ca="1">IFERROR(__xludf.DUMMYFUNCTION("""COMPUTED_VALUE"""),43.11)</f>
        <v>43.11</v>
      </c>
      <c r="W691" s="3">
        <f ca="1">IFERROR(__xludf.DUMMYFUNCTION("""COMPUTED_VALUE"""),45.32)</f>
        <v>45.32</v>
      </c>
      <c r="X691" s="3">
        <f ca="1">IFERROR(__xludf.DUMMYFUNCTION("""COMPUTED_VALUE"""),109.91)</f>
        <v>109.91</v>
      </c>
      <c r="Y691" s="3">
        <f ca="1">IFERROR(__xludf.DUMMYFUNCTION("""COMPUTED_VALUE"""),52.89)</f>
        <v>52.89</v>
      </c>
      <c r="Z691" s="3">
        <f ca="1">IFERROR(__xludf.DUMMYFUNCTION("""COMPUTED_VALUE"""),103.9)</f>
        <v>103.9</v>
      </c>
      <c r="AA691" s="3">
        <f ca="1">IFERROR(__xludf.DUMMYFUNCTION("""COMPUTED_VALUE"""),44.67)</f>
        <v>44.67</v>
      </c>
      <c r="AB691" s="3">
        <f ca="1">IFERROR(__xludf.DUMMYFUNCTION("""COMPUTED_VALUE"""),56.6)</f>
        <v>56.6</v>
      </c>
      <c r="AC691" s="3">
        <f ca="1">IFERROR(__xludf.DUMMYFUNCTION("""COMPUTED_VALUE"""),70.24)</f>
        <v>70.239999999999995</v>
      </c>
      <c r="AD691" s="3">
        <f ca="1">IFERROR(__xludf.DUMMYFUNCTION("""COMPUTED_VALUE"""),16.36)</f>
        <v>16.36</v>
      </c>
      <c r="AE691" s="3">
        <f ca="1">IFERROR(__xludf.DUMMYFUNCTION("""COMPUTED_VALUE"""),19.19)</f>
        <v>19.190000000000001</v>
      </c>
      <c r="AF691" s="3">
        <f ca="1">IFERROR(__xludf.DUMMYFUNCTION("""COMPUTED_VALUE"""),4.74)</f>
        <v>4.74</v>
      </c>
      <c r="AG691" s="3">
        <f ca="1">IFERROR(__xludf.DUMMYFUNCTION("""COMPUTED_VALUE"""),47)</f>
        <v>47</v>
      </c>
    </row>
    <row r="692" spans="1:33" ht="12.75" x14ac:dyDescent="0.2">
      <c r="A692" s="4">
        <f ca="1">IFERROR(__xludf.DUMMYFUNCTION("""COMPUTED_VALUE"""),45566.6666666666)</f>
        <v>45566.666666666599</v>
      </c>
      <c r="B692" s="3">
        <f ca="1">IFERROR(__xludf.DUMMYFUNCTION("""COMPUTED_VALUE"""),220.26)</f>
        <v>220.26</v>
      </c>
      <c r="C692" s="3">
        <f ca="1">IFERROR(__xludf.DUMMYFUNCTION("""COMPUTED_VALUE"""),571.78)</f>
        <v>571.78</v>
      </c>
      <c r="D692" s="3">
        <f ca="1">IFERROR(__xludf.DUMMYFUNCTION("""COMPUTED_VALUE"""),151.66)</f>
        <v>151.66</v>
      </c>
      <c r="E692" s="3">
        <f ca="1">IFERROR(__xludf.DUMMYFUNCTION("""COMPUTED_VALUE"""),224.13)</f>
        <v>224.13</v>
      </c>
      <c r="F692" s="3">
        <f ca="1">IFERROR(__xludf.DUMMYFUNCTION("""COMPUTED_VALUE"""),67.33)</f>
        <v>67.33</v>
      </c>
      <c r="G692" s="3">
        <f ca="1">IFERROR(__xludf.DUMMYFUNCTION("""COMPUTED_VALUE"""),31.65)</f>
        <v>31.65</v>
      </c>
      <c r="H692" s="3">
        <f ca="1">IFERROR(__xludf.DUMMYFUNCTION("""COMPUTED_VALUE"""),30.1)</f>
        <v>30.1</v>
      </c>
      <c r="I692" s="3">
        <f ca="1">IFERROR(__xludf.DUMMYFUNCTION("""COMPUTED_VALUE"""),153.21)</f>
        <v>153.21</v>
      </c>
      <c r="J692" s="3">
        <f ca="1">IFERROR(__xludf.DUMMYFUNCTION("""COMPUTED_VALUE"""),280.36)</f>
        <v>280.36</v>
      </c>
      <c r="K692" s="3">
        <f ca="1">IFERROR(__xludf.DUMMYFUNCTION("""COMPUTED_VALUE"""),144.77)</f>
        <v>144.77000000000001</v>
      </c>
      <c r="L692" s="3">
        <f ca="1">IFERROR(__xludf.DUMMYFUNCTION("""COMPUTED_VALUE"""),97.97)</f>
        <v>97.97</v>
      </c>
      <c r="M692" s="3">
        <f ca="1">IFERROR(__xludf.DUMMYFUNCTION("""COMPUTED_VALUE"""),69.21)</f>
        <v>69.209999999999994</v>
      </c>
      <c r="N692" s="3">
        <f ca="1">IFERROR(__xludf.DUMMYFUNCTION("""COMPUTED_VALUE"""),72.34)</f>
        <v>72.34</v>
      </c>
      <c r="O692" s="3">
        <f ca="1">IFERROR(__xludf.DUMMYFUNCTION("""COMPUTED_VALUE"""),44.48)</f>
        <v>44.48</v>
      </c>
      <c r="P692" s="3">
        <f ca="1">IFERROR(__xludf.DUMMYFUNCTION("""COMPUTED_VALUE"""),89.8)</f>
        <v>89.8</v>
      </c>
      <c r="Q692" s="3">
        <f ca="1">IFERROR(__xludf.DUMMYFUNCTION("""COMPUTED_VALUE"""),125.14)</f>
        <v>125.14</v>
      </c>
      <c r="R692" s="3">
        <f ca="1">IFERROR(__xludf.DUMMYFUNCTION("""COMPUTED_VALUE"""),96.14)</f>
        <v>96.14</v>
      </c>
      <c r="S692" s="3">
        <f ca="1">IFERROR(__xludf.DUMMYFUNCTION("""COMPUTED_VALUE"""),63.84)</f>
        <v>63.84</v>
      </c>
      <c r="T692" s="3">
        <f ca="1">IFERROR(__xludf.DUMMYFUNCTION("""COMPUTED_VALUE"""),22.66)</f>
        <v>22.66</v>
      </c>
      <c r="U692" s="3">
        <f ca="1">IFERROR(__xludf.DUMMYFUNCTION("""COMPUTED_VALUE"""),72.11)</f>
        <v>72.11</v>
      </c>
      <c r="V692" s="3">
        <f ca="1">IFERROR(__xludf.DUMMYFUNCTION("""COMPUTED_VALUE"""),42.67)</f>
        <v>42.67</v>
      </c>
      <c r="W692" s="3">
        <f ca="1">IFERROR(__xludf.DUMMYFUNCTION("""COMPUTED_VALUE"""),45.08)</f>
        <v>45.08</v>
      </c>
      <c r="X692" s="3">
        <f ca="1">IFERROR(__xludf.DUMMYFUNCTION("""COMPUTED_VALUE"""),109.2)</f>
        <v>109.2</v>
      </c>
      <c r="Y692" s="3">
        <f ca="1">IFERROR(__xludf.DUMMYFUNCTION("""COMPUTED_VALUE"""),51.42)</f>
        <v>51.42</v>
      </c>
      <c r="Z692" s="3">
        <f ca="1">IFERROR(__xludf.DUMMYFUNCTION("""COMPUTED_VALUE"""),103.11)</f>
        <v>103.11</v>
      </c>
      <c r="AA692" s="3">
        <f ca="1">IFERROR(__xludf.DUMMYFUNCTION("""COMPUTED_VALUE"""),44.4)</f>
        <v>44.4</v>
      </c>
      <c r="AB692" s="3">
        <f ca="1">IFERROR(__xludf.DUMMYFUNCTION("""COMPUTED_VALUE"""),54.71)</f>
        <v>54.71</v>
      </c>
      <c r="AC692" s="3">
        <f ca="1">IFERROR(__xludf.DUMMYFUNCTION("""COMPUTED_VALUE"""),71.49)</f>
        <v>71.489999999999995</v>
      </c>
      <c r="AD692" s="3">
        <f ca="1">IFERROR(__xludf.DUMMYFUNCTION("""COMPUTED_VALUE"""),15.78)</f>
        <v>15.78</v>
      </c>
      <c r="AE692" s="3">
        <f ca="1">IFERROR(__xludf.DUMMYFUNCTION("""COMPUTED_VALUE"""),17.59)</f>
        <v>17.59</v>
      </c>
      <c r="AF692" s="3">
        <f ca="1">IFERROR(__xludf.DUMMYFUNCTION("""COMPUTED_VALUE"""),4.76)</f>
        <v>4.76</v>
      </c>
      <c r="AG692" s="3">
        <f ca="1">IFERROR(__xludf.DUMMYFUNCTION("""COMPUTED_VALUE"""),44.5)</f>
        <v>44.5</v>
      </c>
    </row>
    <row r="693" spans="1:33" ht="12.75" x14ac:dyDescent="0.2">
      <c r="A693" s="4">
        <f ca="1">IFERROR(__xludf.DUMMYFUNCTION("""COMPUTED_VALUE"""),45567.6666666666)</f>
        <v>45567.666666666599</v>
      </c>
      <c r="B693" s="3">
        <f ca="1">IFERROR(__xludf.DUMMYFUNCTION("""COMPUTED_VALUE"""),221.89)</f>
        <v>221.89</v>
      </c>
      <c r="C693" s="3">
        <f ca="1">IFERROR(__xludf.DUMMYFUNCTION("""COMPUTED_VALUE"""),575.38)</f>
        <v>575.38</v>
      </c>
      <c r="D693" s="3">
        <f ca="1">IFERROR(__xludf.DUMMYFUNCTION("""COMPUTED_VALUE"""),150.36)</f>
        <v>150.36000000000001</v>
      </c>
      <c r="E693" s="3">
        <f ca="1">IFERROR(__xludf.DUMMYFUNCTION("""COMPUTED_VALUE"""),227.15)</f>
        <v>227.15</v>
      </c>
      <c r="F693" s="3">
        <f ca="1">IFERROR(__xludf.DUMMYFUNCTION("""COMPUTED_VALUE"""),67.66)</f>
        <v>67.66</v>
      </c>
      <c r="G693" s="3">
        <f ca="1">IFERROR(__xludf.DUMMYFUNCTION("""COMPUTED_VALUE"""),31.76)</f>
        <v>31.76</v>
      </c>
      <c r="H693" s="3">
        <f ca="1">IFERROR(__xludf.DUMMYFUNCTION("""COMPUTED_VALUE"""),30.25)</f>
        <v>30.25</v>
      </c>
      <c r="I693" s="3">
        <f ca="1">IFERROR(__xludf.DUMMYFUNCTION("""COMPUTED_VALUE"""),152.9)</f>
        <v>152.9</v>
      </c>
      <c r="J693" s="3">
        <f ca="1">IFERROR(__xludf.DUMMYFUNCTION("""COMPUTED_VALUE"""),280.09)</f>
        <v>280.08999999999997</v>
      </c>
      <c r="K693" s="3">
        <f ca="1">IFERROR(__xludf.DUMMYFUNCTION("""COMPUTED_VALUE"""),144.8)</f>
        <v>144.80000000000001</v>
      </c>
      <c r="L693" s="3">
        <f ca="1">IFERROR(__xludf.DUMMYFUNCTION("""COMPUTED_VALUE"""),98.09)</f>
        <v>98.09</v>
      </c>
      <c r="M693" s="3">
        <f ca="1">IFERROR(__xludf.DUMMYFUNCTION("""COMPUTED_VALUE"""),69.82)</f>
        <v>69.819999999999993</v>
      </c>
      <c r="N693" s="3">
        <f ca="1">IFERROR(__xludf.DUMMYFUNCTION("""COMPUTED_VALUE"""),72.26)</f>
        <v>72.260000000000005</v>
      </c>
      <c r="O693" s="3">
        <f ca="1">IFERROR(__xludf.DUMMYFUNCTION("""COMPUTED_VALUE"""),44.4)</f>
        <v>44.4</v>
      </c>
      <c r="P693" s="3">
        <f ca="1">IFERROR(__xludf.DUMMYFUNCTION("""COMPUTED_VALUE"""),90.72)</f>
        <v>90.72</v>
      </c>
      <c r="Q693" s="3">
        <f ca="1">IFERROR(__xludf.DUMMYFUNCTION("""COMPUTED_VALUE"""),126.52)</f>
        <v>126.52</v>
      </c>
      <c r="R693" s="3">
        <f ca="1">IFERROR(__xludf.DUMMYFUNCTION("""COMPUTED_VALUE"""),95.77)</f>
        <v>95.77</v>
      </c>
      <c r="S693" s="3">
        <f ca="1">IFERROR(__xludf.DUMMYFUNCTION("""COMPUTED_VALUE"""),63.5)</f>
        <v>63.5</v>
      </c>
      <c r="T693" s="3">
        <f ca="1">IFERROR(__xludf.DUMMYFUNCTION("""COMPUTED_VALUE"""),22.85)</f>
        <v>22.85</v>
      </c>
      <c r="U693" s="3">
        <f ca="1">IFERROR(__xludf.DUMMYFUNCTION("""COMPUTED_VALUE"""),72.76)</f>
        <v>72.760000000000005</v>
      </c>
      <c r="V693" s="3">
        <f ca="1">IFERROR(__xludf.DUMMYFUNCTION("""COMPUTED_VALUE"""),42.45)</f>
        <v>42.45</v>
      </c>
      <c r="W693" s="3">
        <f ca="1">IFERROR(__xludf.DUMMYFUNCTION("""COMPUTED_VALUE"""),45.13)</f>
        <v>45.13</v>
      </c>
      <c r="X693" s="3">
        <f ca="1">IFERROR(__xludf.DUMMYFUNCTION("""COMPUTED_VALUE"""),109.28)</f>
        <v>109.28</v>
      </c>
      <c r="Y693" s="3">
        <f ca="1">IFERROR(__xludf.DUMMYFUNCTION("""COMPUTED_VALUE"""),51.33)</f>
        <v>51.33</v>
      </c>
      <c r="Z693" s="3">
        <f ca="1">IFERROR(__xludf.DUMMYFUNCTION("""COMPUTED_VALUE"""),103.18)</f>
        <v>103.18</v>
      </c>
      <c r="AA693" s="3">
        <f ca="1">IFERROR(__xludf.DUMMYFUNCTION("""COMPUTED_VALUE"""),44.24)</f>
        <v>44.24</v>
      </c>
      <c r="AB693" s="3">
        <f ca="1">IFERROR(__xludf.DUMMYFUNCTION("""COMPUTED_VALUE"""),54.59)</f>
        <v>54.59</v>
      </c>
      <c r="AC693" s="3">
        <f ca="1">IFERROR(__xludf.DUMMYFUNCTION("""COMPUTED_VALUE"""),70.93)</f>
        <v>70.930000000000007</v>
      </c>
      <c r="AD693" s="3">
        <f ca="1">IFERROR(__xludf.DUMMYFUNCTION("""COMPUTED_VALUE"""),15.23)</f>
        <v>15.23</v>
      </c>
      <c r="AE693" s="3">
        <f ca="1">IFERROR(__xludf.DUMMYFUNCTION("""COMPUTED_VALUE"""),17.14)</f>
        <v>17.14</v>
      </c>
      <c r="AF693" s="3">
        <f ca="1">IFERROR(__xludf.DUMMYFUNCTION("""COMPUTED_VALUE"""),4.99)</f>
        <v>4.99</v>
      </c>
      <c r="AG693" s="3">
        <f ca="1">IFERROR(__xludf.DUMMYFUNCTION("""COMPUTED_VALUE"""),45.09)</f>
        <v>45.09</v>
      </c>
    </row>
    <row r="694" spans="1:33" ht="12.75" x14ac:dyDescent="0.2">
      <c r="A694" s="4">
        <f ca="1">IFERROR(__xludf.DUMMYFUNCTION("""COMPUTED_VALUE"""),45568.6666666666)</f>
        <v>45568.666666666599</v>
      </c>
      <c r="B694" s="3">
        <f ca="1">IFERROR(__xludf.DUMMYFUNCTION("""COMPUTED_VALUE"""),222.81)</f>
        <v>222.81</v>
      </c>
      <c r="C694" s="3">
        <f ca="1">IFERROR(__xludf.DUMMYFUNCTION("""COMPUTED_VALUE"""),577.64)</f>
        <v>577.64</v>
      </c>
      <c r="D694" s="3">
        <f ca="1">IFERROR(__xludf.DUMMYFUNCTION("""COMPUTED_VALUE"""),153.15)</f>
        <v>153.15</v>
      </c>
      <c r="E694" s="3">
        <f ca="1">IFERROR(__xludf.DUMMYFUNCTION("""COMPUTED_VALUE"""),227.96)</f>
        <v>227.96</v>
      </c>
      <c r="F694" s="3">
        <f ca="1">IFERROR(__xludf.DUMMYFUNCTION("""COMPUTED_VALUE"""),67.43)</f>
        <v>67.430000000000007</v>
      </c>
      <c r="G694" s="3">
        <f ca="1">IFERROR(__xludf.DUMMYFUNCTION("""COMPUTED_VALUE"""),31.56)</f>
        <v>31.56</v>
      </c>
      <c r="H694" s="3">
        <f ca="1">IFERROR(__xludf.DUMMYFUNCTION("""COMPUTED_VALUE"""),30.11)</f>
        <v>30.11</v>
      </c>
      <c r="I694" s="3">
        <f ca="1">IFERROR(__xludf.DUMMYFUNCTION("""COMPUTED_VALUE"""),151.52)</f>
        <v>151.52000000000001</v>
      </c>
      <c r="J694" s="3">
        <f ca="1">IFERROR(__xludf.DUMMYFUNCTION("""COMPUTED_VALUE"""),277.34)</f>
        <v>277.33999999999997</v>
      </c>
      <c r="K694" s="3">
        <f ca="1">IFERROR(__xludf.DUMMYFUNCTION("""COMPUTED_VALUE"""),142.61)</f>
        <v>142.61000000000001</v>
      </c>
      <c r="L694" s="3">
        <f ca="1">IFERROR(__xludf.DUMMYFUNCTION("""COMPUTED_VALUE"""),96.64)</f>
        <v>96.64</v>
      </c>
      <c r="M694" s="3">
        <f ca="1">IFERROR(__xludf.DUMMYFUNCTION("""COMPUTED_VALUE"""),68.94)</f>
        <v>68.94</v>
      </c>
      <c r="N694" s="3">
        <f ca="1">IFERROR(__xludf.DUMMYFUNCTION("""COMPUTED_VALUE"""),71.55)</f>
        <v>71.55</v>
      </c>
      <c r="O694" s="3">
        <f ca="1">IFERROR(__xludf.DUMMYFUNCTION("""COMPUTED_VALUE"""),43.44)</f>
        <v>43.44</v>
      </c>
      <c r="P694" s="3">
        <f ca="1">IFERROR(__xludf.DUMMYFUNCTION("""COMPUTED_VALUE"""),92.32)</f>
        <v>92.32</v>
      </c>
      <c r="Q694" s="3">
        <f ca="1">IFERROR(__xludf.DUMMYFUNCTION("""COMPUTED_VALUE"""),128.81)</f>
        <v>128.81</v>
      </c>
      <c r="R694" s="3">
        <f ca="1">IFERROR(__xludf.DUMMYFUNCTION("""COMPUTED_VALUE"""),94.71)</f>
        <v>94.71</v>
      </c>
      <c r="S694" s="3">
        <f ca="1">IFERROR(__xludf.DUMMYFUNCTION("""COMPUTED_VALUE"""),62.91)</f>
        <v>62.91</v>
      </c>
      <c r="T694" s="3">
        <f ca="1">IFERROR(__xludf.DUMMYFUNCTION("""COMPUTED_VALUE"""),23.18)</f>
        <v>23.18</v>
      </c>
      <c r="U694" s="3">
        <f ca="1">IFERROR(__xludf.DUMMYFUNCTION("""COMPUTED_VALUE"""),75.73)</f>
        <v>75.73</v>
      </c>
      <c r="V694" s="3">
        <f ca="1">IFERROR(__xludf.DUMMYFUNCTION("""COMPUTED_VALUE"""),41.64)</f>
        <v>41.64</v>
      </c>
      <c r="W694" s="3">
        <f ca="1">IFERROR(__xludf.DUMMYFUNCTION("""COMPUTED_VALUE"""),44.89)</f>
        <v>44.89</v>
      </c>
      <c r="X694" s="3">
        <f ca="1">IFERROR(__xludf.DUMMYFUNCTION("""COMPUTED_VALUE"""),108.87)</f>
        <v>108.87</v>
      </c>
      <c r="Y694" s="3">
        <f ca="1">IFERROR(__xludf.DUMMYFUNCTION("""COMPUTED_VALUE"""),51.4)</f>
        <v>51.4</v>
      </c>
      <c r="Z694" s="3">
        <f ca="1">IFERROR(__xludf.DUMMYFUNCTION("""COMPUTED_VALUE"""),102.7)</f>
        <v>102.7</v>
      </c>
      <c r="AA694" s="3">
        <f ca="1">IFERROR(__xludf.DUMMYFUNCTION("""COMPUTED_VALUE"""),43.81)</f>
        <v>43.81</v>
      </c>
      <c r="AB694" s="3">
        <f ca="1">IFERROR(__xludf.DUMMYFUNCTION("""COMPUTED_VALUE"""),54.72)</f>
        <v>54.72</v>
      </c>
      <c r="AC694" s="3">
        <f ca="1">IFERROR(__xludf.DUMMYFUNCTION("""COMPUTED_VALUE"""),71.17)</f>
        <v>71.17</v>
      </c>
      <c r="AD694" s="3">
        <f ca="1">IFERROR(__xludf.DUMMYFUNCTION("""COMPUTED_VALUE"""),15.27)</f>
        <v>15.27</v>
      </c>
      <c r="AE694" s="3">
        <f ca="1">IFERROR(__xludf.DUMMYFUNCTION("""COMPUTED_VALUE"""),17.38)</f>
        <v>17.38</v>
      </c>
      <c r="AF694" s="3">
        <f ca="1">IFERROR(__xludf.DUMMYFUNCTION("""COMPUTED_VALUE"""),4.88)</f>
        <v>4.88</v>
      </c>
      <c r="AG694" s="3">
        <f ca="1">IFERROR(__xludf.DUMMYFUNCTION("""COMPUTED_VALUE"""),45.21)</f>
        <v>45.21</v>
      </c>
    </row>
    <row r="695" spans="1:33" ht="12.75" x14ac:dyDescent="0.2">
      <c r="A695" s="4">
        <f ca="1">IFERROR(__xludf.DUMMYFUNCTION("""COMPUTED_VALUE"""),45569.6666666666)</f>
        <v>45569.666666666599</v>
      </c>
      <c r="B695" s="3">
        <f ca="1">IFERROR(__xludf.DUMMYFUNCTION("""COMPUTED_VALUE"""),225.29)</f>
        <v>225.29</v>
      </c>
      <c r="C695" s="3">
        <f ca="1">IFERROR(__xludf.DUMMYFUNCTION("""COMPUTED_VALUE"""),585.04)</f>
        <v>585.04</v>
      </c>
      <c r="D695" s="3">
        <f ca="1">IFERROR(__xludf.DUMMYFUNCTION("""COMPUTED_VALUE"""),154.52)</f>
        <v>154.52000000000001</v>
      </c>
      <c r="E695" s="3">
        <f ca="1">IFERROR(__xludf.DUMMYFUNCTION("""COMPUTED_VALUE"""),231.08)</f>
        <v>231.08</v>
      </c>
      <c r="F695" s="3">
        <f ca="1">IFERROR(__xludf.DUMMYFUNCTION("""COMPUTED_VALUE"""),68.58)</f>
        <v>68.58</v>
      </c>
      <c r="G695" s="3">
        <f ca="1">IFERROR(__xludf.DUMMYFUNCTION("""COMPUTED_VALUE"""),32.07)</f>
        <v>32.07</v>
      </c>
      <c r="H695" s="3">
        <f ca="1">IFERROR(__xludf.DUMMYFUNCTION("""COMPUTED_VALUE"""),30.4)</f>
        <v>30.4</v>
      </c>
      <c r="I695" s="3">
        <f ca="1">IFERROR(__xludf.DUMMYFUNCTION("""COMPUTED_VALUE"""),151.64)</f>
        <v>151.63999999999999</v>
      </c>
      <c r="J695" s="3">
        <f ca="1">IFERROR(__xludf.DUMMYFUNCTION("""COMPUTED_VALUE"""),277.81)</f>
        <v>277.81</v>
      </c>
      <c r="K695" s="3">
        <f ca="1">IFERROR(__xludf.DUMMYFUNCTION("""COMPUTED_VALUE"""),143.9)</f>
        <v>143.9</v>
      </c>
      <c r="L695" s="3">
        <f ca="1">IFERROR(__xludf.DUMMYFUNCTION("""COMPUTED_VALUE"""),97.51)</f>
        <v>97.51</v>
      </c>
      <c r="M695" s="3">
        <f ca="1">IFERROR(__xludf.DUMMYFUNCTION("""COMPUTED_VALUE"""),69.51)</f>
        <v>69.510000000000005</v>
      </c>
      <c r="N695" s="3">
        <f ca="1">IFERROR(__xludf.DUMMYFUNCTION("""COMPUTED_VALUE"""),71.7)</f>
        <v>71.7</v>
      </c>
      <c r="O695" s="3">
        <f ca="1">IFERROR(__xludf.DUMMYFUNCTION("""COMPUTED_VALUE"""),44.08)</f>
        <v>44.08</v>
      </c>
      <c r="P695" s="3">
        <f ca="1">IFERROR(__xludf.DUMMYFUNCTION("""COMPUTED_VALUE"""),93.18)</f>
        <v>93.18</v>
      </c>
      <c r="Q695" s="3">
        <f ca="1">IFERROR(__xludf.DUMMYFUNCTION("""COMPUTED_VALUE"""),130.05)</f>
        <v>130.05000000000001</v>
      </c>
      <c r="R695" s="3">
        <f ca="1">IFERROR(__xludf.DUMMYFUNCTION("""COMPUTED_VALUE"""),95.17)</f>
        <v>95.17</v>
      </c>
      <c r="S695" s="3">
        <f ca="1">IFERROR(__xludf.DUMMYFUNCTION("""COMPUTED_VALUE"""),63.73)</f>
        <v>63.73</v>
      </c>
      <c r="T695" s="3">
        <f ca="1">IFERROR(__xludf.DUMMYFUNCTION("""COMPUTED_VALUE"""),23.24)</f>
        <v>23.24</v>
      </c>
      <c r="U695" s="3">
        <f ca="1">IFERROR(__xludf.DUMMYFUNCTION("""COMPUTED_VALUE"""),76.35)</f>
        <v>76.349999999999994</v>
      </c>
      <c r="V695" s="3">
        <f ca="1">IFERROR(__xludf.DUMMYFUNCTION("""COMPUTED_VALUE"""),42.13)</f>
        <v>42.13</v>
      </c>
      <c r="W695" s="3">
        <f ca="1">IFERROR(__xludf.DUMMYFUNCTION("""COMPUTED_VALUE"""),45.65)</f>
        <v>45.65</v>
      </c>
      <c r="X695" s="3">
        <f ca="1">IFERROR(__xludf.DUMMYFUNCTION("""COMPUTED_VALUE"""),110.74)</f>
        <v>110.74</v>
      </c>
      <c r="Y695" s="3">
        <f ca="1">IFERROR(__xludf.DUMMYFUNCTION("""COMPUTED_VALUE"""),52.35)</f>
        <v>52.35</v>
      </c>
      <c r="Z695" s="3">
        <f ca="1">IFERROR(__xludf.DUMMYFUNCTION("""COMPUTED_VALUE"""),104.69)</f>
        <v>104.69</v>
      </c>
      <c r="AA695" s="3">
        <f ca="1">IFERROR(__xludf.DUMMYFUNCTION("""COMPUTED_VALUE"""),43.52)</f>
        <v>43.52</v>
      </c>
      <c r="AB695" s="3">
        <f ca="1">IFERROR(__xludf.DUMMYFUNCTION("""COMPUTED_VALUE"""),55.84)</f>
        <v>55.84</v>
      </c>
      <c r="AC695" s="3">
        <f ca="1">IFERROR(__xludf.DUMMYFUNCTION("""COMPUTED_VALUE"""),71.74)</f>
        <v>71.739999999999995</v>
      </c>
      <c r="AD695" s="3">
        <f ca="1">IFERROR(__xludf.DUMMYFUNCTION("""COMPUTED_VALUE"""),15.68)</f>
        <v>15.68</v>
      </c>
      <c r="AE695" s="3">
        <f ca="1">IFERROR(__xludf.DUMMYFUNCTION("""COMPUTED_VALUE"""),17.77)</f>
        <v>17.77</v>
      </c>
      <c r="AF695" s="3">
        <f ca="1">IFERROR(__xludf.DUMMYFUNCTION("""COMPUTED_VALUE"""),4.76)</f>
        <v>4.76</v>
      </c>
      <c r="AG695" s="3">
        <f ca="1">IFERROR(__xludf.DUMMYFUNCTION("""COMPUTED_VALUE"""),46.68)</f>
        <v>46.68</v>
      </c>
    </row>
    <row r="696" spans="1:33" ht="12.75" x14ac:dyDescent="0.2">
      <c r="A696" s="4">
        <f ca="1">IFERROR(__xludf.DUMMYFUNCTION("""COMPUTED_VALUE"""),45572.6666666666)</f>
        <v>45572.666666666599</v>
      </c>
      <c r="B696" s="3">
        <f ca="1">IFERROR(__xludf.DUMMYFUNCTION("""COMPUTED_VALUE"""),223.74)</f>
        <v>223.74</v>
      </c>
      <c r="C696" s="3">
        <f ca="1">IFERROR(__xludf.DUMMYFUNCTION("""COMPUTED_VALUE"""),580.84)</f>
        <v>580.84</v>
      </c>
      <c r="D696" s="3">
        <f ca="1">IFERROR(__xludf.DUMMYFUNCTION("""COMPUTED_VALUE"""),154.62)</f>
        <v>154.62</v>
      </c>
      <c r="E696" s="3">
        <f ca="1">IFERROR(__xludf.DUMMYFUNCTION("""COMPUTED_VALUE"""),230.45)</f>
        <v>230.45</v>
      </c>
      <c r="F696" s="3">
        <f ca="1">IFERROR(__xludf.DUMMYFUNCTION("""COMPUTED_VALUE"""),67.83)</f>
        <v>67.83</v>
      </c>
      <c r="G696" s="3">
        <f ca="1">IFERROR(__xludf.DUMMYFUNCTION("""COMPUTED_VALUE"""),31.84)</f>
        <v>31.84</v>
      </c>
      <c r="H696" s="3">
        <f ca="1">IFERROR(__xludf.DUMMYFUNCTION("""COMPUTED_VALUE"""),30.17)</f>
        <v>30.17</v>
      </c>
      <c r="I696" s="3">
        <f ca="1">IFERROR(__xludf.DUMMYFUNCTION("""COMPUTED_VALUE"""),150.97)</f>
        <v>150.97</v>
      </c>
      <c r="J696" s="3">
        <f ca="1">IFERROR(__xludf.DUMMYFUNCTION("""COMPUTED_VALUE"""),276.36)</f>
        <v>276.36</v>
      </c>
      <c r="K696" s="3">
        <f ca="1">IFERROR(__xludf.DUMMYFUNCTION("""COMPUTED_VALUE"""),142.18)</f>
        <v>142.18</v>
      </c>
      <c r="L696" s="3">
        <f ca="1">IFERROR(__xludf.DUMMYFUNCTION("""COMPUTED_VALUE"""),96.33)</f>
        <v>96.33</v>
      </c>
      <c r="M696" s="3">
        <f ca="1">IFERROR(__xludf.DUMMYFUNCTION("""COMPUTED_VALUE"""),68.38)</f>
        <v>68.38</v>
      </c>
      <c r="N696" s="3">
        <f ca="1">IFERROR(__xludf.DUMMYFUNCTION("""COMPUTED_VALUE"""),71.22)</f>
        <v>71.22</v>
      </c>
      <c r="O696" s="3">
        <f ca="1">IFERROR(__xludf.DUMMYFUNCTION("""COMPUTED_VALUE"""),43.52)</f>
        <v>43.52</v>
      </c>
      <c r="P696" s="3">
        <f ca="1">IFERROR(__xludf.DUMMYFUNCTION("""COMPUTED_VALUE"""),93.51)</f>
        <v>93.51</v>
      </c>
      <c r="Q696" s="3">
        <f ca="1">IFERROR(__xludf.DUMMYFUNCTION("""COMPUTED_VALUE"""),130.61)</f>
        <v>130.61000000000001</v>
      </c>
      <c r="R696" s="3">
        <f ca="1">IFERROR(__xludf.DUMMYFUNCTION("""COMPUTED_VALUE"""),94.89)</f>
        <v>94.89</v>
      </c>
      <c r="S696" s="3">
        <f ca="1">IFERROR(__xludf.DUMMYFUNCTION("""COMPUTED_VALUE"""),63.86)</f>
        <v>63.86</v>
      </c>
      <c r="T696" s="3">
        <f ca="1">IFERROR(__xludf.DUMMYFUNCTION("""COMPUTED_VALUE"""),23.56)</f>
        <v>23.56</v>
      </c>
      <c r="U696" s="3">
        <f ca="1">IFERROR(__xludf.DUMMYFUNCTION("""COMPUTED_VALUE"""),79.2)</f>
        <v>79.2</v>
      </c>
      <c r="V696" s="3">
        <f ca="1">IFERROR(__xludf.DUMMYFUNCTION("""COMPUTED_VALUE"""),42.89)</f>
        <v>42.89</v>
      </c>
      <c r="W696" s="3">
        <f ca="1">IFERROR(__xludf.DUMMYFUNCTION("""COMPUTED_VALUE"""),45.09)</f>
        <v>45.09</v>
      </c>
      <c r="X696" s="3">
        <f ca="1">IFERROR(__xludf.DUMMYFUNCTION("""COMPUTED_VALUE"""),109.43)</f>
        <v>109.43</v>
      </c>
      <c r="Y696" s="3">
        <f ca="1">IFERROR(__xludf.DUMMYFUNCTION("""COMPUTED_VALUE"""),52.05)</f>
        <v>52.05</v>
      </c>
      <c r="Z696" s="3">
        <f ca="1">IFERROR(__xludf.DUMMYFUNCTION("""COMPUTED_VALUE"""),103.28)</f>
        <v>103.28</v>
      </c>
      <c r="AA696" s="3">
        <f ca="1">IFERROR(__xludf.DUMMYFUNCTION("""COMPUTED_VALUE"""),43.2)</f>
        <v>43.2</v>
      </c>
      <c r="AB696" s="3">
        <f ca="1">IFERROR(__xludf.DUMMYFUNCTION("""COMPUTED_VALUE"""),55.59)</f>
        <v>55.59</v>
      </c>
      <c r="AC696" s="3">
        <f ca="1">IFERROR(__xludf.DUMMYFUNCTION("""COMPUTED_VALUE"""),71.6)</f>
        <v>71.599999999999994</v>
      </c>
      <c r="AD696" s="3">
        <f ca="1">IFERROR(__xludf.DUMMYFUNCTION("""COMPUTED_VALUE"""),15.85)</f>
        <v>15.85</v>
      </c>
      <c r="AE696" s="3">
        <f ca="1">IFERROR(__xludf.DUMMYFUNCTION("""COMPUTED_VALUE"""),18.03)</f>
        <v>18.03</v>
      </c>
      <c r="AF696" s="3">
        <f ca="1">IFERROR(__xludf.DUMMYFUNCTION("""COMPUTED_VALUE"""),4.58)</f>
        <v>4.58</v>
      </c>
      <c r="AG696" s="3">
        <f ca="1">IFERROR(__xludf.DUMMYFUNCTION("""COMPUTED_VALUE"""),45.55)</f>
        <v>45.55</v>
      </c>
    </row>
    <row r="697" spans="1:33" ht="12.75" x14ac:dyDescent="0.2">
      <c r="A697" s="4">
        <f ca="1">IFERROR(__xludf.DUMMYFUNCTION("""COMPUTED_VALUE"""),45573.6666666666)</f>
        <v>45573.666666666599</v>
      </c>
      <c r="B697" s="3">
        <f ca="1">IFERROR(__xludf.DUMMYFUNCTION("""COMPUTED_VALUE"""),227.92)</f>
        <v>227.92</v>
      </c>
      <c r="C697" s="3">
        <f ca="1">IFERROR(__xludf.DUMMYFUNCTION("""COMPUTED_VALUE"""),591.43)</f>
        <v>591.42999999999995</v>
      </c>
      <c r="D697" s="3">
        <f ca="1">IFERROR(__xludf.DUMMYFUNCTION("""COMPUTED_VALUE"""),155)</f>
        <v>155</v>
      </c>
      <c r="E697" s="3">
        <f ca="1">IFERROR(__xludf.DUMMYFUNCTION("""COMPUTED_VALUE"""),232.72)</f>
        <v>232.72</v>
      </c>
      <c r="F697" s="3">
        <f ca="1">IFERROR(__xludf.DUMMYFUNCTION("""COMPUTED_VALUE"""),68.93)</f>
        <v>68.930000000000007</v>
      </c>
      <c r="G697" s="3">
        <f ca="1">IFERROR(__xludf.DUMMYFUNCTION("""COMPUTED_VALUE"""),31.95)</f>
        <v>31.95</v>
      </c>
      <c r="H697" s="3">
        <f ca="1">IFERROR(__xludf.DUMMYFUNCTION("""COMPUTED_VALUE"""),30.17)</f>
        <v>30.17</v>
      </c>
      <c r="I697" s="3">
        <f ca="1">IFERROR(__xludf.DUMMYFUNCTION("""COMPUTED_VALUE"""),151.79)</f>
        <v>151.79</v>
      </c>
      <c r="J697" s="3">
        <f ca="1">IFERROR(__xludf.DUMMYFUNCTION("""COMPUTED_VALUE"""),277.83)</f>
        <v>277.83</v>
      </c>
      <c r="K697" s="3">
        <f ca="1">IFERROR(__xludf.DUMMYFUNCTION("""COMPUTED_VALUE"""),143)</f>
        <v>143</v>
      </c>
      <c r="L697" s="3">
        <f ca="1">IFERROR(__xludf.DUMMYFUNCTION("""COMPUTED_VALUE"""),97.1)</f>
        <v>97.1</v>
      </c>
      <c r="M697" s="3">
        <f ca="1">IFERROR(__xludf.DUMMYFUNCTION("""COMPUTED_VALUE"""),68.47)</f>
        <v>68.47</v>
      </c>
      <c r="N697" s="3">
        <f ca="1">IFERROR(__xludf.DUMMYFUNCTION("""COMPUTED_VALUE"""),71.6)</f>
        <v>71.599999999999994</v>
      </c>
      <c r="O697" s="3">
        <f ca="1">IFERROR(__xludf.DUMMYFUNCTION("""COMPUTED_VALUE"""),43.6)</f>
        <v>43.6</v>
      </c>
      <c r="P697" s="3">
        <f ca="1">IFERROR(__xludf.DUMMYFUNCTION("""COMPUTED_VALUE"""),91.07)</f>
        <v>91.07</v>
      </c>
      <c r="Q697" s="3">
        <f ca="1">IFERROR(__xludf.DUMMYFUNCTION("""COMPUTED_VALUE"""),127.24)</f>
        <v>127.24</v>
      </c>
      <c r="R697" s="3">
        <f ca="1">IFERROR(__xludf.DUMMYFUNCTION("""COMPUTED_VALUE"""),94.45)</f>
        <v>94.45</v>
      </c>
      <c r="S697" s="3">
        <f ca="1">IFERROR(__xludf.DUMMYFUNCTION("""COMPUTED_VALUE"""),62.72)</f>
        <v>62.72</v>
      </c>
      <c r="T697" s="3">
        <f ca="1">IFERROR(__xludf.DUMMYFUNCTION("""COMPUTED_VALUE"""),23.01)</f>
        <v>23.01</v>
      </c>
      <c r="U697" s="3">
        <f ca="1">IFERROR(__xludf.DUMMYFUNCTION("""COMPUTED_VALUE"""),75.79)</f>
        <v>75.790000000000006</v>
      </c>
      <c r="V697" s="3">
        <f ca="1">IFERROR(__xludf.DUMMYFUNCTION("""COMPUTED_VALUE"""),40.54)</f>
        <v>40.54</v>
      </c>
      <c r="W697" s="3">
        <f ca="1">IFERROR(__xludf.DUMMYFUNCTION("""COMPUTED_VALUE"""),45.35)</f>
        <v>45.35</v>
      </c>
      <c r="X697" s="3">
        <f ca="1">IFERROR(__xludf.DUMMYFUNCTION("""COMPUTED_VALUE"""),110.02)</f>
        <v>110.02</v>
      </c>
      <c r="Y697" s="3">
        <f ca="1">IFERROR(__xludf.DUMMYFUNCTION("""COMPUTED_VALUE"""),51.98)</f>
        <v>51.98</v>
      </c>
      <c r="Z697" s="3">
        <f ca="1">IFERROR(__xludf.DUMMYFUNCTION("""COMPUTED_VALUE"""),103.92)</f>
        <v>103.92</v>
      </c>
      <c r="AA697" s="3">
        <f ca="1">IFERROR(__xludf.DUMMYFUNCTION("""COMPUTED_VALUE"""),43.33)</f>
        <v>43.33</v>
      </c>
      <c r="AB697" s="3">
        <f ca="1">IFERROR(__xludf.DUMMYFUNCTION("""COMPUTED_VALUE"""),55.42)</f>
        <v>55.42</v>
      </c>
      <c r="AC697" s="3">
        <f ca="1">IFERROR(__xludf.DUMMYFUNCTION("""COMPUTED_VALUE"""),73.16)</f>
        <v>73.16</v>
      </c>
      <c r="AD697" s="3">
        <f ca="1">IFERROR(__xludf.DUMMYFUNCTION("""COMPUTED_VALUE"""),15.67)</f>
        <v>15.67</v>
      </c>
      <c r="AE697" s="3">
        <f ca="1">IFERROR(__xludf.DUMMYFUNCTION("""COMPUTED_VALUE"""),17.72)</f>
        <v>17.72</v>
      </c>
      <c r="AF697" s="3">
        <f ca="1">IFERROR(__xludf.DUMMYFUNCTION("""COMPUTED_VALUE"""),4.66)</f>
        <v>4.66</v>
      </c>
      <c r="AG697" s="3">
        <f ca="1">IFERROR(__xludf.DUMMYFUNCTION("""COMPUTED_VALUE"""),45.05)</f>
        <v>45.05</v>
      </c>
    </row>
    <row r="698" spans="1:33" ht="12.75" x14ac:dyDescent="0.2">
      <c r="A698" s="4">
        <f ca="1">IFERROR(__xludf.DUMMYFUNCTION("""COMPUTED_VALUE"""),45574.6666666666)</f>
        <v>45574.666666666599</v>
      </c>
      <c r="B698" s="3">
        <f ca="1">IFERROR(__xludf.DUMMYFUNCTION("""COMPUTED_VALUE"""),230.47)</f>
        <v>230.47</v>
      </c>
      <c r="C698" s="3">
        <f ca="1">IFERROR(__xludf.DUMMYFUNCTION("""COMPUTED_VALUE"""),598.05)</f>
        <v>598.04999999999995</v>
      </c>
      <c r="D698" s="3">
        <f ca="1">IFERROR(__xludf.DUMMYFUNCTION("""COMPUTED_VALUE"""),157.01)</f>
        <v>157.01</v>
      </c>
      <c r="E698" s="3">
        <f ca="1">IFERROR(__xludf.DUMMYFUNCTION("""COMPUTED_VALUE"""),235.15)</f>
        <v>235.15</v>
      </c>
      <c r="F698" s="3">
        <f ca="1">IFERROR(__xludf.DUMMYFUNCTION("""COMPUTED_VALUE"""),70.39)</f>
        <v>70.39</v>
      </c>
      <c r="G698" s="3">
        <f ca="1">IFERROR(__xludf.DUMMYFUNCTION("""COMPUTED_VALUE"""),32)</f>
        <v>32</v>
      </c>
      <c r="H698" s="3">
        <f ca="1">IFERROR(__xludf.DUMMYFUNCTION("""COMPUTED_VALUE"""),30.36)</f>
        <v>30.36</v>
      </c>
      <c r="I698" s="3">
        <f ca="1">IFERROR(__xludf.DUMMYFUNCTION("""COMPUTED_VALUE"""),153.34)</f>
        <v>153.34</v>
      </c>
      <c r="J698" s="3">
        <f ca="1">IFERROR(__xludf.DUMMYFUNCTION("""COMPUTED_VALUE"""),280.21)</f>
        <v>280.20999999999998</v>
      </c>
      <c r="K698" s="3">
        <f ca="1">IFERROR(__xludf.DUMMYFUNCTION("""COMPUTED_VALUE"""),143.14)</f>
        <v>143.13999999999999</v>
      </c>
      <c r="L698" s="3">
        <f ca="1">IFERROR(__xludf.DUMMYFUNCTION("""COMPUTED_VALUE"""),96.31)</f>
        <v>96.31</v>
      </c>
      <c r="M698" s="3">
        <f ca="1">IFERROR(__xludf.DUMMYFUNCTION("""COMPUTED_VALUE"""),68.02)</f>
        <v>68.02</v>
      </c>
      <c r="N698" s="3">
        <f ca="1">IFERROR(__xludf.DUMMYFUNCTION("""COMPUTED_VALUE"""),72.28)</f>
        <v>72.28</v>
      </c>
      <c r="O698" s="3">
        <f ca="1">IFERROR(__xludf.DUMMYFUNCTION("""COMPUTED_VALUE"""),43.12)</f>
        <v>43.12</v>
      </c>
      <c r="P698" s="3">
        <f ca="1">IFERROR(__xludf.DUMMYFUNCTION("""COMPUTED_VALUE"""),91.62)</f>
        <v>91.62</v>
      </c>
      <c r="Q698" s="3">
        <f ca="1">IFERROR(__xludf.DUMMYFUNCTION("""COMPUTED_VALUE"""),127.76)</f>
        <v>127.76</v>
      </c>
      <c r="R698" s="3">
        <f ca="1">IFERROR(__xludf.DUMMYFUNCTION("""COMPUTED_VALUE"""),95.05)</f>
        <v>95.05</v>
      </c>
      <c r="S698" s="3">
        <f ca="1">IFERROR(__xludf.DUMMYFUNCTION("""COMPUTED_VALUE"""),63.09)</f>
        <v>63.09</v>
      </c>
      <c r="T698" s="3">
        <f ca="1">IFERROR(__xludf.DUMMYFUNCTION("""COMPUTED_VALUE"""),22.81)</f>
        <v>22.81</v>
      </c>
      <c r="U698" s="3">
        <f ca="1">IFERROR(__xludf.DUMMYFUNCTION("""COMPUTED_VALUE"""),75.25)</f>
        <v>75.25</v>
      </c>
      <c r="V698" s="3">
        <f ca="1">IFERROR(__xludf.DUMMYFUNCTION("""COMPUTED_VALUE"""),40.05)</f>
        <v>40.049999999999997</v>
      </c>
      <c r="W698" s="3">
        <f ca="1">IFERROR(__xludf.DUMMYFUNCTION("""COMPUTED_VALUE"""),45.77)</f>
        <v>45.77</v>
      </c>
      <c r="X698" s="3">
        <f ca="1">IFERROR(__xludf.DUMMYFUNCTION("""COMPUTED_VALUE"""),111)</f>
        <v>111</v>
      </c>
      <c r="Y698" s="3">
        <f ca="1">IFERROR(__xludf.DUMMYFUNCTION("""COMPUTED_VALUE"""),52.57)</f>
        <v>52.57</v>
      </c>
      <c r="Z698" s="3">
        <f ca="1">IFERROR(__xludf.DUMMYFUNCTION("""COMPUTED_VALUE"""),104.95)</f>
        <v>104.95</v>
      </c>
      <c r="AA698" s="3">
        <f ca="1">IFERROR(__xludf.DUMMYFUNCTION("""COMPUTED_VALUE"""),43.35)</f>
        <v>43.35</v>
      </c>
      <c r="AB698" s="3">
        <f ca="1">IFERROR(__xludf.DUMMYFUNCTION("""COMPUTED_VALUE"""),56.14)</f>
        <v>56.14</v>
      </c>
      <c r="AC698" s="3">
        <f ca="1">IFERROR(__xludf.DUMMYFUNCTION("""COMPUTED_VALUE"""),73.69)</f>
        <v>73.69</v>
      </c>
      <c r="AD698" s="3">
        <f ca="1">IFERROR(__xludf.DUMMYFUNCTION("""COMPUTED_VALUE"""),15.44)</f>
        <v>15.44</v>
      </c>
      <c r="AE698" s="3">
        <f ca="1">IFERROR(__xludf.DUMMYFUNCTION("""COMPUTED_VALUE"""),17.35)</f>
        <v>17.350000000000001</v>
      </c>
      <c r="AF698" s="3">
        <f ca="1">IFERROR(__xludf.DUMMYFUNCTION("""COMPUTED_VALUE"""),4.65)</f>
        <v>4.6500000000000004</v>
      </c>
      <c r="AG698" s="3">
        <f ca="1">IFERROR(__xludf.DUMMYFUNCTION("""COMPUTED_VALUE"""),43.85)</f>
        <v>43.85</v>
      </c>
    </row>
    <row r="699" spans="1:33" ht="12.75" x14ac:dyDescent="0.2">
      <c r="A699" s="4">
        <f ca="1">IFERROR(__xludf.DUMMYFUNCTION("""COMPUTED_VALUE"""),45575.6666666666)</f>
        <v>45575.666666666599</v>
      </c>
      <c r="B699" s="3">
        <f ca="1">IFERROR(__xludf.DUMMYFUNCTION("""COMPUTED_VALUE"""),230.41)</f>
        <v>230.41</v>
      </c>
      <c r="C699" s="3">
        <f ca="1">IFERROR(__xludf.DUMMYFUNCTION("""COMPUTED_VALUE"""),598.59)</f>
        <v>598.59</v>
      </c>
      <c r="D699" s="3">
        <f ca="1">IFERROR(__xludf.DUMMYFUNCTION("""COMPUTED_VALUE"""),154.16)</f>
        <v>154.16</v>
      </c>
      <c r="E699" s="3">
        <f ca="1">IFERROR(__xludf.DUMMYFUNCTION("""COMPUTED_VALUE"""),233.5)</f>
        <v>233.5</v>
      </c>
      <c r="F699" s="3">
        <f ca="1">IFERROR(__xludf.DUMMYFUNCTION("""COMPUTED_VALUE"""),71.43)</f>
        <v>71.430000000000007</v>
      </c>
      <c r="G699" s="3">
        <f ca="1">IFERROR(__xludf.DUMMYFUNCTION("""COMPUTED_VALUE"""),31.99)</f>
        <v>31.99</v>
      </c>
      <c r="H699" s="3">
        <f ca="1">IFERROR(__xludf.DUMMYFUNCTION("""COMPUTED_VALUE"""),30.24)</f>
        <v>30.24</v>
      </c>
      <c r="I699" s="3">
        <f ca="1">IFERROR(__xludf.DUMMYFUNCTION("""COMPUTED_VALUE"""),152.77)</f>
        <v>152.77000000000001</v>
      </c>
      <c r="J699" s="3">
        <f ca="1">IFERROR(__xludf.DUMMYFUNCTION("""COMPUTED_VALUE"""),279.27)</f>
        <v>279.27</v>
      </c>
      <c r="K699" s="3">
        <f ca="1">IFERROR(__xludf.DUMMYFUNCTION("""COMPUTED_VALUE"""),143.15)</f>
        <v>143.15</v>
      </c>
      <c r="L699" s="3">
        <f ca="1">IFERROR(__xludf.DUMMYFUNCTION("""COMPUTED_VALUE"""),96.22)</f>
        <v>96.22</v>
      </c>
      <c r="M699" s="3">
        <f ca="1">IFERROR(__xludf.DUMMYFUNCTION("""COMPUTED_VALUE"""),68.05)</f>
        <v>68.05</v>
      </c>
      <c r="N699" s="3">
        <f ca="1">IFERROR(__xludf.DUMMYFUNCTION("""COMPUTED_VALUE"""),71.97)</f>
        <v>71.97</v>
      </c>
      <c r="O699" s="3">
        <f ca="1">IFERROR(__xludf.DUMMYFUNCTION("""COMPUTED_VALUE"""),42.8)</f>
        <v>42.8</v>
      </c>
      <c r="P699" s="3">
        <f ca="1">IFERROR(__xludf.DUMMYFUNCTION("""COMPUTED_VALUE"""),92.24)</f>
        <v>92.24</v>
      </c>
      <c r="Q699" s="3">
        <f ca="1">IFERROR(__xludf.DUMMYFUNCTION("""COMPUTED_VALUE"""),128.74)</f>
        <v>128.74</v>
      </c>
      <c r="R699" s="3">
        <f ca="1">IFERROR(__xludf.DUMMYFUNCTION("""COMPUTED_VALUE"""),95.27)</f>
        <v>95.27</v>
      </c>
      <c r="S699" s="3">
        <f ca="1">IFERROR(__xludf.DUMMYFUNCTION("""COMPUTED_VALUE"""),63.71)</f>
        <v>63.71</v>
      </c>
      <c r="T699" s="3">
        <f ca="1">IFERROR(__xludf.DUMMYFUNCTION("""COMPUTED_VALUE"""),23.26)</f>
        <v>23.26</v>
      </c>
      <c r="U699" s="3">
        <f ca="1">IFERROR(__xludf.DUMMYFUNCTION("""COMPUTED_VALUE"""),77.77)</f>
        <v>77.77</v>
      </c>
      <c r="V699" s="3">
        <f ca="1">IFERROR(__xludf.DUMMYFUNCTION("""COMPUTED_VALUE"""),38.57)</f>
        <v>38.57</v>
      </c>
      <c r="W699" s="3">
        <f ca="1">IFERROR(__xludf.DUMMYFUNCTION("""COMPUTED_VALUE"""),45.63)</f>
        <v>45.63</v>
      </c>
      <c r="X699" s="3">
        <f ca="1">IFERROR(__xludf.DUMMYFUNCTION("""COMPUTED_VALUE"""),110.76)</f>
        <v>110.76</v>
      </c>
      <c r="Y699" s="3">
        <f ca="1">IFERROR(__xludf.DUMMYFUNCTION("""COMPUTED_VALUE"""),52.48)</f>
        <v>52.48</v>
      </c>
      <c r="Z699" s="3">
        <f ca="1">IFERROR(__xludf.DUMMYFUNCTION("""COMPUTED_VALUE"""),104.56)</f>
        <v>104.56</v>
      </c>
      <c r="AA699" s="3">
        <f ca="1">IFERROR(__xludf.DUMMYFUNCTION("""COMPUTED_VALUE"""),42.99)</f>
        <v>42.99</v>
      </c>
      <c r="AB699" s="3">
        <f ca="1">IFERROR(__xludf.DUMMYFUNCTION("""COMPUTED_VALUE"""),56.09)</f>
        <v>56.09</v>
      </c>
      <c r="AC699" s="3">
        <f ca="1">IFERROR(__xludf.DUMMYFUNCTION("""COMPUTED_VALUE"""),73.97)</f>
        <v>73.97</v>
      </c>
      <c r="AD699" s="3">
        <f ca="1">IFERROR(__xludf.DUMMYFUNCTION("""COMPUTED_VALUE"""),15.12)</f>
        <v>15.12</v>
      </c>
      <c r="AE699" s="3">
        <f ca="1">IFERROR(__xludf.DUMMYFUNCTION("""COMPUTED_VALUE"""),16.99)</f>
        <v>16.989999999999998</v>
      </c>
      <c r="AF699" s="3">
        <f ca="1">IFERROR(__xludf.DUMMYFUNCTION("""COMPUTED_VALUE"""),4.95)</f>
        <v>4.95</v>
      </c>
      <c r="AG699" s="3">
        <f ca="1">IFERROR(__xludf.DUMMYFUNCTION("""COMPUTED_VALUE"""),43.47)</f>
        <v>43.47</v>
      </c>
    </row>
    <row r="700" spans="1:33" ht="12.75" x14ac:dyDescent="0.2">
      <c r="A700" s="4">
        <f ca="1">IFERROR(__xludf.DUMMYFUNCTION("""COMPUTED_VALUE"""),45576.6666666666)</f>
        <v>45576.666666666599</v>
      </c>
      <c r="B700" s="3">
        <f ca="1">IFERROR(__xludf.DUMMYFUNCTION("""COMPUTED_VALUE"""),230.81)</f>
        <v>230.81</v>
      </c>
      <c r="C700" s="3">
        <f ca="1">IFERROR(__xludf.DUMMYFUNCTION("""COMPUTED_VALUE"""),600.44)</f>
        <v>600.44000000000005</v>
      </c>
      <c r="D700" s="3">
        <f ca="1">IFERROR(__xludf.DUMMYFUNCTION("""COMPUTED_VALUE"""),154.18)</f>
        <v>154.18</v>
      </c>
      <c r="E700" s="3">
        <f ca="1">IFERROR(__xludf.DUMMYFUNCTION("""COMPUTED_VALUE"""),235.46)</f>
        <v>235.46</v>
      </c>
      <c r="F700" s="3">
        <f ca="1">IFERROR(__xludf.DUMMYFUNCTION("""COMPUTED_VALUE"""),71.67)</f>
        <v>71.67</v>
      </c>
      <c r="G700" s="3">
        <f ca="1">IFERROR(__xludf.DUMMYFUNCTION("""COMPUTED_VALUE"""),32.2)</f>
        <v>32.200000000000003</v>
      </c>
      <c r="H700" s="3">
        <f ca="1">IFERROR(__xludf.DUMMYFUNCTION("""COMPUTED_VALUE"""),30.56)</f>
        <v>30.56</v>
      </c>
      <c r="I700" s="3">
        <f ca="1">IFERROR(__xludf.DUMMYFUNCTION("""COMPUTED_VALUE"""),153.89)</f>
        <v>153.88999999999999</v>
      </c>
      <c r="J700" s="3">
        <f ca="1">IFERROR(__xludf.DUMMYFUNCTION("""COMPUTED_VALUE"""),281.76)</f>
        <v>281.76</v>
      </c>
      <c r="K700" s="3">
        <f ca="1">IFERROR(__xludf.DUMMYFUNCTION("""COMPUTED_VALUE"""),145.59)</f>
        <v>145.59</v>
      </c>
      <c r="L700" s="3">
        <f ca="1">IFERROR(__xludf.DUMMYFUNCTION("""COMPUTED_VALUE"""),98.68)</f>
        <v>98.68</v>
      </c>
      <c r="M700" s="3">
        <f ca="1">IFERROR(__xludf.DUMMYFUNCTION("""COMPUTED_VALUE"""),69.35)</f>
        <v>69.349999999999994</v>
      </c>
      <c r="N700" s="3">
        <f ca="1">IFERROR(__xludf.DUMMYFUNCTION("""COMPUTED_VALUE"""),72.61)</f>
        <v>72.61</v>
      </c>
      <c r="O700" s="3">
        <f ca="1">IFERROR(__xludf.DUMMYFUNCTION("""COMPUTED_VALUE"""),43.94)</f>
        <v>43.94</v>
      </c>
      <c r="P700" s="3">
        <f ca="1">IFERROR(__xludf.DUMMYFUNCTION("""COMPUTED_VALUE"""),92.81)</f>
        <v>92.81</v>
      </c>
      <c r="Q700" s="3">
        <f ca="1">IFERROR(__xludf.DUMMYFUNCTION("""COMPUTED_VALUE"""),129.65)</f>
        <v>129.65</v>
      </c>
      <c r="R700" s="3">
        <f ca="1">IFERROR(__xludf.DUMMYFUNCTION("""COMPUTED_VALUE"""),95.89)</f>
        <v>95.89</v>
      </c>
      <c r="S700" s="3">
        <f ca="1">IFERROR(__xludf.DUMMYFUNCTION("""COMPUTED_VALUE"""),64.67)</f>
        <v>64.67</v>
      </c>
      <c r="T700" s="3">
        <f ca="1">IFERROR(__xludf.DUMMYFUNCTION("""COMPUTED_VALUE"""),23.28)</f>
        <v>23.28</v>
      </c>
      <c r="U700" s="3">
        <f ca="1">IFERROR(__xludf.DUMMYFUNCTION("""COMPUTED_VALUE"""),77.49)</f>
        <v>77.489999999999995</v>
      </c>
      <c r="V700" s="3">
        <f ca="1">IFERROR(__xludf.DUMMYFUNCTION("""COMPUTED_VALUE"""),39.32)</f>
        <v>39.32</v>
      </c>
      <c r="W700" s="3">
        <f ca="1">IFERROR(__xludf.DUMMYFUNCTION("""COMPUTED_VALUE"""),46.51)</f>
        <v>46.51</v>
      </c>
      <c r="X700" s="3">
        <f ca="1">IFERROR(__xludf.DUMMYFUNCTION("""COMPUTED_VALUE"""),113.01)</f>
        <v>113.01</v>
      </c>
      <c r="Y700" s="3">
        <f ca="1">IFERROR(__xludf.DUMMYFUNCTION("""COMPUTED_VALUE"""),54.05)</f>
        <v>54.05</v>
      </c>
      <c r="Z700" s="3">
        <f ca="1">IFERROR(__xludf.DUMMYFUNCTION("""COMPUTED_VALUE"""),106.92)</f>
        <v>106.92</v>
      </c>
      <c r="AA700" s="3">
        <f ca="1">IFERROR(__xludf.DUMMYFUNCTION("""COMPUTED_VALUE"""),43.43)</f>
        <v>43.43</v>
      </c>
      <c r="AB700" s="3">
        <f ca="1">IFERROR(__xludf.DUMMYFUNCTION("""COMPUTED_VALUE"""),58.03)</f>
        <v>58.03</v>
      </c>
      <c r="AC700" s="3">
        <f ca="1">IFERROR(__xludf.DUMMYFUNCTION("""COMPUTED_VALUE"""),74.92)</f>
        <v>74.92</v>
      </c>
      <c r="AD700" s="3">
        <f ca="1">IFERROR(__xludf.DUMMYFUNCTION("""COMPUTED_VALUE"""),15.85)</f>
        <v>15.85</v>
      </c>
      <c r="AE700" s="3">
        <f ca="1">IFERROR(__xludf.DUMMYFUNCTION("""COMPUTED_VALUE"""),17.98)</f>
        <v>17.98</v>
      </c>
      <c r="AF700" s="3">
        <f ca="1">IFERROR(__xludf.DUMMYFUNCTION("""COMPUTED_VALUE"""),4.84)</f>
        <v>4.84</v>
      </c>
      <c r="AG700" s="3">
        <f ca="1">IFERROR(__xludf.DUMMYFUNCTION("""COMPUTED_VALUE"""),45.98)</f>
        <v>45.98</v>
      </c>
    </row>
    <row r="701" spans="1:33" ht="12.75" x14ac:dyDescent="0.2">
      <c r="A701" s="4">
        <f ca="1">IFERROR(__xludf.DUMMYFUNCTION("""COMPUTED_VALUE"""),45579.6666666666)</f>
        <v>45579.666666666599</v>
      </c>
      <c r="B701" s="3">
        <f ca="1">IFERROR(__xludf.DUMMYFUNCTION("""COMPUTED_VALUE"""),233.82)</f>
        <v>233.82</v>
      </c>
      <c r="C701" s="3">
        <f ca="1">IFERROR(__xludf.DUMMYFUNCTION("""COMPUTED_VALUE"""),607.88)</f>
        <v>607.88</v>
      </c>
      <c r="D701" s="3">
        <f ca="1">IFERROR(__xludf.DUMMYFUNCTION("""COMPUTED_VALUE"""),154.63)</f>
        <v>154.63</v>
      </c>
      <c r="E701" s="3">
        <f ca="1">IFERROR(__xludf.DUMMYFUNCTION("""COMPUTED_VALUE"""),239.8)</f>
        <v>239.8</v>
      </c>
      <c r="F701" s="3">
        <f ca="1">IFERROR(__xludf.DUMMYFUNCTION("""COMPUTED_VALUE"""),71.75)</f>
        <v>71.75</v>
      </c>
      <c r="G701" s="3">
        <f ca="1">IFERROR(__xludf.DUMMYFUNCTION("""COMPUTED_VALUE"""),32.4)</f>
        <v>32.4</v>
      </c>
      <c r="H701" s="3">
        <f ca="1">IFERROR(__xludf.DUMMYFUNCTION("""COMPUTED_VALUE"""),30.65)</f>
        <v>30.65</v>
      </c>
      <c r="I701" s="3">
        <f ca="1">IFERROR(__xludf.DUMMYFUNCTION("""COMPUTED_VALUE"""),154.74)</f>
        <v>154.74</v>
      </c>
      <c r="J701" s="3">
        <f ca="1">IFERROR(__xludf.DUMMYFUNCTION("""COMPUTED_VALUE"""),283.3)</f>
        <v>283.3</v>
      </c>
      <c r="K701" s="3">
        <f ca="1">IFERROR(__xludf.DUMMYFUNCTION("""COMPUTED_VALUE"""),145.71)</f>
        <v>145.71</v>
      </c>
      <c r="L701" s="3">
        <f ca="1">IFERROR(__xludf.DUMMYFUNCTION("""COMPUTED_VALUE"""),99.07)</f>
        <v>99.07</v>
      </c>
      <c r="M701" s="3">
        <f ca="1">IFERROR(__xludf.DUMMYFUNCTION("""COMPUTED_VALUE"""),69.96)</f>
        <v>69.959999999999994</v>
      </c>
      <c r="N701" s="3">
        <f ca="1">IFERROR(__xludf.DUMMYFUNCTION("""COMPUTED_VALUE"""),73.04)</f>
        <v>73.040000000000006</v>
      </c>
      <c r="O701" s="3">
        <f ca="1">IFERROR(__xludf.DUMMYFUNCTION("""COMPUTED_VALUE"""),44.52)</f>
        <v>44.52</v>
      </c>
      <c r="P701" s="3">
        <f ca="1">IFERROR(__xludf.DUMMYFUNCTION("""COMPUTED_VALUE"""),92.77)</f>
        <v>92.77</v>
      </c>
      <c r="Q701" s="3">
        <f ca="1">IFERROR(__xludf.DUMMYFUNCTION("""COMPUTED_VALUE"""),129.25)</f>
        <v>129.25</v>
      </c>
      <c r="R701" s="3">
        <f ca="1">IFERROR(__xludf.DUMMYFUNCTION("""COMPUTED_VALUE"""),96.44)</f>
        <v>96.44</v>
      </c>
      <c r="S701" s="3">
        <f ca="1">IFERROR(__xludf.DUMMYFUNCTION("""COMPUTED_VALUE"""),64.63)</f>
        <v>64.63</v>
      </c>
      <c r="T701" s="3">
        <f ca="1">IFERROR(__xludf.DUMMYFUNCTION("""COMPUTED_VALUE"""),22.92)</f>
        <v>22.92</v>
      </c>
      <c r="U701" s="3">
        <f ca="1">IFERROR(__xludf.DUMMYFUNCTION("""COMPUTED_VALUE"""),75.93)</f>
        <v>75.930000000000007</v>
      </c>
      <c r="V701" s="3">
        <f ca="1">IFERROR(__xludf.DUMMYFUNCTION("""COMPUTED_VALUE"""),38.88)</f>
        <v>38.880000000000003</v>
      </c>
      <c r="W701" s="3">
        <f ca="1">IFERROR(__xludf.DUMMYFUNCTION("""COMPUTED_VALUE"""),46.8)</f>
        <v>46.8</v>
      </c>
      <c r="X701" s="3">
        <f ca="1">IFERROR(__xludf.DUMMYFUNCTION("""COMPUTED_VALUE"""),113.88)</f>
        <v>113.88</v>
      </c>
      <c r="Y701" s="3">
        <f ca="1">IFERROR(__xludf.DUMMYFUNCTION("""COMPUTED_VALUE"""),54.59)</f>
        <v>54.59</v>
      </c>
      <c r="Z701" s="3">
        <f ca="1">IFERROR(__xludf.DUMMYFUNCTION("""COMPUTED_VALUE"""),107.73)</f>
        <v>107.73</v>
      </c>
      <c r="AA701" s="3">
        <f ca="1">IFERROR(__xludf.DUMMYFUNCTION("""COMPUTED_VALUE"""),43.73)</f>
        <v>43.73</v>
      </c>
      <c r="AB701" s="3">
        <f ca="1">IFERROR(__xludf.DUMMYFUNCTION("""COMPUTED_VALUE"""),58.49)</f>
        <v>58.49</v>
      </c>
      <c r="AC701" s="3">
        <f ca="1">IFERROR(__xludf.DUMMYFUNCTION("""COMPUTED_VALUE"""),75.24)</f>
        <v>75.239999999999995</v>
      </c>
      <c r="AD701" s="3">
        <f ca="1">IFERROR(__xludf.DUMMYFUNCTION("""COMPUTED_VALUE"""),16.75)</f>
        <v>16.75</v>
      </c>
      <c r="AE701" s="3">
        <f ca="1">IFERROR(__xludf.DUMMYFUNCTION("""COMPUTED_VALUE"""),18.77)</f>
        <v>18.77</v>
      </c>
      <c r="AF701" s="3">
        <f ca="1">IFERROR(__xludf.DUMMYFUNCTION("""COMPUTED_VALUE"""),4.87)</f>
        <v>4.87</v>
      </c>
      <c r="AG701" s="3">
        <f ca="1">IFERROR(__xludf.DUMMYFUNCTION("""COMPUTED_VALUE"""),48.36)</f>
        <v>48.36</v>
      </c>
    </row>
    <row r="702" spans="1:33" ht="12.75" x14ac:dyDescent="0.2">
      <c r="A702" s="4">
        <f ca="1">IFERROR(__xludf.DUMMYFUNCTION("""COMPUTED_VALUE"""),45580.6666666666)</f>
        <v>45580.666666666599</v>
      </c>
      <c r="B702" s="3">
        <f ca="1">IFERROR(__xludf.DUMMYFUNCTION("""COMPUTED_VALUE"""),228.68)</f>
        <v>228.68</v>
      </c>
      <c r="C702" s="3">
        <f ca="1">IFERROR(__xludf.DUMMYFUNCTION("""COMPUTED_VALUE"""),596.92)</f>
        <v>596.91999999999996</v>
      </c>
      <c r="D702" s="3">
        <f ca="1">IFERROR(__xludf.DUMMYFUNCTION("""COMPUTED_VALUE"""),155.2)</f>
        <v>155.19999999999999</v>
      </c>
      <c r="E702" s="3">
        <f ca="1">IFERROR(__xludf.DUMMYFUNCTION("""COMPUTED_VALUE"""),227.36)</f>
        <v>227.36</v>
      </c>
      <c r="F702" s="3">
        <f ca="1">IFERROR(__xludf.DUMMYFUNCTION("""COMPUTED_VALUE"""),71.05)</f>
        <v>71.05</v>
      </c>
      <c r="G702" s="3">
        <f ca="1">IFERROR(__xludf.DUMMYFUNCTION("""COMPUTED_VALUE"""),31.59)</f>
        <v>31.59</v>
      </c>
      <c r="H702" s="3">
        <f ca="1">IFERROR(__xludf.DUMMYFUNCTION("""COMPUTED_VALUE"""),30.37)</f>
        <v>30.37</v>
      </c>
      <c r="I702" s="3">
        <f ca="1">IFERROR(__xludf.DUMMYFUNCTION("""COMPUTED_VALUE"""),152.85)</f>
        <v>152.85</v>
      </c>
      <c r="J702" s="3">
        <f ca="1">IFERROR(__xludf.DUMMYFUNCTION("""COMPUTED_VALUE"""),280.48)</f>
        <v>280.48</v>
      </c>
      <c r="K702" s="3">
        <f ca="1">IFERROR(__xludf.DUMMYFUNCTION("""COMPUTED_VALUE"""),145.82)</f>
        <v>145.82</v>
      </c>
      <c r="L702" s="3">
        <f ca="1">IFERROR(__xludf.DUMMYFUNCTION("""COMPUTED_VALUE"""),99.31)</f>
        <v>99.31</v>
      </c>
      <c r="M702" s="3">
        <f ca="1">IFERROR(__xludf.DUMMYFUNCTION("""COMPUTED_VALUE"""),70.13)</f>
        <v>70.13</v>
      </c>
      <c r="N702" s="3">
        <f ca="1">IFERROR(__xludf.DUMMYFUNCTION("""COMPUTED_VALUE"""),72.37)</f>
        <v>72.37</v>
      </c>
      <c r="O702" s="3">
        <f ca="1">IFERROR(__xludf.DUMMYFUNCTION("""COMPUTED_VALUE"""),43.92)</f>
        <v>43.92</v>
      </c>
      <c r="P702" s="3">
        <f ca="1">IFERROR(__xludf.DUMMYFUNCTION("""COMPUTED_VALUE"""),92.77)</f>
        <v>92.77</v>
      </c>
      <c r="Q702" s="3">
        <f ca="1">IFERROR(__xludf.DUMMYFUNCTION("""COMPUTED_VALUE"""),125.2)</f>
        <v>125.2</v>
      </c>
      <c r="R702" s="3">
        <f ca="1">IFERROR(__xludf.DUMMYFUNCTION("""COMPUTED_VALUE"""),96.34)</f>
        <v>96.34</v>
      </c>
      <c r="S702" s="3">
        <f ca="1">IFERROR(__xludf.DUMMYFUNCTION("""COMPUTED_VALUE"""),64.19)</f>
        <v>64.19</v>
      </c>
      <c r="T702" s="3">
        <f ca="1">IFERROR(__xludf.DUMMYFUNCTION("""COMPUTED_VALUE"""),22.48)</f>
        <v>22.48</v>
      </c>
      <c r="U702" s="3">
        <f ca="1">IFERROR(__xludf.DUMMYFUNCTION("""COMPUTED_VALUE"""),72.76)</f>
        <v>72.760000000000005</v>
      </c>
      <c r="V702" s="3">
        <f ca="1">IFERROR(__xludf.DUMMYFUNCTION("""COMPUTED_VALUE"""),37.51)</f>
        <v>37.51</v>
      </c>
      <c r="W702" s="3">
        <f ca="1">IFERROR(__xludf.DUMMYFUNCTION("""COMPUTED_VALUE"""),46.9)</f>
        <v>46.9</v>
      </c>
      <c r="X702" s="3">
        <f ca="1">IFERROR(__xludf.DUMMYFUNCTION("""COMPUTED_VALUE"""),114.22)</f>
        <v>114.22</v>
      </c>
      <c r="Y702" s="3">
        <f ca="1">IFERROR(__xludf.DUMMYFUNCTION("""COMPUTED_VALUE"""),55.1)</f>
        <v>55.1</v>
      </c>
      <c r="Z702" s="3">
        <f ca="1">IFERROR(__xludf.DUMMYFUNCTION("""COMPUTED_VALUE"""),107.73)</f>
        <v>107.73</v>
      </c>
      <c r="AA702" s="3">
        <f ca="1">IFERROR(__xludf.DUMMYFUNCTION("""COMPUTED_VALUE"""),44.28)</f>
        <v>44.28</v>
      </c>
      <c r="AB702" s="3">
        <f ca="1">IFERROR(__xludf.DUMMYFUNCTION("""COMPUTED_VALUE"""),59.13)</f>
        <v>59.13</v>
      </c>
      <c r="AC702" s="3">
        <f ca="1">IFERROR(__xludf.DUMMYFUNCTION("""COMPUTED_VALUE"""),75.23)</f>
        <v>75.23</v>
      </c>
      <c r="AD702" s="3">
        <f ca="1">IFERROR(__xludf.DUMMYFUNCTION("""COMPUTED_VALUE"""),16.77)</f>
        <v>16.77</v>
      </c>
      <c r="AE702" s="3">
        <f ca="1">IFERROR(__xludf.DUMMYFUNCTION("""COMPUTED_VALUE"""),19.08)</f>
        <v>19.079999999999998</v>
      </c>
      <c r="AF702" s="3">
        <f ca="1">IFERROR(__xludf.DUMMYFUNCTION("""COMPUTED_VALUE"""),4.8)</f>
        <v>4.8</v>
      </c>
      <c r="AG702" s="3">
        <f ca="1">IFERROR(__xludf.DUMMYFUNCTION("""COMPUTED_VALUE"""),48.61)</f>
        <v>48.61</v>
      </c>
    </row>
    <row r="703" spans="1:33" ht="12.75" x14ac:dyDescent="0.2">
      <c r="A703" s="4">
        <f ca="1">IFERROR(__xludf.DUMMYFUNCTION("""COMPUTED_VALUE"""),45581.6666666666)</f>
        <v>45581.666666666599</v>
      </c>
      <c r="B703" s="3">
        <f ca="1">IFERROR(__xludf.DUMMYFUNCTION("""COMPUTED_VALUE"""),229.39)</f>
        <v>229.39</v>
      </c>
      <c r="C703" s="3">
        <f ca="1">IFERROR(__xludf.DUMMYFUNCTION("""COMPUTED_VALUE"""),599.13)</f>
        <v>599.13</v>
      </c>
      <c r="D703" s="3">
        <f ca="1">IFERROR(__xludf.DUMMYFUNCTION("""COMPUTED_VALUE"""),156.24)</f>
        <v>156.24</v>
      </c>
      <c r="E703" s="3">
        <f ca="1">IFERROR(__xludf.DUMMYFUNCTION("""COMPUTED_VALUE"""),227.36)</f>
        <v>227.36</v>
      </c>
      <c r="F703" s="3">
        <f ca="1">IFERROR(__xludf.DUMMYFUNCTION("""COMPUTED_VALUE"""),71.28)</f>
        <v>71.28</v>
      </c>
      <c r="G703" s="3">
        <f ca="1">IFERROR(__xludf.DUMMYFUNCTION("""COMPUTED_VALUE"""),31.56)</f>
        <v>31.56</v>
      </c>
      <c r="H703" s="3">
        <f ca="1">IFERROR(__xludf.DUMMYFUNCTION("""COMPUTED_VALUE"""),30.54)</f>
        <v>30.54</v>
      </c>
      <c r="I703" s="3">
        <f ca="1">IFERROR(__xludf.DUMMYFUNCTION("""COMPUTED_VALUE"""),153.28)</f>
        <v>153.28</v>
      </c>
      <c r="J703" s="3">
        <f ca="1">IFERROR(__xludf.DUMMYFUNCTION("""COMPUTED_VALUE"""),281.56)</f>
        <v>281.56</v>
      </c>
      <c r="K703" s="3">
        <f ca="1">IFERROR(__xludf.DUMMYFUNCTION("""COMPUTED_VALUE"""),146.4)</f>
        <v>146.4</v>
      </c>
      <c r="L703" s="3">
        <f ca="1">IFERROR(__xludf.DUMMYFUNCTION("""COMPUTED_VALUE"""),100.25)</f>
        <v>100.25</v>
      </c>
      <c r="M703" s="3">
        <f ca="1">IFERROR(__xludf.DUMMYFUNCTION("""COMPUTED_VALUE"""),69.81)</f>
        <v>69.81</v>
      </c>
      <c r="N703" s="3">
        <f ca="1">IFERROR(__xludf.DUMMYFUNCTION("""COMPUTED_VALUE"""),72.62)</f>
        <v>72.62</v>
      </c>
      <c r="O703" s="3">
        <f ca="1">IFERROR(__xludf.DUMMYFUNCTION("""COMPUTED_VALUE"""),44.48)</f>
        <v>44.48</v>
      </c>
      <c r="P703" s="3">
        <f ca="1">IFERROR(__xludf.DUMMYFUNCTION("""COMPUTED_VALUE"""),90.21)</f>
        <v>90.21</v>
      </c>
      <c r="Q703" s="3">
        <f ca="1">IFERROR(__xludf.DUMMYFUNCTION("""COMPUTED_VALUE"""),125.95)</f>
        <v>125.95</v>
      </c>
      <c r="R703" s="3">
        <f ca="1">IFERROR(__xludf.DUMMYFUNCTION("""COMPUTED_VALUE"""),97.09)</f>
        <v>97.09</v>
      </c>
      <c r="S703" s="3">
        <f ca="1">IFERROR(__xludf.DUMMYFUNCTION("""COMPUTED_VALUE"""),65.52)</f>
        <v>65.52</v>
      </c>
      <c r="T703" s="3">
        <f ca="1">IFERROR(__xludf.DUMMYFUNCTION("""COMPUTED_VALUE"""),22.42)</f>
        <v>22.42</v>
      </c>
      <c r="U703" s="3">
        <f ca="1">IFERROR(__xludf.DUMMYFUNCTION("""COMPUTED_VALUE"""),72.4)</f>
        <v>72.400000000000006</v>
      </c>
      <c r="V703" s="3">
        <f ca="1">IFERROR(__xludf.DUMMYFUNCTION("""COMPUTED_VALUE"""),37.75)</f>
        <v>37.75</v>
      </c>
      <c r="W703" s="3">
        <f ca="1">IFERROR(__xludf.DUMMYFUNCTION("""COMPUTED_VALUE"""),47.48)</f>
        <v>47.48</v>
      </c>
      <c r="X703" s="3">
        <f ca="1">IFERROR(__xludf.DUMMYFUNCTION("""COMPUTED_VALUE"""),115.62)</f>
        <v>115.62</v>
      </c>
      <c r="Y703" s="3">
        <f ca="1">IFERROR(__xludf.DUMMYFUNCTION("""COMPUTED_VALUE"""),55.88)</f>
        <v>55.88</v>
      </c>
      <c r="Z703" s="3">
        <f ca="1">IFERROR(__xludf.DUMMYFUNCTION("""COMPUTED_VALUE"""),109.14)</f>
        <v>109.14</v>
      </c>
      <c r="AA703" s="3">
        <f ca="1">IFERROR(__xludf.DUMMYFUNCTION("""COMPUTED_VALUE"""),44.72)</f>
        <v>44.72</v>
      </c>
      <c r="AB703" s="3">
        <f ca="1">IFERROR(__xludf.DUMMYFUNCTION("""COMPUTED_VALUE"""),59.94)</f>
        <v>59.94</v>
      </c>
      <c r="AC703" s="3">
        <f ca="1">IFERROR(__xludf.DUMMYFUNCTION("""COMPUTED_VALUE"""),74.53)</f>
        <v>74.53</v>
      </c>
      <c r="AD703" s="3">
        <f ca="1">IFERROR(__xludf.DUMMYFUNCTION("""COMPUTED_VALUE"""),16.95)</f>
        <v>16.95</v>
      </c>
      <c r="AE703" s="3">
        <f ca="1">IFERROR(__xludf.DUMMYFUNCTION("""COMPUTED_VALUE"""),19.27)</f>
        <v>19.27</v>
      </c>
      <c r="AF703" s="3">
        <f ca="1">IFERROR(__xludf.DUMMYFUNCTION("""COMPUTED_VALUE"""),4.77)</f>
        <v>4.7699999999999996</v>
      </c>
      <c r="AG703" s="3">
        <f ca="1">IFERROR(__xludf.DUMMYFUNCTION("""COMPUTED_VALUE"""),51.82)</f>
        <v>51.82</v>
      </c>
    </row>
    <row r="704" spans="1:33" ht="12.75" x14ac:dyDescent="0.2">
      <c r="A704" s="4">
        <f ca="1">IFERROR(__xludf.DUMMYFUNCTION("""COMPUTED_VALUE"""),45582.6666666666)</f>
        <v>45582.666666666599</v>
      </c>
      <c r="B704" s="3">
        <f ca="1">IFERROR(__xludf.DUMMYFUNCTION("""COMPUTED_VALUE"""),230.09)</f>
        <v>230.09</v>
      </c>
      <c r="C704" s="3">
        <f ca="1">IFERROR(__xludf.DUMMYFUNCTION("""COMPUTED_VALUE"""),601.49)</f>
        <v>601.49</v>
      </c>
      <c r="D704" s="3">
        <f ca="1">IFERROR(__xludf.DUMMYFUNCTION("""COMPUTED_VALUE"""),156.27)</f>
        <v>156.27000000000001</v>
      </c>
      <c r="E704" s="3">
        <f ca="1">IFERROR(__xludf.DUMMYFUNCTION("""COMPUTED_VALUE"""),229.15)</f>
        <v>229.15</v>
      </c>
      <c r="F704" s="3">
        <f ca="1">IFERROR(__xludf.DUMMYFUNCTION("""COMPUTED_VALUE"""),71.23)</f>
        <v>71.23</v>
      </c>
      <c r="G704" s="3">
        <f ca="1">IFERROR(__xludf.DUMMYFUNCTION("""COMPUTED_VALUE"""),31.49)</f>
        <v>31.49</v>
      </c>
      <c r="H704" s="3">
        <f ca="1">IFERROR(__xludf.DUMMYFUNCTION("""COMPUTED_VALUE"""),30.46)</f>
        <v>30.46</v>
      </c>
      <c r="I704" s="3">
        <f ca="1">IFERROR(__xludf.DUMMYFUNCTION("""COMPUTED_VALUE"""),152.39)</f>
        <v>152.38999999999999</v>
      </c>
      <c r="J704" s="3">
        <f ca="1">IFERROR(__xludf.DUMMYFUNCTION("""COMPUTED_VALUE"""),279.9)</f>
        <v>279.89999999999998</v>
      </c>
      <c r="K704" s="3">
        <f ca="1">IFERROR(__xludf.DUMMYFUNCTION("""COMPUTED_VALUE"""),145.69)</f>
        <v>145.69</v>
      </c>
      <c r="L704" s="3">
        <f ca="1">IFERROR(__xludf.DUMMYFUNCTION("""COMPUTED_VALUE"""),99.3)</f>
        <v>99.3</v>
      </c>
      <c r="M704" s="3">
        <f ca="1">IFERROR(__xludf.DUMMYFUNCTION("""COMPUTED_VALUE"""),69.11)</f>
        <v>69.11</v>
      </c>
      <c r="N704" s="3">
        <f ca="1">IFERROR(__xludf.DUMMYFUNCTION("""COMPUTED_VALUE"""),72.2)</f>
        <v>72.2</v>
      </c>
      <c r="O704" s="3">
        <f ca="1">IFERROR(__xludf.DUMMYFUNCTION("""COMPUTED_VALUE"""),43.6)</f>
        <v>43.6</v>
      </c>
      <c r="P704" s="3">
        <f ca="1">IFERROR(__xludf.DUMMYFUNCTION("""COMPUTED_VALUE"""),90.64)</f>
        <v>90.64</v>
      </c>
      <c r="Q704" s="3">
        <f ca="1">IFERROR(__xludf.DUMMYFUNCTION("""COMPUTED_VALUE"""),126.55)</f>
        <v>126.55</v>
      </c>
      <c r="R704" s="3">
        <f ca="1">IFERROR(__xludf.DUMMYFUNCTION("""COMPUTED_VALUE"""),97.24)</f>
        <v>97.24</v>
      </c>
      <c r="S704" s="3">
        <f ca="1">IFERROR(__xludf.DUMMYFUNCTION("""COMPUTED_VALUE"""),65.7)</f>
        <v>65.7</v>
      </c>
      <c r="T704" s="3">
        <f ca="1">IFERROR(__xludf.DUMMYFUNCTION("""COMPUTED_VALUE"""),22.45)</f>
        <v>22.45</v>
      </c>
      <c r="U704" s="3">
        <f ca="1">IFERROR(__xludf.DUMMYFUNCTION("""COMPUTED_VALUE"""),72.62)</f>
        <v>72.62</v>
      </c>
      <c r="V704" s="3">
        <f ca="1">IFERROR(__xludf.DUMMYFUNCTION("""COMPUTED_VALUE"""),37.02)</f>
        <v>37.020000000000003</v>
      </c>
      <c r="W704" s="3">
        <f ca="1">IFERROR(__xludf.DUMMYFUNCTION("""COMPUTED_VALUE"""),47.61)</f>
        <v>47.61</v>
      </c>
      <c r="X704" s="3">
        <f ca="1">IFERROR(__xludf.DUMMYFUNCTION("""COMPUTED_VALUE"""),116.03)</f>
        <v>116.03</v>
      </c>
      <c r="Y704" s="3">
        <f ca="1">IFERROR(__xludf.DUMMYFUNCTION("""COMPUTED_VALUE"""),56.33)</f>
        <v>56.33</v>
      </c>
      <c r="Z704" s="3">
        <f ca="1">IFERROR(__xludf.DUMMYFUNCTION("""COMPUTED_VALUE"""),109.59)</f>
        <v>109.59</v>
      </c>
      <c r="AA704" s="3">
        <f ca="1">IFERROR(__xludf.DUMMYFUNCTION("""COMPUTED_VALUE"""),44.43)</f>
        <v>44.43</v>
      </c>
      <c r="AB704" s="3">
        <f ca="1">IFERROR(__xludf.DUMMYFUNCTION("""COMPUTED_VALUE"""),60.46)</f>
        <v>60.46</v>
      </c>
      <c r="AC704" s="3">
        <f ca="1">IFERROR(__xludf.DUMMYFUNCTION("""COMPUTED_VALUE"""),74.49)</f>
        <v>74.489999999999995</v>
      </c>
      <c r="AD704" s="3">
        <f ca="1">IFERROR(__xludf.DUMMYFUNCTION("""COMPUTED_VALUE"""),16.73)</f>
        <v>16.73</v>
      </c>
      <c r="AE704" s="3">
        <f ca="1">IFERROR(__xludf.DUMMYFUNCTION("""COMPUTED_VALUE"""),19.01)</f>
        <v>19.010000000000002</v>
      </c>
      <c r="AF704" s="3">
        <f ca="1">IFERROR(__xludf.DUMMYFUNCTION("""COMPUTED_VALUE"""),5.15)</f>
        <v>5.15</v>
      </c>
      <c r="AG704" s="3">
        <f ca="1">IFERROR(__xludf.DUMMYFUNCTION("""COMPUTED_VALUE"""),50.51)</f>
        <v>50.51</v>
      </c>
    </row>
    <row r="705" spans="1:33" ht="12.75" x14ac:dyDescent="0.2">
      <c r="A705" s="4">
        <f ca="1">IFERROR(__xludf.DUMMYFUNCTION("""COMPUTED_VALUE"""),45583.6666666666)</f>
        <v>45583.666666666599</v>
      </c>
      <c r="B705" s="3">
        <f ca="1">IFERROR(__xludf.DUMMYFUNCTION("""COMPUTED_VALUE"""),230.91)</f>
        <v>230.91</v>
      </c>
      <c r="C705" s="3">
        <f ca="1">IFERROR(__xludf.DUMMYFUNCTION("""COMPUTED_VALUE"""),603.56)</f>
        <v>603.55999999999995</v>
      </c>
      <c r="D705" s="3">
        <f ca="1">IFERROR(__xludf.DUMMYFUNCTION("""COMPUTED_VALUE"""),153.79)</f>
        <v>153.79</v>
      </c>
      <c r="E705" s="3">
        <f ca="1">IFERROR(__xludf.DUMMYFUNCTION("""COMPUTED_VALUE"""),229.36)</f>
        <v>229.36</v>
      </c>
      <c r="F705" s="3">
        <f ca="1">IFERROR(__xludf.DUMMYFUNCTION("""COMPUTED_VALUE"""),71.35)</f>
        <v>71.349999999999994</v>
      </c>
      <c r="G705" s="3">
        <f ca="1">IFERROR(__xludf.DUMMYFUNCTION("""COMPUTED_VALUE"""),32.05)</f>
        <v>32.049999999999997</v>
      </c>
      <c r="H705" s="3">
        <f ca="1">IFERROR(__xludf.DUMMYFUNCTION("""COMPUTED_VALUE"""),30.61)</f>
        <v>30.61</v>
      </c>
      <c r="I705" s="3">
        <f ca="1">IFERROR(__xludf.DUMMYFUNCTION("""COMPUTED_VALUE"""),153.13)</f>
        <v>153.13</v>
      </c>
      <c r="J705" s="3">
        <f ca="1">IFERROR(__xludf.DUMMYFUNCTION("""COMPUTED_VALUE"""),281.33)</f>
        <v>281.33</v>
      </c>
      <c r="K705" s="3">
        <f ca="1">IFERROR(__xludf.DUMMYFUNCTION("""COMPUTED_VALUE"""),145.91)</f>
        <v>145.91</v>
      </c>
      <c r="L705" s="3">
        <f ca="1">IFERROR(__xludf.DUMMYFUNCTION("""COMPUTED_VALUE"""),99.83)</f>
        <v>99.83</v>
      </c>
      <c r="M705" s="3">
        <f ca="1">IFERROR(__xludf.DUMMYFUNCTION("""COMPUTED_VALUE"""),69.27)</f>
        <v>69.27</v>
      </c>
      <c r="N705" s="3">
        <f ca="1">IFERROR(__xludf.DUMMYFUNCTION("""COMPUTED_VALUE"""),72.56)</f>
        <v>72.56</v>
      </c>
      <c r="O705" s="3">
        <f ca="1">IFERROR(__xludf.DUMMYFUNCTION("""COMPUTED_VALUE"""),43.9)</f>
        <v>43.9</v>
      </c>
      <c r="P705" s="3">
        <f ca="1">IFERROR(__xludf.DUMMYFUNCTION("""COMPUTED_VALUE"""),90.34)</f>
        <v>90.34</v>
      </c>
      <c r="Q705" s="3">
        <f ca="1">IFERROR(__xludf.DUMMYFUNCTION("""COMPUTED_VALUE"""),125.99)</f>
        <v>125.99</v>
      </c>
      <c r="R705" s="3">
        <f ca="1">IFERROR(__xludf.DUMMYFUNCTION("""COMPUTED_VALUE"""),97.63)</f>
        <v>97.63</v>
      </c>
      <c r="S705" s="3">
        <f ca="1">IFERROR(__xludf.DUMMYFUNCTION("""COMPUTED_VALUE"""),66.65)</f>
        <v>66.650000000000006</v>
      </c>
      <c r="T705" s="3">
        <f ca="1">IFERROR(__xludf.DUMMYFUNCTION("""COMPUTED_VALUE"""),22.33)</f>
        <v>22.33</v>
      </c>
      <c r="U705" s="3">
        <f ca="1">IFERROR(__xludf.DUMMYFUNCTION("""COMPUTED_VALUE"""),71.38)</f>
        <v>71.38</v>
      </c>
      <c r="V705" s="3">
        <f ca="1">IFERROR(__xludf.DUMMYFUNCTION("""COMPUTED_VALUE"""),37.34)</f>
        <v>37.340000000000003</v>
      </c>
      <c r="W705" s="3">
        <f ca="1">IFERROR(__xludf.DUMMYFUNCTION("""COMPUTED_VALUE"""),47.62)</f>
        <v>47.62</v>
      </c>
      <c r="X705" s="3">
        <f ca="1">IFERROR(__xludf.DUMMYFUNCTION("""COMPUTED_VALUE"""),116.06)</f>
        <v>116.06</v>
      </c>
      <c r="Y705" s="3">
        <f ca="1">IFERROR(__xludf.DUMMYFUNCTION("""COMPUTED_VALUE"""),55.62)</f>
        <v>55.62</v>
      </c>
      <c r="Z705" s="3">
        <f ca="1">IFERROR(__xludf.DUMMYFUNCTION("""COMPUTED_VALUE"""),109.73)</f>
        <v>109.73</v>
      </c>
      <c r="AA705" s="3">
        <f ca="1">IFERROR(__xludf.DUMMYFUNCTION("""COMPUTED_VALUE"""),44.74)</f>
        <v>44.74</v>
      </c>
      <c r="AB705" s="3">
        <f ca="1">IFERROR(__xludf.DUMMYFUNCTION("""COMPUTED_VALUE"""),59.64)</f>
        <v>59.64</v>
      </c>
      <c r="AC705" s="3">
        <f ca="1">IFERROR(__xludf.DUMMYFUNCTION("""COMPUTED_VALUE"""),74.28)</f>
        <v>74.28</v>
      </c>
      <c r="AD705" s="3">
        <f ca="1">IFERROR(__xludf.DUMMYFUNCTION("""COMPUTED_VALUE"""),17.15)</f>
        <v>17.149999999999999</v>
      </c>
      <c r="AE705" s="3">
        <f ca="1">IFERROR(__xludf.DUMMYFUNCTION("""COMPUTED_VALUE"""),19.52)</f>
        <v>19.52</v>
      </c>
      <c r="AF705" s="3">
        <f ca="1">IFERROR(__xludf.DUMMYFUNCTION("""COMPUTED_VALUE"""),5.3)</f>
        <v>5.3</v>
      </c>
      <c r="AG705" s="3">
        <f ca="1">IFERROR(__xludf.DUMMYFUNCTION("""COMPUTED_VALUE"""),53.36)</f>
        <v>53.36</v>
      </c>
    </row>
    <row r="706" spans="1:33" ht="12.75" x14ac:dyDescent="0.2">
      <c r="A706" s="4">
        <f ca="1">IFERROR(__xludf.DUMMYFUNCTION("""COMPUTED_VALUE"""),45586.6666666666)</f>
        <v>45586.666666666599</v>
      </c>
      <c r="B706" s="3">
        <f ca="1">IFERROR(__xludf.DUMMYFUNCTION("""COMPUTED_VALUE"""),231.99)</f>
        <v>231.99</v>
      </c>
      <c r="C706" s="3">
        <f ca="1">IFERROR(__xludf.DUMMYFUNCTION("""COMPUTED_VALUE"""),606.93)</f>
        <v>606.92999999999995</v>
      </c>
      <c r="D706" s="3">
        <f ca="1">IFERROR(__xludf.DUMMYFUNCTION("""COMPUTED_VALUE"""),154.39)</f>
        <v>154.38999999999999</v>
      </c>
      <c r="E706" s="3">
        <f ca="1">IFERROR(__xludf.DUMMYFUNCTION("""COMPUTED_VALUE"""),228.93)</f>
        <v>228.93</v>
      </c>
      <c r="F706" s="3">
        <f ca="1">IFERROR(__xludf.DUMMYFUNCTION("""COMPUTED_VALUE"""),71.09)</f>
        <v>71.09</v>
      </c>
      <c r="G706" s="3">
        <f ca="1">IFERROR(__xludf.DUMMYFUNCTION("""COMPUTED_VALUE"""),32.06)</f>
        <v>32.06</v>
      </c>
      <c r="H706" s="3">
        <f ca="1">IFERROR(__xludf.DUMMYFUNCTION("""COMPUTED_VALUE"""),30.43)</f>
        <v>30.43</v>
      </c>
      <c r="I706" s="3">
        <f ca="1">IFERROR(__xludf.DUMMYFUNCTION("""COMPUTED_VALUE"""),151.33)</f>
        <v>151.33000000000001</v>
      </c>
      <c r="J706" s="3">
        <f ca="1">IFERROR(__xludf.DUMMYFUNCTION("""COMPUTED_VALUE"""),277.92)</f>
        <v>277.92</v>
      </c>
      <c r="K706" s="3">
        <f ca="1">IFERROR(__xludf.DUMMYFUNCTION("""COMPUTED_VALUE"""),143.99)</f>
        <v>143.99</v>
      </c>
      <c r="L706" s="3">
        <f ca="1">IFERROR(__xludf.DUMMYFUNCTION("""COMPUTED_VALUE"""),98.15)</f>
        <v>98.15</v>
      </c>
      <c r="M706" s="3">
        <f ca="1">IFERROR(__xludf.DUMMYFUNCTION("""COMPUTED_VALUE"""),68.31)</f>
        <v>68.31</v>
      </c>
      <c r="N706" s="3">
        <f ca="1">IFERROR(__xludf.DUMMYFUNCTION("""COMPUTED_VALUE"""),71.71)</f>
        <v>71.709999999999994</v>
      </c>
      <c r="O706" s="3">
        <f ca="1">IFERROR(__xludf.DUMMYFUNCTION("""COMPUTED_VALUE"""),43.08)</f>
        <v>43.08</v>
      </c>
      <c r="P706" s="3">
        <f ca="1">IFERROR(__xludf.DUMMYFUNCTION("""COMPUTED_VALUE"""),90.07)</f>
        <v>90.07</v>
      </c>
      <c r="Q706" s="3">
        <f ca="1">IFERROR(__xludf.DUMMYFUNCTION("""COMPUTED_VALUE"""),125.67)</f>
        <v>125.67</v>
      </c>
      <c r="R706" s="3">
        <f ca="1">IFERROR(__xludf.DUMMYFUNCTION("""COMPUTED_VALUE"""),96.88)</f>
        <v>96.88</v>
      </c>
      <c r="S706" s="3">
        <f ca="1">IFERROR(__xludf.DUMMYFUNCTION("""COMPUTED_VALUE"""),66.27)</f>
        <v>66.27</v>
      </c>
      <c r="T706" s="3">
        <f ca="1">IFERROR(__xludf.DUMMYFUNCTION("""COMPUTED_VALUE"""),22.4)</f>
        <v>22.4</v>
      </c>
      <c r="U706" s="3">
        <f ca="1">IFERROR(__xludf.DUMMYFUNCTION("""COMPUTED_VALUE"""),72.26)</f>
        <v>72.260000000000005</v>
      </c>
      <c r="V706" s="3">
        <f ca="1">IFERROR(__xludf.DUMMYFUNCTION("""COMPUTED_VALUE"""),36.9)</f>
        <v>36.9</v>
      </c>
      <c r="W706" s="3">
        <f ca="1">IFERROR(__xludf.DUMMYFUNCTION("""COMPUTED_VALUE"""),47.24)</f>
        <v>47.24</v>
      </c>
      <c r="X706" s="3">
        <f ca="1">IFERROR(__xludf.DUMMYFUNCTION("""COMPUTED_VALUE"""),114.83)</f>
        <v>114.83</v>
      </c>
      <c r="Y706" s="3">
        <f ca="1">IFERROR(__xludf.DUMMYFUNCTION("""COMPUTED_VALUE"""),54.04)</f>
        <v>54.04</v>
      </c>
      <c r="Z706" s="3">
        <f ca="1">IFERROR(__xludf.DUMMYFUNCTION("""COMPUTED_VALUE"""),108.71)</f>
        <v>108.71</v>
      </c>
      <c r="AA706" s="3">
        <f ca="1">IFERROR(__xludf.DUMMYFUNCTION("""COMPUTED_VALUE"""),43.82)</f>
        <v>43.82</v>
      </c>
      <c r="AB706" s="3">
        <f ca="1">IFERROR(__xludf.DUMMYFUNCTION("""COMPUTED_VALUE"""),57.89)</f>
        <v>57.89</v>
      </c>
      <c r="AC706" s="3">
        <f ca="1">IFERROR(__xludf.DUMMYFUNCTION("""COMPUTED_VALUE"""),74.41)</f>
        <v>74.41</v>
      </c>
      <c r="AD706" s="3">
        <f ca="1">IFERROR(__xludf.DUMMYFUNCTION("""COMPUTED_VALUE"""),17.14)</f>
        <v>17.14</v>
      </c>
      <c r="AE706" s="3">
        <f ca="1">IFERROR(__xludf.DUMMYFUNCTION("""COMPUTED_VALUE"""),19.27)</f>
        <v>19.27</v>
      </c>
      <c r="AF706" s="3">
        <f ca="1">IFERROR(__xludf.DUMMYFUNCTION("""COMPUTED_VALUE"""),5.3)</f>
        <v>5.3</v>
      </c>
      <c r="AG706" s="3">
        <f ca="1">IFERROR(__xludf.DUMMYFUNCTION("""COMPUTED_VALUE"""),55)</f>
        <v>55</v>
      </c>
    </row>
    <row r="707" spans="1:33" ht="12.75" x14ac:dyDescent="0.2">
      <c r="A707" s="4">
        <f ca="1">IFERROR(__xludf.DUMMYFUNCTION("""COMPUTED_VALUE"""),45587.6666666666)</f>
        <v>45587.666666666599</v>
      </c>
      <c r="B707" s="3">
        <f ca="1">IFERROR(__xludf.DUMMYFUNCTION("""COMPUTED_VALUE"""),231.75)</f>
        <v>231.75</v>
      </c>
      <c r="C707" s="3">
        <f ca="1">IFERROR(__xludf.DUMMYFUNCTION("""COMPUTED_VALUE"""),606.51)</f>
        <v>606.51</v>
      </c>
      <c r="D707" s="3">
        <f ca="1">IFERROR(__xludf.DUMMYFUNCTION("""COMPUTED_VALUE"""),155.39)</f>
        <v>155.38999999999999</v>
      </c>
      <c r="E707" s="3">
        <f ca="1">IFERROR(__xludf.DUMMYFUNCTION("""COMPUTED_VALUE"""),228.08)</f>
        <v>228.08</v>
      </c>
      <c r="F707" s="3">
        <f ca="1">IFERROR(__xludf.DUMMYFUNCTION("""COMPUTED_VALUE"""),70.7)</f>
        <v>70.7</v>
      </c>
      <c r="G707" s="3">
        <f ca="1">IFERROR(__xludf.DUMMYFUNCTION("""COMPUTED_VALUE"""),31.68)</f>
        <v>31.68</v>
      </c>
      <c r="H707" s="3">
        <f ca="1">IFERROR(__xludf.DUMMYFUNCTION("""COMPUTED_VALUE"""),30.33)</f>
        <v>30.33</v>
      </c>
      <c r="I707" s="3">
        <f ca="1">IFERROR(__xludf.DUMMYFUNCTION("""COMPUTED_VALUE"""),151.11)</f>
        <v>151.11000000000001</v>
      </c>
      <c r="J707" s="3">
        <f ca="1">IFERROR(__xludf.DUMMYFUNCTION("""COMPUTED_VALUE"""),277.45)</f>
        <v>277.45</v>
      </c>
      <c r="K707" s="3">
        <f ca="1">IFERROR(__xludf.DUMMYFUNCTION("""COMPUTED_VALUE"""),144)</f>
        <v>144</v>
      </c>
      <c r="L707" s="3">
        <f ca="1">IFERROR(__xludf.DUMMYFUNCTION("""COMPUTED_VALUE"""),98.27)</f>
        <v>98.27</v>
      </c>
      <c r="M707" s="3">
        <f ca="1">IFERROR(__xludf.DUMMYFUNCTION("""COMPUTED_VALUE"""),68.5)</f>
        <v>68.5</v>
      </c>
      <c r="N707" s="3">
        <f ca="1">IFERROR(__xludf.DUMMYFUNCTION("""COMPUTED_VALUE"""),71.56)</f>
        <v>71.56</v>
      </c>
      <c r="O707" s="3">
        <f ca="1">IFERROR(__xludf.DUMMYFUNCTION("""COMPUTED_VALUE"""),43.2)</f>
        <v>43.2</v>
      </c>
      <c r="P707" s="3">
        <f ca="1">IFERROR(__xludf.DUMMYFUNCTION("""COMPUTED_VALUE"""),90.28)</f>
        <v>90.28</v>
      </c>
      <c r="Q707" s="3">
        <f ca="1">IFERROR(__xludf.DUMMYFUNCTION("""COMPUTED_VALUE"""),125.82)</f>
        <v>125.82</v>
      </c>
      <c r="R707" s="3">
        <f ca="1">IFERROR(__xludf.DUMMYFUNCTION("""COMPUTED_VALUE"""),95.99)</f>
        <v>95.99</v>
      </c>
      <c r="S707" s="3">
        <f ca="1">IFERROR(__xludf.DUMMYFUNCTION("""COMPUTED_VALUE"""),65.87)</f>
        <v>65.87</v>
      </c>
      <c r="T707" s="3">
        <f ca="1">IFERROR(__xludf.DUMMYFUNCTION("""COMPUTED_VALUE"""),22.79)</f>
        <v>22.79</v>
      </c>
      <c r="U707" s="3">
        <f ca="1">IFERROR(__xludf.DUMMYFUNCTION("""COMPUTED_VALUE"""),73.98)</f>
        <v>73.98</v>
      </c>
      <c r="V707" s="3">
        <f ca="1">IFERROR(__xludf.DUMMYFUNCTION("""COMPUTED_VALUE"""),37.28)</f>
        <v>37.28</v>
      </c>
      <c r="W707" s="3">
        <f ca="1">IFERROR(__xludf.DUMMYFUNCTION("""COMPUTED_VALUE"""),47.15)</f>
        <v>47.15</v>
      </c>
      <c r="X707" s="3">
        <f ca="1">IFERROR(__xludf.DUMMYFUNCTION("""COMPUTED_VALUE"""),114.71)</f>
        <v>114.71</v>
      </c>
      <c r="Y707" s="3">
        <f ca="1">IFERROR(__xludf.DUMMYFUNCTION("""COMPUTED_VALUE"""),54.52)</f>
        <v>54.52</v>
      </c>
      <c r="Z707" s="3">
        <f ca="1">IFERROR(__xludf.DUMMYFUNCTION("""COMPUTED_VALUE"""),108.58)</f>
        <v>108.58</v>
      </c>
      <c r="AA707" s="3">
        <f ca="1">IFERROR(__xludf.DUMMYFUNCTION("""COMPUTED_VALUE"""),43.89)</f>
        <v>43.89</v>
      </c>
      <c r="AB707" s="3">
        <f ca="1">IFERROR(__xludf.DUMMYFUNCTION("""COMPUTED_VALUE"""),58.62)</f>
        <v>58.62</v>
      </c>
      <c r="AC707" s="3">
        <f ca="1">IFERROR(__xludf.DUMMYFUNCTION("""COMPUTED_VALUE"""),73.69)</f>
        <v>73.69</v>
      </c>
      <c r="AD707" s="3">
        <f ca="1">IFERROR(__xludf.DUMMYFUNCTION("""COMPUTED_VALUE"""),16.93)</f>
        <v>16.93</v>
      </c>
      <c r="AE707" s="3">
        <f ca="1">IFERROR(__xludf.DUMMYFUNCTION("""COMPUTED_VALUE"""),19.19)</f>
        <v>19.190000000000001</v>
      </c>
      <c r="AF707" s="3">
        <f ca="1">IFERROR(__xludf.DUMMYFUNCTION("""COMPUTED_VALUE"""),5.49)</f>
        <v>5.49</v>
      </c>
      <c r="AG707" s="3">
        <f ca="1">IFERROR(__xludf.DUMMYFUNCTION("""COMPUTED_VALUE"""),55.07)</f>
        <v>55.07</v>
      </c>
    </row>
    <row r="708" spans="1:33" ht="12.75" x14ac:dyDescent="0.2">
      <c r="A708" s="4">
        <f ca="1">IFERROR(__xludf.DUMMYFUNCTION("""COMPUTED_VALUE"""),45588.6666666666)</f>
        <v>45588.666666666599</v>
      </c>
      <c r="B708" s="3">
        <f ca="1">IFERROR(__xludf.DUMMYFUNCTION("""COMPUTED_VALUE"""),228.43)</f>
        <v>228.43</v>
      </c>
      <c r="C708" s="3">
        <f ca="1">IFERROR(__xludf.DUMMYFUNCTION("""COMPUTED_VALUE"""),597.09)</f>
        <v>597.09</v>
      </c>
      <c r="D708" s="3">
        <f ca="1">IFERROR(__xludf.DUMMYFUNCTION("""COMPUTED_VALUE"""),155.65)</f>
        <v>155.65</v>
      </c>
      <c r="E708" s="3">
        <f ca="1">IFERROR(__xludf.DUMMYFUNCTION("""COMPUTED_VALUE"""),226.04)</f>
        <v>226.04</v>
      </c>
      <c r="F708" s="3">
        <f ca="1">IFERROR(__xludf.DUMMYFUNCTION("""COMPUTED_VALUE"""),69.4)</f>
        <v>69.400000000000006</v>
      </c>
      <c r="G708" s="3">
        <f ca="1">IFERROR(__xludf.DUMMYFUNCTION("""COMPUTED_VALUE"""),31.11)</f>
        <v>31.11</v>
      </c>
      <c r="H708" s="3">
        <f ca="1">IFERROR(__xludf.DUMMYFUNCTION("""COMPUTED_VALUE"""),30.01)</f>
        <v>30.01</v>
      </c>
      <c r="I708" s="3">
        <f ca="1">IFERROR(__xludf.DUMMYFUNCTION("""COMPUTED_VALUE"""),150.4)</f>
        <v>150.4</v>
      </c>
      <c r="J708" s="3">
        <f ca="1">IFERROR(__xludf.DUMMYFUNCTION("""COMPUTED_VALUE"""),275.72)</f>
        <v>275.72000000000003</v>
      </c>
      <c r="K708" s="3">
        <f ca="1">IFERROR(__xludf.DUMMYFUNCTION("""COMPUTED_VALUE"""),142.16)</f>
        <v>142.16</v>
      </c>
      <c r="L708" s="3">
        <f ca="1">IFERROR(__xludf.DUMMYFUNCTION("""COMPUTED_VALUE"""),96.67)</f>
        <v>96.67</v>
      </c>
      <c r="M708" s="3">
        <f ca="1">IFERROR(__xludf.DUMMYFUNCTION("""COMPUTED_VALUE"""),67.56)</f>
        <v>67.56</v>
      </c>
      <c r="N708" s="3">
        <f ca="1">IFERROR(__xludf.DUMMYFUNCTION("""COMPUTED_VALUE"""),71.17)</f>
        <v>71.17</v>
      </c>
      <c r="O708" s="3">
        <f ca="1">IFERROR(__xludf.DUMMYFUNCTION("""COMPUTED_VALUE"""),42.56)</f>
        <v>42.56</v>
      </c>
      <c r="P708" s="3">
        <f ca="1">IFERROR(__xludf.DUMMYFUNCTION("""COMPUTED_VALUE"""),89.81)</f>
        <v>89.81</v>
      </c>
      <c r="Q708" s="3">
        <f ca="1">IFERROR(__xludf.DUMMYFUNCTION("""COMPUTED_VALUE"""),125.16)</f>
        <v>125.16</v>
      </c>
      <c r="R708" s="3">
        <f ca="1">IFERROR(__xludf.DUMMYFUNCTION("""COMPUTED_VALUE"""),95.73)</f>
        <v>95.73</v>
      </c>
      <c r="S708" s="3">
        <f ca="1">IFERROR(__xludf.DUMMYFUNCTION("""COMPUTED_VALUE"""),64.69)</f>
        <v>64.69</v>
      </c>
      <c r="T708" s="3">
        <f ca="1">IFERROR(__xludf.DUMMYFUNCTION("""COMPUTED_VALUE"""),22.66)</f>
        <v>22.66</v>
      </c>
      <c r="U708" s="3">
        <f ca="1">IFERROR(__xludf.DUMMYFUNCTION("""COMPUTED_VALUE"""),73.55)</f>
        <v>73.55</v>
      </c>
      <c r="V708" s="3">
        <f ca="1">IFERROR(__xludf.DUMMYFUNCTION("""COMPUTED_VALUE"""),37.04)</f>
        <v>37.04</v>
      </c>
      <c r="W708" s="3">
        <f ca="1">IFERROR(__xludf.DUMMYFUNCTION("""COMPUTED_VALUE"""),47.11)</f>
        <v>47.11</v>
      </c>
      <c r="X708" s="3">
        <f ca="1">IFERROR(__xludf.DUMMYFUNCTION("""COMPUTED_VALUE"""),114.48)</f>
        <v>114.48</v>
      </c>
      <c r="Y708" s="3">
        <f ca="1">IFERROR(__xludf.DUMMYFUNCTION("""COMPUTED_VALUE"""),54.49)</f>
        <v>54.49</v>
      </c>
      <c r="Z708" s="3">
        <f ca="1">IFERROR(__xludf.DUMMYFUNCTION("""COMPUTED_VALUE"""),108.27)</f>
        <v>108.27</v>
      </c>
      <c r="AA708" s="3">
        <f ca="1">IFERROR(__xludf.DUMMYFUNCTION("""COMPUTED_VALUE"""),44.32)</f>
        <v>44.32</v>
      </c>
      <c r="AB708" s="3">
        <f ca="1">IFERROR(__xludf.DUMMYFUNCTION("""COMPUTED_VALUE"""),58.66)</f>
        <v>58.66</v>
      </c>
      <c r="AC708" s="3">
        <f ca="1">IFERROR(__xludf.DUMMYFUNCTION("""COMPUTED_VALUE"""),74.68)</f>
        <v>74.680000000000007</v>
      </c>
      <c r="AD708" s="3">
        <f ca="1">IFERROR(__xludf.DUMMYFUNCTION("""COMPUTED_VALUE"""),16.39)</f>
        <v>16.39</v>
      </c>
      <c r="AE708" s="3">
        <f ca="1">IFERROR(__xludf.DUMMYFUNCTION("""COMPUTED_VALUE"""),18.87)</f>
        <v>18.87</v>
      </c>
      <c r="AF708" s="3">
        <f ca="1">IFERROR(__xludf.DUMMYFUNCTION("""COMPUTED_VALUE"""),5.45)</f>
        <v>5.45</v>
      </c>
      <c r="AG708" s="3">
        <f ca="1">IFERROR(__xludf.DUMMYFUNCTION("""COMPUTED_VALUE"""),52.9)</f>
        <v>52.9</v>
      </c>
    </row>
    <row r="709" spans="1:33" ht="12.75" x14ac:dyDescent="0.2">
      <c r="A709" s="4">
        <f ca="1">IFERROR(__xludf.DUMMYFUNCTION("""COMPUTED_VALUE"""),45589.6666666666)</f>
        <v>45589.666666666599</v>
      </c>
      <c r="B709" s="3">
        <f ca="1">IFERROR(__xludf.DUMMYFUNCTION("""COMPUTED_VALUE"""),229.1)</f>
        <v>229.1</v>
      </c>
      <c r="C709" s="3">
        <f ca="1">IFERROR(__xludf.DUMMYFUNCTION("""COMPUTED_VALUE"""),599.12)</f>
        <v>599.12</v>
      </c>
      <c r="D709" s="3">
        <f ca="1">IFERROR(__xludf.DUMMYFUNCTION("""COMPUTED_VALUE"""),157.76)</f>
        <v>157.76</v>
      </c>
      <c r="E709" s="3">
        <f ca="1">IFERROR(__xludf.DUMMYFUNCTION("""COMPUTED_VALUE"""),227.3)</f>
        <v>227.3</v>
      </c>
      <c r="F709" s="3">
        <f ca="1">IFERROR(__xludf.DUMMYFUNCTION("""COMPUTED_VALUE"""),69.78)</f>
        <v>69.78</v>
      </c>
      <c r="G709" s="3">
        <f ca="1">IFERROR(__xludf.DUMMYFUNCTION("""COMPUTED_VALUE"""),31.46)</f>
        <v>31.46</v>
      </c>
      <c r="H709" s="3">
        <f ca="1">IFERROR(__xludf.DUMMYFUNCTION("""COMPUTED_VALUE"""),29.89)</f>
        <v>29.89</v>
      </c>
      <c r="I709" s="3">
        <f ca="1">IFERROR(__xludf.DUMMYFUNCTION("""COMPUTED_VALUE"""),149.41)</f>
        <v>149.41</v>
      </c>
      <c r="J709" s="3">
        <f ca="1">IFERROR(__xludf.DUMMYFUNCTION("""COMPUTED_VALUE"""),274.05)</f>
        <v>274.05</v>
      </c>
      <c r="K709" s="3">
        <f ca="1">IFERROR(__xludf.DUMMYFUNCTION("""COMPUTED_VALUE"""),141.59)</f>
        <v>141.59</v>
      </c>
      <c r="L709" s="3">
        <f ca="1">IFERROR(__xludf.DUMMYFUNCTION("""COMPUTED_VALUE"""),97.25)</f>
        <v>97.25</v>
      </c>
      <c r="M709" s="3">
        <f ca="1">IFERROR(__xludf.DUMMYFUNCTION("""COMPUTED_VALUE"""),67.27)</f>
        <v>67.27</v>
      </c>
      <c r="N709" s="3">
        <f ca="1">IFERROR(__xludf.DUMMYFUNCTION("""COMPUTED_VALUE"""),70.72)</f>
        <v>70.72</v>
      </c>
      <c r="O709" s="3">
        <f ca="1">IFERROR(__xludf.DUMMYFUNCTION("""COMPUTED_VALUE"""),42.04)</f>
        <v>42.04</v>
      </c>
      <c r="P709" s="3">
        <f ca="1">IFERROR(__xludf.DUMMYFUNCTION("""COMPUTED_VALUE"""),89.8)</f>
        <v>89.8</v>
      </c>
      <c r="Q709" s="3">
        <f ca="1">IFERROR(__xludf.DUMMYFUNCTION("""COMPUTED_VALUE"""),125.19)</f>
        <v>125.19</v>
      </c>
      <c r="R709" s="3">
        <f ca="1">IFERROR(__xludf.DUMMYFUNCTION("""COMPUTED_VALUE"""),94.56)</f>
        <v>94.56</v>
      </c>
      <c r="S709" s="3">
        <f ca="1">IFERROR(__xludf.DUMMYFUNCTION("""COMPUTED_VALUE"""),64.44)</f>
        <v>64.44</v>
      </c>
      <c r="T709" s="3">
        <f ca="1">IFERROR(__xludf.DUMMYFUNCTION("""COMPUTED_VALUE"""),22.65)</f>
        <v>22.65</v>
      </c>
      <c r="U709" s="3">
        <f ca="1">IFERROR(__xludf.DUMMYFUNCTION("""COMPUTED_VALUE"""),73.06)</f>
        <v>73.06</v>
      </c>
      <c r="V709" s="3">
        <f ca="1">IFERROR(__xludf.DUMMYFUNCTION("""COMPUTED_VALUE"""),37.21)</f>
        <v>37.21</v>
      </c>
      <c r="W709" s="3">
        <f ca="1">IFERROR(__xludf.DUMMYFUNCTION("""COMPUTED_VALUE"""),47.15)</f>
        <v>47.15</v>
      </c>
      <c r="X709" s="3">
        <f ca="1">IFERROR(__xludf.DUMMYFUNCTION("""COMPUTED_VALUE"""),114.66)</f>
        <v>114.66</v>
      </c>
      <c r="Y709" s="3">
        <f ca="1">IFERROR(__xludf.DUMMYFUNCTION("""COMPUTED_VALUE"""),54.73)</f>
        <v>54.73</v>
      </c>
      <c r="Z709" s="3">
        <f ca="1">IFERROR(__xludf.DUMMYFUNCTION("""COMPUTED_VALUE"""),108.63)</f>
        <v>108.63</v>
      </c>
      <c r="AA709" s="3">
        <f ca="1">IFERROR(__xludf.DUMMYFUNCTION("""COMPUTED_VALUE"""),44.42)</f>
        <v>44.42</v>
      </c>
      <c r="AB709" s="3">
        <f ca="1">IFERROR(__xludf.DUMMYFUNCTION("""COMPUTED_VALUE"""),58.96)</f>
        <v>58.96</v>
      </c>
      <c r="AC709" s="3">
        <f ca="1">IFERROR(__xludf.DUMMYFUNCTION("""COMPUTED_VALUE"""),74.34)</f>
        <v>74.34</v>
      </c>
      <c r="AD709" s="3">
        <f ca="1">IFERROR(__xludf.DUMMYFUNCTION("""COMPUTED_VALUE"""),16.71)</f>
        <v>16.71</v>
      </c>
      <c r="AE709" s="3">
        <f ca="1">IFERROR(__xludf.DUMMYFUNCTION("""COMPUTED_VALUE"""),19.4)</f>
        <v>19.399999999999999</v>
      </c>
      <c r="AF709" s="3">
        <f ca="1">IFERROR(__xludf.DUMMYFUNCTION("""COMPUTED_VALUE"""),5.75)</f>
        <v>5.75</v>
      </c>
      <c r="AG709" s="3">
        <f ca="1">IFERROR(__xludf.DUMMYFUNCTION("""COMPUTED_VALUE"""),53.8)</f>
        <v>53.8</v>
      </c>
    </row>
    <row r="710" spans="1:33" ht="12.75" x14ac:dyDescent="0.2">
      <c r="A710" s="4">
        <f ca="1">IFERROR(__xludf.DUMMYFUNCTION("""COMPUTED_VALUE"""),45590.6666666666)</f>
        <v>45590.666666666599</v>
      </c>
      <c r="B710" s="3">
        <f ca="1">IFERROR(__xludf.DUMMYFUNCTION("""COMPUTED_VALUE"""),230.29)</f>
        <v>230.29</v>
      </c>
      <c r="C710" s="3">
        <f ca="1">IFERROR(__xludf.DUMMYFUNCTION("""COMPUTED_VALUE"""),601.96)</f>
        <v>601.96</v>
      </c>
      <c r="D710" s="3">
        <f ca="1">IFERROR(__xludf.DUMMYFUNCTION("""COMPUTED_VALUE"""),155.88)</f>
        <v>155.88</v>
      </c>
      <c r="E710" s="3">
        <f ca="1">IFERROR(__xludf.DUMMYFUNCTION("""COMPUTED_VALUE"""),229.58)</f>
        <v>229.58</v>
      </c>
      <c r="F710" s="3">
        <f ca="1">IFERROR(__xludf.DUMMYFUNCTION("""COMPUTED_VALUE"""),70.18)</f>
        <v>70.180000000000007</v>
      </c>
      <c r="G710" s="3">
        <f ca="1">IFERROR(__xludf.DUMMYFUNCTION("""COMPUTED_VALUE"""),31.63)</f>
        <v>31.63</v>
      </c>
      <c r="H710" s="3">
        <f ca="1">IFERROR(__xludf.DUMMYFUNCTION("""COMPUTED_VALUE"""),29.92)</f>
        <v>29.92</v>
      </c>
      <c r="I710" s="3">
        <f ca="1">IFERROR(__xludf.DUMMYFUNCTION("""COMPUTED_VALUE"""),148.59)</f>
        <v>148.59</v>
      </c>
      <c r="J710" s="3">
        <f ca="1">IFERROR(__xludf.DUMMYFUNCTION("""COMPUTED_VALUE"""),272.64)</f>
        <v>272.64</v>
      </c>
      <c r="K710" s="3">
        <f ca="1">IFERROR(__xludf.DUMMYFUNCTION("""COMPUTED_VALUE"""),141.51)</f>
        <v>141.51</v>
      </c>
      <c r="L710" s="3">
        <f ca="1">IFERROR(__xludf.DUMMYFUNCTION("""COMPUTED_VALUE"""),97.15)</f>
        <v>97.15</v>
      </c>
      <c r="M710" s="3">
        <f ca="1">IFERROR(__xludf.DUMMYFUNCTION("""COMPUTED_VALUE"""),67.11)</f>
        <v>67.11</v>
      </c>
      <c r="N710" s="3">
        <f ca="1">IFERROR(__xludf.DUMMYFUNCTION("""COMPUTED_VALUE"""),70.34)</f>
        <v>70.34</v>
      </c>
      <c r="O710" s="3">
        <f ca="1">IFERROR(__xludf.DUMMYFUNCTION("""COMPUTED_VALUE"""),41.96)</f>
        <v>41.96</v>
      </c>
      <c r="P710" s="3">
        <f ca="1">IFERROR(__xludf.DUMMYFUNCTION("""COMPUTED_VALUE"""),89.77)</f>
        <v>89.77</v>
      </c>
      <c r="Q710" s="3">
        <f ca="1">IFERROR(__xludf.DUMMYFUNCTION("""COMPUTED_VALUE"""),125.32)</f>
        <v>125.32</v>
      </c>
      <c r="R710" s="3">
        <f ca="1">IFERROR(__xludf.DUMMYFUNCTION("""COMPUTED_VALUE"""),93.96)</f>
        <v>93.96</v>
      </c>
      <c r="S710" s="3">
        <f ca="1">IFERROR(__xludf.DUMMYFUNCTION("""COMPUTED_VALUE"""),64.01)</f>
        <v>64.010000000000005</v>
      </c>
      <c r="T710" s="3">
        <f ca="1">IFERROR(__xludf.DUMMYFUNCTION("""COMPUTED_VALUE"""),22.81)</f>
        <v>22.81</v>
      </c>
      <c r="U710" s="3">
        <f ca="1">IFERROR(__xludf.DUMMYFUNCTION("""COMPUTED_VALUE"""),74.23)</f>
        <v>74.23</v>
      </c>
      <c r="V710" s="3">
        <f ca="1">IFERROR(__xludf.DUMMYFUNCTION("""COMPUTED_VALUE"""),38.95)</f>
        <v>38.950000000000003</v>
      </c>
      <c r="W710" s="3">
        <f ca="1">IFERROR(__xludf.DUMMYFUNCTION("""COMPUTED_VALUE"""),46.63)</f>
        <v>46.63</v>
      </c>
      <c r="X710" s="3">
        <f ca="1">IFERROR(__xludf.DUMMYFUNCTION("""COMPUTED_VALUE"""),113.38)</f>
        <v>113.38</v>
      </c>
      <c r="Y710" s="3">
        <f ca="1">IFERROR(__xludf.DUMMYFUNCTION("""COMPUTED_VALUE"""),53.74)</f>
        <v>53.74</v>
      </c>
      <c r="Z710" s="3">
        <f ca="1">IFERROR(__xludf.DUMMYFUNCTION("""COMPUTED_VALUE"""),107.23)</f>
        <v>107.23</v>
      </c>
      <c r="AA710" s="3">
        <f ca="1">IFERROR(__xludf.DUMMYFUNCTION("""COMPUTED_VALUE"""),44.07)</f>
        <v>44.07</v>
      </c>
      <c r="AB710" s="3">
        <f ca="1">IFERROR(__xludf.DUMMYFUNCTION("""COMPUTED_VALUE"""),57.9)</f>
        <v>57.9</v>
      </c>
      <c r="AC710" s="3">
        <f ca="1">IFERROR(__xludf.DUMMYFUNCTION("""COMPUTED_VALUE"""),74.74)</f>
        <v>74.739999999999995</v>
      </c>
      <c r="AD710" s="3">
        <f ca="1">IFERROR(__xludf.DUMMYFUNCTION("""COMPUTED_VALUE"""),16.34)</f>
        <v>16.34</v>
      </c>
      <c r="AE710" s="3">
        <f ca="1">IFERROR(__xludf.DUMMYFUNCTION("""COMPUTED_VALUE"""),18.96)</f>
        <v>18.96</v>
      </c>
      <c r="AF710" s="3">
        <f ca="1">IFERROR(__xludf.DUMMYFUNCTION("""COMPUTED_VALUE"""),5.74)</f>
        <v>5.74</v>
      </c>
      <c r="AG710" s="3">
        <f ca="1">IFERROR(__xludf.DUMMYFUNCTION("""COMPUTED_VALUE"""),52.52)</f>
        <v>52.52</v>
      </c>
    </row>
    <row r="711" spans="1:33" ht="12.75" x14ac:dyDescent="0.2">
      <c r="A711" s="4">
        <f ca="1">IFERROR(__xludf.DUMMYFUNCTION("""COMPUTED_VALUE"""),45593.6666666666)</f>
        <v>45593.666666666599</v>
      </c>
      <c r="B711" s="3">
        <f ca="1">IFERROR(__xludf.DUMMYFUNCTION("""COMPUTED_VALUE"""),230.22)</f>
        <v>230.22</v>
      </c>
      <c r="C711" s="3">
        <f ca="1">IFERROR(__xludf.DUMMYFUNCTION("""COMPUTED_VALUE"""),603.19)</f>
        <v>603.19000000000005</v>
      </c>
      <c r="D711" s="3">
        <f ca="1">IFERROR(__xludf.DUMMYFUNCTION("""COMPUTED_VALUE"""),150.69)</f>
        <v>150.69</v>
      </c>
      <c r="E711" s="3">
        <f ca="1">IFERROR(__xludf.DUMMYFUNCTION("""COMPUTED_VALUE"""),229.72)</f>
        <v>229.72</v>
      </c>
      <c r="F711" s="3">
        <f ca="1">IFERROR(__xludf.DUMMYFUNCTION("""COMPUTED_VALUE"""),70.27)</f>
        <v>70.27</v>
      </c>
      <c r="G711" s="3">
        <f ca="1">IFERROR(__xludf.DUMMYFUNCTION("""COMPUTED_VALUE"""),32.12)</f>
        <v>32.119999999999997</v>
      </c>
      <c r="H711" s="3">
        <f ca="1">IFERROR(__xludf.DUMMYFUNCTION("""COMPUTED_VALUE"""),30.21)</f>
        <v>30.21</v>
      </c>
      <c r="I711" s="3">
        <f ca="1">IFERROR(__xludf.DUMMYFUNCTION("""COMPUTED_VALUE"""),148.81)</f>
        <v>148.81</v>
      </c>
      <c r="J711" s="3">
        <f ca="1">IFERROR(__xludf.DUMMYFUNCTION("""COMPUTED_VALUE"""),273.37)</f>
        <v>273.37</v>
      </c>
      <c r="K711" s="3">
        <f ca="1">IFERROR(__xludf.DUMMYFUNCTION("""COMPUTED_VALUE"""),142.74)</f>
        <v>142.74</v>
      </c>
      <c r="L711" s="3">
        <f ca="1">IFERROR(__xludf.DUMMYFUNCTION("""COMPUTED_VALUE"""),98.49)</f>
        <v>98.49</v>
      </c>
      <c r="M711" s="3">
        <f ca="1">IFERROR(__xludf.DUMMYFUNCTION("""COMPUTED_VALUE"""),68.34)</f>
        <v>68.34</v>
      </c>
      <c r="N711" s="3">
        <f ca="1">IFERROR(__xludf.DUMMYFUNCTION("""COMPUTED_VALUE"""),70.48)</f>
        <v>70.48</v>
      </c>
      <c r="O711" s="3">
        <f ca="1">IFERROR(__xludf.DUMMYFUNCTION("""COMPUTED_VALUE"""),42.61)</f>
        <v>42.61</v>
      </c>
      <c r="P711" s="3">
        <f ca="1">IFERROR(__xludf.DUMMYFUNCTION("""COMPUTED_VALUE"""),89.2)</f>
        <v>89.2</v>
      </c>
      <c r="Q711" s="3">
        <f ca="1">IFERROR(__xludf.DUMMYFUNCTION("""COMPUTED_VALUE"""),124.42)</f>
        <v>124.42</v>
      </c>
      <c r="R711" s="3">
        <f ca="1">IFERROR(__xludf.DUMMYFUNCTION("""COMPUTED_VALUE"""),94.74)</f>
        <v>94.74</v>
      </c>
      <c r="S711" s="3">
        <f ca="1">IFERROR(__xludf.DUMMYFUNCTION("""COMPUTED_VALUE"""),65.64)</f>
        <v>65.64</v>
      </c>
      <c r="T711" s="3">
        <f ca="1">IFERROR(__xludf.DUMMYFUNCTION("""COMPUTED_VALUE"""),22.2)</f>
        <v>22.2</v>
      </c>
      <c r="U711" s="3">
        <f ca="1">IFERROR(__xludf.DUMMYFUNCTION("""COMPUTED_VALUE"""),70.43)</f>
        <v>70.430000000000007</v>
      </c>
      <c r="V711" s="3">
        <f ca="1">IFERROR(__xludf.DUMMYFUNCTION("""COMPUTED_VALUE"""),39.88)</f>
        <v>39.880000000000003</v>
      </c>
      <c r="W711" s="3">
        <f ca="1">IFERROR(__xludf.DUMMYFUNCTION("""COMPUTED_VALUE"""),47.21)</f>
        <v>47.21</v>
      </c>
      <c r="X711" s="3">
        <f ca="1">IFERROR(__xludf.DUMMYFUNCTION("""COMPUTED_VALUE"""),114.89)</f>
        <v>114.89</v>
      </c>
      <c r="Y711" s="3">
        <f ca="1">IFERROR(__xludf.DUMMYFUNCTION("""COMPUTED_VALUE"""),55.25)</f>
        <v>55.25</v>
      </c>
      <c r="Z711" s="3">
        <f ca="1">IFERROR(__xludf.DUMMYFUNCTION("""COMPUTED_VALUE"""),108.6)</f>
        <v>108.6</v>
      </c>
      <c r="AA711" s="3">
        <f ca="1">IFERROR(__xludf.DUMMYFUNCTION("""COMPUTED_VALUE"""),44.21)</f>
        <v>44.21</v>
      </c>
      <c r="AB711" s="3">
        <f ca="1">IFERROR(__xludf.DUMMYFUNCTION("""COMPUTED_VALUE"""),59.56)</f>
        <v>59.56</v>
      </c>
      <c r="AC711" s="3">
        <f ca="1">IFERROR(__xludf.DUMMYFUNCTION("""COMPUTED_VALUE"""),73.81)</f>
        <v>73.81</v>
      </c>
      <c r="AD711" s="3">
        <f ca="1">IFERROR(__xludf.DUMMYFUNCTION("""COMPUTED_VALUE"""),16.75)</f>
        <v>16.75</v>
      </c>
      <c r="AE711" s="3">
        <f ca="1">IFERROR(__xludf.DUMMYFUNCTION("""COMPUTED_VALUE"""),19.79)</f>
        <v>19.79</v>
      </c>
      <c r="AF711" s="3">
        <f ca="1">IFERROR(__xludf.DUMMYFUNCTION("""COMPUTED_VALUE"""),5.79)</f>
        <v>5.79</v>
      </c>
      <c r="AG711" s="3">
        <f ca="1">IFERROR(__xludf.DUMMYFUNCTION("""COMPUTED_VALUE"""),56.88)</f>
        <v>56.88</v>
      </c>
    </row>
    <row r="712" spans="1:33" ht="12.75" x14ac:dyDescent="0.2">
      <c r="A712" s="4">
        <f ca="1">IFERROR(__xludf.DUMMYFUNCTION("""COMPUTED_VALUE"""),45594.6666666666)</f>
        <v>45594.666666666599</v>
      </c>
      <c r="B712" s="3">
        <f ca="1">IFERROR(__xludf.DUMMYFUNCTION("""COMPUTED_VALUE"""),233.32)</f>
        <v>233.32</v>
      </c>
      <c r="C712" s="3">
        <f ca="1">IFERROR(__xludf.DUMMYFUNCTION("""COMPUTED_VALUE"""),610.32)</f>
        <v>610.32000000000005</v>
      </c>
      <c r="D712" s="3">
        <f ca="1">IFERROR(__xludf.DUMMYFUNCTION("""COMPUTED_VALUE"""),151.71)</f>
        <v>151.71</v>
      </c>
      <c r="E712" s="3">
        <f ca="1">IFERROR(__xludf.DUMMYFUNCTION("""COMPUTED_VALUE"""),235.37)</f>
        <v>235.37</v>
      </c>
      <c r="F712" s="3">
        <f ca="1">IFERROR(__xludf.DUMMYFUNCTION("""COMPUTED_VALUE"""),71.25)</f>
        <v>71.25</v>
      </c>
      <c r="G712" s="3">
        <f ca="1">IFERROR(__xludf.DUMMYFUNCTION("""COMPUTED_VALUE"""),32.4)</f>
        <v>32.4</v>
      </c>
      <c r="H712" s="3">
        <f ca="1">IFERROR(__xludf.DUMMYFUNCTION("""COMPUTED_VALUE"""),30.25)</f>
        <v>30.25</v>
      </c>
      <c r="I712" s="3">
        <f ca="1">IFERROR(__xludf.DUMMYFUNCTION("""COMPUTED_VALUE"""),148.4)</f>
        <v>148.4</v>
      </c>
      <c r="J712" s="3">
        <f ca="1">IFERROR(__xludf.DUMMYFUNCTION("""COMPUTED_VALUE"""),272.8)</f>
        <v>272.8</v>
      </c>
      <c r="K712" s="3">
        <f ca="1">IFERROR(__xludf.DUMMYFUNCTION("""COMPUTED_VALUE"""),142.42)</f>
        <v>142.41999999999999</v>
      </c>
      <c r="L712" s="3">
        <f ca="1">IFERROR(__xludf.DUMMYFUNCTION("""COMPUTED_VALUE"""),98.56)</f>
        <v>98.56</v>
      </c>
      <c r="M712" s="3">
        <f ca="1">IFERROR(__xludf.DUMMYFUNCTION("""COMPUTED_VALUE"""),68.8)</f>
        <v>68.8</v>
      </c>
      <c r="N712" s="3">
        <f ca="1">IFERROR(__xludf.DUMMYFUNCTION("""COMPUTED_VALUE"""),70.39)</f>
        <v>70.39</v>
      </c>
      <c r="O712" s="3">
        <f ca="1">IFERROR(__xludf.DUMMYFUNCTION("""COMPUTED_VALUE"""),42.39)</f>
        <v>42.39</v>
      </c>
      <c r="P712" s="3">
        <f ca="1">IFERROR(__xludf.DUMMYFUNCTION("""COMPUTED_VALUE"""),88.04)</f>
        <v>88.04</v>
      </c>
      <c r="Q712" s="3">
        <f ca="1">IFERROR(__xludf.DUMMYFUNCTION("""COMPUTED_VALUE"""),122.77)</f>
        <v>122.77</v>
      </c>
      <c r="R712" s="3">
        <f ca="1">IFERROR(__xludf.DUMMYFUNCTION("""COMPUTED_VALUE"""),94.13)</f>
        <v>94.13</v>
      </c>
      <c r="S712" s="3">
        <f ca="1">IFERROR(__xludf.DUMMYFUNCTION("""COMPUTED_VALUE"""),65.67)</f>
        <v>65.67</v>
      </c>
      <c r="T712" s="3">
        <f ca="1">IFERROR(__xludf.DUMMYFUNCTION("""COMPUTED_VALUE"""),22.16)</f>
        <v>22.16</v>
      </c>
      <c r="U712" s="3">
        <f ca="1">IFERROR(__xludf.DUMMYFUNCTION("""COMPUTED_VALUE"""),69.66)</f>
        <v>69.66</v>
      </c>
      <c r="V712" s="3">
        <f ca="1">IFERROR(__xludf.DUMMYFUNCTION("""COMPUTED_VALUE"""),38.45)</f>
        <v>38.450000000000003</v>
      </c>
      <c r="W712" s="3">
        <f ca="1">IFERROR(__xludf.DUMMYFUNCTION("""COMPUTED_VALUE"""),46.92)</f>
        <v>46.92</v>
      </c>
      <c r="X712" s="3">
        <f ca="1">IFERROR(__xludf.DUMMYFUNCTION("""COMPUTED_VALUE"""),114.21)</f>
        <v>114.21</v>
      </c>
      <c r="Y712" s="3">
        <f ca="1">IFERROR(__xludf.DUMMYFUNCTION("""COMPUTED_VALUE"""),55.01)</f>
        <v>55.01</v>
      </c>
      <c r="Z712" s="3">
        <f ca="1">IFERROR(__xludf.DUMMYFUNCTION("""COMPUTED_VALUE"""),108.41)</f>
        <v>108.41</v>
      </c>
      <c r="AA712" s="3">
        <f ca="1">IFERROR(__xludf.DUMMYFUNCTION("""COMPUTED_VALUE"""),43.81)</f>
        <v>43.81</v>
      </c>
      <c r="AB712" s="3">
        <f ca="1">IFERROR(__xludf.DUMMYFUNCTION("""COMPUTED_VALUE"""),59.21)</f>
        <v>59.21</v>
      </c>
      <c r="AC712" s="3">
        <f ca="1">IFERROR(__xludf.DUMMYFUNCTION("""COMPUTED_VALUE"""),73.81)</f>
        <v>73.81</v>
      </c>
      <c r="AD712" s="3">
        <f ca="1">IFERROR(__xludf.DUMMYFUNCTION("""COMPUTED_VALUE"""),17.59)</f>
        <v>17.59</v>
      </c>
      <c r="AE712" s="3">
        <f ca="1">IFERROR(__xludf.DUMMYFUNCTION("""COMPUTED_VALUE"""),20.64)</f>
        <v>20.64</v>
      </c>
      <c r="AF712" s="3">
        <f ca="1">IFERROR(__xludf.DUMMYFUNCTION("""COMPUTED_VALUE"""),5.72)</f>
        <v>5.72</v>
      </c>
      <c r="AG712" s="3">
        <f ca="1">IFERROR(__xludf.DUMMYFUNCTION("""COMPUTED_VALUE"""),56.99)</f>
        <v>56.99</v>
      </c>
    </row>
    <row r="713" spans="1:33" ht="12.75" x14ac:dyDescent="0.2">
      <c r="A713" s="4">
        <f ca="1">IFERROR(__xludf.DUMMYFUNCTION("""COMPUTED_VALUE"""),45595.6666666666)</f>
        <v>45595.666666666599</v>
      </c>
      <c r="B713" s="3">
        <f ca="1">IFERROR(__xludf.DUMMYFUNCTION("""COMPUTED_VALUE"""),229.61)</f>
        <v>229.61</v>
      </c>
      <c r="C713" s="3">
        <f ca="1">IFERROR(__xludf.DUMMYFUNCTION("""COMPUTED_VALUE"""),602.32)</f>
        <v>602.32000000000005</v>
      </c>
      <c r="D713" s="3">
        <f ca="1">IFERROR(__xludf.DUMMYFUNCTION("""COMPUTED_VALUE"""),151.41)</f>
        <v>151.41</v>
      </c>
      <c r="E713" s="3">
        <f ca="1">IFERROR(__xludf.DUMMYFUNCTION("""COMPUTED_VALUE"""),227.07)</f>
        <v>227.07</v>
      </c>
      <c r="F713" s="3">
        <f ca="1">IFERROR(__xludf.DUMMYFUNCTION("""COMPUTED_VALUE"""),70.47)</f>
        <v>70.47</v>
      </c>
      <c r="G713" s="3">
        <f ca="1">IFERROR(__xludf.DUMMYFUNCTION("""COMPUTED_VALUE"""),32.38)</f>
        <v>32.380000000000003</v>
      </c>
      <c r="H713" s="3">
        <f ca="1">IFERROR(__xludf.DUMMYFUNCTION("""COMPUTED_VALUE"""),30.1)</f>
        <v>30.1</v>
      </c>
      <c r="I713" s="3">
        <f ca="1">IFERROR(__xludf.DUMMYFUNCTION("""COMPUTED_VALUE"""),148.12)</f>
        <v>148.12</v>
      </c>
      <c r="J713" s="3">
        <f ca="1">IFERROR(__xludf.DUMMYFUNCTION("""COMPUTED_VALUE"""),272.37)</f>
        <v>272.37</v>
      </c>
      <c r="K713" s="3">
        <f ca="1">IFERROR(__xludf.DUMMYFUNCTION("""COMPUTED_VALUE"""),142.41)</f>
        <v>142.41</v>
      </c>
      <c r="L713" s="3">
        <f ca="1">IFERROR(__xludf.DUMMYFUNCTION("""COMPUTED_VALUE"""),98.42)</f>
        <v>98.42</v>
      </c>
      <c r="M713" s="3">
        <f ca="1">IFERROR(__xludf.DUMMYFUNCTION("""COMPUTED_VALUE"""),69.46)</f>
        <v>69.459999999999994</v>
      </c>
      <c r="N713" s="3">
        <f ca="1">IFERROR(__xludf.DUMMYFUNCTION("""COMPUTED_VALUE"""),70.26)</f>
        <v>70.260000000000005</v>
      </c>
      <c r="O713" s="3">
        <f ca="1">IFERROR(__xludf.DUMMYFUNCTION("""COMPUTED_VALUE"""),42.31)</f>
        <v>42.31</v>
      </c>
      <c r="P713" s="3">
        <f ca="1">IFERROR(__xludf.DUMMYFUNCTION("""COMPUTED_VALUE"""),88.59)</f>
        <v>88.59</v>
      </c>
      <c r="Q713" s="3">
        <f ca="1">IFERROR(__xludf.DUMMYFUNCTION("""COMPUTED_VALUE"""),123.03)</f>
        <v>123.03</v>
      </c>
      <c r="R713" s="3">
        <f ca="1">IFERROR(__xludf.DUMMYFUNCTION("""COMPUTED_VALUE"""),94.64)</f>
        <v>94.64</v>
      </c>
      <c r="S713" s="3">
        <f ca="1">IFERROR(__xludf.DUMMYFUNCTION("""COMPUTED_VALUE"""),64.54)</f>
        <v>64.540000000000006</v>
      </c>
      <c r="T713" s="3">
        <f ca="1">IFERROR(__xludf.DUMMYFUNCTION("""COMPUTED_VALUE"""),22.44)</f>
        <v>22.44</v>
      </c>
      <c r="U713" s="3">
        <f ca="1">IFERROR(__xludf.DUMMYFUNCTION("""COMPUTED_VALUE"""),71.36)</f>
        <v>71.36</v>
      </c>
      <c r="V713" s="3">
        <f ca="1">IFERROR(__xludf.DUMMYFUNCTION("""COMPUTED_VALUE"""),38.88)</f>
        <v>38.880000000000003</v>
      </c>
      <c r="W713" s="3">
        <f ca="1">IFERROR(__xludf.DUMMYFUNCTION("""COMPUTED_VALUE"""),47.13)</f>
        <v>47.13</v>
      </c>
      <c r="X713" s="3">
        <f ca="1">IFERROR(__xludf.DUMMYFUNCTION("""COMPUTED_VALUE"""),114.88)</f>
        <v>114.88</v>
      </c>
      <c r="Y713" s="3">
        <f ca="1">IFERROR(__xludf.DUMMYFUNCTION("""COMPUTED_VALUE"""),55.47)</f>
        <v>55.47</v>
      </c>
      <c r="Z713" s="3">
        <f ca="1">IFERROR(__xludf.DUMMYFUNCTION("""COMPUTED_VALUE"""),106.74)</f>
        <v>106.74</v>
      </c>
      <c r="AA713" s="3">
        <f ca="1">IFERROR(__xludf.DUMMYFUNCTION("""COMPUTED_VALUE"""),43.97)</f>
        <v>43.97</v>
      </c>
      <c r="AB713" s="3">
        <f ca="1">IFERROR(__xludf.DUMMYFUNCTION("""COMPUTED_VALUE"""),59.81)</f>
        <v>59.81</v>
      </c>
      <c r="AC713" s="3">
        <f ca="1">IFERROR(__xludf.DUMMYFUNCTION("""COMPUTED_VALUE"""),73.16)</f>
        <v>73.16</v>
      </c>
      <c r="AD713" s="3">
        <f ca="1">IFERROR(__xludf.DUMMYFUNCTION("""COMPUTED_VALUE"""),17.56)</f>
        <v>17.559999999999999</v>
      </c>
      <c r="AE713" s="3">
        <f ca="1">IFERROR(__xludf.DUMMYFUNCTION("""COMPUTED_VALUE"""),20.46)</f>
        <v>20.46</v>
      </c>
      <c r="AF713" s="3">
        <f ca="1">IFERROR(__xludf.DUMMYFUNCTION("""COMPUTED_VALUE"""),5.82)</f>
        <v>5.82</v>
      </c>
      <c r="AG713" s="3">
        <f ca="1">IFERROR(__xludf.DUMMYFUNCTION("""COMPUTED_VALUE"""),56.15)</f>
        <v>56.15</v>
      </c>
    </row>
    <row r="714" spans="1:33" ht="12.75" x14ac:dyDescent="0.2">
      <c r="A714" s="4">
        <f ca="1">IFERROR(__xludf.DUMMYFUNCTION("""COMPUTED_VALUE"""),45596.6666666666)</f>
        <v>45596.666666666599</v>
      </c>
      <c r="B714" s="3">
        <f ca="1">IFERROR(__xludf.DUMMYFUNCTION("""COMPUTED_VALUE"""),222.24)</f>
        <v>222.24</v>
      </c>
      <c r="C714" s="3">
        <f ca="1">IFERROR(__xludf.DUMMYFUNCTION("""COMPUTED_VALUE"""),582.3)</f>
        <v>582.29999999999995</v>
      </c>
      <c r="D714" s="3">
        <f ca="1">IFERROR(__xludf.DUMMYFUNCTION("""COMPUTED_VALUE"""),153.64)</f>
        <v>153.63999999999999</v>
      </c>
      <c r="E714" s="3">
        <f ca="1">IFERROR(__xludf.DUMMYFUNCTION("""COMPUTED_VALUE"""),218.26)</f>
        <v>218.26</v>
      </c>
      <c r="F714" s="3">
        <f ca="1">IFERROR(__xludf.DUMMYFUNCTION("""COMPUTED_VALUE"""),69.32)</f>
        <v>69.319999999999993</v>
      </c>
      <c r="G714" s="3">
        <f ca="1">IFERROR(__xludf.DUMMYFUNCTION("""COMPUTED_VALUE"""),31.76)</f>
        <v>31.76</v>
      </c>
      <c r="H714" s="3">
        <f ca="1">IFERROR(__xludf.DUMMYFUNCTION("""COMPUTED_VALUE"""),29.46)</f>
        <v>29.46</v>
      </c>
      <c r="I714" s="3">
        <f ca="1">IFERROR(__xludf.DUMMYFUNCTION("""COMPUTED_VALUE"""),146.87)</f>
        <v>146.87</v>
      </c>
      <c r="J714" s="3">
        <f ca="1">IFERROR(__xludf.DUMMYFUNCTION("""COMPUTED_VALUE"""),269.68)</f>
        <v>269.68</v>
      </c>
      <c r="K714" s="3">
        <f ca="1">IFERROR(__xludf.DUMMYFUNCTION("""COMPUTED_VALUE"""),140.29)</f>
        <v>140.29</v>
      </c>
      <c r="L714" s="3">
        <f ca="1">IFERROR(__xludf.DUMMYFUNCTION("""COMPUTED_VALUE"""),97.03)</f>
        <v>97.03</v>
      </c>
      <c r="M714" s="3">
        <f ca="1">IFERROR(__xludf.DUMMYFUNCTION("""COMPUTED_VALUE"""),68.2)</f>
        <v>68.2</v>
      </c>
      <c r="N714" s="3">
        <f ca="1">IFERROR(__xludf.DUMMYFUNCTION("""COMPUTED_VALUE"""),69.62)</f>
        <v>69.62</v>
      </c>
      <c r="O714" s="3">
        <f ca="1">IFERROR(__xludf.DUMMYFUNCTION("""COMPUTED_VALUE"""),41.52)</f>
        <v>41.52</v>
      </c>
      <c r="P714" s="3">
        <f ca="1">IFERROR(__xludf.DUMMYFUNCTION("""COMPUTED_VALUE"""),88.03)</f>
        <v>88.03</v>
      </c>
      <c r="Q714" s="3">
        <f ca="1">IFERROR(__xludf.DUMMYFUNCTION("""COMPUTED_VALUE"""),123.64)</f>
        <v>123.64</v>
      </c>
      <c r="R714" s="3">
        <f ca="1">IFERROR(__xludf.DUMMYFUNCTION("""COMPUTED_VALUE"""),93.39)</f>
        <v>93.39</v>
      </c>
      <c r="S714" s="3">
        <f ca="1">IFERROR(__xludf.DUMMYFUNCTION("""COMPUTED_VALUE"""),63.59)</f>
        <v>63.59</v>
      </c>
      <c r="T714" s="3">
        <f ca="1">IFERROR(__xludf.DUMMYFUNCTION("""COMPUTED_VALUE"""),22.59)</f>
        <v>22.59</v>
      </c>
      <c r="U714" s="3">
        <f ca="1">IFERROR(__xludf.DUMMYFUNCTION("""COMPUTED_VALUE"""),73.08)</f>
        <v>73.08</v>
      </c>
      <c r="V714" s="3">
        <f ca="1">IFERROR(__xludf.DUMMYFUNCTION("""COMPUTED_VALUE"""),39.83)</f>
        <v>39.83</v>
      </c>
      <c r="W714" s="3">
        <f ca="1">IFERROR(__xludf.DUMMYFUNCTION("""COMPUTED_VALUE"""),46.48)</f>
        <v>46.48</v>
      </c>
      <c r="X714" s="3">
        <f ca="1">IFERROR(__xludf.DUMMYFUNCTION("""COMPUTED_VALUE"""),113.23)</f>
        <v>113.23</v>
      </c>
      <c r="Y714" s="3">
        <f ca="1">IFERROR(__xludf.DUMMYFUNCTION("""COMPUTED_VALUE"""),54.65)</f>
        <v>54.65</v>
      </c>
      <c r="Z714" s="3">
        <f ca="1">IFERROR(__xludf.DUMMYFUNCTION("""COMPUTED_VALUE"""),106.62)</f>
        <v>106.62</v>
      </c>
      <c r="AA714" s="3">
        <f ca="1">IFERROR(__xludf.DUMMYFUNCTION("""COMPUTED_VALUE"""),43.2)</f>
        <v>43.2</v>
      </c>
      <c r="AB714" s="3">
        <f ca="1">IFERROR(__xludf.DUMMYFUNCTION("""COMPUTED_VALUE"""),58.95)</f>
        <v>58.95</v>
      </c>
      <c r="AC714" s="3">
        <f ca="1">IFERROR(__xludf.DUMMYFUNCTION("""COMPUTED_VALUE"""),74.05)</f>
        <v>74.05</v>
      </c>
      <c r="AD714" s="3">
        <f ca="1">IFERROR(__xludf.DUMMYFUNCTION("""COMPUTED_VALUE"""),16.81)</f>
        <v>16.809999999999999</v>
      </c>
      <c r="AE714" s="3">
        <f ca="1">IFERROR(__xludf.DUMMYFUNCTION("""COMPUTED_VALUE"""),19.88)</f>
        <v>19.88</v>
      </c>
      <c r="AF714" s="3">
        <f ca="1">IFERROR(__xludf.DUMMYFUNCTION("""COMPUTED_VALUE"""),5.81)</f>
        <v>5.81</v>
      </c>
      <c r="AG714" s="3">
        <f ca="1">IFERROR(__xludf.DUMMYFUNCTION("""COMPUTED_VALUE"""),51)</f>
        <v>51</v>
      </c>
    </row>
    <row r="715" spans="1:33" ht="12.75" x14ac:dyDescent="0.2">
      <c r="A715" s="4">
        <f ca="1">IFERROR(__xludf.DUMMYFUNCTION("""COMPUTED_VALUE"""),45597.6666666666)</f>
        <v>45597.666666666599</v>
      </c>
      <c r="B715" s="3">
        <f ca="1">IFERROR(__xludf.DUMMYFUNCTION("""COMPUTED_VALUE"""),223.91)</f>
        <v>223.91</v>
      </c>
      <c r="C715" s="3">
        <f ca="1">IFERROR(__xludf.DUMMYFUNCTION("""COMPUTED_VALUE"""),586.47)</f>
        <v>586.47</v>
      </c>
      <c r="D715" s="3">
        <f ca="1">IFERROR(__xludf.DUMMYFUNCTION("""COMPUTED_VALUE"""),157.95)</f>
        <v>157.94999999999999</v>
      </c>
      <c r="E715" s="3">
        <f ca="1">IFERROR(__xludf.DUMMYFUNCTION("""COMPUTED_VALUE"""),220.58)</f>
        <v>220.58</v>
      </c>
      <c r="F715" s="3">
        <f ca="1">IFERROR(__xludf.DUMMYFUNCTION("""COMPUTED_VALUE"""),69.33)</f>
        <v>69.33</v>
      </c>
      <c r="G715" s="3">
        <f ca="1">IFERROR(__xludf.DUMMYFUNCTION("""COMPUTED_VALUE"""),32)</f>
        <v>32</v>
      </c>
      <c r="H715" s="3">
        <f ca="1">IFERROR(__xludf.DUMMYFUNCTION("""COMPUTED_VALUE"""),29.67)</f>
        <v>29.67</v>
      </c>
      <c r="I715" s="3">
        <f ca="1">IFERROR(__xludf.DUMMYFUNCTION("""COMPUTED_VALUE"""),147.74)</f>
        <v>147.74</v>
      </c>
      <c r="J715" s="3">
        <f ca="1">IFERROR(__xludf.DUMMYFUNCTION("""COMPUTED_VALUE"""),271.72)</f>
        <v>271.72000000000003</v>
      </c>
      <c r="K715" s="3">
        <f ca="1">IFERROR(__xludf.DUMMYFUNCTION("""COMPUTED_VALUE"""),142.78)</f>
        <v>142.78</v>
      </c>
      <c r="L715" s="3">
        <f ca="1">IFERROR(__xludf.DUMMYFUNCTION("""COMPUTED_VALUE"""),99.27)</f>
        <v>99.27</v>
      </c>
      <c r="M715" s="3">
        <f ca="1">IFERROR(__xludf.DUMMYFUNCTION("""COMPUTED_VALUE"""),69.14)</f>
        <v>69.14</v>
      </c>
      <c r="N715" s="3">
        <f ca="1">IFERROR(__xludf.DUMMYFUNCTION("""COMPUTED_VALUE"""),70.12)</f>
        <v>70.12</v>
      </c>
      <c r="O715" s="3">
        <f ca="1">IFERROR(__xludf.DUMMYFUNCTION("""COMPUTED_VALUE"""),41.96)</f>
        <v>41.96</v>
      </c>
      <c r="P715" s="3">
        <f ca="1">IFERROR(__xludf.DUMMYFUNCTION("""COMPUTED_VALUE"""),89.57)</f>
        <v>89.57</v>
      </c>
      <c r="Q715" s="3">
        <f ca="1">IFERROR(__xludf.DUMMYFUNCTION("""COMPUTED_VALUE"""),122.72)</f>
        <v>122.72</v>
      </c>
      <c r="R715" s="3">
        <f ca="1">IFERROR(__xludf.DUMMYFUNCTION("""COMPUTED_VALUE"""),93.13)</f>
        <v>93.13</v>
      </c>
      <c r="S715" s="3">
        <f ca="1">IFERROR(__xludf.DUMMYFUNCTION("""COMPUTED_VALUE"""),63.86)</f>
        <v>63.86</v>
      </c>
      <c r="T715" s="3">
        <f ca="1">IFERROR(__xludf.DUMMYFUNCTION("""COMPUTED_VALUE"""),22.35)</f>
        <v>22.35</v>
      </c>
      <c r="U715" s="3">
        <f ca="1">IFERROR(__xludf.DUMMYFUNCTION("""COMPUTED_VALUE"""),72.02)</f>
        <v>72.02</v>
      </c>
      <c r="V715" s="3">
        <f ca="1">IFERROR(__xludf.DUMMYFUNCTION("""COMPUTED_VALUE"""),39.79)</f>
        <v>39.79</v>
      </c>
      <c r="W715" s="3">
        <f ca="1">IFERROR(__xludf.DUMMYFUNCTION("""COMPUTED_VALUE"""),46.64)</f>
        <v>46.64</v>
      </c>
      <c r="X715" s="3">
        <f ca="1">IFERROR(__xludf.DUMMYFUNCTION("""COMPUTED_VALUE"""),113.19)</f>
        <v>113.19</v>
      </c>
      <c r="Y715" s="3">
        <f ca="1">IFERROR(__xludf.DUMMYFUNCTION("""COMPUTED_VALUE"""),54.21)</f>
        <v>54.21</v>
      </c>
      <c r="Z715" s="3">
        <f ca="1">IFERROR(__xludf.DUMMYFUNCTION("""COMPUTED_VALUE"""),105.86)</f>
        <v>105.86</v>
      </c>
      <c r="AA715" s="3">
        <f ca="1">IFERROR(__xludf.DUMMYFUNCTION("""COMPUTED_VALUE"""),42.74)</f>
        <v>42.74</v>
      </c>
      <c r="AB715" s="3">
        <f ca="1">IFERROR(__xludf.DUMMYFUNCTION("""COMPUTED_VALUE"""),58.64)</f>
        <v>58.64</v>
      </c>
      <c r="AC715" s="3">
        <f ca="1">IFERROR(__xludf.DUMMYFUNCTION("""COMPUTED_VALUE"""),79.55)</f>
        <v>79.55</v>
      </c>
      <c r="AD715" s="3">
        <f ca="1">IFERROR(__xludf.DUMMYFUNCTION("""COMPUTED_VALUE"""),16.72)</f>
        <v>16.72</v>
      </c>
      <c r="AE715" s="3">
        <f ca="1">IFERROR(__xludf.DUMMYFUNCTION("""COMPUTED_VALUE"""),18.68)</f>
        <v>18.68</v>
      </c>
      <c r="AF715" s="3">
        <f ca="1">IFERROR(__xludf.DUMMYFUNCTION("""COMPUTED_VALUE"""),6.29)</f>
        <v>6.29</v>
      </c>
      <c r="AG715" s="3">
        <f ca="1">IFERROR(__xludf.DUMMYFUNCTION("""COMPUTED_VALUE"""),50.16)</f>
        <v>50.16</v>
      </c>
    </row>
    <row r="716" spans="1:33" ht="12.75" x14ac:dyDescent="0.2">
      <c r="A716" s="4">
        <f ca="1">IFERROR(__xludf.DUMMYFUNCTION("""COMPUTED_VALUE"""),45600.6666666666)</f>
        <v>45600.666666666599</v>
      </c>
      <c r="B716" s="3">
        <f ca="1">IFERROR(__xludf.DUMMYFUNCTION("""COMPUTED_VALUE"""),223.74)</f>
        <v>223.74</v>
      </c>
      <c r="C716" s="3">
        <f ca="1">IFERROR(__xludf.DUMMYFUNCTION("""COMPUTED_VALUE"""),585.9)</f>
        <v>585.9</v>
      </c>
      <c r="D716" s="3">
        <f ca="1">IFERROR(__xludf.DUMMYFUNCTION("""COMPUTED_VALUE"""),161.25)</f>
        <v>161.25</v>
      </c>
      <c r="E716" s="3">
        <f ca="1">IFERROR(__xludf.DUMMYFUNCTION("""COMPUTED_VALUE"""),219.31)</f>
        <v>219.31</v>
      </c>
      <c r="F716" s="3">
        <f ca="1">IFERROR(__xludf.DUMMYFUNCTION("""COMPUTED_VALUE"""),69.28)</f>
        <v>69.28</v>
      </c>
      <c r="G716" s="3">
        <f ca="1">IFERROR(__xludf.DUMMYFUNCTION("""COMPUTED_VALUE"""),32.11)</f>
        <v>32.11</v>
      </c>
      <c r="H716" s="3">
        <f ca="1">IFERROR(__xludf.DUMMYFUNCTION("""COMPUTED_VALUE"""),29.67)</f>
        <v>29.67</v>
      </c>
      <c r="I716" s="3">
        <f ca="1">IFERROR(__xludf.DUMMYFUNCTION("""COMPUTED_VALUE"""),146.77)</f>
        <v>146.77000000000001</v>
      </c>
      <c r="J716" s="3">
        <f ca="1">IFERROR(__xludf.DUMMYFUNCTION("""COMPUTED_VALUE"""),270.31)</f>
        <v>270.31</v>
      </c>
      <c r="K716" s="3">
        <f ca="1">IFERROR(__xludf.DUMMYFUNCTION("""COMPUTED_VALUE"""),142.85)</f>
        <v>142.85</v>
      </c>
      <c r="L716" s="3">
        <f ca="1">IFERROR(__xludf.DUMMYFUNCTION("""COMPUTED_VALUE"""),99.22)</f>
        <v>99.22</v>
      </c>
      <c r="M716" s="3">
        <f ca="1">IFERROR(__xludf.DUMMYFUNCTION("""COMPUTED_VALUE"""),68.68)</f>
        <v>68.680000000000007</v>
      </c>
      <c r="N716" s="3">
        <f ca="1">IFERROR(__xludf.DUMMYFUNCTION("""COMPUTED_VALUE"""),69.69)</f>
        <v>69.69</v>
      </c>
      <c r="O716" s="3">
        <f ca="1">IFERROR(__xludf.DUMMYFUNCTION("""COMPUTED_VALUE"""),42.48)</f>
        <v>42.48</v>
      </c>
      <c r="P716" s="3">
        <f ca="1">IFERROR(__xludf.DUMMYFUNCTION("""COMPUTED_VALUE"""),90.17)</f>
        <v>90.17</v>
      </c>
      <c r="Q716" s="3">
        <f ca="1">IFERROR(__xludf.DUMMYFUNCTION("""COMPUTED_VALUE"""),124.95)</f>
        <v>124.95</v>
      </c>
      <c r="R716" s="3">
        <f ca="1">IFERROR(__xludf.DUMMYFUNCTION("""COMPUTED_VALUE"""),93.54)</f>
        <v>93.54</v>
      </c>
      <c r="S716" s="3">
        <f ca="1">IFERROR(__xludf.DUMMYFUNCTION("""COMPUTED_VALUE"""),63.54)</f>
        <v>63.54</v>
      </c>
      <c r="T716" s="3">
        <f ca="1">IFERROR(__xludf.DUMMYFUNCTION("""COMPUTED_VALUE"""),22.73)</f>
        <v>22.73</v>
      </c>
      <c r="U716" s="3">
        <f ca="1">IFERROR(__xludf.DUMMYFUNCTION("""COMPUTED_VALUE"""),74.29)</f>
        <v>74.290000000000006</v>
      </c>
      <c r="V716" s="3">
        <f ca="1">IFERROR(__xludf.DUMMYFUNCTION("""COMPUTED_VALUE"""),41.08)</f>
        <v>41.08</v>
      </c>
      <c r="W716" s="3">
        <f ca="1">IFERROR(__xludf.DUMMYFUNCTION("""COMPUTED_VALUE"""),46.28)</f>
        <v>46.28</v>
      </c>
      <c r="X716" s="3">
        <f ca="1">IFERROR(__xludf.DUMMYFUNCTION("""COMPUTED_VALUE"""),112.58)</f>
        <v>112.58</v>
      </c>
      <c r="Y716" s="3">
        <f ca="1">IFERROR(__xludf.DUMMYFUNCTION("""COMPUTED_VALUE"""),53.81)</f>
        <v>53.81</v>
      </c>
      <c r="Z716" s="3">
        <f ca="1">IFERROR(__xludf.DUMMYFUNCTION("""COMPUTED_VALUE"""),107.18)</f>
        <v>107.18</v>
      </c>
      <c r="AA716" s="3">
        <f ca="1">IFERROR(__xludf.DUMMYFUNCTION("""COMPUTED_VALUE"""),43.22)</f>
        <v>43.22</v>
      </c>
      <c r="AB716" s="3">
        <f ca="1">IFERROR(__xludf.DUMMYFUNCTION("""COMPUTED_VALUE"""),58.13)</f>
        <v>58.13</v>
      </c>
      <c r="AC716" s="3">
        <f ca="1">IFERROR(__xludf.DUMMYFUNCTION("""COMPUTED_VALUE"""),78.06)</f>
        <v>78.06</v>
      </c>
      <c r="AD716" s="3">
        <f ca="1">IFERROR(__xludf.DUMMYFUNCTION("""COMPUTED_VALUE"""),16.16)</f>
        <v>16.16</v>
      </c>
      <c r="AE716" s="3">
        <f ca="1">IFERROR(__xludf.DUMMYFUNCTION("""COMPUTED_VALUE"""),18.12)</f>
        <v>18.12</v>
      </c>
      <c r="AF716" s="3">
        <f ca="1">IFERROR(__xludf.DUMMYFUNCTION("""COMPUTED_VALUE"""),6.19)</f>
        <v>6.19</v>
      </c>
      <c r="AG716" s="3">
        <f ca="1">IFERROR(__xludf.DUMMYFUNCTION("""COMPUTED_VALUE"""),48.65)</f>
        <v>48.65</v>
      </c>
    </row>
    <row r="717" spans="1:33" ht="12.75" x14ac:dyDescent="0.2">
      <c r="A717" s="4">
        <f ca="1">IFERROR(__xludf.DUMMYFUNCTION("""COMPUTED_VALUE"""),45601.6666666666)</f>
        <v>45601.666666666599</v>
      </c>
      <c r="B717" s="3">
        <f ca="1">IFERROR(__xludf.DUMMYFUNCTION("""COMPUTED_VALUE"""),226.89)</f>
        <v>226.89</v>
      </c>
      <c r="C717" s="3">
        <f ca="1">IFERROR(__xludf.DUMMYFUNCTION("""COMPUTED_VALUE"""),594.39)</f>
        <v>594.39</v>
      </c>
      <c r="D717" s="3">
        <f ca="1">IFERROR(__xludf.DUMMYFUNCTION("""COMPUTED_VALUE"""),161)</f>
        <v>161</v>
      </c>
      <c r="E717" s="3">
        <f ca="1">IFERROR(__xludf.DUMMYFUNCTION("""COMPUTED_VALUE"""),221.87)</f>
        <v>221.87</v>
      </c>
      <c r="F717" s="3">
        <f ca="1">IFERROR(__xludf.DUMMYFUNCTION("""COMPUTED_VALUE"""),70.31)</f>
        <v>70.31</v>
      </c>
      <c r="G717" s="3">
        <f ca="1">IFERROR(__xludf.DUMMYFUNCTION("""COMPUTED_VALUE"""),32.82)</f>
        <v>32.82</v>
      </c>
      <c r="H717" s="3">
        <f ca="1">IFERROR(__xludf.DUMMYFUNCTION("""COMPUTED_VALUE"""),30.08)</f>
        <v>30.08</v>
      </c>
      <c r="I717" s="3">
        <f ca="1">IFERROR(__xludf.DUMMYFUNCTION("""COMPUTED_VALUE"""),147.85)</f>
        <v>147.85</v>
      </c>
      <c r="J717" s="3">
        <f ca="1">IFERROR(__xludf.DUMMYFUNCTION("""COMPUTED_VALUE"""),272.6)</f>
        <v>272.60000000000002</v>
      </c>
      <c r="K717" s="3">
        <f ca="1">IFERROR(__xludf.DUMMYFUNCTION("""COMPUTED_VALUE"""),145.06)</f>
        <v>145.06</v>
      </c>
      <c r="L717" s="3">
        <f ca="1">IFERROR(__xludf.DUMMYFUNCTION("""COMPUTED_VALUE"""),100.62)</f>
        <v>100.62</v>
      </c>
      <c r="M717" s="3">
        <f ca="1">IFERROR(__xludf.DUMMYFUNCTION("""COMPUTED_VALUE"""),69.47)</f>
        <v>69.47</v>
      </c>
      <c r="N717" s="3">
        <f ca="1">IFERROR(__xludf.DUMMYFUNCTION("""COMPUTED_VALUE"""),70.27)</f>
        <v>70.27</v>
      </c>
      <c r="O717" s="3">
        <f ca="1">IFERROR(__xludf.DUMMYFUNCTION("""COMPUTED_VALUE"""),42.76)</f>
        <v>42.76</v>
      </c>
      <c r="P717" s="3">
        <f ca="1">IFERROR(__xludf.DUMMYFUNCTION("""COMPUTED_VALUE"""),93.56)</f>
        <v>93.56</v>
      </c>
      <c r="Q717" s="3">
        <f ca="1">IFERROR(__xludf.DUMMYFUNCTION("""COMPUTED_VALUE"""),125.82)</f>
        <v>125.82</v>
      </c>
      <c r="R717" s="3">
        <f ca="1">IFERROR(__xludf.DUMMYFUNCTION("""COMPUTED_VALUE"""),93.68)</f>
        <v>93.68</v>
      </c>
      <c r="S717" s="3">
        <f ca="1">IFERROR(__xludf.DUMMYFUNCTION("""COMPUTED_VALUE"""),64.67)</f>
        <v>64.67</v>
      </c>
      <c r="T717" s="3">
        <f ca="1">IFERROR(__xludf.DUMMYFUNCTION("""COMPUTED_VALUE"""),22.87)</f>
        <v>22.87</v>
      </c>
      <c r="U717" s="3">
        <f ca="1">IFERROR(__xludf.DUMMYFUNCTION("""COMPUTED_VALUE"""),74.73)</f>
        <v>74.73</v>
      </c>
      <c r="V717" s="3">
        <f ca="1">IFERROR(__xludf.DUMMYFUNCTION("""COMPUTED_VALUE"""),41.79)</f>
        <v>41.79</v>
      </c>
      <c r="W717" s="3">
        <f ca="1">IFERROR(__xludf.DUMMYFUNCTION("""COMPUTED_VALUE"""),46.71)</f>
        <v>46.71</v>
      </c>
      <c r="X717" s="3">
        <f ca="1">IFERROR(__xludf.DUMMYFUNCTION("""COMPUTED_VALUE"""),113.86)</f>
        <v>113.86</v>
      </c>
      <c r="Y717" s="3">
        <f ca="1">IFERROR(__xludf.DUMMYFUNCTION("""COMPUTED_VALUE"""),54.67)</f>
        <v>54.67</v>
      </c>
      <c r="Z717" s="3">
        <f ca="1">IFERROR(__xludf.DUMMYFUNCTION("""COMPUTED_VALUE"""),114.52)</f>
        <v>114.52</v>
      </c>
      <c r="AA717" s="3">
        <f ca="1">IFERROR(__xludf.DUMMYFUNCTION("""COMPUTED_VALUE"""),43.81)</f>
        <v>43.81</v>
      </c>
      <c r="AB717" s="3">
        <f ca="1">IFERROR(__xludf.DUMMYFUNCTION("""COMPUTED_VALUE"""),59.13)</f>
        <v>59.13</v>
      </c>
      <c r="AC717" s="3">
        <f ca="1">IFERROR(__xludf.DUMMYFUNCTION("""COMPUTED_VALUE"""),78.65)</f>
        <v>78.650000000000006</v>
      </c>
      <c r="AD717" s="3">
        <f ca="1">IFERROR(__xludf.DUMMYFUNCTION("""COMPUTED_VALUE"""),16.46)</f>
        <v>16.46</v>
      </c>
      <c r="AE717" s="3">
        <f ca="1">IFERROR(__xludf.DUMMYFUNCTION("""COMPUTED_VALUE"""),18.73)</f>
        <v>18.73</v>
      </c>
      <c r="AF717" s="3">
        <f ca="1">IFERROR(__xludf.DUMMYFUNCTION("""COMPUTED_VALUE"""),5.94)</f>
        <v>5.94</v>
      </c>
      <c r="AG717" s="3">
        <f ca="1">IFERROR(__xludf.DUMMYFUNCTION("""COMPUTED_VALUE"""),51.06)</f>
        <v>51.06</v>
      </c>
    </row>
    <row r="718" spans="1:33" ht="12.75" x14ac:dyDescent="0.2">
      <c r="A718" s="4">
        <f ca="1">IFERROR(__xludf.DUMMYFUNCTION("""COMPUTED_VALUE"""),45602.6666666666)</f>
        <v>45602.666666666599</v>
      </c>
      <c r="B718" s="3">
        <f ca="1">IFERROR(__xludf.DUMMYFUNCTION("""COMPUTED_VALUE"""),233.35)</f>
        <v>233.35</v>
      </c>
      <c r="C718" s="3">
        <f ca="1">IFERROR(__xludf.DUMMYFUNCTION("""COMPUTED_VALUE"""),613.01)</f>
        <v>613.01</v>
      </c>
      <c r="D718" s="3">
        <f ca="1">IFERROR(__xludf.DUMMYFUNCTION("""COMPUTED_VALUE"""),160.27)</f>
        <v>160.27000000000001</v>
      </c>
      <c r="E718" s="3">
        <f ca="1">IFERROR(__xludf.DUMMYFUNCTION("""COMPUTED_VALUE"""),228.34)</f>
        <v>228.34</v>
      </c>
      <c r="F718" s="3">
        <f ca="1">IFERROR(__xludf.DUMMYFUNCTION("""COMPUTED_VALUE"""),73.15)</f>
        <v>73.150000000000006</v>
      </c>
      <c r="G718" s="3">
        <f ca="1">IFERROR(__xludf.DUMMYFUNCTION("""COMPUTED_VALUE"""),33.26)</f>
        <v>33.26</v>
      </c>
      <c r="H718" s="3">
        <f ca="1">IFERROR(__xludf.DUMMYFUNCTION("""COMPUTED_VALUE"""),30.71)</f>
        <v>30.71</v>
      </c>
      <c r="I718" s="3">
        <f ca="1">IFERROR(__xludf.DUMMYFUNCTION("""COMPUTED_VALUE"""),148.04)</f>
        <v>148.04</v>
      </c>
      <c r="J718" s="3">
        <f ca="1">IFERROR(__xludf.DUMMYFUNCTION("""COMPUTED_VALUE"""),273.56)</f>
        <v>273.56</v>
      </c>
      <c r="K718" s="3">
        <f ca="1">IFERROR(__xludf.DUMMYFUNCTION("""COMPUTED_VALUE"""),146.6)</f>
        <v>146.6</v>
      </c>
      <c r="L718" s="3">
        <f ca="1">IFERROR(__xludf.DUMMYFUNCTION("""COMPUTED_VALUE"""),102.44)</f>
        <v>102.44</v>
      </c>
      <c r="M718" s="3">
        <f ca="1">IFERROR(__xludf.DUMMYFUNCTION("""COMPUTED_VALUE"""),70.76)</f>
        <v>70.760000000000005</v>
      </c>
      <c r="N718" s="3">
        <f ca="1">IFERROR(__xludf.DUMMYFUNCTION("""COMPUTED_VALUE"""),70.53)</f>
        <v>70.53</v>
      </c>
      <c r="O718" s="3">
        <f ca="1">IFERROR(__xludf.DUMMYFUNCTION("""COMPUTED_VALUE"""),43.16)</f>
        <v>43.16</v>
      </c>
      <c r="P718" s="3">
        <f ca="1">IFERROR(__xludf.DUMMYFUNCTION("""COMPUTED_VALUE"""),93.13)</f>
        <v>93.13</v>
      </c>
      <c r="Q718" s="3">
        <f ca="1">IFERROR(__xludf.DUMMYFUNCTION("""COMPUTED_VALUE"""),130.97)</f>
        <v>130.97</v>
      </c>
      <c r="R718" s="3">
        <f ca="1">IFERROR(__xludf.DUMMYFUNCTION("""COMPUTED_VALUE"""),94.97)</f>
        <v>94.97</v>
      </c>
      <c r="S718" s="3">
        <f ca="1">IFERROR(__xludf.DUMMYFUNCTION("""COMPUTED_VALUE"""),69.89)</f>
        <v>69.89</v>
      </c>
      <c r="T718" s="3">
        <f ca="1">IFERROR(__xludf.DUMMYFUNCTION("""COMPUTED_VALUE"""),22.62)</f>
        <v>22.62</v>
      </c>
      <c r="U718" s="3">
        <f ca="1">IFERROR(__xludf.DUMMYFUNCTION("""COMPUTED_VALUE"""),74.54)</f>
        <v>74.540000000000006</v>
      </c>
      <c r="V718" s="3">
        <f ca="1">IFERROR(__xludf.DUMMYFUNCTION("""COMPUTED_VALUE"""),37.25)</f>
        <v>37.25</v>
      </c>
      <c r="W718" s="3">
        <f ca="1">IFERROR(__xludf.DUMMYFUNCTION("""COMPUTED_VALUE"""),49.55)</f>
        <v>49.55</v>
      </c>
      <c r="X718" s="3">
        <f ca="1">IFERROR(__xludf.DUMMYFUNCTION("""COMPUTED_VALUE"""),121.57)</f>
        <v>121.57</v>
      </c>
      <c r="Y718" s="3">
        <f ca="1">IFERROR(__xludf.DUMMYFUNCTION("""COMPUTED_VALUE"""),61.19)</f>
        <v>61.19</v>
      </c>
      <c r="Z718" s="3">
        <f ca="1">IFERROR(__xludf.DUMMYFUNCTION("""COMPUTED_VALUE"""),112.52)</f>
        <v>112.52</v>
      </c>
      <c r="AA718" s="3">
        <f ca="1">IFERROR(__xludf.DUMMYFUNCTION("""COMPUTED_VALUE"""),42.64)</f>
        <v>42.64</v>
      </c>
      <c r="AB718" s="3">
        <f ca="1">IFERROR(__xludf.DUMMYFUNCTION("""COMPUTED_VALUE"""),67.06)</f>
        <v>67.06</v>
      </c>
      <c r="AC718" s="3">
        <f ca="1">IFERROR(__xludf.DUMMYFUNCTION("""COMPUTED_VALUE"""),80.14)</f>
        <v>80.14</v>
      </c>
      <c r="AD718" s="3">
        <f ca="1">IFERROR(__xludf.DUMMYFUNCTION("""COMPUTED_VALUE"""),18.2)</f>
        <v>18.2</v>
      </c>
      <c r="AE718" s="3">
        <f ca="1">IFERROR(__xludf.DUMMYFUNCTION("""COMPUTED_VALUE"""),20.54)</f>
        <v>20.54</v>
      </c>
      <c r="AF718" s="3">
        <f ca="1">IFERROR(__xludf.DUMMYFUNCTION("""COMPUTED_VALUE"""),5.6)</f>
        <v>5.6</v>
      </c>
      <c r="AG718" s="3">
        <f ca="1">IFERROR(__xludf.DUMMYFUNCTION("""COMPUTED_VALUE"""),60.43)</f>
        <v>60.43</v>
      </c>
    </row>
    <row r="719" spans="1:33" ht="12.75" x14ac:dyDescent="0.2">
      <c r="A719" s="4">
        <f ca="1">IFERROR(__xludf.DUMMYFUNCTION("""COMPUTED_VALUE"""),45603.6666666666)</f>
        <v>45603.666666666599</v>
      </c>
      <c r="B719" s="3">
        <f ca="1">IFERROR(__xludf.DUMMYFUNCTION("""COMPUTED_VALUE"""),237.42)</f>
        <v>237.42</v>
      </c>
      <c r="C719" s="3">
        <f ca="1">IFERROR(__xludf.DUMMYFUNCTION("""COMPUTED_VALUE"""),625.57)</f>
        <v>625.57000000000005</v>
      </c>
      <c r="D719" s="3">
        <f ca="1">IFERROR(__xludf.DUMMYFUNCTION("""COMPUTED_VALUE"""),160.85)</f>
        <v>160.85</v>
      </c>
      <c r="E719" s="3">
        <f ca="1">IFERROR(__xludf.DUMMYFUNCTION("""COMPUTED_VALUE"""),233.1)</f>
        <v>233.1</v>
      </c>
      <c r="F719" s="3">
        <f ca="1">IFERROR(__xludf.DUMMYFUNCTION("""COMPUTED_VALUE"""),73.84)</f>
        <v>73.84</v>
      </c>
      <c r="G719" s="3">
        <f ca="1">IFERROR(__xludf.DUMMYFUNCTION("""COMPUTED_VALUE"""),33.54)</f>
        <v>33.54</v>
      </c>
      <c r="H719" s="3">
        <f ca="1">IFERROR(__xludf.DUMMYFUNCTION("""COMPUTED_VALUE"""),31.33)</f>
        <v>31.33</v>
      </c>
      <c r="I719" s="3">
        <f ca="1">IFERROR(__xludf.DUMMYFUNCTION("""COMPUTED_VALUE"""),149.11)</f>
        <v>149.11000000000001</v>
      </c>
      <c r="J719" s="3">
        <f ca="1">IFERROR(__xludf.DUMMYFUNCTION("""COMPUTED_VALUE"""),275.36)</f>
        <v>275.36</v>
      </c>
      <c r="K719" s="3">
        <f ca="1">IFERROR(__xludf.DUMMYFUNCTION("""COMPUTED_VALUE"""),148.02)</f>
        <v>148.02000000000001</v>
      </c>
      <c r="L719" s="3">
        <f ca="1">IFERROR(__xludf.DUMMYFUNCTION("""COMPUTED_VALUE"""),103.01)</f>
        <v>103.01</v>
      </c>
      <c r="M719" s="3">
        <f ca="1">IFERROR(__xludf.DUMMYFUNCTION("""COMPUTED_VALUE"""),71.67)</f>
        <v>71.67</v>
      </c>
      <c r="N719" s="3">
        <f ca="1">IFERROR(__xludf.DUMMYFUNCTION("""COMPUTED_VALUE"""),71)</f>
        <v>71</v>
      </c>
      <c r="O719" s="3">
        <f ca="1">IFERROR(__xludf.DUMMYFUNCTION("""COMPUTED_VALUE"""),43.44)</f>
        <v>43.44</v>
      </c>
      <c r="P719" s="3">
        <f ca="1">IFERROR(__xludf.DUMMYFUNCTION("""COMPUTED_VALUE"""),93.75)</f>
        <v>93.75</v>
      </c>
      <c r="Q719" s="3">
        <f ca="1">IFERROR(__xludf.DUMMYFUNCTION("""COMPUTED_VALUE"""),130.62)</f>
        <v>130.62</v>
      </c>
      <c r="R719" s="3">
        <f ca="1">IFERROR(__xludf.DUMMYFUNCTION("""COMPUTED_VALUE"""),95.34)</f>
        <v>95.34</v>
      </c>
      <c r="S719" s="3">
        <f ca="1">IFERROR(__xludf.DUMMYFUNCTION("""COMPUTED_VALUE"""),69.67)</f>
        <v>69.67</v>
      </c>
      <c r="T719" s="3">
        <f ca="1">IFERROR(__xludf.DUMMYFUNCTION("""COMPUTED_VALUE"""),22.85)</f>
        <v>22.85</v>
      </c>
      <c r="U719" s="3">
        <f ca="1">IFERROR(__xludf.DUMMYFUNCTION("""COMPUTED_VALUE"""),74.66)</f>
        <v>74.66</v>
      </c>
      <c r="V719" s="3">
        <f ca="1">IFERROR(__xludf.DUMMYFUNCTION("""COMPUTED_VALUE"""),37.58)</f>
        <v>37.58</v>
      </c>
      <c r="W719" s="3">
        <f ca="1">IFERROR(__xludf.DUMMYFUNCTION("""COMPUTED_VALUE"""),48.75)</f>
        <v>48.75</v>
      </c>
      <c r="X719" s="3">
        <f ca="1">IFERROR(__xludf.DUMMYFUNCTION("""COMPUTED_VALUE"""),119.48)</f>
        <v>119.48</v>
      </c>
      <c r="Y719" s="3">
        <f ca="1">IFERROR(__xludf.DUMMYFUNCTION("""COMPUTED_VALUE"""),59.2)</f>
        <v>59.2</v>
      </c>
      <c r="Z719" s="3">
        <f ca="1">IFERROR(__xludf.DUMMYFUNCTION("""COMPUTED_VALUE"""),113.45)</f>
        <v>113.45</v>
      </c>
      <c r="AA719" s="3">
        <f ca="1">IFERROR(__xludf.DUMMYFUNCTION("""COMPUTED_VALUE"""),43.17)</f>
        <v>43.17</v>
      </c>
      <c r="AB719" s="3">
        <f ca="1">IFERROR(__xludf.DUMMYFUNCTION("""COMPUTED_VALUE"""),64.63)</f>
        <v>64.63</v>
      </c>
      <c r="AC719" s="3">
        <f ca="1">IFERROR(__xludf.DUMMYFUNCTION("""COMPUTED_VALUE"""),79.75)</f>
        <v>79.75</v>
      </c>
      <c r="AD719" s="3">
        <f ca="1">IFERROR(__xludf.DUMMYFUNCTION("""COMPUTED_VALUE"""),18.95)</f>
        <v>18.95</v>
      </c>
      <c r="AE719" s="3">
        <f ca="1">IFERROR(__xludf.DUMMYFUNCTION("""COMPUTED_VALUE"""),20.67)</f>
        <v>20.67</v>
      </c>
      <c r="AF719" s="3">
        <f ca="1">IFERROR(__xludf.DUMMYFUNCTION("""COMPUTED_VALUE"""),5.48)</f>
        <v>5.48</v>
      </c>
      <c r="AG719" s="3">
        <f ca="1">IFERROR(__xludf.DUMMYFUNCTION("""COMPUTED_VALUE"""),62.59)</f>
        <v>62.59</v>
      </c>
    </row>
    <row r="720" spans="1:33" ht="12.75" x14ac:dyDescent="0.2">
      <c r="A720" s="4">
        <f ca="1">IFERROR(__xludf.DUMMYFUNCTION("""COMPUTED_VALUE"""),45604.6666666666)</f>
        <v>45604.666666666599</v>
      </c>
      <c r="B720" s="3">
        <f ca="1">IFERROR(__xludf.DUMMYFUNCTION("""COMPUTED_VALUE"""),237.16)</f>
        <v>237.16</v>
      </c>
      <c r="C720" s="3">
        <f ca="1">IFERROR(__xludf.DUMMYFUNCTION("""COMPUTED_VALUE"""),624.47)</f>
        <v>624.47</v>
      </c>
      <c r="D720" s="3">
        <f ca="1">IFERROR(__xludf.DUMMYFUNCTION("""COMPUTED_VALUE"""),160.07)</f>
        <v>160.07</v>
      </c>
      <c r="E720" s="3">
        <f ca="1">IFERROR(__xludf.DUMMYFUNCTION("""COMPUTED_VALUE"""),231.36)</f>
        <v>231.36</v>
      </c>
      <c r="F720" s="3">
        <f ca="1">IFERROR(__xludf.DUMMYFUNCTION("""COMPUTED_VALUE"""),74.16)</f>
        <v>74.16</v>
      </c>
      <c r="G720" s="3">
        <f ca="1">IFERROR(__xludf.DUMMYFUNCTION("""COMPUTED_VALUE"""),33.73)</f>
        <v>33.729999999999997</v>
      </c>
      <c r="H720" s="3">
        <f ca="1">IFERROR(__xludf.DUMMYFUNCTION("""COMPUTED_VALUE"""),31.75)</f>
        <v>31.75</v>
      </c>
      <c r="I720" s="3">
        <f ca="1">IFERROR(__xludf.DUMMYFUNCTION("""COMPUTED_VALUE"""),150.18)</f>
        <v>150.18</v>
      </c>
      <c r="J720" s="3">
        <f ca="1">IFERROR(__xludf.DUMMYFUNCTION("""COMPUTED_VALUE"""),277.47)</f>
        <v>277.47000000000003</v>
      </c>
      <c r="K720" s="3">
        <f ca="1">IFERROR(__xludf.DUMMYFUNCTION("""COMPUTED_VALUE"""),148.85)</f>
        <v>148.85</v>
      </c>
      <c r="L720" s="3">
        <f ca="1">IFERROR(__xludf.DUMMYFUNCTION("""COMPUTED_VALUE"""),104.18)</f>
        <v>104.18</v>
      </c>
      <c r="M720" s="3">
        <f ca="1">IFERROR(__xludf.DUMMYFUNCTION("""COMPUTED_VALUE"""),71.95)</f>
        <v>71.95</v>
      </c>
      <c r="N720" s="3">
        <f ca="1">IFERROR(__xludf.DUMMYFUNCTION("""COMPUTED_VALUE"""),71.53)</f>
        <v>71.53</v>
      </c>
      <c r="O720" s="3">
        <f ca="1">IFERROR(__xludf.DUMMYFUNCTION("""COMPUTED_VALUE"""),43.08)</f>
        <v>43.08</v>
      </c>
      <c r="P720" s="3">
        <f ca="1">IFERROR(__xludf.DUMMYFUNCTION("""COMPUTED_VALUE"""),94.28)</f>
        <v>94.28</v>
      </c>
      <c r="Q720" s="3">
        <f ca="1">IFERROR(__xludf.DUMMYFUNCTION("""COMPUTED_VALUE"""),131.27)</f>
        <v>131.27000000000001</v>
      </c>
      <c r="R720" s="3">
        <f ca="1">IFERROR(__xludf.DUMMYFUNCTION("""COMPUTED_VALUE"""),94.47)</f>
        <v>94.47</v>
      </c>
      <c r="S720" s="3">
        <f ca="1">IFERROR(__xludf.DUMMYFUNCTION("""COMPUTED_VALUE"""),69.27)</f>
        <v>69.27</v>
      </c>
      <c r="T720" s="3">
        <f ca="1">IFERROR(__xludf.DUMMYFUNCTION("""COMPUTED_VALUE"""),22.5)</f>
        <v>22.5</v>
      </c>
      <c r="U720" s="3">
        <f ca="1">IFERROR(__xludf.DUMMYFUNCTION("""COMPUTED_VALUE"""),73.13)</f>
        <v>73.13</v>
      </c>
      <c r="V720" s="3">
        <f ca="1">IFERROR(__xludf.DUMMYFUNCTION("""COMPUTED_VALUE"""),36.04)</f>
        <v>36.04</v>
      </c>
      <c r="W720" s="3">
        <f ca="1">IFERROR(__xludf.DUMMYFUNCTION("""COMPUTED_VALUE"""),49.19)</f>
        <v>49.19</v>
      </c>
      <c r="X720" s="3">
        <f ca="1">IFERROR(__xludf.DUMMYFUNCTION("""COMPUTED_VALUE"""),120.53)</f>
        <v>120.53</v>
      </c>
      <c r="Y720" s="3">
        <f ca="1">IFERROR(__xludf.DUMMYFUNCTION("""COMPUTED_VALUE"""),59.52)</f>
        <v>59.52</v>
      </c>
      <c r="Z720" s="3">
        <f ca="1">IFERROR(__xludf.DUMMYFUNCTION("""COMPUTED_VALUE"""),115.51)</f>
        <v>115.51</v>
      </c>
      <c r="AA720" s="3">
        <f ca="1">IFERROR(__xludf.DUMMYFUNCTION("""COMPUTED_VALUE"""),43.91)</f>
        <v>43.91</v>
      </c>
      <c r="AB720" s="3">
        <f ca="1">IFERROR(__xludf.DUMMYFUNCTION("""COMPUTED_VALUE"""),64.98)</f>
        <v>64.98</v>
      </c>
      <c r="AC720" s="3">
        <f ca="1">IFERROR(__xludf.DUMMYFUNCTION("""COMPUTED_VALUE"""),79.63)</f>
        <v>79.63</v>
      </c>
      <c r="AD720" s="3">
        <f ca="1">IFERROR(__xludf.DUMMYFUNCTION("""COMPUTED_VALUE"""),19.09)</f>
        <v>19.09</v>
      </c>
      <c r="AE720" s="3">
        <f ca="1">IFERROR(__xludf.DUMMYFUNCTION("""COMPUTED_VALUE"""),20.7)</f>
        <v>20.7</v>
      </c>
      <c r="AF720" s="3">
        <f ca="1">IFERROR(__xludf.DUMMYFUNCTION("""COMPUTED_VALUE"""),5.39)</f>
        <v>5.39</v>
      </c>
      <c r="AG720" s="3">
        <f ca="1">IFERROR(__xludf.DUMMYFUNCTION("""COMPUTED_VALUE"""),62.11)</f>
        <v>62.11</v>
      </c>
    </row>
    <row r="721" spans="1:33" ht="12.75" x14ac:dyDescent="0.2">
      <c r="A721" s="4">
        <f ca="1">IFERROR(__xludf.DUMMYFUNCTION("""COMPUTED_VALUE"""),45607.6666666666)</f>
        <v>45607.666666666599</v>
      </c>
      <c r="B721" s="3">
        <f ca="1">IFERROR(__xludf.DUMMYFUNCTION("""COMPUTED_VALUE"""),235.85)</f>
        <v>235.85</v>
      </c>
      <c r="C721" s="3">
        <f ca="1">IFERROR(__xludf.DUMMYFUNCTION("""COMPUTED_VALUE"""),621.92)</f>
        <v>621.91999999999996</v>
      </c>
      <c r="D721" s="3">
        <f ca="1">IFERROR(__xludf.DUMMYFUNCTION("""COMPUTED_VALUE"""),159.55)</f>
        <v>159.55000000000001</v>
      </c>
      <c r="E721" s="3">
        <f ca="1">IFERROR(__xludf.DUMMYFUNCTION("""COMPUTED_VALUE"""),225.57)</f>
        <v>225.57</v>
      </c>
      <c r="F721" s="3">
        <f ca="1">IFERROR(__xludf.DUMMYFUNCTION("""COMPUTED_VALUE"""),74.83)</f>
        <v>74.83</v>
      </c>
      <c r="G721" s="3">
        <f ca="1">IFERROR(__xludf.DUMMYFUNCTION("""COMPUTED_VALUE"""),33.81)</f>
        <v>33.81</v>
      </c>
      <c r="H721" s="3">
        <f ca="1">IFERROR(__xludf.DUMMYFUNCTION("""COMPUTED_VALUE"""),31.82)</f>
        <v>31.82</v>
      </c>
      <c r="I721" s="3">
        <f ca="1">IFERROR(__xludf.DUMMYFUNCTION("""COMPUTED_VALUE"""),149.3)</f>
        <v>149.30000000000001</v>
      </c>
      <c r="J721" s="3">
        <f ca="1">IFERROR(__xludf.DUMMYFUNCTION("""COMPUTED_VALUE"""),276.16)</f>
        <v>276.16000000000003</v>
      </c>
      <c r="K721" s="3">
        <f ca="1">IFERROR(__xludf.DUMMYFUNCTION("""COMPUTED_VALUE"""),147.72)</f>
        <v>147.72</v>
      </c>
      <c r="L721" s="3">
        <f ca="1">IFERROR(__xludf.DUMMYFUNCTION("""COMPUTED_VALUE"""),103.53)</f>
        <v>103.53</v>
      </c>
      <c r="M721" s="3">
        <f ca="1">IFERROR(__xludf.DUMMYFUNCTION("""COMPUTED_VALUE"""),72.24)</f>
        <v>72.239999999999995</v>
      </c>
      <c r="N721" s="3">
        <f ca="1">IFERROR(__xludf.DUMMYFUNCTION("""COMPUTED_VALUE"""),71.24)</f>
        <v>71.239999999999995</v>
      </c>
      <c r="O721" s="3">
        <f ca="1">IFERROR(__xludf.DUMMYFUNCTION("""COMPUTED_VALUE"""),43.56)</f>
        <v>43.56</v>
      </c>
      <c r="P721" s="3">
        <f ca="1">IFERROR(__xludf.DUMMYFUNCTION("""COMPUTED_VALUE"""),93.78)</f>
        <v>93.78</v>
      </c>
      <c r="Q721" s="3">
        <f ca="1">IFERROR(__xludf.DUMMYFUNCTION("""COMPUTED_VALUE"""),132.28)</f>
        <v>132.28</v>
      </c>
      <c r="R721" s="3">
        <f ca="1">IFERROR(__xludf.DUMMYFUNCTION("""COMPUTED_VALUE"""),94.06)</f>
        <v>94.06</v>
      </c>
      <c r="S721" s="3">
        <f ca="1">IFERROR(__xludf.DUMMYFUNCTION("""COMPUTED_VALUE"""),68.61)</f>
        <v>68.61</v>
      </c>
      <c r="T721" s="3">
        <f ca="1">IFERROR(__xludf.DUMMYFUNCTION("""COMPUTED_VALUE"""),22.14)</f>
        <v>22.14</v>
      </c>
      <c r="U721" s="3">
        <f ca="1">IFERROR(__xludf.DUMMYFUNCTION("""COMPUTED_VALUE"""),70.94)</f>
        <v>70.94</v>
      </c>
      <c r="V721" s="3">
        <f ca="1">IFERROR(__xludf.DUMMYFUNCTION("""COMPUTED_VALUE"""),36.14)</f>
        <v>36.14</v>
      </c>
      <c r="W721" s="3">
        <f ca="1">IFERROR(__xludf.DUMMYFUNCTION("""COMPUTED_VALUE"""),49.89)</f>
        <v>49.89</v>
      </c>
      <c r="X721" s="3">
        <f ca="1">IFERROR(__xludf.DUMMYFUNCTION("""COMPUTED_VALUE"""),122.75)</f>
        <v>122.75</v>
      </c>
      <c r="Y721" s="3">
        <f ca="1">IFERROR(__xludf.DUMMYFUNCTION("""COMPUTED_VALUE"""),61.21)</f>
        <v>61.21</v>
      </c>
      <c r="Z721" s="3">
        <f ca="1">IFERROR(__xludf.DUMMYFUNCTION("""COMPUTED_VALUE"""),115.08)</f>
        <v>115.08</v>
      </c>
      <c r="AA721" s="3">
        <f ca="1">IFERROR(__xludf.DUMMYFUNCTION("""COMPUTED_VALUE"""),43.53)</f>
        <v>43.53</v>
      </c>
      <c r="AB721" s="3">
        <f ca="1">IFERROR(__xludf.DUMMYFUNCTION("""COMPUTED_VALUE"""),66.99)</f>
        <v>66.989999999999995</v>
      </c>
      <c r="AC721" s="3">
        <f ca="1">IFERROR(__xludf.DUMMYFUNCTION("""COMPUTED_VALUE"""),79.5)</f>
        <v>79.5</v>
      </c>
      <c r="AD721" s="3">
        <f ca="1">IFERROR(__xludf.DUMMYFUNCTION("""COMPUTED_VALUE"""),21.78)</f>
        <v>21.78</v>
      </c>
      <c r="AE721" s="3">
        <f ca="1">IFERROR(__xludf.DUMMYFUNCTION("""COMPUTED_VALUE"""),23.51)</f>
        <v>23.51</v>
      </c>
      <c r="AF721" s="3">
        <f ca="1">IFERROR(__xludf.DUMMYFUNCTION("""COMPUTED_VALUE"""),6.08)</f>
        <v>6.08</v>
      </c>
      <c r="AG721" s="3">
        <f ca="1">IFERROR(__xludf.DUMMYFUNCTION("""COMPUTED_VALUE"""),72.99)</f>
        <v>72.989999999999995</v>
      </c>
    </row>
    <row r="722" spans="1:33" ht="12.75" x14ac:dyDescent="0.2">
      <c r="A722" s="4">
        <f ca="1">IFERROR(__xludf.DUMMYFUNCTION("""COMPUTED_VALUE"""),45608.6666666666)</f>
        <v>45608.666666666599</v>
      </c>
      <c r="B722" s="3">
        <f ca="1">IFERROR(__xludf.DUMMYFUNCTION("""COMPUTED_VALUE"""),236.15)</f>
        <v>236.15</v>
      </c>
      <c r="C722" s="3">
        <f ca="1">IFERROR(__xludf.DUMMYFUNCTION("""COMPUTED_VALUE"""),623.01)</f>
        <v>623.01</v>
      </c>
      <c r="D722" s="3">
        <f ca="1">IFERROR(__xludf.DUMMYFUNCTION("""COMPUTED_VALUE"""),155.52)</f>
        <v>155.52000000000001</v>
      </c>
      <c r="E722" s="3">
        <f ca="1">IFERROR(__xludf.DUMMYFUNCTION("""COMPUTED_VALUE"""),223.11)</f>
        <v>223.11</v>
      </c>
      <c r="F722" s="3">
        <f ca="1">IFERROR(__xludf.DUMMYFUNCTION("""COMPUTED_VALUE"""),74.84)</f>
        <v>74.84</v>
      </c>
      <c r="G722" s="3">
        <f ca="1">IFERROR(__xludf.DUMMYFUNCTION("""COMPUTED_VALUE"""),33.28)</f>
        <v>33.28</v>
      </c>
      <c r="H722" s="3">
        <f ca="1">IFERROR(__xludf.DUMMYFUNCTION("""COMPUTED_VALUE"""),31.53)</f>
        <v>31.53</v>
      </c>
      <c r="I722" s="3">
        <f ca="1">IFERROR(__xludf.DUMMYFUNCTION("""COMPUTED_VALUE"""),147.22)</f>
        <v>147.22</v>
      </c>
      <c r="J722" s="3">
        <f ca="1">IFERROR(__xludf.DUMMYFUNCTION("""COMPUTED_VALUE"""),272.15)</f>
        <v>272.14999999999998</v>
      </c>
      <c r="K722" s="3">
        <f ca="1">IFERROR(__xludf.DUMMYFUNCTION("""COMPUTED_VALUE"""),144.36)</f>
        <v>144.36000000000001</v>
      </c>
      <c r="L722" s="3">
        <f ca="1">IFERROR(__xludf.DUMMYFUNCTION("""COMPUTED_VALUE"""),100.51)</f>
        <v>100.51</v>
      </c>
      <c r="M722" s="3">
        <f ca="1">IFERROR(__xludf.DUMMYFUNCTION("""COMPUTED_VALUE"""),70.99)</f>
        <v>70.989999999999995</v>
      </c>
      <c r="N722" s="3">
        <f ca="1">IFERROR(__xludf.DUMMYFUNCTION("""COMPUTED_VALUE"""),70.21)</f>
        <v>70.209999999999994</v>
      </c>
      <c r="O722" s="3">
        <f ca="1">IFERROR(__xludf.DUMMYFUNCTION("""COMPUTED_VALUE"""),42.28)</f>
        <v>42.28</v>
      </c>
      <c r="P722" s="3">
        <f ca="1">IFERROR(__xludf.DUMMYFUNCTION("""COMPUTED_VALUE"""),94.51)</f>
        <v>94.51</v>
      </c>
      <c r="Q722" s="3">
        <f ca="1">IFERROR(__xludf.DUMMYFUNCTION("""COMPUTED_VALUE"""),131.46)</f>
        <v>131.46</v>
      </c>
      <c r="R722" s="3">
        <f ca="1">IFERROR(__xludf.DUMMYFUNCTION("""COMPUTED_VALUE"""),92.46)</f>
        <v>92.46</v>
      </c>
      <c r="S722" s="3">
        <f ca="1">IFERROR(__xludf.DUMMYFUNCTION("""COMPUTED_VALUE"""),66.88)</f>
        <v>66.88</v>
      </c>
      <c r="T722" s="3">
        <f ca="1">IFERROR(__xludf.DUMMYFUNCTION("""COMPUTED_VALUE"""),22.02)</f>
        <v>22.02</v>
      </c>
      <c r="U722" s="3">
        <f ca="1">IFERROR(__xludf.DUMMYFUNCTION("""COMPUTED_VALUE"""),70.69)</f>
        <v>70.69</v>
      </c>
      <c r="V722" s="3">
        <f ca="1">IFERROR(__xludf.DUMMYFUNCTION("""COMPUTED_VALUE"""),34.72)</f>
        <v>34.72</v>
      </c>
      <c r="W722" s="3">
        <f ca="1">IFERROR(__xludf.DUMMYFUNCTION("""COMPUTED_VALUE"""),49.74)</f>
        <v>49.74</v>
      </c>
      <c r="X722" s="3">
        <f ca="1">IFERROR(__xludf.DUMMYFUNCTION("""COMPUTED_VALUE"""),122.36)</f>
        <v>122.36</v>
      </c>
      <c r="Y722" s="3">
        <f ca="1">IFERROR(__xludf.DUMMYFUNCTION("""COMPUTED_VALUE"""),60.85)</f>
        <v>60.85</v>
      </c>
      <c r="Z722" s="3">
        <f ca="1">IFERROR(__xludf.DUMMYFUNCTION("""COMPUTED_VALUE"""),115.06)</f>
        <v>115.06</v>
      </c>
      <c r="AA722" s="3">
        <f ca="1">IFERROR(__xludf.DUMMYFUNCTION("""COMPUTED_VALUE"""),42.98)</f>
        <v>42.98</v>
      </c>
      <c r="AB722" s="3">
        <f ca="1">IFERROR(__xludf.DUMMYFUNCTION("""COMPUTED_VALUE"""),66.6)</f>
        <v>66.599999999999994</v>
      </c>
      <c r="AC722" s="3">
        <f ca="1">IFERROR(__xludf.DUMMYFUNCTION("""COMPUTED_VALUE"""),79.99)</f>
        <v>79.989999999999995</v>
      </c>
      <c r="AD722" s="3">
        <f ca="1">IFERROR(__xludf.DUMMYFUNCTION("""COMPUTED_VALUE"""),21.8)</f>
        <v>21.8</v>
      </c>
      <c r="AE722" s="3">
        <f ca="1">IFERROR(__xludf.DUMMYFUNCTION("""COMPUTED_VALUE"""),24.19)</f>
        <v>24.19</v>
      </c>
      <c r="AF722" s="3">
        <f ca="1">IFERROR(__xludf.DUMMYFUNCTION("""COMPUTED_VALUE"""),6.33)</f>
        <v>6.33</v>
      </c>
      <c r="AG722" s="3">
        <f ca="1">IFERROR(__xludf.DUMMYFUNCTION("""COMPUTED_VALUE"""),71.87)</f>
        <v>71.87</v>
      </c>
    </row>
    <row r="723" spans="1:33" ht="12.75" x14ac:dyDescent="0.2">
      <c r="A723" s="4">
        <f ca="1">IFERROR(__xludf.DUMMYFUNCTION("""COMPUTED_VALUE"""),45609.6666666666)</f>
        <v>45609.666666666599</v>
      </c>
      <c r="B723" s="3">
        <f ca="1">IFERROR(__xludf.DUMMYFUNCTION("""COMPUTED_VALUE"""),235.33)</f>
        <v>235.33</v>
      </c>
      <c r="C723" s="3">
        <f ca="1">IFERROR(__xludf.DUMMYFUNCTION("""COMPUTED_VALUE"""),620.5)</f>
        <v>620.5</v>
      </c>
      <c r="D723" s="3">
        <f ca="1">IFERROR(__xludf.DUMMYFUNCTION("""COMPUTED_VALUE"""),156.19)</f>
        <v>156.19</v>
      </c>
      <c r="E723" s="3">
        <f ca="1">IFERROR(__xludf.DUMMYFUNCTION("""COMPUTED_VALUE"""),218.37)</f>
        <v>218.37</v>
      </c>
      <c r="F723" s="3">
        <f ca="1">IFERROR(__xludf.DUMMYFUNCTION("""COMPUTED_VALUE"""),74.65)</f>
        <v>74.650000000000006</v>
      </c>
      <c r="G723" s="3">
        <f ca="1">IFERROR(__xludf.DUMMYFUNCTION("""COMPUTED_VALUE"""),32.94)</f>
        <v>32.94</v>
      </c>
      <c r="H723" s="3">
        <f ca="1">IFERROR(__xludf.DUMMYFUNCTION("""COMPUTED_VALUE"""),31.35)</f>
        <v>31.35</v>
      </c>
      <c r="I723" s="3">
        <f ca="1">IFERROR(__xludf.DUMMYFUNCTION("""COMPUTED_VALUE"""),146.83)</f>
        <v>146.83000000000001</v>
      </c>
      <c r="J723" s="3">
        <f ca="1">IFERROR(__xludf.DUMMYFUNCTION("""COMPUTED_VALUE"""),271.29)</f>
        <v>271.29000000000002</v>
      </c>
      <c r="K723" s="3">
        <f ca="1">IFERROR(__xludf.DUMMYFUNCTION("""COMPUTED_VALUE"""),143.8)</f>
        <v>143.80000000000001</v>
      </c>
      <c r="L723" s="3">
        <f ca="1">IFERROR(__xludf.DUMMYFUNCTION("""COMPUTED_VALUE"""),100.01)</f>
        <v>100.01</v>
      </c>
      <c r="M723" s="3">
        <f ca="1">IFERROR(__xludf.DUMMYFUNCTION("""COMPUTED_VALUE"""),71.2)</f>
        <v>71.2</v>
      </c>
      <c r="N723" s="3">
        <f ca="1">IFERROR(__xludf.DUMMYFUNCTION("""COMPUTED_VALUE"""),69.94)</f>
        <v>69.94</v>
      </c>
      <c r="O723" s="3">
        <f ca="1">IFERROR(__xludf.DUMMYFUNCTION("""COMPUTED_VALUE"""),42.4)</f>
        <v>42.4</v>
      </c>
      <c r="P723" s="3">
        <f ca="1">IFERROR(__xludf.DUMMYFUNCTION("""COMPUTED_VALUE"""),94.87)</f>
        <v>94.87</v>
      </c>
      <c r="Q723" s="3">
        <f ca="1">IFERROR(__xludf.DUMMYFUNCTION("""COMPUTED_VALUE"""),132.14)</f>
        <v>132.13999999999999</v>
      </c>
      <c r="R723" s="3">
        <f ca="1">IFERROR(__xludf.DUMMYFUNCTION("""COMPUTED_VALUE"""),92.68)</f>
        <v>92.68</v>
      </c>
      <c r="S723" s="3">
        <f ca="1">IFERROR(__xludf.DUMMYFUNCTION("""COMPUTED_VALUE"""),65.83)</f>
        <v>65.83</v>
      </c>
      <c r="T723" s="3">
        <f ca="1">IFERROR(__xludf.DUMMYFUNCTION("""COMPUTED_VALUE"""),21.95)</f>
        <v>21.95</v>
      </c>
      <c r="U723" s="3">
        <f ca="1">IFERROR(__xludf.DUMMYFUNCTION("""COMPUTED_VALUE"""),70.73)</f>
        <v>70.73</v>
      </c>
      <c r="V723" s="3">
        <f ca="1">IFERROR(__xludf.DUMMYFUNCTION("""COMPUTED_VALUE"""),34.84)</f>
        <v>34.840000000000003</v>
      </c>
      <c r="W723" s="3">
        <f ca="1">IFERROR(__xludf.DUMMYFUNCTION("""COMPUTED_VALUE"""),49.77)</f>
        <v>49.77</v>
      </c>
      <c r="X723" s="3">
        <f ca="1">IFERROR(__xludf.DUMMYFUNCTION("""COMPUTED_VALUE"""),122.08)</f>
        <v>122.08</v>
      </c>
      <c r="Y723" s="3">
        <f ca="1">IFERROR(__xludf.DUMMYFUNCTION("""COMPUTED_VALUE"""),60.4)</f>
        <v>60.4</v>
      </c>
      <c r="Z723" s="3">
        <f ca="1">IFERROR(__xludf.DUMMYFUNCTION("""COMPUTED_VALUE"""),114.82)</f>
        <v>114.82</v>
      </c>
      <c r="AA723" s="3">
        <f ca="1">IFERROR(__xludf.DUMMYFUNCTION("""COMPUTED_VALUE"""),43.32)</f>
        <v>43.32</v>
      </c>
      <c r="AB723" s="3">
        <f ca="1">IFERROR(__xludf.DUMMYFUNCTION("""COMPUTED_VALUE"""),66.19)</f>
        <v>66.19</v>
      </c>
      <c r="AC723" s="3">
        <f ca="1">IFERROR(__xludf.DUMMYFUNCTION("""COMPUTED_VALUE"""),80.19)</f>
        <v>80.19</v>
      </c>
      <c r="AD723" s="3">
        <f ca="1">IFERROR(__xludf.DUMMYFUNCTION("""COMPUTED_VALUE"""),21.36)</f>
        <v>21.36</v>
      </c>
      <c r="AE723" s="3">
        <f ca="1">IFERROR(__xludf.DUMMYFUNCTION("""COMPUTED_VALUE"""),24.19)</f>
        <v>24.19</v>
      </c>
      <c r="AF723" s="3">
        <f ca="1">IFERROR(__xludf.DUMMYFUNCTION("""COMPUTED_VALUE"""),6.66)</f>
        <v>6.66</v>
      </c>
      <c r="AG723" s="3">
        <f ca="1">IFERROR(__xludf.DUMMYFUNCTION("""COMPUTED_VALUE"""),64.8)</f>
        <v>64.8</v>
      </c>
    </row>
    <row r="724" spans="1:33" ht="12.75" x14ac:dyDescent="0.2">
      <c r="A724" s="4">
        <f ca="1">IFERROR(__xludf.DUMMYFUNCTION("""COMPUTED_VALUE"""),45610.6666666666)</f>
        <v>45610.666666666599</v>
      </c>
      <c r="B724" s="3">
        <f ca="1">IFERROR(__xludf.DUMMYFUNCTION("""COMPUTED_VALUE"""),234.53)</f>
        <v>234.53</v>
      </c>
      <c r="C724" s="3">
        <f ca="1">IFERROR(__xludf.DUMMYFUNCTION("""COMPUTED_VALUE"""),617.98)</f>
        <v>617.98</v>
      </c>
      <c r="D724" s="3">
        <f ca="1">IFERROR(__xludf.DUMMYFUNCTION("""COMPUTED_VALUE"""),158.14)</f>
        <v>158.13999999999999</v>
      </c>
      <c r="E724" s="3">
        <f ca="1">IFERROR(__xludf.DUMMYFUNCTION("""COMPUTED_VALUE"""),218.24)</f>
        <v>218.24</v>
      </c>
      <c r="F724" s="3">
        <f ca="1">IFERROR(__xludf.DUMMYFUNCTION("""COMPUTED_VALUE"""),72.6)</f>
        <v>72.599999999999994</v>
      </c>
      <c r="G724" s="3">
        <f ca="1">IFERROR(__xludf.DUMMYFUNCTION("""COMPUTED_VALUE"""),32.59)</f>
        <v>32.590000000000003</v>
      </c>
      <c r="H724" s="3">
        <f ca="1">IFERROR(__xludf.DUMMYFUNCTION("""COMPUTED_VALUE"""),30.96)</f>
        <v>30.96</v>
      </c>
      <c r="I724" s="3">
        <f ca="1">IFERROR(__xludf.DUMMYFUNCTION("""COMPUTED_VALUE"""),144.52)</f>
        <v>144.52000000000001</v>
      </c>
      <c r="J724" s="3">
        <f ca="1">IFERROR(__xludf.DUMMYFUNCTION("""COMPUTED_VALUE"""),266.57)</f>
        <v>266.57</v>
      </c>
      <c r="K724" s="3">
        <f ca="1">IFERROR(__xludf.DUMMYFUNCTION("""COMPUTED_VALUE"""),140.09)</f>
        <v>140.09</v>
      </c>
      <c r="L724" s="3">
        <f ca="1">IFERROR(__xludf.DUMMYFUNCTION("""COMPUTED_VALUE"""),96.96)</f>
        <v>96.96</v>
      </c>
      <c r="M724" s="3">
        <f ca="1">IFERROR(__xludf.DUMMYFUNCTION("""COMPUTED_VALUE"""),68.86)</f>
        <v>68.86</v>
      </c>
      <c r="N724" s="3">
        <f ca="1">IFERROR(__xludf.DUMMYFUNCTION("""COMPUTED_VALUE"""),68.77)</f>
        <v>68.77</v>
      </c>
      <c r="O724" s="3">
        <f ca="1">IFERROR(__xludf.DUMMYFUNCTION("""COMPUTED_VALUE"""),40.8)</f>
        <v>40.799999999999997</v>
      </c>
      <c r="P724" s="3">
        <f ca="1">IFERROR(__xludf.DUMMYFUNCTION("""COMPUTED_VALUE"""),94.73)</f>
        <v>94.73</v>
      </c>
      <c r="Q724" s="3">
        <f ca="1">IFERROR(__xludf.DUMMYFUNCTION("""COMPUTED_VALUE"""),132.69)</f>
        <v>132.69</v>
      </c>
      <c r="R724" s="3">
        <f ca="1">IFERROR(__xludf.DUMMYFUNCTION("""COMPUTED_VALUE"""),91.92)</f>
        <v>91.92</v>
      </c>
      <c r="S724" s="3">
        <f ca="1">IFERROR(__xludf.DUMMYFUNCTION("""COMPUTED_VALUE"""),65.1)</f>
        <v>65.099999999999994</v>
      </c>
      <c r="T724" s="3">
        <f ca="1">IFERROR(__xludf.DUMMYFUNCTION("""COMPUTED_VALUE"""),21.93)</f>
        <v>21.93</v>
      </c>
      <c r="U724" s="3">
        <f ca="1">IFERROR(__xludf.DUMMYFUNCTION("""COMPUTED_VALUE"""),71.29)</f>
        <v>71.290000000000006</v>
      </c>
      <c r="V724" s="3">
        <f ca="1">IFERROR(__xludf.DUMMYFUNCTION("""COMPUTED_VALUE"""),35.57)</f>
        <v>35.57</v>
      </c>
      <c r="W724" s="3">
        <f ca="1">IFERROR(__xludf.DUMMYFUNCTION("""COMPUTED_VALUE"""),49.64)</f>
        <v>49.64</v>
      </c>
      <c r="X724" s="3">
        <f ca="1">IFERROR(__xludf.DUMMYFUNCTION("""COMPUTED_VALUE"""),121.7)</f>
        <v>121.7</v>
      </c>
      <c r="Y724" s="3">
        <f ca="1">IFERROR(__xludf.DUMMYFUNCTION("""COMPUTED_VALUE"""),59.91)</f>
        <v>59.91</v>
      </c>
      <c r="Z724" s="3">
        <f ca="1">IFERROR(__xludf.DUMMYFUNCTION("""COMPUTED_VALUE"""),115.32)</f>
        <v>115.32</v>
      </c>
      <c r="AA724" s="3">
        <f ca="1">IFERROR(__xludf.DUMMYFUNCTION("""COMPUTED_VALUE"""),42.93)</f>
        <v>42.93</v>
      </c>
      <c r="AB724" s="3">
        <f ca="1">IFERROR(__xludf.DUMMYFUNCTION("""COMPUTED_VALUE"""),65.83)</f>
        <v>65.83</v>
      </c>
      <c r="AC724" s="3">
        <f ca="1">IFERROR(__xludf.DUMMYFUNCTION("""COMPUTED_VALUE"""),79.85)</f>
        <v>79.849999999999994</v>
      </c>
      <c r="AD724" s="3">
        <f ca="1">IFERROR(__xludf.DUMMYFUNCTION("""COMPUTED_VALUE"""),20.86)</f>
        <v>20.86</v>
      </c>
      <c r="AE724" s="3">
        <f ca="1">IFERROR(__xludf.DUMMYFUNCTION("""COMPUTED_VALUE"""),23.58)</f>
        <v>23.58</v>
      </c>
      <c r="AF724" s="3">
        <f ca="1">IFERROR(__xludf.DUMMYFUNCTION("""COMPUTED_VALUE"""),7.33)</f>
        <v>7.33</v>
      </c>
      <c r="AG724" s="3">
        <f ca="1">IFERROR(__xludf.DUMMYFUNCTION("""COMPUTED_VALUE"""),62.16)</f>
        <v>62.16</v>
      </c>
    </row>
    <row r="725" spans="1:33" ht="12.75" x14ac:dyDescent="0.2">
      <c r="A725" s="4">
        <f ca="1">IFERROR(__xludf.DUMMYFUNCTION("""COMPUTED_VALUE"""),45611.6666666666)</f>
        <v>45611.666666666599</v>
      </c>
      <c r="B725" s="3">
        <f ca="1">IFERROR(__xludf.DUMMYFUNCTION("""COMPUTED_VALUE"""),228.71)</f>
        <v>228.71</v>
      </c>
      <c r="C725" s="3">
        <f ca="1">IFERROR(__xludf.DUMMYFUNCTION("""COMPUTED_VALUE"""),602.95)</f>
        <v>602.95000000000005</v>
      </c>
      <c r="D725" s="3">
        <f ca="1">IFERROR(__xludf.DUMMYFUNCTION("""COMPUTED_VALUE"""),157.91)</f>
        <v>157.91</v>
      </c>
      <c r="E725" s="3">
        <f ca="1">IFERROR(__xludf.DUMMYFUNCTION("""COMPUTED_VALUE"""),211.21)</f>
        <v>211.21</v>
      </c>
      <c r="F725" s="3">
        <f ca="1">IFERROR(__xludf.DUMMYFUNCTION("""COMPUTED_VALUE"""),70.95)</f>
        <v>70.95</v>
      </c>
      <c r="G725" s="3">
        <f ca="1">IFERROR(__xludf.DUMMYFUNCTION("""COMPUTED_VALUE"""),32.11)</f>
        <v>32.11</v>
      </c>
      <c r="H725" s="3">
        <f ca="1">IFERROR(__xludf.DUMMYFUNCTION("""COMPUTED_VALUE"""),30.48)</f>
        <v>30.48</v>
      </c>
      <c r="I725" s="3">
        <f ca="1">IFERROR(__xludf.DUMMYFUNCTION("""COMPUTED_VALUE"""),141.84)</f>
        <v>141.84</v>
      </c>
      <c r="J725" s="3">
        <f ca="1">IFERROR(__xludf.DUMMYFUNCTION("""COMPUTED_VALUE"""),260.77)</f>
        <v>260.77</v>
      </c>
      <c r="K725" s="3">
        <f ca="1">IFERROR(__xludf.DUMMYFUNCTION("""COMPUTED_VALUE"""),133.38)</f>
        <v>133.38</v>
      </c>
      <c r="L725" s="3">
        <f ca="1">IFERROR(__xludf.DUMMYFUNCTION("""COMPUTED_VALUE"""),91.83)</f>
        <v>91.83</v>
      </c>
      <c r="M725" s="3">
        <f ca="1">IFERROR(__xludf.DUMMYFUNCTION("""COMPUTED_VALUE"""),66.08)</f>
        <v>66.08</v>
      </c>
      <c r="N725" s="3">
        <f ca="1">IFERROR(__xludf.DUMMYFUNCTION("""COMPUTED_VALUE"""),67.27)</f>
        <v>67.27</v>
      </c>
      <c r="O725" s="3">
        <f ca="1">IFERROR(__xludf.DUMMYFUNCTION("""COMPUTED_VALUE"""),38.6)</f>
        <v>38.6</v>
      </c>
      <c r="P725" s="3">
        <f ca="1">IFERROR(__xludf.DUMMYFUNCTION("""COMPUTED_VALUE"""),95.99)</f>
        <v>95.99</v>
      </c>
      <c r="Q725" s="3">
        <f ca="1">IFERROR(__xludf.DUMMYFUNCTION("""COMPUTED_VALUE"""),132.06)</f>
        <v>132.06</v>
      </c>
      <c r="R725" s="3">
        <f ca="1">IFERROR(__xludf.DUMMYFUNCTION("""COMPUTED_VALUE"""),91.28)</f>
        <v>91.28</v>
      </c>
      <c r="S725" s="3">
        <f ca="1">IFERROR(__xludf.DUMMYFUNCTION("""COMPUTED_VALUE"""),65.05)</f>
        <v>65.05</v>
      </c>
      <c r="T725" s="3">
        <f ca="1">IFERROR(__xludf.DUMMYFUNCTION("""COMPUTED_VALUE"""),21.82)</f>
        <v>21.82</v>
      </c>
      <c r="U725" s="3">
        <f ca="1">IFERROR(__xludf.DUMMYFUNCTION("""COMPUTED_VALUE"""),69.75)</f>
        <v>69.75</v>
      </c>
      <c r="V725" s="3">
        <f ca="1">IFERROR(__xludf.DUMMYFUNCTION("""COMPUTED_VALUE"""),34.31)</f>
        <v>34.31</v>
      </c>
      <c r="W725" s="3">
        <f ca="1">IFERROR(__xludf.DUMMYFUNCTION("""COMPUTED_VALUE"""),49.87)</f>
        <v>49.87</v>
      </c>
      <c r="X725" s="3">
        <f ca="1">IFERROR(__xludf.DUMMYFUNCTION("""COMPUTED_VALUE"""),122.26)</f>
        <v>122.26</v>
      </c>
      <c r="Y725" s="3">
        <f ca="1">IFERROR(__xludf.DUMMYFUNCTION("""COMPUTED_VALUE"""),59.96)</f>
        <v>59.96</v>
      </c>
      <c r="Z725" s="3">
        <f ca="1">IFERROR(__xludf.DUMMYFUNCTION("""COMPUTED_VALUE"""),115.79)</f>
        <v>115.79</v>
      </c>
      <c r="AA725" s="3">
        <f ca="1">IFERROR(__xludf.DUMMYFUNCTION("""COMPUTED_VALUE"""),42.98)</f>
        <v>42.98</v>
      </c>
      <c r="AB725" s="3">
        <f ca="1">IFERROR(__xludf.DUMMYFUNCTION("""COMPUTED_VALUE"""),65.84)</f>
        <v>65.84</v>
      </c>
      <c r="AC725" s="3">
        <f ca="1">IFERROR(__xludf.DUMMYFUNCTION("""COMPUTED_VALUE"""),79.47)</f>
        <v>79.47</v>
      </c>
      <c r="AD725" s="3">
        <f ca="1">IFERROR(__xludf.DUMMYFUNCTION("""COMPUTED_VALUE"""),21.3)</f>
        <v>21.3</v>
      </c>
      <c r="AE725" s="3">
        <f ca="1">IFERROR(__xludf.DUMMYFUNCTION("""COMPUTED_VALUE"""),24.66)</f>
        <v>24.66</v>
      </c>
      <c r="AF725" s="3">
        <f ca="1">IFERROR(__xludf.DUMMYFUNCTION("""COMPUTED_VALUE"""),8.22)</f>
        <v>8.2200000000000006</v>
      </c>
      <c r="AG725" s="3">
        <f ca="1">IFERROR(__xludf.DUMMYFUNCTION("""COMPUTED_VALUE"""),64.04)</f>
        <v>64.040000000000006</v>
      </c>
    </row>
    <row r="726" spans="1:33" ht="12.75" x14ac:dyDescent="0.2">
      <c r="A726" s="4">
        <f ca="1">IFERROR(__xludf.DUMMYFUNCTION("""COMPUTED_VALUE"""),45614.6666666666)</f>
        <v>45614.666666666599</v>
      </c>
      <c r="B726" s="3">
        <f ca="1">IFERROR(__xludf.DUMMYFUNCTION("""COMPUTED_VALUE"""),229.45)</f>
        <v>229.45</v>
      </c>
      <c r="C726" s="3">
        <f ca="1">IFERROR(__xludf.DUMMYFUNCTION("""COMPUTED_VALUE"""),604.72)</f>
        <v>604.72</v>
      </c>
      <c r="D726" s="3">
        <f ca="1">IFERROR(__xludf.DUMMYFUNCTION("""COMPUTED_VALUE"""),158.97)</f>
        <v>158.97</v>
      </c>
      <c r="E726" s="3">
        <f ca="1">IFERROR(__xludf.DUMMYFUNCTION("""COMPUTED_VALUE"""),213.94)</f>
        <v>213.94</v>
      </c>
      <c r="F726" s="3">
        <f ca="1">IFERROR(__xludf.DUMMYFUNCTION("""COMPUTED_VALUE"""),70.65)</f>
        <v>70.650000000000006</v>
      </c>
      <c r="G726" s="3">
        <f ca="1">IFERROR(__xludf.DUMMYFUNCTION("""COMPUTED_VALUE"""),32.22)</f>
        <v>32.22</v>
      </c>
      <c r="H726" s="3">
        <f ca="1">IFERROR(__xludf.DUMMYFUNCTION("""COMPUTED_VALUE"""),30.6)</f>
        <v>30.6</v>
      </c>
      <c r="I726" s="3">
        <f ca="1">IFERROR(__xludf.DUMMYFUNCTION("""COMPUTED_VALUE"""),141.94)</f>
        <v>141.94</v>
      </c>
      <c r="J726" s="3">
        <f ca="1">IFERROR(__xludf.DUMMYFUNCTION("""COMPUTED_VALUE"""),260.78)</f>
        <v>260.77999999999997</v>
      </c>
      <c r="K726" s="3">
        <f ca="1">IFERROR(__xludf.DUMMYFUNCTION("""COMPUTED_VALUE"""),133.04)</f>
        <v>133.04</v>
      </c>
      <c r="L726" s="3">
        <f ca="1">IFERROR(__xludf.DUMMYFUNCTION("""COMPUTED_VALUE"""),91.96)</f>
        <v>91.96</v>
      </c>
      <c r="M726" s="3">
        <f ca="1">IFERROR(__xludf.DUMMYFUNCTION("""COMPUTED_VALUE"""),65.93)</f>
        <v>65.930000000000007</v>
      </c>
      <c r="N726" s="3">
        <f ca="1">IFERROR(__xludf.DUMMYFUNCTION("""COMPUTED_VALUE"""),67.29)</f>
        <v>67.290000000000006</v>
      </c>
      <c r="O726" s="3">
        <f ca="1">IFERROR(__xludf.DUMMYFUNCTION("""COMPUTED_VALUE"""),38.48)</f>
        <v>38.479999999999997</v>
      </c>
      <c r="P726" s="3">
        <f ca="1">IFERROR(__xludf.DUMMYFUNCTION("""COMPUTED_VALUE"""),95.38)</f>
        <v>95.38</v>
      </c>
      <c r="Q726" s="3">
        <f ca="1">IFERROR(__xludf.DUMMYFUNCTION("""COMPUTED_VALUE"""),133.93)</f>
        <v>133.93</v>
      </c>
      <c r="R726" s="3">
        <f ca="1">IFERROR(__xludf.DUMMYFUNCTION("""COMPUTED_VALUE"""),91.99)</f>
        <v>91.99</v>
      </c>
      <c r="S726" s="3">
        <f ca="1">IFERROR(__xludf.DUMMYFUNCTION("""COMPUTED_VALUE"""),66.4)</f>
        <v>66.400000000000006</v>
      </c>
      <c r="T726" s="3">
        <f ca="1">IFERROR(__xludf.DUMMYFUNCTION("""COMPUTED_VALUE"""),22.32)</f>
        <v>22.32</v>
      </c>
      <c r="U726" s="3">
        <f ca="1">IFERROR(__xludf.DUMMYFUNCTION("""COMPUTED_VALUE"""),72.07)</f>
        <v>72.069999999999993</v>
      </c>
      <c r="V726" s="3">
        <f ca="1">IFERROR(__xludf.DUMMYFUNCTION("""COMPUTED_VALUE"""),34.52)</f>
        <v>34.520000000000003</v>
      </c>
      <c r="W726" s="3">
        <f ca="1">IFERROR(__xludf.DUMMYFUNCTION("""COMPUTED_VALUE"""),50.02)</f>
        <v>50.02</v>
      </c>
      <c r="X726" s="3">
        <f ca="1">IFERROR(__xludf.DUMMYFUNCTION("""COMPUTED_VALUE"""),122.68)</f>
        <v>122.68</v>
      </c>
      <c r="Y726" s="3">
        <f ca="1">IFERROR(__xludf.DUMMYFUNCTION("""COMPUTED_VALUE"""),59.87)</f>
        <v>59.87</v>
      </c>
      <c r="Z726" s="3">
        <f ca="1">IFERROR(__xludf.DUMMYFUNCTION("""COMPUTED_VALUE"""),115.01)</f>
        <v>115.01</v>
      </c>
      <c r="AA726" s="3">
        <f ca="1">IFERROR(__xludf.DUMMYFUNCTION("""COMPUTED_VALUE"""),43.36)</f>
        <v>43.36</v>
      </c>
      <c r="AB726" s="3">
        <f ca="1">IFERROR(__xludf.DUMMYFUNCTION("""COMPUTED_VALUE"""),65.72)</f>
        <v>65.72</v>
      </c>
      <c r="AC726" s="3">
        <f ca="1">IFERROR(__xludf.DUMMYFUNCTION("""COMPUTED_VALUE"""),80.47)</f>
        <v>80.47</v>
      </c>
      <c r="AD726" s="3">
        <f ca="1">IFERROR(__xludf.DUMMYFUNCTION("""COMPUTED_VALUE"""),21.53)</f>
        <v>21.53</v>
      </c>
      <c r="AE726" s="3">
        <f ca="1">IFERROR(__xludf.DUMMYFUNCTION("""COMPUTED_VALUE"""),24.67)</f>
        <v>24.67</v>
      </c>
      <c r="AF726" s="3">
        <f ca="1">IFERROR(__xludf.DUMMYFUNCTION("""COMPUTED_VALUE"""),7.66)</f>
        <v>7.66</v>
      </c>
      <c r="AG726" s="3">
        <f ca="1">IFERROR(__xludf.DUMMYFUNCTION("""COMPUTED_VALUE"""),63.63)</f>
        <v>63.63</v>
      </c>
    </row>
    <row r="727" spans="1:33" ht="12.75" x14ac:dyDescent="0.2">
      <c r="A727" s="4">
        <f ca="1">IFERROR(__xludf.DUMMYFUNCTION("""COMPUTED_VALUE"""),45615.6666666666)</f>
        <v>45615.666666666599</v>
      </c>
      <c r="B727" s="3">
        <f ca="1">IFERROR(__xludf.DUMMYFUNCTION("""COMPUTED_VALUE"""),231.33)</f>
        <v>231.33</v>
      </c>
      <c r="C727" s="3">
        <f ca="1">IFERROR(__xludf.DUMMYFUNCTION("""COMPUTED_VALUE"""),612.17)</f>
        <v>612.16999999999996</v>
      </c>
      <c r="D727" s="3">
        <f ca="1">IFERROR(__xludf.DUMMYFUNCTION("""COMPUTED_VALUE"""),159.05)</f>
        <v>159.05000000000001</v>
      </c>
      <c r="E727" s="3">
        <f ca="1">IFERROR(__xludf.DUMMYFUNCTION("""COMPUTED_VALUE"""),214.35)</f>
        <v>214.35</v>
      </c>
      <c r="F727" s="3">
        <f ca="1">IFERROR(__xludf.DUMMYFUNCTION("""COMPUTED_VALUE"""),71.11)</f>
        <v>71.11</v>
      </c>
      <c r="G727" s="3">
        <f ca="1">IFERROR(__xludf.DUMMYFUNCTION("""COMPUTED_VALUE"""),32.82)</f>
        <v>32.82</v>
      </c>
      <c r="H727" s="3">
        <f ca="1">IFERROR(__xludf.DUMMYFUNCTION("""COMPUTED_VALUE"""),30.67)</f>
        <v>30.67</v>
      </c>
      <c r="I727" s="3">
        <f ca="1">IFERROR(__xludf.DUMMYFUNCTION("""COMPUTED_VALUE"""),141.21)</f>
        <v>141.21</v>
      </c>
      <c r="J727" s="3">
        <f ca="1">IFERROR(__xludf.DUMMYFUNCTION("""COMPUTED_VALUE"""),260.25)</f>
        <v>260.25</v>
      </c>
      <c r="K727" s="3">
        <f ca="1">IFERROR(__xludf.DUMMYFUNCTION("""COMPUTED_VALUE"""),133.39)</f>
        <v>133.38999999999999</v>
      </c>
      <c r="L727" s="3">
        <f ca="1">IFERROR(__xludf.DUMMYFUNCTION("""COMPUTED_VALUE"""),93.17)</f>
        <v>93.17</v>
      </c>
      <c r="M727" s="3">
        <f ca="1">IFERROR(__xludf.DUMMYFUNCTION("""COMPUTED_VALUE"""),66.59)</f>
        <v>66.59</v>
      </c>
      <c r="N727" s="3">
        <f ca="1">IFERROR(__xludf.DUMMYFUNCTION("""COMPUTED_VALUE"""),67.05)</f>
        <v>67.05</v>
      </c>
      <c r="O727" s="3">
        <f ca="1">IFERROR(__xludf.DUMMYFUNCTION("""COMPUTED_VALUE"""),39.04)</f>
        <v>39.04</v>
      </c>
      <c r="P727" s="3">
        <f ca="1">IFERROR(__xludf.DUMMYFUNCTION("""COMPUTED_VALUE"""),96.34)</f>
        <v>96.34</v>
      </c>
      <c r="Q727" s="3">
        <f ca="1">IFERROR(__xludf.DUMMYFUNCTION("""COMPUTED_VALUE"""),133.3)</f>
        <v>133.30000000000001</v>
      </c>
      <c r="R727" s="3">
        <f ca="1">IFERROR(__xludf.DUMMYFUNCTION("""COMPUTED_VALUE"""),91.69)</f>
        <v>91.69</v>
      </c>
      <c r="S727" s="3">
        <f ca="1">IFERROR(__xludf.DUMMYFUNCTION("""COMPUTED_VALUE"""),66.99)</f>
        <v>66.989999999999995</v>
      </c>
      <c r="T727" s="3">
        <f ca="1">IFERROR(__xludf.DUMMYFUNCTION("""COMPUTED_VALUE"""),22.39)</f>
        <v>22.39</v>
      </c>
      <c r="U727" s="3">
        <f ca="1">IFERROR(__xludf.DUMMYFUNCTION("""COMPUTED_VALUE"""),72.31)</f>
        <v>72.31</v>
      </c>
      <c r="V727" s="3">
        <f ca="1">IFERROR(__xludf.DUMMYFUNCTION("""COMPUTED_VALUE"""),34.01)</f>
        <v>34.01</v>
      </c>
      <c r="W727" s="3">
        <f ca="1">IFERROR(__xludf.DUMMYFUNCTION("""COMPUTED_VALUE"""),49.69)</f>
        <v>49.69</v>
      </c>
      <c r="X727" s="3">
        <f ca="1">IFERROR(__xludf.DUMMYFUNCTION("""COMPUTED_VALUE"""),122.11)</f>
        <v>122.11</v>
      </c>
      <c r="Y727" s="3">
        <f ca="1">IFERROR(__xludf.DUMMYFUNCTION("""COMPUTED_VALUE"""),59.59)</f>
        <v>59.59</v>
      </c>
      <c r="Z727" s="3">
        <f ca="1">IFERROR(__xludf.DUMMYFUNCTION("""COMPUTED_VALUE"""),114.84)</f>
        <v>114.84</v>
      </c>
      <c r="AA727" s="3">
        <f ca="1">IFERROR(__xludf.DUMMYFUNCTION("""COMPUTED_VALUE"""),43.54)</f>
        <v>43.54</v>
      </c>
      <c r="AB727" s="3">
        <f ca="1">IFERROR(__xludf.DUMMYFUNCTION("""COMPUTED_VALUE"""),65.34)</f>
        <v>65.34</v>
      </c>
      <c r="AC727" s="3">
        <f ca="1">IFERROR(__xludf.DUMMYFUNCTION("""COMPUTED_VALUE"""),81.46)</f>
        <v>81.459999999999994</v>
      </c>
      <c r="AD727" s="3">
        <f ca="1">IFERROR(__xludf.DUMMYFUNCTION("""COMPUTED_VALUE"""),21.46)</f>
        <v>21.46</v>
      </c>
      <c r="AE727" s="3">
        <f ca="1">IFERROR(__xludf.DUMMYFUNCTION("""COMPUTED_VALUE"""),24.95)</f>
        <v>24.95</v>
      </c>
      <c r="AF727" s="3">
        <f ca="1">IFERROR(__xludf.DUMMYFUNCTION("""COMPUTED_VALUE"""),7.47)</f>
        <v>7.47</v>
      </c>
      <c r="AG727" s="3">
        <f ca="1">IFERROR(__xludf.DUMMYFUNCTION("""COMPUTED_VALUE"""),66.17)</f>
        <v>66.17</v>
      </c>
    </row>
    <row r="728" spans="1:33" ht="12.75" x14ac:dyDescent="0.2">
      <c r="A728" s="4">
        <f ca="1">IFERROR(__xludf.DUMMYFUNCTION("""COMPUTED_VALUE"""),45616.6666666666)</f>
        <v>45616.666666666599</v>
      </c>
      <c r="B728" s="3">
        <f ca="1">IFERROR(__xludf.DUMMYFUNCTION("""COMPUTED_VALUE"""),231.13)</f>
        <v>231.13</v>
      </c>
      <c r="C728" s="3">
        <f ca="1">IFERROR(__xludf.DUMMYFUNCTION("""COMPUTED_VALUE"""),612.82)</f>
        <v>612.82000000000005</v>
      </c>
      <c r="D728" s="3">
        <f ca="1">IFERROR(__xludf.DUMMYFUNCTION("""COMPUTED_VALUE"""),159.07)</f>
        <v>159.07</v>
      </c>
      <c r="E728" s="3">
        <f ca="1">IFERROR(__xludf.DUMMYFUNCTION("""COMPUTED_VALUE"""),212.71)</f>
        <v>212.71</v>
      </c>
      <c r="F728" s="3">
        <f ca="1">IFERROR(__xludf.DUMMYFUNCTION("""COMPUTED_VALUE"""),71.45)</f>
        <v>71.45</v>
      </c>
      <c r="G728" s="3">
        <f ca="1">IFERROR(__xludf.DUMMYFUNCTION("""COMPUTED_VALUE"""),32.72)</f>
        <v>32.72</v>
      </c>
      <c r="H728" s="3">
        <f ca="1">IFERROR(__xludf.DUMMYFUNCTION("""COMPUTED_VALUE"""),30.93)</f>
        <v>30.93</v>
      </c>
      <c r="I728" s="3">
        <f ca="1">IFERROR(__xludf.DUMMYFUNCTION("""COMPUTED_VALUE"""),142.88)</f>
        <v>142.88</v>
      </c>
      <c r="J728" s="3">
        <f ca="1">IFERROR(__xludf.DUMMYFUNCTION("""COMPUTED_VALUE"""),263.01)</f>
        <v>263.01</v>
      </c>
      <c r="K728" s="3">
        <f ca="1">IFERROR(__xludf.DUMMYFUNCTION("""COMPUTED_VALUE"""),134.84)</f>
        <v>134.84</v>
      </c>
      <c r="L728" s="3">
        <f ca="1">IFERROR(__xludf.DUMMYFUNCTION("""COMPUTED_VALUE"""),94.01)</f>
        <v>94.01</v>
      </c>
      <c r="M728" s="3">
        <f ca="1">IFERROR(__xludf.DUMMYFUNCTION("""COMPUTED_VALUE"""),67.64)</f>
        <v>67.64</v>
      </c>
      <c r="N728" s="3">
        <f ca="1">IFERROR(__xludf.DUMMYFUNCTION("""COMPUTED_VALUE"""),67.9)</f>
        <v>67.900000000000006</v>
      </c>
      <c r="O728" s="3">
        <f ca="1">IFERROR(__xludf.DUMMYFUNCTION("""COMPUTED_VALUE"""),39.28)</f>
        <v>39.28</v>
      </c>
      <c r="P728" s="3">
        <f ca="1">IFERROR(__xludf.DUMMYFUNCTION("""COMPUTED_VALUE"""),97.12)</f>
        <v>97.12</v>
      </c>
      <c r="Q728" s="3">
        <f ca="1">IFERROR(__xludf.DUMMYFUNCTION("""COMPUTED_VALUE"""),134.73)</f>
        <v>134.72999999999999</v>
      </c>
      <c r="R728" s="3">
        <f ca="1">IFERROR(__xludf.DUMMYFUNCTION("""COMPUTED_VALUE"""),92.44)</f>
        <v>92.44</v>
      </c>
      <c r="S728" s="3">
        <f ca="1">IFERROR(__xludf.DUMMYFUNCTION("""COMPUTED_VALUE"""),67.11)</f>
        <v>67.11</v>
      </c>
      <c r="T728" s="3">
        <f ca="1">IFERROR(__xludf.DUMMYFUNCTION("""COMPUTED_VALUE"""),22.38)</f>
        <v>22.38</v>
      </c>
      <c r="U728" s="3">
        <f ca="1">IFERROR(__xludf.DUMMYFUNCTION("""COMPUTED_VALUE"""),72.02)</f>
        <v>72.02</v>
      </c>
      <c r="V728" s="3">
        <f ca="1">IFERROR(__xludf.DUMMYFUNCTION("""COMPUTED_VALUE"""),34.65)</f>
        <v>34.65</v>
      </c>
      <c r="W728" s="3">
        <f ca="1">IFERROR(__xludf.DUMMYFUNCTION("""COMPUTED_VALUE"""),49.54)</f>
        <v>49.54</v>
      </c>
      <c r="X728" s="3">
        <f ca="1">IFERROR(__xludf.DUMMYFUNCTION("""COMPUTED_VALUE"""),121.74)</f>
        <v>121.74</v>
      </c>
      <c r="Y728" s="3">
        <f ca="1">IFERROR(__xludf.DUMMYFUNCTION("""COMPUTED_VALUE"""),59.37)</f>
        <v>59.37</v>
      </c>
      <c r="Z728" s="3">
        <f ca="1">IFERROR(__xludf.DUMMYFUNCTION("""COMPUTED_VALUE"""),116.4)</f>
        <v>116.4</v>
      </c>
      <c r="AA728" s="3">
        <f ca="1">IFERROR(__xludf.DUMMYFUNCTION("""COMPUTED_VALUE"""),43.47)</f>
        <v>43.47</v>
      </c>
      <c r="AB728" s="3">
        <f ca="1">IFERROR(__xludf.DUMMYFUNCTION("""COMPUTED_VALUE"""),65.16)</f>
        <v>65.16</v>
      </c>
      <c r="AC728" s="3">
        <f ca="1">IFERROR(__xludf.DUMMYFUNCTION("""COMPUTED_VALUE"""),82.09)</f>
        <v>82.09</v>
      </c>
      <c r="AD728" s="3">
        <f ca="1">IFERROR(__xludf.DUMMYFUNCTION("""COMPUTED_VALUE"""),21.59)</f>
        <v>21.59</v>
      </c>
      <c r="AE728" s="3">
        <f ca="1">IFERROR(__xludf.DUMMYFUNCTION("""COMPUTED_VALUE"""),25.42)</f>
        <v>25.42</v>
      </c>
      <c r="AF728" s="3">
        <f ca="1">IFERROR(__xludf.DUMMYFUNCTION("""COMPUTED_VALUE"""),7.08)</f>
        <v>7.08</v>
      </c>
      <c r="AG728" s="3">
        <f ca="1">IFERROR(__xludf.DUMMYFUNCTION("""COMPUTED_VALUE"""),66.38)</f>
        <v>66.38</v>
      </c>
    </row>
    <row r="729" spans="1:33" ht="12.75" x14ac:dyDescent="0.2">
      <c r="A729" s="4">
        <f ca="1">IFERROR(__xludf.DUMMYFUNCTION("""COMPUTED_VALUE"""),45617.6666666666)</f>
        <v>45617.666666666599</v>
      </c>
      <c r="B729" s="3">
        <f ca="1">IFERROR(__xludf.DUMMYFUNCTION("""COMPUTED_VALUE"""),233.48)</f>
        <v>233.48</v>
      </c>
      <c r="C729" s="3">
        <f ca="1">IFERROR(__xludf.DUMMYFUNCTION("""COMPUTED_VALUE"""),619.28)</f>
        <v>619.28</v>
      </c>
      <c r="D729" s="3">
        <f ca="1">IFERROR(__xludf.DUMMYFUNCTION("""COMPUTED_VALUE"""),159.84)</f>
        <v>159.84</v>
      </c>
      <c r="E729" s="3">
        <f ca="1">IFERROR(__xludf.DUMMYFUNCTION("""COMPUTED_VALUE"""),216.08)</f>
        <v>216.08</v>
      </c>
      <c r="F729" s="3">
        <f ca="1">IFERROR(__xludf.DUMMYFUNCTION("""COMPUTED_VALUE"""),73.25)</f>
        <v>73.25</v>
      </c>
      <c r="G729" s="3">
        <f ca="1">IFERROR(__xludf.DUMMYFUNCTION("""COMPUTED_VALUE"""),33.19)</f>
        <v>33.19</v>
      </c>
      <c r="H729" s="3">
        <f ca="1">IFERROR(__xludf.DUMMYFUNCTION("""COMPUTED_VALUE"""),31.37)</f>
        <v>31.37</v>
      </c>
      <c r="I729" s="3">
        <f ca="1">IFERROR(__xludf.DUMMYFUNCTION("""COMPUTED_VALUE"""),144.03)</f>
        <v>144.03</v>
      </c>
      <c r="J729" s="3">
        <f ca="1">IFERROR(__xludf.DUMMYFUNCTION("""COMPUTED_VALUE"""),265.37)</f>
        <v>265.37</v>
      </c>
      <c r="K729" s="3">
        <f ca="1">IFERROR(__xludf.DUMMYFUNCTION("""COMPUTED_VALUE"""),136.1)</f>
        <v>136.1</v>
      </c>
      <c r="L729" s="3">
        <f ca="1">IFERROR(__xludf.DUMMYFUNCTION("""COMPUTED_VALUE"""),94.3)</f>
        <v>94.3</v>
      </c>
      <c r="M729" s="3">
        <f ca="1">IFERROR(__xludf.DUMMYFUNCTION("""COMPUTED_VALUE"""),68.56)</f>
        <v>68.56</v>
      </c>
      <c r="N729" s="3">
        <f ca="1">IFERROR(__xludf.DUMMYFUNCTION("""COMPUTED_VALUE"""),68.46)</f>
        <v>68.459999999999994</v>
      </c>
      <c r="O729" s="3">
        <f ca="1">IFERROR(__xludf.DUMMYFUNCTION("""COMPUTED_VALUE"""),39.32)</f>
        <v>39.32</v>
      </c>
      <c r="P729" s="3">
        <f ca="1">IFERROR(__xludf.DUMMYFUNCTION("""COMPUTED_VALUE"""),97.27)</f>
        <v>97.27</v>
      </c>
      <c r="Q729" s="3">
        <f ca="1">IFERROR(__xludf.DUMMYFUNCTION("""COMPUTED_VALUE"""),136.1)</f>
        <v>136.1</v>
      </c>
      <c r="R729" s="3">
        <f ca="1">IFERROR(__xludf.DUMMYFUNCTION("""COMPUTED_VALUE"""),93.57)</f>
        <v>93.57</v>
      </c>
      <c r="S729" s="3">
        <f ca="1">IFERROR(__xludf.DUMMYFUNCTION("""COMPUTED_VALUE"""),68.48)</f>
        <v>68.48</v>
      </c>
      <c r="T729" s="3">
        <f ca="1">IFERROR(__xludf.DUMMYFUNCTION("""COMPUTED_VALUE"""),22.54)</f>
        <v>22.54</v>
      </c>
      <c r="U729" s="3">
        <f ca="1">IFERROR(__xludf.DUMMYFUNCTION("""COMPUTED_VALUE"""),73.2)</f>
        <v>73.2</v>
      </c>
      <c r="V729" s="3">
        <f ca="1">IFERROR(__xludf.DUMMYFUNCTION("""COMPUTED_VALUE"""),34.33)</f>
        <v>34.33</v>
      </c>
      <c r="W729" s="3">
        <f ca="1">IFERROR(__xludf.DUMMYFUNCTION("""COMPUTED_VALUE"""),50.17)</f>
        <v>50.17</v>
      </c>
      <c r="X729" s="3">
        <f ca="1">IFERROR(__xludf.DUMMYFUNCTION("""COMPUTED_VALUE"""),123.25)</f>
        <v>123.25</v>
      </c>
      <c r="Y729" s="3">
        <f ca="1">IFERROR(__xludf.DUMMYFUNCTION("""COMPUTED_VALUE"""),60.28)</f>
        <v>60.28</v>
      </c>
      <c r="Z729" s="3">
        <f ca="1">IFERROR(__xludf.DUMMYFUNCTION("""COMPUTED_VALUE"""),117.73)</f>
        <v>117.73</v>
      </c>
      <c r="AA729" s="3">
        <f ca="1">IFERROR(__xludf.DUMMYFUNCTION("""COMPUTED_VALUE"""),43.76)</f>
        <v>43.76</v>
      </c>
      <c r="AB729" s="3">
        <f ca="1">IFERROR(__xludf.DUMMYFUNCTION("""COMPUTED_VALUE"""),66.13)</f>
        <v>66.13</v>
      </c>
      <c r="AC729" s="3">
        <f ca="1">IFERROR(__xludf.DUMMYFUNCTION("""COMPUTED_VALUE"""),82.06)</f>
        <v>82.06</v>
      </c>
      <c r="AD729" s="3">
        <f ca="1">IFERROR(__xludf.DUMMYFUNCTION("""COMPUTED_VALUE"""),22.98)</f>
        <v>22.98</v>
      </c>
      <c r="AE729" s="3">
        <f ca="1">IFERROR(__xludf.DUMMYFUNCTION("""COMPUTED_VALUE"""),26.43)</f>
        <v>26.43</v>
      </c>
      <c r="AF729" s="3">
        <f ca="1">IFERROR(__xludf.DUMMYFUNCTION("""COMPUTED_VALUE"""),7.38)</f>
        <v>7.38</v>
      </c>
      <c r="AG729" s="3">
        <f ca="1">IFERROR(__xludf.DUMMYFUNCTION("""COMPUTED_VALUE"""),65.28)</f>
        <v>65.28</v>
      </c>
    </row>
    <row r="730" spans="1:33" ht="12.75" x14ac:dyDescent="0.2">
      <c r="A730" s="4">
        <f ca="1">IFERROR(__xludf.DUMMYFUNCTION("""COMPUTED_VALUE"""),45618.6666666666)</f>
        <v>45618.666666666599</v>
      </c>
      <c r="B730" s="3">
        <f ca="1">IFERROR(__xludf.DUMMYFUNCTION("""COMPUTED_VALUE"""),233.6)</f>
        <v>233.6</v>
      </c>
      <c r="C730" s="3">
        <f ca="1">IFERROR(__xludf.DUMMYFUNCTION("""COMPUTED_VALUE"""),621.58)</f>
        <v>621.58000000000004</v>
      </c>
      <c r="D730" s="3">
        <f ca="1">IFERROR(__xludf.DUMMYFUNCTION("""COMPUTED_VALUE"""),157.94)</f>
        <v>157.94</v>
      </c>
      <c r="E730" s="3">
        <f ca="1">IFERROR(__xludf.DUMMYFUNCTION("""COMPUTED_VALUE"""),216.17)</f>
        <v>216.17</v>
      </c>
      <c r="F730" s="3">
        <f ca="1">IFERROR(__xludf.DUMMYFUNCTION("""COMPUTED_VALUE"""),73.6)</f>
        <v>73.599999999999994</v>
      </c>
      <c r="G730" s="3">
        <f ca="1">IFERROR(__xludf.DUMMYFUNCTION("""COMPUTED_VALUE"""),33.41)</f>
        <v>33.409999999999997</v>
      </c>
      <c r="H730" s="3">
        <f ca="1">IFERROR(__xludf.DUMMYFUNCTION("""COMPUTED_VALUE"""),31.54)</f>
        <v>31.54</v>
      </c>
      <c r="I730" s="3">
        <f ca="1">IFERROR(__xludf.DUMMYFUNCTION("""COMPUTED_VALUE"""),144.16)</f>
        <v>144.16</v>
      </c>
      <c r="J730" s="3">
        <f ca="1">IFERROR(__xludf.DUMMYFUNCTION("""COMPUTED_VALUE"""),265.83)</f>
        <v>265.83</v>
      </c>
      <c r="K730" s="3">
        <f ca="1">IFERROR(__xludf.DUMMYFUNCTION("""COMPUTED_VALUE"""),137.96)</f>
        <v>137.96</v>
      </c>
      <c r="L730" s="3">
        <f ca="1">IFERROR(__xludf.DUMMYFUNCTION("""COMPUTED_VALUE"""),96.24)</f>
        <v>96.24</v>
      </c>
      <c r="M730" s="3">
        <f ca="1">IFERROR(__xludf.DUMMYFUNCTION("""COMPUTED_VALUE"""),69.56)</f>
        <v>69.56</v>
      </c>
      <c r="N730" s="3">
        <f ca="1">IFERROR(__xludf.DUMMYFUNCTION("""COMPUTED_VALUE"""),68.54)</f>
        <v>68.540000000000006</v>
      </c>
      <c r="O730" s="3">
        <f ca="1">IFERROR(__xludf.DUMMYFUNCTION("""COMPUTED_VALUE"""),40.32)</f>
        <v>40.32</v>
      </c>
      <c r="P730" s="3">
        <f ca="1">IFERROR(__xludf.DUMMYFUNCTION("""COMPUTED_VALUE"""),95.35)</f>
        <v>95.35</v>
      </c>
      <c r="Q730" s="3">
        <f ca="1">IFERROR(__xludf.DUMMYFUNCTION("""COMPUTED_VALUE"""),136.78)</f>
        <v>136.78</v>
      </c>
      <c r="R730" s="3">
        <f ca="1">IFERROR(__xludf.DUMMYFUNCTION("""COMPUTED_VALUE"""),94.09)</f>
        <v>94.09</v>
      </c>
      <c r="S730" s="3">
        <f ca="1">IFERROR(__xludf.DUMMYFUNCTION("""COMPUTED_VALUE"""),68.65)</f>
        <v>68.650000000000006</v>
      </c>
      <c r="T730" s="3">
        <f ca="1">IFERROR(__xludf.DUMMYFUNCTION("""COMPUTED_VALUE"""),22.56)</f>
        <v>22.56</v>
      </c>
      <c r="U730" s="3">
        <f ca="1">IFERROR(__xludf.DUMMYFUNCTION("""COMPUTED_VALUE"""),74.25)</f>
        <v>74.25</v>
      </c>
      <c r="V730" s="3">
        <f ca="1">IFERROR(__xludf.DUMMYFUNCTION("""COMPUTED_VALUE"""),34.64)</f>
        <v>34.64</v>
      </c>
      <c r="W730" s="3">
        <f ca="1">IFERROR(__xludf.DUMMYFUNCTION("""COMPUTED_VALUE"""),50.73)</f>
        <v>50.73</v>
      </c>
      <c r="X730" s="3">
        <f ca="1">IFERROR(__xludf.DUMMYFUNCTION("""COMPUTED_VALUE"""),124.79)</f>
        <v>124.79</v>
      </c>
      <c r="Y730" s="3">
        <f ca="1">IFERROR(__xludf.DUMMYFUNCTION("""COMPUTED_VALUE"""),61.63)</f>
        <v>61.63</v>
      </c>
      <c r="Z730" s="3">
        <f ca="1">IFERROR(__xludf.DUMMYFUNCTION("""COMPUTED_VALUE"""),118.61)</f>
        <v>118.61</v>
      </c>
      <c r="AA730" s="3">
        <f ca="1">IFERROR(__xludf.DUMMYFUNCTION("""COMPUTED_VALUE"""),44.09)</f>
        <v>44.09</v>
      </c>
      <c r="AB730" s="3">
        <f ca="1">IFERROR(__xludf.DUMMYFUNCTION("""COMPUTED_VALUE"""),67.79)</f>
        <v>67.790000000000006</v>
      </c>
      <c r="AC730" s="3">
        <f ca="1">IFERROR(__xludf.DUMMYFUNCTION("""COMPUTED_VALUE"""),82.26)</f>
        <v>82.26</v>
      </c>
      <c r="AD730" s="3">
        <f ca="1">IFERROR(__xludf.DUMMYFUNCTION("""COMPUTED_VALUE"""),22.85)</f>
        <v>22.85</v>
      </c>
      <c r="AE730" s="3">
        <f ca="1">IFERROR(__xludf.DUMMYFUNCTION("""COMPUTED_VALUE"""),26.69)</f>
        <v>26.69</v>
      </c>
      <c r="AF730" s="3">
        <f ca="1">IFERROR(__xludf.DUMMYFUNCTION("""COMPUTED_VALUE"""),7.51)</f>
        <v>7.51</v>
      </c>
      <c r="AG730" s="3">
        <f ca="1">IFERROR(__xludf.DUMMYFUNCTION("""COMPUTED_VALUE"""),69.14)</f>
        <v>69.14</v>
      </c>
    </row>
    <row r="731" spans="1:33" ht="12.75" x14ac:dyDescent="0.2">
      <c r="A731" s="4">
        <f ca="1">IFERROR(__xludf.DUMMYFUNCTION("""COMPUTED_VALUE"""),45621.6666666666)</f>
        <v>45621.666666666599</v>
      </c>
      <c r="B731" s="3">
        <f ca="1">IFERROR(__xludf.DUMMYFUNCTION("""COMPUTED_VALUE"""),233.59)</f>
        <v>233.59</v>
      </c>
      <c r="C731" s="3">
        <f ca="1">IFERROR(__xludf.DUMMYFUNCTION("""COMPUTED_VALUE"""),621.29)</f>
        <v>621.29</v>
      </c>
      <c r="D731" s="3">
        <f ca="1">IFERROR(__xludf.DUMMYFUNCTION("""COMPUTED_VALUE"""),159.33)</f>
        <v>159.33000000000001</v>
      </c>
      <c r="E731" s="3">
        <f ca="1">IFERROR(__xludf.DUMMYFUNCTION("""COMPUTED_VALUE"""),218.28)</f>
        <v>218.28</v>
      </c>
      <c r="F731" s="3">
        <f ca="1">IFERROR(__xludf.DUMMYFUNCTION("""COMPUTED_VALUE"""),73.63)</f>
        <v>73.63</v>
      </c>
      <c r="G731" s="3">
        <f ca="1">IFERROR(__xludf.DUMMYFUNCTION("""COMPUTED_VALUE"""),33.41)</f>
        <v>33.409999999999997</v>
      </c>
      <c r="H731" s="3">
        <f ca="1">IFERROR(__xludf.DUMMYFUNCTION("""COMPUTED_VALUE"""),32.1)</f>
        <v>32.1</v>
      </c>
      <c r="I731" s="3">
        <f ca="1">IFERROR(__xludf.DUMMYFUNCTION("""COMPUTED_VALUE"""),145.39)</f>
        <v>145.38999999999999</v>
      </c>
      <c r="J731" s="3">
        <f ca="1">IFERROR(__xludf.DUMMYFUNCTION("""COMPUTED_VALUE"""),268.46)</f>
        <v>268.45999999999998</v>
      </c>
      <c r="K731" s="3">
        <f ca="1">IFERROR(__xludf.DUMMYFUNCTION("""COMPUTED_VALUE"""),139.91)</f>
        <v>139.91</v>
      </c>
      <c r="L731" s="3">
        <f ca="1">IFERROR(__xludf.DUMMYFUNCTION("""COMPUTED_VALUE"""),97.63)</f>
        <v>97.63</v>
      </c>
      <c r="M731" s="3">
        <f ca="1">IFERROR(__xludf.DUMMYFUNCTION("""COMPUTED_VALUE"""),70.33)</f>
        <v>70.33</v>
      </c>
      <c r="N731" s="3">
        <f ca="1">IFERROR(__xludf.DUMMYFUNCTION("""COMPUTED_VALUE"""),69.27)</f>
        <v>69.27</v>
      </c>
      <c r="O731" s="3">
        <f ca="1">IFERROR(__xludf.DUMMYFUNCTION("""COMPUTED_VALUE"""),41.44)</f>
        <v>41.44</v>
      </c>
      <c r="P731" s="3">
        <f ca="1">IFERROR(__xludf.DUMMYFUNCTION("""COMPUTED_VALUE"""),95.22)</f>
        <v>95.22</v>
      </c>
      <c r="Q731" s="3">
        <f ca="1">IFERROR(__xludf.DUMMYFUNCTION("""COMPUTED_VALUE"""),134)</f>
        <v>134</v>
      </c>
      <c r="R731" s="3">
        <f ca="1">IFERROR(__xludf.DUMMYFUNCTION("""COMPUTED_VALUE"""),95.06)</f>
        <v>95.06</v>
      </c>
      <c r="S731" s="3">
        <f ca="1">IFERROR(__xludf.DUMMYFUNCTION("""COMPUTED_VALUE"""),68.89)</f>
        <v>68.89</v>
      </c>
      <c r="T731" s="3">
        <f ca="1">IFERROR(__xludf.DUMMYFUNCTION("""COMPUTED_VALUE"""),22.24)</f>
        <v>22.24</v>
      </c>
      <c r="U731" s="3">
        <f ca="1">IFERROR(__xludf.DUMMYFUNCTION("""COMPUTED_VALUE"""),72.1)</f>
        <v>72.099999999999994</v>
      </c>
      <c r="V731" s="3">
        <f ca="1">IFERROR(__xludf.DUMMYFUNCTION("""COMPUTED_VALUE"""),36.05)</f>
        <v>36.049999999999997</v>
      </c>
      <c r="W731" s="3">
        <f ca="1">IFERROR(__xludf.DUMMYFUNCTION("""COMPUTED_VALUE"""),51.06)</f>
        <v>51.06</v>
      </c>
      <c r="X731" s="3">
        <f ca="1">IFERROR(__xludf.DUMMYFUNCTION("""COMPUTED_VALUE"""),125.78)</f>
        <v>125.78</v>
      </c>
      <c r="Y731" s="3">
        <f ca="1">IFERROR(__xludf.DUMMYFUNCTION("""COMPUTED_VALUE"""),62.76)</f>
        <v>62.76</v>
      </c>
      <c r="Z731" s="3">
        <f ca="1">IFERROR(__xludf.DUMMYFUNCTION("""COMPUTED_VALUE"""),118.78)</f>
        <v>118.78</v>
      </c>
      <c r="AA731" s="3">
        <f ca="1">IFERROR(__xludf.DUMMYFUNCTION("""COMPUTED_VALUE"""),44.68)</f>
        <v>44.68</v>
      </c>
      <c r="AB731" s="3">
        <f ca="1">IFERROR(__xludf.DUMMYFUNCTION("""COMPUTED_VALUE"""),68.9)</f>
        <v>68.900000000000006</v>
      </c>
      <c r="AC731" s="3">
        <f ca="1">IFERROR(__xludf.DUMMYFUNCTION("""COMPUTED_VALUE"""),82.34)</f>
        <v>82.34</v>
      </c>
      <c r="AD731" s="3">
        <f ca="1">IFERROR(__xludf.DUMMYFUNCTION("""COMPUTED_VALUE"""),23.05)</f>
        <v>23.05</v>
      </c>
      <c r="AE731" s="3">
        <f ca="1">IFERROR(__xludf.DUMMYFUNCTION("""COMPUTED_VALUE"""),25.48)</f>
        <v>25.48</v>
      </c>
      <c r="AF731" s="3">
        <f ca="1">IFERROR(__xludf.DUMMYFUNCTION("""COMPUTED_VALUE"""),7.83)</f>
        <v>7.83</v>
      </c>
      <c r="AG731" s="3">
        <f ca="1">IFERROR(__xludf.DUMMYFUNCTION("""COMPUTED_VALUE"""),69.03)</f>
        <v>69.03</v>
      </c>
    </row>
    <row r="732" spans="1:33" ht="12.75" x14ac:dyDescent="0.2">
      <c r="A732" s="4">
        <f ca="1">IFERROR(__xludf.DUMMYFUNCTION("""COMPUTED_VALUE"""),45622.6666666666)</f>
        <v>45622.666666666599</v>
      </c>
      <c r="B732" s="3">
        <f ca="1">IFERROR(__xludf.DUMMYFUNCTION("""COMPUTED_VALUE"""),234.76)</f>
        <v>234.76</v>
      </c>
      <c r="C732" s="3">
        <f ca="1">IFERROR(__xludf.DUMMYFUNCTION("""COMPUTED_VALUE"""),623.17)</f>
        <v>623.16999999999996</v>
      </c>
      <c r="D732" s="3">
        <f ca="1">IFERROR(__xludf.DUMMYFUNCTION("""COMPUTED_VALUE"""),161.02)</f>
        <v>161.02000000000001</v>
      </c>
      <c r="E732" s="3">
        <f ca="1">IFERROR(__xludf.DUMMYFUNCTION("""COMPUTED_VALUE"""),215.45)</f>
        <v>215.45</v>
      </c>
      <c r="F732" s="3">
        <f ca="1">IFERROR(__xludf.DUMMYFUNCTION("""COMPUTED_VALUE"""),74.13)</f>
        <v>74.13</v>
      </c>
      <c r="G732" s="3">
        <f ca="1">IFERROR(__xludf.DUMMYFUNCTION("""COMPUTED_VALUE"""),33.27)</f>
        <v>33.270000000000003</v>
      </c>
      <c r="H732" s="3">
        <f ca="1">IFERROR(__xludf.DUMMYFUNCTION("""COMPUTED_VALUE"""),31.99)</f>
        <v>31.99</v>
      </c>
      <c r="I732" s="3">
        <f ca="1">IFERROR(__xludf.DUMMYFUNCTION("""COMPUTED_VALUE"""),146.17)</f>
        <v>146.16999999999999</v>
      </c>
      <c r="J732" s="3">
        <f ca="1">IFERROR(__xludf.DUMMYFUNCTION("""COMPUTED_VALUE"""),269.92)</f>
        <v>269.92</v>
      </c>
      <c r="K732" s="3">
        <f ca="1">IFERROR(__xludf.DUMMYFUNCTION("""COMPUTED_VALUE"""),140.23)</f>
        <v>140.22999999999999</v>
      </c>
      <c r="L732" s="3">
        <f ca="1">IFERROR(__xludf.DUMMYFUNCTION("""COMPUTED_VALUE"""),98.85)</f>
        <v>98.85</v>
      </c>
      <c r="M732" s="3">
        <f ca="1">IFERROR(__xludf.DUMMYFUNCTION("""COMPUTED_VALUE"""),70.27)</f>
        <v>70.27</v>
      </c>
      <c r="N732" s="3">
        <f ca="1">IFERROR(__xludf.DUMMYFUNCTION("""COMPUTED_VALUE"""),69.56)</f>
        <v>69.56</v>
      </c>
      <c r="O732" s="3">
        <f ca="1">IFERROR(__xludf.DUMMYFUNCTION("""COMPUTED_VALUE"""),42.24)</f>
        <v>42.24</v>
      </c>
      <c r="P732" s="3">
        <f ca="1">IFERROR(__xludf.DUMMYFUNCTION("""COMPUTED_VALUE"""),95.12)</f>
        <v>95.12</v>
      </c>
      <c r="Q732" s="3">
        <f ca="1">IFERROR(__xludf.DUMMYFUNCTION("""COMPUTED_VALUE"""),133.66)</f>
        <v>133.66</v>
      </c>
      <c r="R732" s="3">
        <f ca="1">IFERROR(__xludf.DUMMYFUNCTION("""COMPUTED_VALUE"""),94.35)</f>
        <v>94.35</v>
      </c>
      <c r="S732" s="3">
        <f ca="1">IFERROR(__xludf.DUMMYFUNCTION("""COMPUTED_VALUE"""),68.28)</f>
        <v>68.28</v>
      </c>
      <c r="T732" s="3">
        <f ca="1">IFERROR(__xludf.DUMMYFUNCTION("""COMPUTED_VALUE"""),22.24)</f>
        <v>22.24</v>
      </c>
      <c r="U732" s="3">
        <f ca="1">IFERROR(__xludf.DUMMYFUNCTION("""COMPUTED_VALUE"""),71.61)</f>
        <v>71.61</v>
      </c>
      <c r="V732" s="3">
        <f ca="1">IFERROR(__xludf.DUMMYFUNCTION("""COMPUTED_VALUE"""),35.97)</f>
        <v>35.97</v>
      </c>
      <c r="W732" s="3">
        <f ca="1">IFERROR(__xludf.DUMMYFUNCTION("""COMPUTED_VALUE"""),51.16)</f>
        <v>51.16</v>
      </c>
      <c r="X732" s="3">
        <f ca="1">IFERROR(__xludf.DUMMYFUNCTION("""COMPUTED_VALUE"""),125.78)</f>
        <v>125.78</v>
      </c>
      <c r="Y732" s="3">
        <f ca="1">IFERROR(__xludf.DUMMYFUNCTION("""COMPUTED_VALUE"""),62.16)</f>
        <v>62.16</v>
      </c>
      <c r="Z732" s="3">
        <f ca="1">IFERROR(__xludf.DUMMYFUNCTION("""COMPUTED_VALUE"""),118.97)</f>
        <v>118.97</v>
      </c>
      <c r="AA732" s="3">
        <f ca="1">IFERROR(__xludf.DUMMYFUNCTION("""COMPUTED_VALUE"""),44.9)</f>
        <v>44.9</v>
      </c>
      <c r="AB732" s="3">
        <f ca="1">IFERROR(__xludf.DUMMYFUNCTION("""COMPUTED_VALUE"""),68.16)</f>
        <v>68.16</v>
      </c>
      <c r="AC732" s="3">
        <f ca="1">IFERROR(__xludf.DUMMYFUNCTION("""COMPUTED_VALUE"""),81.56)</f>
        <v>81.56</v>
      </c>
      <c r="AD732" s="3">
        <f ca="1">IFERROR(__xludf.DUMMYFUNCTION("""COMPUTED_VALUE"""),21.94)</f>
        <v>21.94</v>
      </c>
      <c r="AE732" s="3">
        <f ca="1">IFERROR(__xludf.DUMMYFUNCTION("""COMPUTED_VALUE"""),24.4)</f>
        <v>24.4</v>
      </c>
      <c r="AF732" s="3">
        <f ca="1">IFERROR(__xludf.DUMMYFUNCTION("""COMPUTED_VALUE"""),8.22)</f>
        <v>8.2200000000000006</v>
      </c>
      <c r="AG732" s="3">
        <f ca="1">IFERROR(__xludf.DUMMYFUNCTION("""COMPUTED_VALUE"""),64.4)</f>
        <v>64.400000000000006</v>
      </c>
    </row>
    <row r="733" spans="1:33" ht="12.75" x14ac:dyDescent="0.2">
      <c r="A733" s="4">
        <f ca="1">IFERROR(__xludf.DUMMYFUNCTION("""COMPUTED_VALUE"""),45623.6666666666)</f>
        <v>45623.666666666599</v>
      </c>
      <c r="B733" s="3">
        <f ca="1">IFERROR(__xludf.DUMMYFUNCTION("""COMPUTED_VALUE"""),231.58)</f>
        <v>231.58</v>
      </c>
      <c r="C733" s="3">
        <f ca="1">IFERROR(__xludf.DUMMYFUNCTION("""COMPUTED_VALUE"""),616.76)</f>
        <v>616.76</v>
      </c>
      <c r="D733" s="3">
        <f ca="1">IFERROR(__xludf.DUMMYFUNCTION("""COMPUTED_VALUE"""),162.11)</f>
        <v>162.11000000000001</v>
      </c>
      <c r="E733" s="3">
        <f ca="1">IFERROR(__xludf.DUMMYFUNCTION("""COMPUTED_VALUE"""),212.56)</f>
        <v>212.56</v>
      </c>
      <c r="F733" s="3">
        <f ca="1">IFERROR(__xludf.DUMMYFUNCTION("""COMPUTED_VALUE"""),72.93)</f>
        <v>72.930000000000007</v>
      </c>
      <c r="G733" s="3">
        <f ca="1">IFERROR(__xludf.DUMMYFUNCTION("""COMPUTED_VALUE"""),32.94)</f>
        <v>32.94</v>
      </c>
      <c r="H733" s="3">
        <f ca="1">IFERROR(__xludf.DUMMYFUNCTION("""COMPUTED_VALUE"""),32.02)</f>
        <v>32.020000000000003</v>
      </c>
      <c r="I733" s="3">
        <f ca="1">IFERROR(__xludf.DUMMYFUNCTION("""COMPUTED_VALUE"""),146.95)</f>
        <v>146.94999999999999</v>
      </c>
      <c r="J733" s="3">
        <f ca="1">IFERROR(__xludf.DUMMYFUNCTION("""COMPUTED_VALUE"""),271.38)</f>
        <v>271.38</v>
      </c>
      <c r="K733" s="3">
        <f ca="1">IFERROR(__xludf.DUMMYFUNCTION("""COMPUTED_VALUE"""),141.59)</f>
        <v>141.59</v>
      </c>
      <c r="L733" s="3">
        <f ca="1">IFERROR(__xludf.DUMMYFUNCTION("""COMPUTED_VALUE"""),100)</f>
        <v>100</v>
      </c>
      <c r="M733" s="3">
        <f ca="1">IFERROR(__xludf.DUMMYFUNCTION("""COMPUTED_VALUE"""),70.56)</f>
        <v>70.56</v>
      </c>
      <c r="N733" s="3">
        <f ca="1">IFERROR(__xludf.DUMMYFUNCTION("""COMPUTED_VALUE"""),70.03)</f>
        <v>70.03</v>
      </c>
      <c r="O733" s="3">
        <f ca="1">IFERROR(__xludf.DUMMYFUNCTION("""COMPUTED_VALUE"""),43.32)</f>
        <v>43.32</v>
      </c>
      <c r="P733" s="3">
        <f ca="1">IFERROR(__xludf.DUMMYFUNCTION("""COMPUTED_VALUE"""),95.53)</f>
        <v>95.53</v>
      </c>
      <c r="Q733" s="3">
        <f ca="1">IFERROR(__xludf.DUMMYFUNCTION("""COMPUTED_VALUE"""),133.67)</f>
        <v>133.66999999999999</v>
      </c>
      <c r="R733" s="3">
        <f ca="1">IFERROR(__xludf.DUMMYFUNCTION("""COMPUTED_VALUE"""),94.3)</f>
        <v>94.3</v>
      </c>
      <c r="S733" s="3">
        <f ca="1">IFERROR(__xludf.DUMMYFUNCTION("""COMPUTED_VALUE"""),68.43)</f>
        <v>68.430000000000007</v>
      </c>
      <c r="T733" s="3">
        <f ca="1">IFERROR(__xludf.DUMMYFUNCTION("""COMPUTED_VALUE"""),22.12)</f>
        <v>22.12</v>
      </c>
      <c r="U733" s="3">
        <f ca="1">IFERROR(__xludf.DUMMYFUNCTION("""COMPUTED_VALUE"""),71.72)</f>
        <v>71.72</v>
      </c>
      <c r="V733" s="3">
        <f ca="1">IFERROR(__xludf.DUMMYFUNCTION("""COMPUTED_VALUE"""),36.54)</f>
        <v>36.54</v>
      </c>
      <c r="W733" s="3">
        <f ca="1">IFERROR(__xludf.DUMMYFUNCTION("""COMPUTED_VALUE"""),51.26)</f>
        <v>51.26</v>
      </c>
      <c r="X733" s="3">
        <f ca="1">IFERROR(__xludf.DUMMYFUNCTION("""COMPUTED_VALUE"""),126.1)</f>
        <v>126.1</v>
      </c>
      <c r="Y733" s="3">
        <f ca="1">IFERROR(__xludf.DUMMYFUNCTION("""COMPUTED_VALUE"""),62.01)</f>
        <v>62.01</v>
      </c>
      <c r="Z733" s="3">
        <f ca="1">IFERROR(__xludf.DUMMYFUNCTION("""COMPUTED_VALUE"""),119.05)</f>
        <v>119.05</v>
      </c>
      <c r="AA733" s="3">
        <f ca="1">IFERROR(__xludf.DUMMYFUNCTION("""COMPUTED_VALUE"""),45.21)</f>
        <v>45.21</v>
      </c>
      <c r="AB733" s="3">
        <f ca="1">IFERROR(__xludf.DUMMYFUNCTION("""COMPUTED_VALUE"""),67.94)</f>
        <v>67.94</v>
      </c>
      <c r="AC733" s="3">
        <f ca="1">IFERROR(__xludf.DUMMYFUNCTION("""COMPUTED_VALUE"""),81.02)</f>
        <v>81.02</v>
      </c>
      <c r="AD733" s="3">
        <f ca="1">IFERROR(__xludf.DUMMYFUNCTION("""COMPUTED_VALUE"""),23.64)</f>
        <v>23.64</v>
      </c>
      <c r="AE733" s="3">
        <f ca="1">IFERROR(__xludf.DUMMYFUNCTION("""COMPUTED_VALUE"""),25.99)</f>
        <v>25.99</v>
      </c>
      <c r="AF733" s="3">
        <f ca="1">IFERROR(__xludf.DUMMYFUNCTION("""COMPUTED_VALUE"""),7.63)</f>
        <v>7.63</v>
      </c>
      <c r="AG733" s="3">
        <f ca="1">IFERROR(__xludf.DUMMYFUNCTION("""COMPUTED_VALUE"""),69.56)</f>
        <v>69.56</v>
      </c>
    </row>
    <row r="734" spans="1:33" ht="12.75" x14ac:dyDescent="0.2">
      <c r="A734" s="4">
        <f ca="1">IFERROR(__xludf.DUMMYFUNCTION("""COMPUTED_VALUE"""),45625.5520833333)</f>
        <v>45625.552083333299</v>
      </c>
      <c r="B734" s="3">
        <f ca="1">IFERROR(__xludf.DUMMYFUNCTION("""COMPUTED_VALUE"""),233.73)</f>
        <v>233.73</v>
      </c>
      <c r="C734" s="3">
        <f ca="1">IFERROR(__xludf.DUMMYFUNCTION("""COMPUTED_VALUE"""),622.25)</f>
        <v>622.25</v>
      </c>
      <c r="D734" s="3">
        <f ca="1">IFERROR(__xludf.DUMMYFUNCTION("""COMPUTED_VALUE"""),165.53)</f>
        <v>165.53</v>
      </c>
      <c r="E734" s="3">
        <f ca="1">IFERROR(__xludf.DUMMYFUNCTION("""COMPUTED_VALUE"""),215.4)</f>
        <v>215.4</v>
      </c>
      <c r="F734" s="3">
        <f ca="1">IFERROR(__xludf.DUMMYFUNCTION("""COMPUTED_VALUE"""),73.44)</f>
        <v>73.44</v>
      </c>
      <c r="G734" s="3">
        <f ca="1">IFERROR(__xludf.DUMMYFUNCTION("""COMPUTED_VALUE"""),33.37)</f>
        <v>33.369999999999997</v>
      </c>
      <c r="H734" s="3">
        <f ca="1">IFERROR(__xludf.DUMMYFUNCTION("""COMPUTED_VALUE"""),32.12)</f>
        <v>32.119999999999997</v>
      </c>
      <c r="I734" s="3">
        <f ca="1">IFERROR(__xludf.DUMMYFUNCTION("""COMPUTED_VALUE"""),147.41)</f>
        <v>147.41</v>
      </c>
      <c r="J734" s="3">
        <f ca="1">IFERROR(__xludf.DUMMYFUNCTION("""COMPUTED_VALUE"""),272.24)</f>
        <v>272.24</v>
      </c>
      <c r="K734" s="3">
        <f ca="1">IFERROR(__xludf.DUMMYFUNCTION("""COMPUTED_VALUE"""),141.55)</f>
        <v>141.55000000000001</v>
      </c>
      <c r="L734" s="3">
        <f ca="1">IFERROR(__xludf.DUMMYFUNCTION("""COMPUTED_VALUE"""),99.62)</f>
        <v>99.62</v>
      </c>
      <c r="M734" s="3">
        <f ca="1">IFERROR(__xludf.DUMMYFUNCTION("""COMPUTED_VALUE"""),70.5)</f>
        <v>70.5</v>
      </c>
      <c r="N734" s="3">
        <f ca="1">IFERROR(__xludf.DUMMYFUNCTION("""COMPUTED_VALUE"""),70.2)</f>
        <v>70.2</v>
      </c>
      <c r="O734" s="3">
        <f ca="1">IFERROR(__xludf.DUMMYFUNCTION("""COMPUTED_VALUE"""),43.36)</f>
        <v>43.36</v>
      </c>
      <c r="P734" s="3">
        <f ca="1">IFERROR(__xludf.DUMMYFUNCTION("""COMPUTED_VALUE"""),94.52)</f>
        <v>94.52</v>
      </c>
      <c r="Q734" s="3">
        <f ca="1">IFERROR(__xludf.DUMMYFUNCTION("""COMPUTED_VALUE"""),134.18)</f>
        <v>134.18</v>
      </c>
      <c r="R734" s="3">
        <f ca="1">IFERROR(__xludf.DUMMYFUNCTION("""COMPUTED_VALUE"""),94.78)</f>
        <v>94.78</v>
      </c>
      <c r="S734" s="3">
        <f ca="1">IFERROR(__xludf.DUMMYFUNCTION("""COMPUTED_VALUE"""),68.75)</f>
        <v>68.75</v>
      </c>
      <c r="T734" s="3">
        <f ca="1">IFERROR(__xludf.DUMMYFUNCTION("""COMPUTED_VALUE"""),22.14)</f>
        <v>22.14</v>
      </c>
      <c r="U734" s="3">
        <f ca="1">IFERROR(__xludf.DUMMYFUNCTION("""COMPUTED_VALUE"""),71.61)</f>
        <v>71.61</v>
      </c>
      <c r="V734" s="3">
        <f ca="1">IFERROR(__xludf.DUMMYFUNCTION("""COMPUTED_VALUE"""),36.83)</f>
        <v>36.83</v>
      </c>
      <c r="W734" s="3">
        <f ca="1">IFERROR(__xludf.DUMMYFUNCTION("""COMPUTED_VALUE"""),51.34)</f>
        <v>51.34</v>
      </c>
      <c r="X734" s="3">
        <f ca="1">IFERROR(__xludf.DUMMYFUNCTION("""COMPUTED_VALUE"""),126.2)</f>
        <v>126.2</v>
      </c>
      <c r="Y734" s="3">
        <f ca="1">IFERROR(__xludf.DUMMYFUNCTION("""COMPUTED_VALUE"""),61.84)</f>
        <v>61.84</v>
      </c>
      <c r="Z734" s="3">
        <f ca="1">IFERROR(__xludf.DUMMYFUNCTION("""COMPUTED_VALUE"""),117.66)</f>
        <v>117.66</v>
      </c>
      <c r="AA734" s="3">
        <f ca="1">IFERROR(__xludf.DUMMYFUNCTION("""COMPUTED_VALUE"""),45)</f>
        <v>45</v>
      </c>
      <c r="AB734" s="3">
        <f ca="1">IFERROR(__xludf.DUMMYFUNCTION("""COMPUTED_VALUE"""),67.73)</f>
        <v>67.73</v>
      </c>
      <c r="AC734" s="3">
        <f ca="1">IFERROR(__xludf.DUMMYFUNCTION("""COMPUTED_VALUE"""),80.73)</f>
        <v>80.73</v>
      </c>
      <c r="AD734" s="3">
        <f ca="1">IFERROR(__xludf.DUMMYFUNCTION("""COMPUTED_VALUE"""),23.56)</f>
        <v>23.56</v>
      </c>
      <c r="AE734" s="3">
        <f ca="1">IFERROR(__xludf.DUMMYFUNCTION("""COMPUTED_VALUE"""),26.14)</f>
        <v>26.14</v>
      </c>
      <c r="AF734" s="3">
        <f ca="1">IFERROR(__xludf.DUMMYFUNCTION("""COMPUTED_VALUE"""),7.94)</f>
        <v>7.94</v>
      </c>
      <c r="AG734" s="3">
        <f ca="1">IFERROR(__xludf.DUMMYFUNCTION("""COMPUTED_VALUE"""),71)</f>
        <v>71</v>
      </c>
    </row>
    <row r="735" spans="1:33" ht="12.75" x14ac:dyDescent="0.2">
      <c r="A735" s="4">
        <f ca="1">IFERROR(__xludf.DUMMYFUNCTION("""COMPUTED_VALUE"""),45628.6666666666)</f>
        <v>45628.666666666599</v>
      </c>
      <c r="B735" s="3">
        <f ca="1">IFERROR(__xludf.DUMMYFUNCTION("""COMPUTED_VALUE"""),235.95)</f>
        <v>235.95</v>
      </c>
      <c r="C735" s="3">
        <f ca="1">IFERROR(__xludf.DUMMYFUNCTION("""COMPUTED_VALUE"""),628.37)</f>
        <v>628.37</v>
      </c>
      <c r="D735" s="3">
        <f ca="1">IFERROR(__xludf.DUMMYFUNCTION("""COMPUTED_VALUE"""),164.57)</f>
        <v>164.57</v>
      </c>
      <c r="E735" s="3">
        <f ca="1">IFERROR(__xludf.DUMMYFUNCTION("""COMPUTED_VALUE"""),221.06)</f>
        <v>221.06</v>
      </c>
      <c r="F735" s="3">
        <f ca="1">IFERROR(__xludf.DUMMYFUNCTION("""COMPUTED_VALUE"""),74.11)</f>
        <v>74.11</v>
      </c>
      <c r="G735" s="3">
        <f ca="1">IFERROR(__xludf.DUMMYFUNCTION("""COMPUTED_VALUE"""),33.4)</f>
        <v>33.4</v>
      </c>
      <c r="H735" s="3">
        <f ca="1">IFERROR(__xludf.DUMMYFUNCTION("""COMPUTED_VALUE"""),32.27)</f>
        <v>32.270000000000003</v>
      </c>
      <c r="I735" s="3">
        <f ca="1">IFERROR(__xludf.DUMMYFUNCTION("""COMPUTED_VALUE"""),147.15)</f>
        <v>147.15</v>
      </c>
      <c r="J735" s="3">
        <f ca="1">IFERROR(__xludf.DUMMYFUNCTION("""COMPUTED_VALUE"""),271.65)</f>
        <v>271.64999999999998</v>
      </c>
      <c r="K735" s="3">
        <f ca="1">IFERROR(__xludf.DUMMYFUNCTION("""COMPUTED_VALUE"""),141.73)</f>
        <v>141.72999999999999</v>
      </c>
      <c r="L735" s="3">
        <f ca="1">IFERROR(__xludf.DUMMYFUNCTION("""COMPUTED_VALUE"""),99.31)</f>
        <v>99.31</v>
      </c>
      <c r="M735" s="3">
        <f ca="1">IFERROR(__xludf.DUMMYFUNCTION("""COMPUTED_VALUE"""),70.83)</f>
        <v>70.83</v>
      </c>
      <c r="N735" s="3">
        <f ca="1">IFERROR(__xludf.DUMMYFUNCTION("""COMPUTED_VALUE"""),70.02)</f>
        <v>70.02</v>
      </c>
      <c r="O735" s="3">
        <f ca="1">IFERROR(__xludf.DUMMYFUNCTION("""COMPUTED_VALUE"""),43.92)</f>
        <v>43.92</v>
      </c>
      <c r="P735" s="3">
        <f ca="1">IFERROR(__xludf.DUMMYFUNCTION("""COMPUTED_VALUE"""),94.51)</f>
        <v>94.51</v>
      </c>
      <c r="Q735" s="3">
        <f ca="1">IFERROR(__xludf.DUMMYFUNCTION("""COMPUTED_VALUE"""),132.9)</f>
        <v>132.9</v>
      </c>
      <c r="R735" s="3">
        <f ca="1">IFERROR(__xludf.DUMMYFUNCTION("""COMPUTED_VALUE"""),94.72)</f>
        <v>94.72</v>
      </c>
      <c r="S735" s="3">
        <f ca="1">IFERROR(__xludf.DUMMYFUNCTION("""COMPUTED_VALUE"""),68.26)</f>
        <v>68.260000000000005</v>
      </c>
      <c r="T735" s="3">
        <f ca="1">IFERROR(__xludf.DUMMYFUNCTION("""COMPUTED_VALUE"""),21.98)</f>
        <v>21.98</v>
      </c>
      <c r="U735" s="3">
        <f ca="1">IFERROR(__xludf.DUMMYFUNCTION("""COMPUTED_VALUE"""),71.04)</f>
        <v>71.040000000000006</v>
      </c>
      <c r="V735" s="3">
        <f ca="1">IFERROR(__xludf.DUMMYFUNCTION("""COMPUTED_VALUE"""),37.47)</f>
        <v>37.47</v>
      </c>
      <c r="W735" s="3">
        <f ca="1">IFERROR(__xludf.DUMMYFUNCTION("""COMPUTED_VALUE"""),50.83)</f>
        <v>50.83</v>
      </c>
      <c r="X735" s="3">
        <f ca="1">IFERROR(__xludf.DUMMYFUNCTION("""COMPUTED_VALUE"""),125.06)</f>
        <v>125.06</v>
      </c>
      <c r="Y735" s="3">
        <f ca="1">IFERROR(__xludf.DUMMYFUNCTION("""COMPUTED_VALUE"""),61.3)</f>
        <v>61.3</v>
      </c>
      <c r="Z735" s="3">
        <f ca="1">IFERROR(__xludf.DUMMYFUNCTION("""COMPUTED_VALUE"""),116.94)</f>
        <v>116.94</v>
      </c>
      <c r="AA735" s="3">
        <f ca="1">IFERROR(__xludf.DUMMYFUNCTION("""COMPUTED_VALUE"""),44.32)</f>
        <v>44.32</v>
      </c>
      <c r="AB735" s="3">
        <f ca="1">IFERROR(__xludf.DUMMYFUNCTION("""COMPUTED_VALUE"""),67.09)</f>
        <v>67.09</v>
      </c>
      <c r="AC735" s="3">
        <f ca="1">IFERROR(__xludf.DUMMYFUNCTION("""COMPUTED_VALUE"""),81.06)</f>
        <v>81.06</v>
      </c>
      <c r="AD735" s="3">
        <f ca="1">IFERROR(__xludf.DUMMYFUNCTION("""COMPUTED_VALUE"""),23.4)</f>
        <v>23.4</v>
      </c>
      <c r="AE735" s="3">
        <f ca="1">IFERROR(__xludf.DUMMYFUNCTION("""COMPUTED_VALUE"""),24.7)</f>
        <v>24.7</v>
      </c>
      <c r="AF735" s="3">
        <f ca="1">IFERROR(__xludf.DUMMYFUNCTION("""COMPUTED_VALUE"""),7.81)</f>
        <v>7.81</v>
      </c>
      <c r="AG735" s="3">
        <f ca="1">IFERROR(__xludf.DUMMYFUNCTION("""COMPUTED_VALUE"""),68.31)</f>
        <v>68.31</v>
      </c>
    </row>
    <row r="736" spans="1:33" ht="12.75" x14ac:dyDescent="0.2">
      <c r="A736" s="4">
        <f ca="1">IFERROR(__xludf.DUMMYFUNCTION("""COMPUTED_VALUE"""),45629.6666666666)</f>
        <v>45629.666666666599</v>
      </c>
      <c r="B736" s="3">
        <f ca="1">IFERROR(__xludf.DUMMYFUNCTION("""COMPUTED_VALUE"""),236.8)</f>
        <v>236.8</v>
      </c>
      <c r="C736" s="3">
        <f ca="1">IFERROR(__xludf.DUMMYFUNCTION("""COMPUTED_VALUE"""),631.63)</f>
        <v>631.63</v>
      </c>
      <c r="D736" s="3">
        <f ca="1">IFERROR(__xludf.DUMMYFUNCTION("""COMPUTED_VALUE"""),165.43)</f>
        <v>165.43</v>
      </c>
      <c r="E736" s="3">
        <f ca="1">IFERROR(__xludf.DUMMYFUNCTION("""COMPUTED_VALUE"""),219.81)</f>
        <v>219.81</v>
      </c>
      <c r="F736" s="3">
        <f ca="1">IFERROR(__xludf.DUMMYFUNCTION("""COMPUTED_VALUE"""),74.19)</f>
        <v>74.19</v>
      </c>
      <c r="G736" s="3">
        <f ca="1">IFERROR(__xludf.DUMMYFUNCTION("""COMPUTED_VALUE"""),33.58)</f>
        <v>33.58</v>
      </c>
      <c r="H736" s="3">
        <f ca="1">IFERROR(__xludf.DUMMYFUNCTION("""COMPUTED_VALUE"""),32.21)</f>
        <v>32.21</v>
      </c>
      <c r="I736" s="3">
        <f ca="1">IFERROR(__xludf.DUMMYFUNCTION("""COMPUTED_VALUE"""),146.82)</f>
        <v>146.82</v>
      </c>
      <c r="J736" s="3">
        <f ca="1">IFERROR(__xludf.DUMMYFUNCTION("""COMPUTED_VALUE"""),270.65)</f>
        <v>270.64999999999998</v>
      </c>
      <c r="K736" s="3">
        <f ca="1">IFERROR(__xludf.DUMMYFUNCTION("""COMPUTED_VALUE"""),140)</f>
        <v>140</v>
      </c>
      <c r="L736" s="3">
        <f ca="1">IFERROR(__xludf.DUMMYFUNCTION("""COMPUTED_VALUE"""),97.69)</f>
        <v>97.69</v>
      </c>
      <c r="M736" s="3">
        <f ca="1">IFERROR(__xludf.DUMMYFUNCTION("""COMPUTED_VALUE"""),69.77)</f>
        <v>69.77</v>
      </c>
      <c r="N736" s="3">
        <f ca="1">IFERROR(__xludf.DUMMYFUNCTION("""COMPUTED_VALUE"""),69.82)</f>
        <v>69.819999999999993</v>
      </c>
      <c r="O736" s="3">
        <f ca="1">IFERROR(__xludf.DUMMYFUNCTION("""COMPUTED_VALUE"""),42.8)</f>
        <v>42.8</v>
      </c>
      <c r="P736" s="3">
        <f ca="1">IFERROR(__xludf.DUMMYFUNCTION("""COMPUTED_VALUE"""),92.23)</f>
        <v>92.23</v>
      </c>
      <c r="Q736" s="3">
        <f ca="1">IFERROR(__xludf.DUMMYFUNCTION("""COMPUTED_VALUE"""),132.97)</f>
        <v>132.97</v>
      </c>
      <c r="R736" s="3">
        <f ca="1">IFERROR(__xludf.DUMMYFUNCTION("""COMPUTED_VALUE"""),94.42)</f>
        <v>94.42</v>
      </c>
      <c r="S736" s="3">
        <f ca="1">IFERROR(__xludf.DUMMYFUNCTION("""COMPUTED_VALUE"""),68.46)</f>
        <v>68.459999999999994</v>
      </c>
      <c r="T736" s="3">
        <f ca="1">IFERROR(__xludf.DUMMYFUNCTION("""COMPUTED_VALUE"""),22.23)</f>
        <v>22.23</v>
      </c>
      <c r="U736" s="3">
        <f ca="1">IFERROR(__xludf.DUMMYFUNCTION("""COMPUTED_VALUE"""),73.04)</f>
        <v>73.040000000000006</v>
      </c>
      <c r="V736" s="3">
        <f ca="1">IFERROR(__xludf.DUMMYFUNCTION("""COMPUTED_VALUE"""),36.87)</f>
        <v>36.869999999999997</v>
      </c>
      <c r="W736" s="3">
        <f ca="1">IFERROR(__xludf.DUMMYFUNCTION("""COMPUTED_VALUE"""),50.45)</f>
        <v>50.45</v>
      </c>
      <c r="X736" s="3">
        <f ca="1">IFERROR(__xludf.DUMMYFUNCTION("""COMPUTED_VALUE"""),124.27)</f>
        <v>124.27</v>
      </c>
      <c r="Y736" s="3">
        <f ca="1">IFERROR(__xludf.DUMMYFUNCTION("""COMPUTED_VALUE"""),60.76)</f>
        <v>60.76</v>
      </c>
      <c r="Z736" s="3">
        <f ca="1">IFERROR(__xludf.DUMMYFUNCTION("""COMPUTED_VALUE"""),116.7)</f>
        <v>116.7</v>
      </c>
      <c r="AA736" s="3">
        <f ca="1">IFERROR(__xludf.DUMMYFUNCTION("""COMPUTED_VALUE"""),44.06)</f>
        <v>44.06</v>
      </c>
      <c r="AB736" s="3">
        <f ca="1">IFERROR(__xludf.DUMMYFUNCTION("""COMPUTED_VALUE"""),66.5)</f>
        <v>66.5</v>
      </c>
      <c r="AC736" s="3">
        <f ca="1">IFERROR(__xludf.DUMMYFUNCTION("""COMPUTED_VALUE"""),81.29)</f>
        <v>81.290000000000006</v>
      </c>
      <c r="AD736" s="3">
        <f ca="1">IFERROR(__xludf.DUMMYFUNCTION("""COMPUTED_VALUE"""),23.33)</f>
        <v>23.33</v>
      </c>
      <c r="AE736" s="3">
        <f ca="1">IFERROR(__xludf.DUMMYFUNCTION("""COMPUTED_VALUE"""),24.67)</f>
        <v>24.67</v>
      </c>
      <c r="AF736" s="3">
        <f ca="1">IFERROR(__xludf.DUMMYFUNCTION("""COMPUTED_VALUE"""),7.52)</f>
        <v>7.52</v>
      </c>
      <c r="AG736" s="3">
        <f ca="1">IFERROR(__xludf.DUMMYFUNCTION("""COMPUTED_VALUE"""),68.4)</f>
        <v>68.400000000000006</v>
      </c>
    </row>
    <row r="737" spans="1:33" ht="12.75" x14ac:dyDescent="0.2">
      <c r="A737" s="4">
        <f ca="1">IFERROR(__xludf.DUMMYFUNCTION("""COMPUTED_VALUE"""),45630.6666666666)</f>
        <v>45630.666666666599</v>
      </c>
      <c r="B737" s="3">
        <f ca="1">IFERROR(__xludf.DUMMYFUNCTION("""COMPUTED_VALUE"""),241.13)</f>
        <v>241.13</v>
      </c>
      <c r="C737" s="3">
        <f ca="1">IFERROR(__xludf.DUMMYFUNCTION("""COMPUTED_VALUE"""),644.43)</f>
        <v>644.42999999999995</v>
      </c>
      <c r="D737" s="3">
        <f ca="1">IFERROR(__xludf.DUMMYFUNCTION("""COMPUTED_VALUE"""),164.15)</f>
        <v>164.15</v>
      </c>
      <c r="E737" s="3">
        <f ca="1">IFERROR(__xludf.DUMMYFUNCTION("""COMPUTED_VALUE"""),222.72)</f>
        <v>222.72</v>
      </c>
      <c r="F737" s="3">
        <f ca="1">IFERROR(__xludf.DUMMYFUNCTION("""COMPUTED_VALUE"""),75.73)</f>
        <v>75.73</v>
      </c>
      <c r="G737" s="3">
        <f ca="1">IFERROR(__xludf.DUMMYFUNCTION("""COMPUTED_VALUE"""),34.15)</f>
        <v>34.15</v>
      </c>
      <c r="H737" s="3">
        <f ca="1">IFERROR(__xludf.DUMMYFUNCTION("""COMPUTED_VALUE"""),32.51)</f>
        <v>32.51</v>
      </c>
      <c r="I737" s="3">
        <f ca="1">IFERROR(__xludf.DUMMYFUNCTION("""COMPUTED_VALUE"""),146.74)</f>
        <v>146.74</v>
      </c>
      <c r="J737" s="3">
        <f ca="1">IFERROR(__xludf.DUMMYFUNCTION("""COMPUTED_VALUE"""),270.98)</f>
        <v>270.98</v>
      </c>
      <c r="K737" s="3">
        <f ca="1">IFERROR(__xludf.DUMMYFUNCTION("""COMPUTED_VALUE"""),140.96)</f>
        <v>140.96</v>
      </c>
      <c r="L737" s="3">
        <f ca="1">IFERROR(__xludf.DUMMYFUNCTION("""COMPUTED_VALUE"""),98.79)</f>
        <v>98.79</v>
      </c>
      <c r="M737" s="3">
        <f ca="1">IFERROR(__xludf.DUMMYFUNCTION("""COMPUTED_VALUE"""),70.61)</f>
        <v>70.61</v>
      </c>
      <c r="N737" s="3">
        <f ca="1">IFERROR(__xludf.DUMMYFUNCTION("""COMPUTED_VALUE"""),69.91)</f>
        <v>69.91</v>
      </c>
      <c r="O737" s="3">
        <f ca="1">IFERROR(__xludf.DUMMYFUNCTION("""COMPUTED_VALUE"""),42.76)</f>
        <v>42.76</v>
      </c>
      <c r="P737" s="3">
        <f ca="1">IFERROR(__xludf.DUMMYFUNCTION("""COMPUTED_VALUE"""),92.59)</f>
        <v>92.59</v>
      </c>
      <c r="Q737" s="3">
        <f ca="1">IFERROR(__xludf.DUMMYFUNCTION("""COMPUTED_VALUE"""),129.9)</f>
        <v>129.9</v>
      </c>
      <c r="R737" s="3">
        <f ca="1">IFERROR(__xludf.DUMMYFUNCTION("""COMPUTED_VALUE"""),93.5)</f>
        <v>93.5</v>
      </c>
      <c r="S737" s="3">
        <f ca="1">IFERROR(__xludf.DUMMYFUNCTION("""COMPUTED_VALUE"""),67.47)</f>
        <v>67.47</v>
      </c>
      <c r="T737" s="3">
        <f ca="1">IFERROR(__xludf.DUMMYFUNCTION("""COMPUTED_VALUE"""),22.11)</f>
        <v>22.11</v>
      </c>
      <c r="U737" s="3">
        <f ca="1">IFERROR(__xludf.DUMMYFUNCTION("""COMPUTED_VALUE"""),71.88)</f>
        <v>71.88</v>
      </c>
      <c r="V737" s="3">
        <f ca="1">IFERROR(__xludf.DUMMYFUNCTION("""COMPUTED_VALUE"""),36.02)</f>
        <v>36.020000000000003</v>
      </c>
      <c r="W737" s="3">
        <f ca="1">IFERROR(__xludf.DUMMYFUNCTION("""COMPUTED_VALUE"""),50.26)</f>
        <v>50.26</v>
      </c>
      <c r="X737" s="3">
        <f ca="1">IFERROR(__xludf.DUMMYFUNCTION("""COMPUTED_VALUE"""),123.96)</f>
        <v>123.96</v>
      </c>
      <c r="Y737" s="3">
        <f ca="1">IFERROR(__xludf.DUMMYFUNCTION("""COMPUTED_VALUE"""),60.9)</f>
        <v>60.9</v>
      </c>
      <c r="Z737" s="3">
        <f ca="1">IFERROR(__xludf.DUMMYFUNCTION("""COMPUTED_VALUE"""),117.09)</f>
        <v>117.09</v>
      </c>
      <c r="AA737" s="3">
        <f ca="1">IFERROR(__xludf.DUMMYFUNCTION("""COMPUTED_VALUE"""),43.94)</f>
        <v>43.94</v>
      </c>
      <c r="AB737" s="3">
        <f ca="1">IFERROR(__xludf.DUMMYFUNCTION("""COMPUTED_VALUE"""),66.71)</f>
        <v>66.709999999999994</v>
      </c>
      <c r="AC737" s="3">
        <f ca="1">IFERROR(__xludf.DUMMYFUNCTION("""COMPUTED_VALUE"""),80.16)</f>
        <v>80.16</v>
      </c>
      <c r="AD737" s="3">
        <f ca="1">IFERROR(__xludf.DUMMYFUNCTION("""COMPUTED_VALUE"""),24.7)</f>
        <v>24.7</v>
      </c>
      <c r="AE737" s="3">
        <f ca="1">IFERROR(__xludf.DUMMYFUNCTION("""COMPUTED_VALUE"""),25.55)</f>
        <v>25.55</v>
      </c>
      <c r="AF737" s="3">
        <f ca="1">IFERROR(__xludf.DUMMYFUNCTION("""COMPUTED_VALUE"""),7.9)</f>
        <v>7.9</v>
      </c>
      <c r="AG737" s="3">
        <f ca="1">IFERROR(__xludf.DUMMYFUNCTION("""COMPUTED_VALUE"""),72.63)</f>
        <v>72.63</v>
      </c>
    </row>
    <row r="738" spans="1:33" ht="12.75" x14ac:dyDescent="0.2">
      <c r="A738" s="4">
        <f ca="1">IFERROR(__xludf.DUMMYFUNCTION("""COMPUTED_VALUE"""),45631.6666666666)</f>
        <v>45631.666666666599</v>
      </c>
      <c r="B738" s="3">
        <f ca="1">IFERROR(__xludf.DUMMYFUNCTION("""COMPUTED_VALUE"""),239.91)</f>
        <v>239.91</v>
      </c>
      <c r="C738" s="3">
        <f ca="1">IFERROR(__xludf.DUMMYFUNCTION("""COMPUTED_VALUE"""),641.21)</f>
        <v>641.21</v>
      </c>
      <c r="D738" s="3">
        <f ca="1">IFERROR(__xludf.DUMMYFUNCTION("""COMPUTED_VALUE"""),162.35)</f>
        <v>162.35</v>
      </c>
      <c r="E738" s="3">
        <f ca="1">IFERROR(__xludf.DUMMYFUNCTION("""COMPUTED_VALUE"""),218.51)</f>
        <v>218.51</v>
      </c>
      <c r="F738" s="3">
        <f ca="1">IFERROR(__xludf.DUMMYFUNCTION("""COMPUTED_VALUE"""),75.27)</f>
        <v>75.27</v>
      </c>
      <c r="G738" s="3">
        <f ca="1">IFERROR(__xludf.DUMMYFUNCTION("""COMPUTED_VALUE"""),33.9)</f>
        <v>33.9</v>
      </c>
      <c r="H738" s="3">
        <f ca="1">IFERROR(__xludf.DUMMYFUNCTION("""COMPUTED_VALUE"""),32.37)</f>
        <v>32.369999999999997</v>
      </c>
      <c r="I738" s="3">
        <f ca="1">IFERROR(__xludf.DUMMYFUNCTION("""COMPUTED_VALUE"""),145.1)</f>
        <v>145.1</v>
      </c>
      <c r="J738" s="3">
        <f ca="1">IFERROR(__xludf.DUMMYFUNCTION("""COMPUTED_VALUE"""),267.86)</f>
        <v>267.86</v>
      </c>
      <c r="K738" s="3">
        <f ca="1">IFERROR(__xludf.DUMMYFUNCTION("""COMPUTED_VALUE"""),139.95)</f>
        <v>139.94999999999999</v>
      </c>
      <c r="L738" s="3">
        <f ca="1">IFERROR(__xludf.DUMMYFUNCTION("""COMPUTED_VALUE"""),97.33)</f>
        <v>97.33</v>
      </c>
      <c r="M738" s="3">
        <f ca="1">IFERROR(__xludf.DUMMYFUNCTION("""COMPUTED_VALUE"""),70.17)</f>
        <v>70.17</v>
      </c>
      <c r="N738" s="3">
        <f ca="1">IFERROR(__xludf.DUMMYFUNCTION("""COMPUTED_VALUE"""),69.07)</f>
        <v>69.069999999999993</v>
      </c>
      <c r="O738" s="3">
        <f ca="1">IFERROR(__xludf.DUMMYFUNCTION("""COMPUTED_VALUE"""),41.88)</f>
        <v>41.88</v>
      </c>
      <c r="P738" s="3">
        <f ca="1">IFERROR(__xludf.DUMMYFUNCTION("""COMPUTED_VALUE"""),91.02)</f>
        <v>91.02</v>
      </c>
      <c r="Q738" s="3">
        <f ca="1">IFERROR(__xludf.DUMMYFUNCTION("""COMPUTED_VALUE"""),130.32)</f>
        <v>130.32</v>
      </c>
      <c r="R738" s="3">
        <f ca="1">IFERROR(__xludf.DUMMYFUNCTION("""COMPUTED_VALUE"""),92.27)</f>
        <v>92.27</v>
      </c>
      <c r="S738" s="3">
        <f ca="1">IFERROR(__xludf.DUMMYFUNCTION("""COMPUTED_VALUE"""),67.12)</f>
        <v>67.12</v>
      </c>
      <c r="T738" s="3">
        <f ca="1">IFERROR(__xludf.DUMMYFUNCTION("""COMPUTED_VALUE"""),22.08)</f>
        <v>22.08</v>
      </c>
      <c r="U738" s="3">
        <f ca="1">IFERROR(__xludf.DUMMYFUNCTION("""COMPUTED_VALUE"""),71.47)</f>
        <v>71.47</v>
      </c>
      <c r="V738" s="3">
        <f ca="1">IFERROR(__xludf.DUMMYFUNCTION("""COMPUTED_VALUE"""),35.43)</f>
        <v>35.43</v>
      </c>
      <c r="W738" s="3">
        <f ca="1">IFERROR(__xludf.DUMMYFUNCTION("""COMPUTED_VALUE"""),50.41)</f>
        <v>50.41</v>
      </c>
      <c r="X738" s="3">
        <f ca="1">IFERROR(__xludf.DUMMYFUNCTION("""COMPUTED_VALUE"""),124.03)</f>
        <v>124.03</v>
      </c>
      <c r="Y738" s="3">
        <f ca="1">IFERROR(__xludf.DUMMYFUNCTION("""COMPUTED_VALUE"""),60.61)</f>
        <v>60.61</v>
      </c>
      <c r="Z738" s="3">
        <f ca="1">IFERROR(__xludf.DUMMYFUNCTION("""COMPUTED_VALUE"""),116.95)</f>
        <v>116.95</v>
      </c>
      <c r="AA738" s="3">
        <f ca="1">IFERROR(__xludf.DUMMYFUNCTION("""COMPUTED_VALUE"""),43.83)</f>
        <v>43.83</v>
      </c>
      <c r="AB738" s="3">
        <f ca="1">IFERROR(__xludf.DUMMYFUNCTION("""COMPUTED_VALUE"""),66.37)</f>
        <v>66.37</v>
      </c>
      <c r="AC738" s="3">
        <f ca="1">IFERROR(__xludf.DUMMYFUNCTION("""COMPUTED_VALUE"""),80.27)</f>
        <v>80.27</v>
      </c>
      <c r="AD738" s="3">
        <f ca="1">IFERROR(__xludf.DUMMYFUNCTION("""COMPUTED_VALUE"""),24.42)</f>
        <v>24.42</v>
      </c>
      <c r="AE738" s="3">
        <f ca="1">IFERROR(__xludf.DUMMYFUNCTION("""COMPUTED_VALUE"""),25.49)</f>
        <v>25.49</v>
      </c>
      <c r="AF738" s="3">
        <f ca="1">IFERROR(__xludf.DUMMYFUNCTION("""COMPUTED_VALUE"""),8.03)</f>
        <v>8.0299999999999994</v>
      </c>
      <c r="AG738" s="3">
        <f ca="1">IFERROR(__xludf.DUMMYFUNCTION("""COMPUTED_VALUE"""),70.89)</f>
        <v>70.89</v>
      </c>
    </row>
    <row r="739" spans="1:33" ht="12.75" x14ac:dyDescent="0.2">
      <c r="A739" s="4">
        <f ca="1">IFERROR(__xludf.DUMMYFUNCTION("""COMPUTED_VALUE"""),45632.6666666666)</f>
        <v>45632.666666666599</v>
      </c>
      <c r="B739" s="3">
        <f ca="1">IFERROR(__xludf.DUMMYFUNCTION("""COMPUTED_VALUE"""),240.84)</f>
        <v>240.84</v>
      </c>
      <c r="C739" s="3">
        <f ca="1">IFERROR(__xludf.DUMMYFUNCTION("""COMPUTED_VALUE"""),644.54)</f>
        <v>644.54</v>
      </c>
      <c r="D739" s="3">
        <f ca="1">IFERROR(__xludf.DUMMYFUNCTION("""COMPUTED_VALUE"""),165.21)</f>
        <v>165.21</v>
      </c>
      <c r="E739" s="3">
        <f ca="1">IFERROR(__xludf.DUMMYFUNCTION("""COMPUTED_VALUE"""),219.83)</f>
        <v>219.83</v>
      </c>
      <c r="F739" s="3">
        <f ca="1">IFERROR(__xludf.DUMMYFUNCTION("""COMPUTED_VALUE"""),76.45)</f>
        <v>76.45</v>
      </c>
      <c r="G739" s="3">
        <f ca="1">IFERROR(__xludf.DUMMYFUNCTION("""COMPUTED_VALUE"""),34.18)</f>
        <v>34.18</v>
      </c>
      <c r="H739" s="3">
        <f ca="1">IFERROR(__xludf.DUMMYFUNCTION("""COMPUTED_VALUE"""),32.55)</f>
        <v>32.549999999999997</v>
      </c>
      <c r="I739" s="3">
        <f ca="1">IFERROR(__xludf.DUMMYFUNCTION("""COMPUTED_VALUE"""),144.28)</f>
        <v>144.28</v>
      </c>
      <c r="J739" s="3">
        <f ca="1">IFERROR(__xludf.DUMMYFUNCTION("""COMPUTED_VALUE"""),266.95)</f>
        <v>266.95</v>
      </c>
      <c r="K739" s="3">
        <f ca="1">IFERROR(__xludf.DUMMYFUNCTION("""COMPUTED_VALUE"""),141.3)</f>
        <v>141.30000000000001</v>
      </c>
      <c r="L739" s="3">
        <f ca="1">IFERROR(__xludf.DUMMYFUNCTION("""COMPUTED_VALUE"""),99.14)</f>
        <v>99.14</v>
      </c>
      <c r="M739" s="3">
        <f ca="1">IFERROR(__xludf.DUMMYFUNCTION("""COMPUTED_VALUE"""),70.31)</f>
        <v>70.31</v>
      </c>
      <c r="N739" s="3">
        <f ca="1">IFERROR(__xludf.DUMMYFUNCTION("""COMPUTED_VALUE"""),68.87)</f>
        <v>68.87</v>
      </c>
      <c r="O739" s="3">
        <f ca="1">IFERROR(__xludf.DUMMYFUNCTION("""COMPUTED_VALUE"""),42.88)</f>
        <v>42.88</v>
      </c>
      <c r="P739" s="3">
        <f ca="1">IFERROR(__xludf.DUMMYFUNCTION("""COMPUTED_VALUE"""),90.87)</f>
        <v>90.87</v>
      </c>
      <c r="Q739" s="3">
        <f ca="1">IFERROR(__xludf.DUMMYFUNCTION("""COMPUTED_VALUE"""),127.98)</f>
        <v>127.98</v>
      </c>
      <c r="R739" s="3">
        <f ca="1">IFERROR(__xludf.DUMMYFUNCTION("""COMPUTED_VALUE"""),91.91)</f>
        <v>91.91</v>
      </c>
      <c r="S739" s="3">
        <f ca="1">IFERROR(__xludf.DUMMYFUNCTION("""COMPUTED_VALUE"""),65.44)</f>
        <v>65.44</v>
      </c>
      <c r="T739" s="3">
        <f ca="1">IFERROR(__xludf.DUMMYFUNCTION("""COMPUTED_VALUE"""),21.91)</f>
        <v>21.91</v>
      </c>
      <c r="U739" s="3">
        <f ca="1">IFERROR(__xludf.DUMMYFUNCTION("""COMPUTED_VALUE"""),70.24)</f>
        <v>70.239999999999995</v>
      </c>
      <c r="V739" s="3">
        <f ca="1">IFERROR(__xludf.DUMMYFUNCTION("""COMPUTED_VALUE"""),35.32)</f>
        <v>35.32</v>
      </c>
      <c r="W739" s="3">
        <f ca="1">IFERROR(__xludf.DUMMYFUNCTION("""COMPUTED_VALUE"""),50.4)</f>
        <v>50.4</v>
      </c>
      <c r="X739" s="3">
        <f ca="1">IFERROR(__xludf.DUMMYFUNCTION("""COMPUTED_VALUE"""),124.27)</f>
        <v>124.27</v>
      </c>
      <c r="Y739" s="3">
        <f ca="1">IFERROR(__xludf.DUMMYFUNCTION("""COMPUTED_VALUE"""),60.78)</f>
        <v>60.78</v>
      </c>
      <c r="Z739" s="3">
        <f ca="1">IFERROR(__xludf.DUMMYFUNCTION("""COMPUTED_VALUE"""),115.04)</f>
        <v>115.04</v>
      </c>
      <c r="AA739" s="3">
        <f ca="1">IFERROR(__xludf.DUMMYFUNCTION("""COMPUTED_VALUE"""),43.77)</f>
        <v>43.77</v>
      </c>
      <c r="AB739" s="3">
        <f ca="1">IFERROR(__xludf.DUMMYFUNCTION("""COMPUTED_VALUE"""),66.56)</f>
        <v>66.56</v>
      </c>
      <c r="AC739" s="3">
        <f ca="1">IFERROR(__xludf.DUMMYFUNCTION("""COMPUTED_VALUE"""),80.61)</f>
        <v>80.61</v>
      </c>
      <c r="AD739" s="3">
        <f ca="1">IFERROR(__xludf.DUMMYFUNCTION("""COMPUTED_VALUE"""),25.52)</f>
        <v>25.52</v>
      </c>
      <c r="AE739" s="3">
        <f ca="1">IFERROR(__xludf.DUMMYFUNCTION("""COMPUTED_VALUE"""),26.12)</f>
        <v>26.12</v>
      </c>
      <c r="AF739" s="3">
        <f ca="1">IFERROR(__xludf.DUMMYFUNCTION("""COMPUTED_VALUE"""),8.01)</f>
        <v>8.01</v>
      </c>
      <c r="AG739" s="3">
        <f ca="1">IFERROR(__xludf.DUMMYFUNCTION("""COMPUTED_VALUE"""),75.3)</f>
        <v>75.3</v>
      </c>
    </row>
    <row r="740" spans="1:33" ht="12.75" x14ac:dyDescent="0.2">
      <c r="A740" s="4">
        <f ca="1">IFERROR(__xludf.DUMMYFUNCTION("""COMPUTED_VALUE"""),45635.6666666666)</f>
        <v>45635.666666666599</v>
      </c>
      <c r="B740" s="3">
        <f ca="1">IFERROR(__xludf.DUMMYFUNCTION("""COMPUTED_VALUE"""),239.27)</f>
        <v>239.27</v>
      </c>
      <c r="C740" s="3">
        <f ca="1">IFERROR(__xludf.DUMMYFUNCTION("""COMPUTED_VALUE"""),639.73)</f>
        <v>639.73</v>
      </c>
      <c r="D740" s="3">
        <f ca="1">IFERROR(__xludf.DUMMYFUNCTION("""COMPUTED_VALUE"""),164.3)</f>
        <v>164.3</v>
      </c>
      <c r="E740" s="3">
        <f ca="1">IFERROR(__xludf.DUMMYFUNCTION("""COMPUTED_VALUE"""),218.77)</f>
        <v>218.77</v>
      </c>
      <c r="F740" s="3">
        <f ca="1">IFERROR(__xludf.DUMMYFUNCTION("""COMPUTED_VALUE"""),75.7)</f>
        <v>75.7</v>
      </c>
      <c r="G740" s="3">
        <f ca="1">IFERROR(__xludf.DUMMYFUNCTION("""COMPUTED_VALUE"""),33.81)</f>
        <v>33.81</v>
      </c>
      <c r="H740" s="3">
        <f ca="1">IFERROR(__xludf.DUMMYFUNCTION("""COMPUTED_VALUE"""),32.64)</f>
        <v>32.64</v>
      </c>
      <c r="I740" s="3">
        <f ca="1">IFERROR(__xludf.DUMMYFUNCTION("""COMPUTED_VALUE"""),144.7)</f>
        <v>144.69999999999999</v>
      </c>
      <c r="J740" s="3">
        <f ca="1">IFERROR(__xludf.DUMMYFUNCTION("""COMPUTED_VALUE"""),267.43)</f>
        <v>267.43</v>
      </c>
      <c r="K740" s="3">
        <f ca="1">IFERROR(__xludf.DUMMYFUNCTION("""COMPUTED_VALUE"""),141.74)</f>
        <v>141.74</v>
      </c>
      <c r="L740" s="3">
        <f ca="1">IFERROR(__xludf.DUMMYFUNCTION("""COMPUTED_VALUE"""),98.24)</f>
        <v>98.24</v>
      </c>
      <c r="M740" s="3">
        <f ca="1">IFERROR(__xludf.DUMMYFUNCTION("""COMPUTED_VALUE"""),70.25)</f>
        <v>70.25</v>
      </c>
      <c r="N740" s="3">
        <f ca="1">IFERROR(__xludf.DUMMYFUNCTION("""COMPUTED_VALUE"""),68.95)</f>
        <v>68.95</v>
      </c>
      <c r="O740" s="3">
        <f ca="1">IFERROR(__xludf.DUMMYFUNCTION("""COMPUTED_VALUE"""),43.16)</f>
        <v>43.16</v>
      </c>
      <c r="P740" s="3">
        <f ca="1">IFERROR(__xludf.DUMMYFUNCTION("""COMPUTED_VALUE"""),90.25)</f>
        <v>90.25</v>
      </c>
      <c r="Q740" s="3">
        <f ca="1">IFERROR(__xludf.DUMMYFUNCTION("""COMPUTED_VALUE"""),127.67)</f>
        <v>127.67</v>
      </c>
      <c r="R740" s="3">
        <f ca="1">IFERROR(__xludf.DUMMYFUNCTION("""COMPUTED_VALUE"""),91.89)</f>
        <v>91.89</v>
      </c>
      <c r="S740" s="3">
        <f ca="1">IFERROR(__xludf.DUMMYFUNCTION("""COMPUTED_VALUE"""),65.96)</f>
        <v>65.959999999999994</v>
      </c>
      <c r="T740" s="3">
        <f ca="1">IFERROR(__xludf.DUMMYFUNCTION("""COMPUTED_VALUE"""),22.12)</f>
        <v>22.12</v>
      </c>
      <c r="U740" s="3">
        <f ca="1">IFERROR(__xludf.DUMMYFUNCTION("""COMPUTED_VALUE"""),71.17)</f>
        <v>71.17</v>
      </c>
      <c r="V740" s="3">
        <f ca="1">IFERROR(__xludf.DUMMYFUNCTION("""COMPUTED_VALUE"""),36.79)</f>
        <v>36.79</v>
      </c>
      <c r="W740" s="3">
        <f ca="1">IFERROR(__xludf.DUMMYFUNCTION("""COMPUTED_VALUE"""),49.71)</f>
        <v>49.71</v>
      </c>
      <c r="X740" s="3">
        <f ca="1">IFERROR(__xludf.DUMMYFUNCTION("""COMPUTED_VALUE"""),122.47)</f>
        <v>122.47</v>
      </c>
      <c r="Y740" s="3">
        <f ca="1">IFERROR(__xludf.DUMMYFUNCTION("""COMPUTED_VALUE"""),59.86)</f>
        <v>59.86</v>
      </c>
      <c r="Z740" s="3">
        <f ca="1">IFERROR(__xludf.DUMMYFUNCTION("""COMPUTED_VALUE"""),114.69)</f>
        <v>114.69</v>
      </c>
      <c r="AA740" s="3">
        <f ca="1">IFERROR(__xludf.DUMMYFUNCTION("""COMPUTED_VALUE"""),43.86)</f>
        <v>43.86</v>
      </c>
      <c r="AB740" s="3">
        <f ca="1">IFERROR(__xludf.DUMMYFUNCTION("""COMPUTED_VALUE"""),65.48)</f>
        <v>65.48</v>
      </c>
      <c r="AC740" s="3">
        <f ca="1">IFERROR(__xludf.DUMMYFUNCTION("""COMPUTED_VALUE"""),80.21)</f>
        <v>80.209999999999994</v>
      </c>
      <c r="AD740" s="3">
        <f ca="1">IFERROR(__xludf.DUMMYFUNCTION("""COMPUTED_VALUE"""),23.8)</f>
        <v>23.8</v>
      </c>
      <c r="AE740" s="3">
        <f ca="1">IFERROR(__xludf.DUMMYFUNCTION("""COMPUTED_VALUE"""),24.71)</f>
        <v>24.71</v>
      </c>
      <c r="AF740" s="3">
        <f ca="1">IFERROR(__xludf.DUMMYFUNCTION("""COMPUTED_VALUE"""),7.86)</f>
        <v>7.86</v>
      </c>
      <c r="AG740" s="3">
        <f ca="1">IFERROR(__xludf.DUMMYFUNCTION("""COMPUTED_VALUE"""),69.35)</f>
        <v>69.349999999999994</v>
      </c>
    </row>
    <row r="741" spans="1:33" ht="12.75" x14ac:dyDescent="0.2">
      <c r="A741" s="4">
        <f ca="1">IFERROR(__xludf.DUMMYFUNCTION("""COMPUTED_VALUE"""),45636.6666666666)</f>
        <v>45636.666666666599</v>
      </c>
      <c r="B741" s="3">
        <f ca="1">IFERROR(__xludf.DUMMYFUNCTION("""COMPUTED_VALUE"""),235.95)</f>
        <v>235.95</v>
      </c>
      <c r="C741" s="3">
        <f ca="1">IFERROR(__xludf.DUMMYFUNCTION("""COMPUTED_VALUE"""),630.55)</f>
        <v>630.54999999999995</v>
      </c>
      <c r="D741" s="3">
        <f ca="1">IFERROR(__xludf.DUMMYFUNCTION("""COMPUTED_VALUE"""),164.29)</f>
        <v>164.29</v>
      </c>
      <c r="E741" s="3">
        <f ca="1">IFERROR(__xludf.DUMMYFUNCTION("""COMPUTED_VALUE"""),213.57)</f>
        <v>213.57</v>
      </c>
      <c r="F741" s="3">
        <f ca="1">IFERROR(__xludf.DUMMYFUNCTION("""COMPUTED_VALUE"""),74.5)</f>
        <v>74.5</v>
      </c>
      <c r="G741" s="3">
        <f ca="1">IFERROR(__xludf.DUMMYFUNCTION("""COMPUTED_VALUE"""),33.39)</f>
        <v>33.39</v>
      </c>
      <c r="H741" s="3">
        <f ca="1">IFERROR(__xludf.DUMMYFUNCTION("""COMPUTED_VALUE"""),32.32)</f>
        <v>32.32</v>
      </c>
      <c r="I741" s="3">
        <f ca="1">IFERROR(__xludf.DUMMYFUNCTION("""COMPUTED_VALUE"""),144.1)</f>
        <v>144.1</v>
      </c>
      <c r="J741" s="3">
        <f ca="1">IFERROR(__xludf.DUMMYFUNCTION("""COMPUTED_VALUE"""),266.36)</f>
        <v>266.36</v>
      </c>
      <c r="K741" s="3">
        <f ca="1">IFERROR(__xludf.DUMMYFUNCTION("""COMPUTED_VALUE"""),140.56)</f>
        <v>140.56</v>
      </c>
      <c r="L741" s="3">
        <f ca="1">IFERROR(__xludf.DUMMYFUNCTION("""COMPUTED_VALUE"""),97.42)</f>
        <v>97.42</v>
      </c>
      <c r="M741" s="3">
        <f ca="1">IFERROR(__xludf.DUMMYFUNCTION("""COMPUTED_VALUE"""),70.13)</f>
        <v>70.13</v>
      </c>
      <c r="N741" s="3">
        <f ca="1">IFERROR(__xludf.DUMMYFUNCTION("""COMPUTED_VALUE"""),68.66)</f>
        <v>68.66</v>
      </c>
      <c r="O741" s="3">
        <f ca="1">IFERROR(__xludf.DUMMYFUNCTION("""COMPUTED_VALUE"""),43.11)</f>
        <v>43.11</v>
      </c>
      <c r="P741" s="3">
        <f ca="1">IFERROR(__xludf.DUMMYFUNCTION("""COMPUTED_VALUE"""),90.4)</f>
        <v>90.4</v>
      </c>
      <c r="Q741" s="3">
        <f ca="1">IFERROR(__xludf.DUMMYFUNCTION("""COMPUTED_VALUE"""),127)</f>
        <v>127</v>
      </c>
      <c r="R741" s="3">
        <f ca="1">IFERROR(__xludf.DUMMYFUNCTION("""COMPUTED_VALUE"""),90.95)</f>
        <v>90.95</v>
      </c>
      <c r="S741" s="3">
        <f ca="1">IFERROR(__xludf.DUMMYFUNCTION("""COMPUTED_VALUE"""),65.06)</f>
        <v>65.06</v>
      </c>
      <c r="T741" s="3">
        <f ca="1">IFERROR(__xludf.DUMMYFUNCTION("""COMPUTED_VALUE"""),22.17)</f>
        <v>22.17</v>
      </c>
      <c r="U741" s="3">
        <f ca="1">IFERROR(__xludf.DUMMYFUNCTION("""COMPUTED_VALUE"""),71.4)</f>
        <v>71.400000000000006</v>
      </c>
      <c r="V741" s="3">
        <f ca="1">IFERROR(__xludf.DUMMYFUNCTION("""COMPUTED_VALUE"""),35.79)</f>
        <v>35.79</v>
      </c>
      <c r="W741" s="3">
        <f ca="1">IFERROR(__xludf.DUMMYFUNCTION("""COMPUTED_VALUE"""),49.7)</f>
        <v>49.7</v>
      </c>
      <c r="X741" s="3">
        <f ca="1">IFERROR(__xludf.DUMMYFUNCTION("""COMPUTED_VALUE"""),122.2)</f>
        <v>122.2</v>
      </c>
      <c r="Y741" s="3">
        <f ca="1">IFERROR(__xludf.DUMMYFUNCTION("""COMPUTED_VALUE"""),59.64)</f>
        <v>59.64</v>
      </c>
      <c r="Z741" s="3">
        <f ca="1">IFERROR(__xludf.DUMMYFUNCTION("""COMPUTED_VALUE"""),114.92)</f>
        <v>114.92</v>
      </c>
      <c r="AA741" s="3">
        <f ca="1">IFERROR(__xludf.DUMMYFUNCTION("""COMPUTED_VALUE"""),43.15)</f>
        <v>43.15</v>
      </c>
      <c r="AB741" s="3">
        <f ca="1">IFERROR(__xludf.DUMMYFUNCTION("""COMPUTED_VALUE"""),65.47)</f>
        <v>65.47</v>
      </c>
      <c r="AC741" s="3">
        <f ca="1">IFERROR(__xludf.DUMMYFUNCTION("""COMPUTED_VALUE"""),79.82)</f>
        <v>79.819999999999993</v>
      </c>
      <c r="AD741" s="3">
        <f ca="1">IFERROR(__xludf.DUMMYFUNCTION("""COMPUTED_VALUE"""),23.51)</f>
        <v>23.51</v>
      </c>
      <c r="AE741" s="3">
        <f ca="1">IFERROR(__xludf.DUMMYFUNCTION("""COMPUTED_VALUE"""),24.81)</f>
        <v>24.81</v>
      </c>
      <c r="AF741" s="3">
        <f ca="1">IFERROR(__xludf.DUMMYFUNCTION("""COMPUTED_VALUE"""),7.93)</f>
        <v>7.93</v>
      </c>
      <c r="AG741" s="3">
        <f ca="1">IFERROR(__xludf.DUMMYFUNCTION("""COMPUTED_VALUE"""),66.19)</f>
        <v>66.19</v>
      </c>
    </row>
    <row r="742" spans="1:33" ht="12.75" x14ac:dyDescent="0.2">
      <c r="A742" s="4">
        <f ca="1">IFERROR(__xludf.DUMMYFUNCTION("""COMPUTED_VALUE"""),45637.6666666666)</f>
        <v>45637.666666666599</v>
      </c>
      <c r="B742" s="3">
        <f ca="1">IFERROR(__xludf.DUMMYFUNCTION("""COMPUTED_VALUE"""),239.37)</f>
        <v>239.37</v>
      </c>
      <c r="C742" s="3">
        <f ca="1">IFERROR(__xludf.DUMMYFUNCTION("""COMPUTED_VALUE"""),640.2)</f>
        <v>640.20000000000005</v>
      </c>
      <c r="D742" s="3">
        <f ca="1">IFERROR(__xludf.DUMMYFUNCTION("""COMPUTED_VALUE"""),166.23)</f>
        <v>166.23</v>
      </c>
      <c r="E742" s="3">
        <f ca="1">IFERROR(__xludf.DUMMYFUNCTION("""COMPUTED_VALUE"""),218.94)</f>
        <v>218.94</v>
      </c>
      <c r="F742" s="3">
        <f ca="1">IFERROR(__xludf.DUMMYFUNCTION("""COMPUTED_VALUE"""),75.61)</f>
        <v>75.61</v>
      </c>
      <c r="G742" s="3">
        <f ca="1">IFERROR(__xludf.DUMMYFUNCTION("""COMPUTED_VALUE"""),33.73)</f>
        <v>33.729999999999997</v>
      </c>
      <c r="H742" s="3">
        <f ca="1">IFERROR(__xludf.DUMMYFUNCTION("""COMPUTED_VALUE"""),32.47)</f>
        <v>32.47</v>
      </c>
      <c r="I742" s="3">
        <f ca="1">IFERROR(__xludf.DUMMYFUNCTION("""COMPUTED_VALUE"""),142.14)</f>
        <v>142.13999999999999</v>
      </c>
      <c r="J742" s="3">
        <f ca="1">IFERROR(__xludf.DUMMYFUNCTION("""COMPUTED_VALUE"""),263.3)</f>
        <v>263.3</v>
      </c>
      <c r="K742" s="3">
        <f ca="1">IFERROR(__xludf.DUMMYFUNCTION("""COMPUTED_VALUE"""),140.1)</f>
        <v>140.1</v>
      </c>
      <c r="L742" s="3">
        <f ca="1">IFERROR(__xludf.DUMMYFUNCTION("""COMPUTED_VALUE"""),96.97)</f>
        <v>96.97</v>
      </c>
      <c r="M742" s="3">
        <f ca="1">IFERROR(__xludf.DUMMYFUNCTION("""COMPUTED_VALUE"""),69.9)</f>
        <v>69.900000000000006</v>
      </c>
      <c r="N742" s="3">
        <f ca="1">IFERROR(__xludf.DUMMYFUNCTION("""COMPUTED_VALUE"""),67.84)</f>
        <v>67.84</v>
      </c>
      <c r="O742" s="3">
        <f ca="1">IFERROR(__xludf.DUMMYFUNCTION("""COMPUTED_VALUE"""),42.61)</f>
        <v>42.61</v>
      </c>
      <c r="P742" s="3">
        <f ca="1">IFERROR(__xludf.DUMMYFUNCTION("""COMPUTED_VALUE"""),89.67)</f>
        <v>89.67</v>
      </c>
      <c r="Q742" s="3">
        <f ca="1">IFERROR(__xludf.DUMMYFUNCTION("""COMPUTED_VALUE"""),127.52)</f>
        <v>127.52</v>
      </c>
      <c r="R742" s="3">
        <f ca="1">IFERROR(__xludf.DUMMYFUNCTION("""COMPUTED_VALUE"""),90.63)</f>
        <v>90.63</v>
      </c>
      <c r="S742" s="3">
        <f ca="1">IFERROR(__xludf.DUMMYFUNCTION("""COMPUTED_VALUE"""),65.08)</f>
        <v>65.08</v>
      </c>
      <c r="T742" s="3">
        <f ca="1">IFERROR(__xludf.DUMMYFUNCTION("""COMPUTED_VALUE"""),22.45)</f>
        <v>22.45</v>
      </c>
      <c r="U742" s="3">
        <f ca="1">IFERROR(__xludf.DUMMYFUNCTION("""COMPUTED_VALUE"""),73.33)</f>
        <v>73.33</v>
      </c>
      <c r="V742" s="3">
        <f ca="1">IFERROR(__xludf.DUMMYFUNCTION("""COMPUTED_VALUE"""),35.55)</f>
        <v>35.549999999999997</v>
      </c>
      <c r="W742" s="3">
        <f ca="1">IFERROR(__xludf.DUMMYFUNCTION("""COMPUTED_VALUE"""),49.8)</f>
        <v>49.8</v>
      </c>
      <c r="X742" s="3">
        <f ca="1">IFERROR(__xludf.DUMMYFUNCTION("""COMPUTED_VALUE"""),122.75)</f>
        <v>122.75</v>
      </c>
      <c r="Y742" s="3">
        <f ca="1">IFERROR(__xludf.DUMMYFUNCTION("""COMPUTED_VALUE"""),59.95)</f>
        <v>59.95</v>
      </c>
      <c r="Z742" s="3">
        <f ca="1">IFERROR(__xludf.DUMMYFUNCTION("""COMPUTED_VALUE"""),114.42)</f>
        <v>114.42</v>
      </c>
      <c r="AA742" s="3">
        <f ca="1">IFERROR(__xludf.DUMMYFUNCTION("""COMPUTED_VALUE"""),43.04)</f>
        <v>43.04</v>
      </c>
      <c r="AB742" s="3">
        <f ca="1">IFERROR(__xludf.DUMMYFUNCTION("""COMPUTED_VALUE"""),65.81)</f>
        <v>65.81</v>
      </c>
      <c r="AC742" s="3">
        <f ca="1">IFERROR(__xludf.DUMMYFUNCTION("""COMPUTED_VALUE"""),79.98)</f>
        <v>79.98</v>
      </c>
      <c r="AD742" s="3">
        <f ca="1">IFERROR(__xludf.DUMMYFUNCTION("""COMPUTED_VALUE"""),24.71)</f>
        <v>24.71</v>
      </c>
      <c r="AE742" s="3">
        <f ca="1">IFERROR(__xludf.DUMMYFUNCTION("""COMPUTED_VALUE"""),26.09)</f>
        <v>26.09</v>
      </c>
      <c r="AF742" s="3">
        <f ca="1">IFERROR(__xludf.DUMMYFUNCTION("""COMPUTED_VALUE"""),8.76)</f>
        <v>8.76</v>
      </c>
      <c r="AG742" s="3">
        <f ca="1">IFERROR(__xludf.DUMMYFUNCTION("""COMPUTED_VALUE"""),68.29)</f>
        <v>68.290000000000006</v>
      </c>
    </row>
    <row r="743" spans="1:33" ht="12.75" x14ac:dyDescent="0.2">
      <c r="A743" s="4">
        <f ca="1">IFERROR(__xludf.DUMMYFUNCTION("""COMPUTED_VALUE"""),45638.6666666666)</f>
        <v>45638.666666666599</v>
      </c>
      <c r="B743" s="3">
        <f ca="1">IFERROR(__xludf.DUMMYFUNCTION("""COMPUTED_VALUE"""),238.03)</f>
        <v>238.03</v>
      </c>
      <c r="C743" s="3">
        <f ca="1">IFERROR(__xludf.DUMMYFUNCTION("""COMPUTED_VALUE"""),637.42)</f>
        <v>637.41999999999996</v>
      </c>
      <c r="D743" s="3">
        <f ca="1">IFERROR(__xludf.DUMMYFUNCTION("""COMPUTED_VALUE"""),165.17)</f>
        <v>165.17</v>
      </c>
      <c r="E743" s="3">
        <f ca="1">IFERROR(__xludf.DUMMYFUNCTION("""COMPUTED_VALUE"""),217.24)</f>
        <v>217.24</v>
      </c>
      <c r="F743" s="3">
        <f ca="1">IFERROR(__xludf.DUMMYFUNCTION("""COMPUTED_VALUE"""),75.88)</f>
        <v>75.88</v>
      </c>
      <c r="G743" s="3">
        <f ca="1">IFERROR(__xludf.DUMMYFUNCTION("""COMPUTED_VALUE"""),33.36)</f>
        <v>33.36</v>
      </c>
      <c r="H743" s="3">
        <f ca="1">IFERROR(__xludf.DUMMYFUNCTION("""COMPUTED_VALUE"""),32.31)</f>
        <v>32.31</v>
      </c>
      <c r="I743" s="3">
        <f ca="1">IFERROR(__xludf.DUMMYFUNCTION("""COMPUTED_VALUE"""),141.01)</f>
        <v>141.01</v>
      </c>
      <c r="J743" s="3">
        <f ca="1">IFERROR(__xludf.DUMMYFUNCTION("""COMPUTED_VALUE"""),260.71)</f>
        <v>260.70999999999998</v>
      </c>
      <c r="K743" s="3">
        <f ca="1">IFERROR(__xludf.DUMMYFUNCTION("""COMPUTED_VALUE"""),137.67)</f>
        <v>137.66999999999999</v>
      </c>
      <c r="L743" s="3">
        <f ca="1">IFERROR(__xludf.DUMMYFUNCTION("""COMPUTED_VALUE"""),94.2)</f>
        <v>94.2</v>
      </c>
      <c r="M743" s="3">
        <f ca="1">IFERROR(__xludf.DUMMYFUNCTION("""COMPUTED_VALUE"""),69.02)</f>
        <v>69.02</v>
      </c>
      <c r="N743" s="3">
        <f ca="1">IFERROR(__xludf.DUMMYFUNCTION("""COMPUTED_VALUE"""),67.26)</f>
        <v>67.260000000000005</v>
      </c>
      <c r="O743" s="3">
        <f ca="1">IFERROR(__xludf.DUMMYFUNCTION("""COMPUTED_VALUE"""),41.76)</f>
        <v>41.76</v>
      </c>
      <c r="P743" s="3">
        <f ca="1">IFERROR(__xludf.DUMMYFUNCTION("""COMPUTED_VALUE"""),89.22)</f>
        <v>89.22</v>
      </c>
      <c r="Q743" s="3">
        <f ca="1">IFERROR(__xludf.DUMMYFUNCTION("""COMPUTED_VALUE"""),126.6)</f>
        <v>126.6</v>
      </c>
      <c r="R743" s="3">
        <f ca="1">IFERROR(__xludf.DUMMYFUNCTION("""COMPUTED_VALUE"""),90)</f>
        <v>90</v>
      </c>
      <c r="S743" s="3">
        <f ca="1">IFERROR(__xludf.DUMMYFUNCTION("""COMPUTED_VALUE"""),63.57)</f>
        <v>63.57</v>
      </c>
      <c r="T743" s="3">
        <f ca="1">IFERROR(__xludf.DUMMYFUNCTION("""COMPUTED_VALUE"""),22.36)</f>
        <v>22.36</v>
      </c>
      <c r="U743" s="3">
        <f ca="1">IFERROR(__xludf.DUMMYFUNCTION("""COMPUTED_VALUE"""),73.21)</f>
        <v>73.209999999999994</v>
      </c>
      <c r="V743" s="3">
        <f ca="1">IFERROR(__xludf.DUMMYFUNCTION("""COMPUTED_VALUE"""),34.88)</f>
        <v>34.880000000000003</v>
      </c>
      <c r="W743" s="3">
        <f ca="1">IFERROR(__xludf.DUMMYFUNCTION("""COMPUTED_VALUE"""),49.58)</f>
        <v>49.58</v>
      </c>
      <c r="X743" s="3">
        <f ca="1">IFERROR(__xludf.DUMMYFUNCTION("""COMPUTED_VALUE"""),122.21)</f>
        <v>122.21</v>
      </c>
      <c r="Y743" s="3">
        <f ca="1">IFERROR(__xludf.DUMMYFUNCTION("""COMPUTED_VALUE"""),59.3)</f>
        <v>59.3</v>
      </c>
      <c r="Z743" s="3">
        <f ca="1">IFERROR(__xludf.DUMMYFUNCTION("""COMPUTED_VALUE"""),114.08)</f>
        <v>114.08</v>
      </c>
      <c r="AA743" s="3">
        <f ca="1">IFERROR(__xludf.DUMMYFUNCTION("""COMPUTED_VALUE"""),43.01)</f>
        <v>43.01</v>
      </c>
      <c r="AB743" s="3">
        <f ca="1">IFERROR(__xludf.DUMMYFUNCTION("""COMPUTED_VALUE"""),65.01)</f>
        <v>65.010000000000005</v>
      </c>
      <c r="AC743" s="3">
        <f ca="1">IFERROR(__xludf.DUMMYFUNCTION("""COMPUTED_VALUE"""),79.05)</f>
        <v>79.05</v>
      </c>
      <c r="AD743" s="3">
        <f ca="1">IFERROR(__xludf.DUMMYFUNCTION("""COMPUTED_VALUE"""),24.66)</f>
        <v>24.66</v>
      </c>
      <c r="AE743" s="3">
        <f ca="1">IFERROR(__xludf.DUMMYFUNCTION("""COMPUTED_VALUE"""),25.68)</f>
        <v>25.68</v>
      </c>
      <c r="AF743" s="3">
        <f ca="1">IFERROR(__xludf.DUMMYFUNCTION("""COMPUTED_VALUE"""),8.16)</f>
        <v>8.16</v>
      </c>
      <c r="AG743" s="3">
        <f ca="1">IFERROR(__xludf.DUMMYFUNCTION("""COMPUTED_VALUE"""),68.24)</f>
        <v>68.239999999999995</v>
      </c>
    </row>
    <row r="744" spans="1:33" ht="12.75" x14ac:dyDescent="0.2">
      <c r="A744" s="4">
        <f ca="1">IFERROR(__xludf.DUMMYFUNCTION("""COMPUTED_VALUE"""),45639.6666666666)</f>
        <v>45639.666666666599</v>
      </c>
      <c r="B744" s="3">
        <f ca="1">IFERROR(__xludf.DUMMYFUNCTION("""COMPUTED_VALUE"""),239.05)</f>
        <v>239.05</v>
      </c>
      <c r="C744" s="3">
        <f ca="1">IFERROR(__xludf.DUMMYFUNCTION("""COMPUTED_VALUE"""),640.43)</f>
        <v>640.42999999999995</v>
      </c>
      <c r="D744" s="3">
        <f ca="1">IFERROR(__xludf.DUMMYFUNCTION("""COMPUTED_VALUE"""),159.59)</f>
        <v>159.59</v>
      </c>
      <c r="E744" s="3">
        <f ca="1">IFERROR(__xludf.DUMMYFUNCTION("""COMPUTED_VALUE"""),223.3)</f>
        <v>223.3</v>
      </c>
      <c r="F744" s="3">
        <f ca="1">IFERROR(__xludf.DUMMYFUNCTION("""COMPUTED_VALUE"""),76.83)</f>
        <v>76.83</v>
      </c>
      <c r="G744" s="3">
        <f ca="1">IFERROR(__xludf.DUMMYFUNCTION("""COMPUTED_VALUE"""),33.02)</f>
        <v>33.020000000000003</v>
      </c>
      <c r="H744" s="3">
        <f ca="1">IFERROR(__xludf.DUMMYFUNCTION("""COMPUTED_VALUE"""),32.1)</f>
        <v>32.1</v>
      </c>
      <c r="I744" s="3">
        <f ca="1">IFERROR(__xludf.DUMMYFUNCTION("""COMPUTED_VALUE"""),140.99)</f>
        <v>140.99</v>
      </c>
      <c r="J744" s="3">
        <f ca="1">IFERROR(__xludf.DUMMYFUNCTION("""COMPUTED_VALUE"""),260.43)</f>
        <v>260.43</v>
      </c>
      <c r="K744" s="3">
        <f ca="1">IFERROR(__xludf.DUMMYFUNCTION("""COMPUTED_VALUE"""),136.61)</f>
        <v>136.61000000000001</v>
      </c>
      <c r="L744" s="3">
        <f ca="1">IFERROR(__xludf.DUMMYFUNCTION("""COMPUTED_VALUE"""),93.4)</f>
        <v>93.4</v>
      </c>
      <c r="M744" s="3">
        <f ca="1">IFERROR(__xludf.DUMMYFUNCTION("""COMPUTED_VALUE"""),68.3)</f>
        <v>68.3</v>
      </c>
      <c r="N744" s="3">
        <f ca="1">IFERROR(__xludf.DUMMYFUNCTION("""COMPUTED_VALUE"""),67.13)</f>
        <v>67.13</v>
      </c>
      <c r="O744" s="3">
        <f ca="1">IFERROR(__xludf.DUMMYFUNCTION("""COMPUTED_VALUE"""),41.08)</f>
        <v>41.08</v>
      </c>
      <c r="P744" s="3">
        <f ca="1">IFERROR(__xludf.DUMMYFUNCTION("""COMPUTED_VALUE"""),87.26)</f>
        <v>87.26</v>
      </c>
      <c r="Q744" s="3">
        <f ca="1">IFERROR(__xludf.DUMMYFUNCTION("""COMPUTED_VALUE"""),125.69)</f>
        <v>125.69</v>
      </c>
      <c r="R744" s="3">
        <f ca="1">IFERROR(__xludf.DUMMYFUNCTION("""COMPUTED_VALUE"""),89.23)</f>
        <v>89.23</v>
      </c>
      <c r="S744" s="3">
        <f ca="1">IFERROR(__xludf.DUMMYFUNCTION("""COMPUTED_VALUE"""),62.03)</f>
        <v>62.03</v>
      </c>
      <c r="T744" s="3">
        <f ca="1">IFERROR(__xludf.DUMMYFUNCTION("""COMPUTED_VALUE"""),22.35)</f>
        <v>22.35</v>
      </c>
      <c r="U744" s="3">
        <f ca="1">IFERROR(__xludf.DUMMYFUNCTION("""COMPUTED_VALUE"""),74.21)</f>
        <v>74.209999999999994</v>
      </c>
      <c r="V744" s="3">
        <f ca="1">IFERROR(__xludf.DUMMYFUNCTION("""COMPUTED_VALUE"""),35.07)</f>
        <v>35.07</v>
      </c>
      <c r="W744" s="3">
        <f ca="1">IFERROR(__xludf.DUMMYFUNCTION("""COMPUTED_VALUE"""),49.54)</f>
        <v>49.54</v>
      </c>
      <c r="X744" s="3">
        <f ca="1">IFERROR(__xludf.DUMMYFUNCTION("""COMPUTED_VALUE"""),121.79)</f>
        <v>121.79</v>
      </c>
      <c r="Y744" s="3">
        <f ca="1">IFERROR(__xludf.DUMMYFUNCTION("""COMPUTED_VALUE"""),59.08)</f>
        <v>59.08</v>
      </c>
      <c r="Z744" s="3">
        <f ca="1">IFERROR(__xludf.DUMMYFUNCTION("""COMPUTED_VALUE"""),114.22)</f>
        <v>114.22</v>
      </c>
      <c r="AA744" s="3">
        <f ca="1">IFERROR(__xludf.DUMMYFUNCTION("""COMPUTED_VALUE"""),42.83)</f>
        <v>42.83</v>
      </c>
      <c r="AB744" s="3">
        <f ca="1">IFERROR(__xludf.DUMMYFUNCTION("""COMPUTED_VALUE"""),64.77)</f>
        <v>64.77</v>
      </c>
      <c r="AC744" s="3">
        <f ca="1">IFERROR(__xludf.DUMMYFUNCTION("""COMPUTED_VALUE"""),76.36)</f>
        <v>76.36</v>
      </c>
      <c r="AD744" s="3">
        <f ca="1">IFERROR(__xludf.DUMMYFUNCTION("""COMPUTED_VALUE"""),25.01)</f>
        <v>25.01</v>
      </c>
      <c r="AE744" s="3">
        <f ca="1">IFERROR(__xludf.DUMMYFUNCTION("""COMPUTED_VALUE"""),26.09)</f>
        <v>26.09</v>
      </c>
      <c r="AF744" s="3">
        <f ca="1">IFERROR(__xludf.DUMMYFUNCTION("""COMPUTED_VALUE"""),8.57)</f>
        <v>8.57</v>
      </c>
      <c r="AG744" s="3">
        <f ca="1">IFERROR(__xludf.DUMMYFUNCTION("""COMPUTED_VALUE"""),68.18)</f>
        <v>68.180000000000007</v>
      </c>
    </row>
    <row r="745" spans="1:33" ht="12.75" x14ac:dyDescent="0.2">
      <c r="A745" s="4">
        <f ca="1">IFERROR(__xludf.DUMMYFUNCTION("""COMPUTED_VALUE"""),45642.6666666666)</f>
        <v>45642.666666666599</v>
      </c>
      <c r="B745" s="3">
        <f ca="1">IFERROR(__xludf.DUMMYFUNCTION("""COMPUTED_VALUE"""),241.44)</f>
        <v>241.44</v>
      </c>
      <c r="C745" s="3">
        <f ca="1">IFERROR(__xludf.DUMMYFUNCTION("""COMPUTED_VALUE"""),647.97)</f>
        <v>647.97</v>
      </c>
      <c r="D745" s="3">
        <f ca="1">IFERROR(__xludf.DUMMYFUNCTION("""COMPUTED_VALUE"""),159.54)</f>
        <v>159.54</v>
      </c>
      <c r="E745" s="3">
        <f ca="1">IFERROR(__xludf.DUMMYFUNCTION("""COMPUTED_VALUE"""),227.44)</f>
        <v>227.44</v>
      </c>
      <c r="F745" s="3">
        <f ca="1">IFERROR(__xludf.DUMMYFUNCTION("""COMPUTED_VALUE"""),78.94)</f>
        <v>78.94</v>
      </c>
      <c r="G745" s="3">
        <f ca="1">IFERROR(__xludf.DUMMYFUNCTION("""COMPUTED_VALUE"""),33.25)</f>
        <v>33.25</v>
      </c>
      <c r="H745" s="3">
        <f ca="1">IFERROR(__xludf.DUMMYFUNCTION("""COMPUTED_VALUE"""),32.1)</f>
        <v>32.1</v>
      </c>
      <c r="I745" s="3">
        <f ca="1">IFERROR(__xludf.DUMMYFUNCTION("""COMPUTED_VALUE"""),139.31)</f>
        <v>139.31</v>
      </c>
      <c r="J745" s="3">
        <f ca="1">IFERROR(__xludf.DUMMYFUNCTION("""COMPUTED_VALUE"""),258.19)</f>
        <v>258.19</v>
      </c>
      <c r="K745" s="3">
        <f ca="1">IFERROR(__xludf.DUMMYFUNCTION("""COMPUTED_VALUE"""),137.25)</f>
        <v>137.25</v>
      </c>
      <c r="L745" s="3">
        <f ca="1">IFERROR(__xludf.DUMMYFUNCTION("""COMPUTED_VALUE"""),94.76)</f>
        <v>94.76</v>
      </c>
      <c r="M745" s="3">
        <f ca="1">IFERROR(__xludf.DUMMYFUNCTION("""COMPUTED_VALUE"""),68.81)</f>
        <v>68.81</v>
      </c>
      <c r="N745" s="3">
        <f ca="1">IFERROR(__xludf.DUMMYFUNCTION("""COMPUTED_VALUE"""),66.5)</f>
        <v>66.5</v>
      </c>
      <c r="O745" s="3">
        <f ca="1">IFERROR(__xludf.DUMMYFUNCTION("""COMPUTED_VALUE"""),41.33)</f>
        <v>41.33</v>
      </c>
      <c r="P745" s="3">
        <f ca="1">IFERROR(__xludf.DUMMYFUNCTION("""COMPUTED_VALUE"""),86.61)</f>
        <v>86.61</v>
      </c>
      <c r="Q745" s="3">
        <f ca="1">IFERROR(__xludf.DUMMYFUNCTION("""COMPUTED_VALUE"""),123.1)</f>
        <v>123.1</v>
      </c>
      <c r="R745" s="3">
        <f ca="1">IFERROR(__xludf.DUMMYFUNCTION("""COMPUTED_VALUE"""),88.44)</f>
        <v>88.44</v>
      </c>
      <c r="S745" s="3">
        <f ca="1">IFERROR(__xludf.DUMMYFUNCTION("""COMPUTED_VALUE"""),61.15)</f>
        <v>61.15</v>
      </c>
      <c r="T745" s="3">
        <f ca="1">IFERROR(__xludf.DUMMYFUNCTION("""COMPUTED_VALUE"""),22.23)</f>
        <v>22.23</v>
      </c>
      <c r="U745" s="3">
        <f ca="1">IFERROR(__xludf.DUMMYFUNCTION("""COMPUTED_VALUE"""),73.7)</f>
        <v>73.7</v>
      </c>
      <c r="V745" s="3">
        <f ca="1">IFERROR(__xludf.DUMMYFUNCTION("""COMPUTED_VALUE"""),34.16)</f>
        <v>34.159999999999997</v>
      </c>
      <c r="W745" s="3">
        <f ca="1">IFERROR(__xludf.DUMMYFUNCTION("""COMPUTED_VALUE"""),49.45)</f>
        <v>49.45</v>
      </c>
      <c r="X745" s="3">
        <f ca="1">IFERROR(__xludf.DUMMYFUNCTION("""COMPUTED_VALUE"""),121.99)</f>
        <v>121.99</v>
      </c>
      <c r="Y745" s="3">
        <f ca="1">IFERROR(__xludf.DUMMYFUNCTION("""COMPUTED_VALUE"""),59.4)</f>
        <v>59.4</v>
      </c>
      <c r="Z745" s="3">
        <f ca="1">IFERROR(__xludf.DUMMYFUNCTION("""COMPUTED_VALUE"""),112.49)</f>
        <v>112.49</v>
      </c>
      <c r="AA745" s="3">
        <f ca="1">IFERROR(__xludf.DUMMYFUNCTION("""COMPUTED_VALUE"""),42.61)</f>
        <v>42.61</v>
      </c>
      <c r="AB745" s="3">
        <f ca="1">IFERROR(__xludf.DUMMYFUNCTION("""COMPUTED_VALUE"""),65.09)</f>
        <v>65.09</v>
      </c>
      <c r="AC745" s="3">
        <f ca="1">IFERROR(__xludf.DUMMYFUNCTION("""COMPUTED_VALUE"""),76.65)</f>
        <v>76.650000000000006</v>
      </c>
      <c r="AD745" s="3">
        <f ca="1">IFERROR(__xludf.DUMMYFUNCTION("""COMPUTED_VALUE"""),25.92)</f>
        <v>25.92</v>
      </c>
      <c r="AE745" s="3">
        <f ca="1">IFERROR(__xludf.DUMMYFUNCTION("""COMPUTED_VALUE"""),27.19)</f>
        <v>27.19</v>
      </c>
      <c r="AF745" s="3">
        <f ca="1">IFERROR(__xludf.DUMMYFUNCTION("""COMPUTED_VALUE"""),8.03)</f>
        <v>8.0299999999999994</v>
      </c>
      <c r="AG745" s="3">
        <f ca="1">IFERROR(__xludf.DUMMYFUNCTION("""COMPUTED_VALUE"""),72.61)</f>
        <v>72.61</v>
      </c>
    </row>
    <row r="746" spans="1:33" ht="12.75" x14ac:dyDescent="0.2">
      <c r="A746" s="4">
        <f ca="1">IFERROR(__xludf.DUMMYFUNCTION("""COMPUTED_VALUE"""),45643.6666666666)</f>
        <v>45643.666666666599</v>
      </c>
      <c r="B746" s="3">
        <f ca="1">IFERROR(__xludf.DUMMYFUNCTION("""COMPUTED_VALUE"""),239.98)</f>
        <v>239.98</v>
      </c>
      <c r="C746" s="3">
        <f ca="1">IFERROR(__xludf.DUMMYFUNCTION("""COMPUTED_VALUE"""),643.98)</f>
        <v>643.98</v>
      </c>
      <c r="D746" s="3">
        <f ca="1">IFERROR(__xludf.DUMMYFUNCTION("""COMPUTED_VALUE"""),162.02)</f>
        <v>162.02000000000001</v>
      </c>
      <c r="E746" s="3">
        <f ca="1">IFERROR(__xludf.DUMMYFUNCTION("""COMPUTED_VALUE"""),223.87)</f>
        <v>223.87</v>
      </c>
      <c r="F746" s="3">
        <f ca="1">IFERROR(__xludf.DUMMYFUNCTION("""COMPUTED_VALUE"""),78.06)</f>
        <v>78.06</v>
      </c>
      <c r="G746" s="3">
        <f ca="1">IFERROR(__xludf.DUMMYFUNCTION("""COMPUTED_VALUE"""),33.12)</f>
        <v>33.119999999999997</v>
      </c>
      <c r="H746" s="3">
        <f ca="1">IFERROR(__xludf.DUMMYFUNCTION("""COMPUTED_VALUE"""),32.05)</f>
        <v>32.049999999999997</v>
      </c>
      <c r="I746" s="3">
        <f ca="1">IFERROR(__xludf.DUMMYFUNCTION("""COMPUTED_VALUE"""),139.21)</f>
        <v>139.21</v>
      </c>
      <c r="J746" s="3">
        <f ca="1">IFERROR(__xludf.DUMMYFUNCTION("""COMPUTED_VALUE"""),257.92)</f>
        <v>257.92</v>
      </c>
      <c r="K746" s="3">
        <f ca="1">IFERROR(__xludf.DUMMYFUNCTION("""COMPUTED_VALUE"""),137.66)</f>
        <v>137.66</v>
      </c>
      <c r="L746" s="3">
        <f ca="1">IFERROR(__xludf.DUMMYFUNCTION("""COMPUTED_VALUE"""),94.59)</f>
        <v>94.59</v>
      </c>
      <c r="M746" s="3">
        <f ca="1">IFERROR(__xludf.DUMMYFUNCTION("""COMPUTED_VALUE"""),68.8)</f>
        <v>68.8</v>
      </c>
      <c r="N746" s="3">
        <f ca="1">IFERROR(__xludf.DUMMYFUNCTION("""COMPUTED_VALUE"""),66.41)</f>
        <v>66.41</v>
      </c>
      <c r="O746" s="3">
        <f ca="1">IFERROR(__xludf.DUMMYFUNCTION("""COMPUTED_VALUE"""),41.17)</f>
        <v>41.17</v>
      </c>
      <c r="P746" s="3">
        <f ca="1">IFERROR(__xludf.DUMMYFUNCTION("""COMPUTED_VALUE"""),84.05)</f>
        <v>84.05</v>
      </c>
      <c r="Q746" s="3">
        <f ca="1">IFERROR(__xludf.DUMMYFUNCTION("""COMPUTED_VALUE"""),122.1)</f>
        <v>122.1</v>
      </c>
      <c r="R746" s="3">
        <f ca="1">IFERROR(__xludf.DUMMYFUNCTION("""COMPUTED_VALUE"""),87.95)</f>
        <v>87.95</v>
      </c>
      <c r="S746" s="3">
        <f ca="1">IFERROR(__xludf.DUMMYFUNCTION("""COMPUTED_VALUE"""),60.03)</f>
        <v>60.03</v>
      </c>
      <c r="T746" s="3">
        <f ca="1">IFERROR(__xludf.DUMMYFUNCTION("""COMPUTED_VALUE"""),22.08)</f>
        <v>22.08</v>
      </c>
      <c r="U746" s="3">
        <f ca="1">IFERROR(__xludf.DUMMYFUNCTION("""COMPUTED_VALUE"""),73.3)</f>
        <v>73.3</v>
      </c>
      <c r="V746" s="3">
        <f ca="1">IFERROR(__xludf.DUMMYFUNCTION("""COMPUTED_VALUE"""),34.63)</f>
        <v>34.630000000000003</v>
      </c>
      <c r="W746" s="3">
        <f ca="1">IFERROR(__xludf.DUMMYFUNCTION("""COMPUTED_VALUE"""),49.1)</f>
        <v>49.1</v>
      </c>
      <c r="X746" s="3">
        <f ca="1">IFERROR(__xludf.DUMMYFUNCTION("""COMPUTED_VALUE"""),120.84)</f>
        <v>120.84</v>
      </c>
      <c r="Y746" s="3">
        <f ca="1">IFERROR(__xludf.DUMMYFUNCTION("""COMPUTED_VALUE"""),58.17)</f>
        <v>58.17</v>
      </c>
      <c r="Z746" s="3">
        <f ca="1">IFERROR(__xludf.DUMMYFUNCTION("""COMPUTED_VALUE"""),108.61)</f>
        <v>108.61</v>
      </c>
      <c r="AA746" s="3">
        <f ca="1">IFERROR(__xludf.DUMMYFUNCTION("""COMPUTED_VALUE"""),42.42)</f>
        <v>42.42</v>
      </c>
      <c r="AB746" s="3">
        <f ca="1">IFERROR(__xludf.DUMMYFUNCTION("""COMPUTED_VALUE"""),63.56)</f>
        <v>63.56</v>
      </c>
      <c r="AC746" s="3">
        <f ca="1">IFERROR(__xludf.DUMMYFUNCTION("""COMPUTED_VALUE"""),77.78)</f>
        <v>77.78</v>
      </c>
      <c r="AD746" s="3">
        <f ca="1">IFERROR(__xludf.DUMMYFUNCTION("""COMPUTED_VALUE"""),25.67)</f>
        <v>25.67</v>
      </c>
      <c r="AE746" s="3">
        <f ca="1">IFERROR(__xludf.DUMMYFUNCTION("""COMPUTED_VALUE"""),27.42)</f>
        <v>27.42</v>
      </c>
      <c r="AF746" s="3">
        <f ca="1">IFERROR(__xludf.DUMMYFUNCTION("""COMPUTED_VALUE"""),7.88)</f>
        <v>7.88</v>
      </c>
      <c r="AG746" s="3">
        <f ca="1">IFERROR(__xludf.DUMMYFUNCTION("""COMPUTED_VALUE"""),71.54)</f>
        <v>71.540000000000006</v>
      </c>
    </row>
    <row r="747" spans="1:33" ht="12.75" x14ac:dyDescent="0.2">
      <c r="A747" s="4">
        <f ca="1">IFERROR(__xludf.DUMMYFUNCTION("""COMPUTED_VALUE"""),45644.6666666666)</f>
        <v>45644.666666666599</v>
      </c>
      <c r="B747" s="3">
        <f ca="1">IFERROR(__xludf.DUMMYFUNCTION("""COMPUTED_VALUE"""),232.24)</f>
        <v>232.24</v>
      </c>
      <c r="C747" s="3">
        <f ca="1">IFERROR(__xludf.DUMMYFUNCTION("""COMPUTED_VALUE"""),621.26)</f>
        <v>621.26</v>
      </c>
      <c r="D747" s="3">
        <f ca="1">IFERROR(__xludf.DUMMYFUNCTION("""COMPUTED_VALUE"""),163.71)</f>
        <v>163.71</v>
      </c>
      <c r="E747" s="3">
        <f ca="1">IFERROR(__xludf.DUMMYFUNCTION("""COMPUTED_VALUE"""),215.59)</f>
        <v>215.59</v>
      </c>
      <c r="F747" s="3">
        <f ca="1">IFERROR(__xludf.DUMMYFUNCTION("""COMPUTED_VALUE"""),74.4)</f>
        <v>74.400000000000006</v>
      </c>
      <c r="G747" s="3">
        <f ca="1">IFERROR(__xludf.DUMMYFUNCTION("""COMPUTED_VALUE"""),32.06)</f>
        <v>32.06</v>
      </c>
      <c r="H747" s="3">
        <f ca="1">IFERROR(__xludf.DUMMYFUNCTION("""COMPUTED_VALUE"""),31.01)</f>
        <v>31.01</v>
      </c>
      <c r="I747" s="3">
        <f ca="1">IFERROR(__xludf.DUMMYFUNCTION("""COMPUTED_VALUE"""),137.32)</f>
        <v>137.32</v>
      </c>
      <c r="J747" s="3">
        <f ca="1">IFERROR(__xludf.DUMMYFUNCTION("""COMPUTED_VALUE"""),252.56)</f>
        <v>252.56</v>
      </c>
      <c r="K747" s="3">
        <f ca="1">IFERROR(__xludf.DUMMYFUNCTION("""COMPUTED_VALUE"""),132.32)</f>
        <v>132.32</v>
      </c>
      <c r="L747" s="3">
        <f ca="1">IFERROR(__xludf.DUMMYFUNCTION("""COMPUTED_VALUE"""),89.93)</f>
        <v>89.93</v>
      </c>
      <c r="M747" s="3">
        <f ca="1">IFERROR(__xludf.DUMMYFUNCTION("""COMPUTED_VALUE"""),66)</f>
        <v>66</v>
      </c>
      <c r="N747" s="3">
        <f ca="1">IFERROR(__xludf.DUMMYFUNCTION("""COMPUTED_VALUE"""),65.25)</f>
        <v>65.25</v>
      </c>
      <c r="O747" s="3">
        <f ca="1">IFERROR(__xludf.DUMMYFUNCTION("""COMPUTED_VALUE"""),38.84)</f>
        <v>38.840000000000003</v>
      </c>
      <c r="P747" s="3">
        <f ca="1">IFERROR(__xludf.DUMMYFUNCTION("""COMPUTED_VALUE"""),83.32)</f>
        <v>83.32</v>
      </c>
      <c r="Q747" s="3">
        <f ca="1">IFERROR(__xludf.DUMMYFUNCTION("""COMPUTED_VALUE"""),117.74)</f>
        <v>117.74</v>
      </c>
      <c r="R747" s="3">
        <f ca="1">IFERROR(__xludf.DUMMYFUNCTION("""COMPUTED_VALUE"""),85.45)</f>
        <v>85.45</v>
      </c>
      <c r="S747" s="3">
        <f ca="1">IFERROR(__xludf.DUMMYFUNCTION("""COMPUTED_VALUE"""),57.75)</f>
        <v>57.75</v>
      </c>
      <c r="T747" s="3">
        <f ca="1">IFERROR(__xludf.DUMMYFUNCTION("""COMPUTED_VALUE"""),21.88)</f>
        <v>21.88</v>
      </c>
      <c r="U747" s="3">
        <f ca="1">IFERROR(__xludf.DUMMYFUNCTION("""COMPUTED_VALUE"""),72.94)</f>
        <v>72.94</v>
      </c>
      <c r="V747" s="3">
        <f ca="1">IFERROR(__xludf.DUMMYFUNCTION("""COMPUTED_VALUE"""),33.53)</f>
        <v>33.53</v>
      </c>
      <c r="W747" s="3">
        <f ca="1">IFERROR(__xludf.DUMMYFUNCTION("""COMPUTED_VALUE"""),47.63)</f>
        <v>47.63</v>
      </c>
      <c r="X747" s="3">
        <f ca="1">IFERROR(__xludf.DUMMYFUNCTION("""COMPUTED_VALUE"""),116.12)</f>
        <v>116.12</v>
      </c>
      <c r="Y747" s="3">
        <f ca="1">IFERROR(__xludf.DUMMYFUNCTION("""COMPUTED_VALUE"""),55.25)</f>
        <v>55.25</v>
      </c>
      <c r="Z747" s="3">
        <f ca="1">IFERROR(__xludf.DUMMYFUNCTION("""COMPUTED_VALUE"""),108.8)</f>
        <v>108.8</v>
      </c>
      <c r="AA747" s="3">
        <f ca="1">IFERROR(__xludf.DUMMYFUNCTION("""COMPUTED_VALUE"""),40.76)</f>
        <v>40.76</v>
      </c>
      <c r="AB747" s="3">
        <f ca="1">IFERROR(__xludf.DUMMYFUNCTION("""COMPUTED_VALUE"""),60.26)</f>
        <v>60.26</v>
      </c>
      <c r="AC747" s="3">
        <f ca="1">IFERROR(__xludf.DUMMYFUNCTION("""COMPUTED_VALUE"""),77.95)</f>
        <v>77.95</v>
      </c>
      <c r="AD747" s="3">
        <f ca="1">IFERROR(__xludf.DUMMYFUNCTION("""COMPUTED_VALUE"""),24.05)</f>
        <v>24.05</v>
      </c>
      <c r="AE747" s="3">
        <f ca="1">IFERROR(__xludf.DUMMYFUNCTION("""COMPUTED_VALUE"""),25.8)</f>
        <v>25.8</v>
      </c>
      <c r="AF747" s="3">
        <f ca="1">IFERROR(__xludf.DUMMYFUNCTION("""COMPUTED_VALUE"""),8.14)</f>
        <v>8.14</v>
      </c>
      <c r="AG747" s="3">
        <f ca="1">IFERROR(__xludf.DUMMYFUNCTION("""COMPUTED_VALUE"""),63.41)</f>
        <v>63.41</v>
      </c>
    </row>
    <row r="748" spans="1:33" ht="12.75" x14ac:dyDescent="0.2">
      <c r="A748" s="4">
        <f ca="1">IFERROR(__xludf.DUMMYFUNCTION("""COMPUTED_VALUE"""),45645.6666666666)</f>
        <v>45645.666666666599</v>
      </c>
      <c r="B748" s="3">
        <f ca="1">IFERROR(__xludf.DUMMYFUNCTION("""COMPUTED_VALUE"""),232.49)</f>
        <v>232.49</v>
      </c>
      <c r="C748" s="3">
        <f ca="1">IFERROR(__xludf.DUMMYFUNCTION("""COMPUTED_VALUE"""),621.79)</f>
        <v>621.79</v>
      </c>
      <c r="D748" s="3">
        <f ca="1">IFERROR(__xludf.DUMMYFUNCTION("""COMPUTED_VALUE"""),165.36)</f>
        <v>165.36</v>
      </c>
      <c r="E748" s="3">
        <f ca="1">IFERROR(__xludf.DUMMYFUNCTION("""COMPUTED_VALUE"""),211.97)</f>
        <v>211.97</v>
      </c>
      <c r="F748" s="3">
        <f ca="1">IFERROR(__xludf.DUMMYFUNCTION("""COMPUTED_VALUE"""),74.17)</f>
        <v>74.17</v>
      </c>
      <c r="G748" s="3">
        <f ca="1">IFERROR(__xludf.DUMMYFUNCTION("""COMPUTED_VALUE"""),31.8)</f>
        <v>31.8</v>
      </c>
      <c r="H748" s="3">
        <f ca="1">IFERROR(__xludf.DUMMYFUNCTION("""COMPUTED_VALUE"""),30.93)</f>
        <v>30.93</v>
      </c>
      <c r="I748" s="3">
        <f ca="1">IFERROR(__xludf.DUMMYFUNCTION("""COMPUTED_VALUE"""),136.28)</f>
        <v>136.28</v>
      </c>
      <c r="J748" s="3">
        <f ca="1">IFERROR(__xludf.DUMMYFUNCTION("""COMPUTED_VALUE"""),250.81)</f>
        <v>250.81</v>
      </c>
      <c r="K748" s="3">
        <f ca="1">IFERROR(__xludf.DUMMYFUNCTION("""COMPUTED_VALUE"""),131.21)</f>
        <v>131.21</v>
      </c>
      <c r="L748" s="3">
        <f ca="1">IFERROR(__xludf.DUMMYFUNCTION("""COMPUTED_VALUE"""),89.81)</f>
        <v>89.81</v>
      </c>
      <c r="M748" s="3">
        <f ca="1">IFERROR(__xludf.DUMMYFUNCTION("""COMPUTED_VALUE"""),66.25)</f>
        <v>66.25</v>
      </c>
      <c r="N748" s="3">
        <f ca="1">IFERROR(__xludf.DUMMYFUNCTION("""COMPUTED_VALUE"""),64.85)</f>
        <v>64.849999999999994</v>
      </c>
      <c r="O748" s="3">
        <f ca="1">IFERROR(__xludf.DUMMYFUNCTION("""COMPUTED_VALUE"""),38.8)</f>
        <v>38.799999999999997</v>
      </c>
      <c r="P748" s="3">
        <f ca="1">IFERROR(__xludf.DUMMYFUNCTION("""COMPUTED_VALUE"""),84.14)</f>
        <v>84.14</v>
      </c>
      <c r="Q748" s="3">
        <f ca="1">IFERROR(__xludf.DUMMYFUNCTION("""COMPUTED_VALUE"""),116.67)</f>
        <v>116.67</v>
      </c>
      <c r="R748" s="3">
        <f ca="1">IFERROR(__xludf.DUMMYFUNCTION("""COMPUTED_VALUE"""),84.53)</f>
        <v>84.53</v>
      </c>
      <c r="S748" s="3">
        <f ca="1">IFERROR(__xludf.DUMMYFUNCTION("""COMPUTED_VALUE"""),57.08)</f>
        <v>57.08</v>
      </c>
      <c r="T748" s="3">
        <f ca="1">IFERROR(__xludf.DUMMYFUNCTION("""COMPUTED_VALUE"""),21.88)</f>
        <v>21.88</v>
      </c>
      <c r="U748" s="3">
        <f ca="1">IFERROR(__xludf.DUMMYFUNCTION("""COMPUTED_VALUE"""),72.61)</f>
        <v>72.61</v>
      </c>
      <c r="V748" s="3">
        <f ca="1">IFERROR(__xludf.DUMMYFUNCTION("""COMPUTED_VALUE"""),32.56)</f>
        <v>32.56</v>
      </c>
      <c r="W748" s="3">
        <f ca="1">IFERROR(__xludf.DUMMYFUNCTION("""COMPUTED_VALUE"""),47.8)</f>
        <v>47.8</v>
      </c>
      <c r="X748" s="3">
        <f ca="1">IFERROR(__xludf.DUMMYFUNCTION("""COMPUTED_VALUE"""),116.48)</f>
        <v>116.48</v>
      </c>
      <c r="Y748" s="3">
        <f ca="1">IFERROR(__xludf.DUMMYFUNCTION("""COMPUTED_VALUE"""),54.95)</f>
        <v>54.95</v>
      </c>
      <c r="Z748" s="3">
        <f ca="1">IFERROR(__xludf.DUMMYFUNCTION("""COMPUTED_VALUE"""),110.45)</f>
        <v>110.45</v>
      </c>
      <c r="AA748" s="3">
        <f ca="1">IFERROR(__xludf.DUMMYFUNCTION("""COMPUTED_VALUE"""),40.06)</f>
        <v>40.06</v>
      </c>
      <c r="AB748" s="3">
        <f ca="1">IFERROR(__xludf.DUMMYFUNCTION("""COMPUTED_VALUE"""),59.73)</f>
        <v>59.73</v>
      </c>
      <c r="AC748" s="3">
        <f ca="1">IFERROR(__xludf.DUMMYFUNCTION("""COMPUTED_VALUE"""),78.99)</f>
        <v>78.989999999999995</v>
      </c>
      <c r="AD748" s="3">
        <f ca="1">IFERROR(__xludf.DUMMYFUNCTION("""COMPUTED_VALUE"""),22.55)</f>
        <v>22.55</v>
      </c>
      <c r="AE748" s="3">
        <f ca="1">IFERROR(__xludf.DUMMYFUNCTION("""COMPUTED_VALUE"""),24.72)</f>
        <v>24.72</v>
      </c>
      <c r="AF748" s="3">
        <f ca="1">IFERROR(__xludf.DUMMYFUNCTION("""COMPUTED_VALUE"""),8.06)</f>
        <v>8.06</v>
      </c>
      <c r="AG748" s="3">
        <f ca="1">IFERROR(__xludf.DUMMYFUNCTION("""COMPUTED_VALUE"""),60.41)</f>
        <v>60.41</v>
      </c>
    </row>
    <row r="749" spans="1:33" ht="12.75" x14ac:dyDescent="0.2">
      <c r="A749" s="4">
        <f ca="1">IFERROR(__xludf.DUMMYFUNCTION("""COMPUTED_VALUE"""),45646.6666666666)</f>
        <v>45646.666666666599</v>
      </c>
      <c r="B749" s="3">
        <f ca="1">IFERROR(__xludf.DUMMYFUNCTION("""COMPUTED_VALUE"""),235.96)</f>
        <v>235.96</v>
      </c>
      <c r="C749" s="3">
        <f ca="1">IFERROR(__xludf.DUMMYFUNCTION("""COMPUTED_VALUE"""),631.61)</f>
        <v>631.61</v>
      </c>
      <c r="D749" s="3">
        <f ca="1">IFERROR(__xludf.DUMMYFUNCTION("""COMPUTED_VALUE"""),165.42)</f>
        <v>165.42</v>
      </c>
      <c r="E749" s="3">
        <f ca="1">IFERROR(__xludf.DUMMYFUNCTION("""COMPUTED_VALUE"""),214.82)</f>
        <v>214.82</v>
      </c>
      <c r="F749" s="3">
        <f ca="1">IFERROR(__xludf.DUMMYFUNCTION("""COMPUTED_VALUE"""),74.96)</f>
        <v>74.959999999999994</v>
      </c>
      <c r="G749" s="3">
        <f ca="1">IFERROR(__xludf.DUMMYFUNCTION("""COMPUTED_VALUE"""),32.29)</f>
        <v>32.29</v>
      </c>
      <c r="H749" s="3">
        <f ca="1">IFERROR(__xludf.DUMMYFUNCTION("""COMPUTED_VALUE"""),31.36)</f>
        <v>31.36</v>
      </c>
      <c r="I749" s="3">
        <f ca="1">IFERROR(__xludf.DUMMYFUNCTION("""COMPUTED_VALUE"""),138)</f>
        <v>138</v>
      </c>
      <c r="J749" s="3">
        <f ca="1">IFERROR(__xludf.DUMMYFUNCTION("""COMPUTED_VALUE"""),253.89)</f>
        <v>253.89</v>
      </c>
      <c r="K749" s="3">
        <f ca="1">IFERROR(__xludf.DUMMYFUNCTION("""COMPUTED_VALUE"""),132.73)</f>
        <v>132.72999999999999</v>
      </c>
      <c r="L749" s="3">
        <f ca="1">IFERROR(__xludf.DUMMYFUNCTION("""COMPUTED_VALUE"""),91.28)</f>
        <v>91.28</v>
      </c>
      <c r="M749" s="3">
        <f ca="1">IFERROR(__xludf.DUMMYFUNCTION("""COMPUTED_VALUE"""),67.22)</f>
        <v>67.22</v>
      </c>
      <c r="N749" s="3">
        <f ca="1">IFERROR(__xludf.DUMMYFUNCTION("""COMPUTED_VALUE"""),65.41)</f>
        <v>65.41</v>
      </c>
      <c r="O749" s="3">
        <f ca="1">IFERROR(__xludf.DUMMYFUNCTION("""COMPUTED_VALUE"""),39.56)</f>
        <v>39.56</v>
      </c>
      <c r="P749" s="3">
        <f ca="1">IFERROR(__xludf.DUMMYFUNCTION("""COMPUTED_VALUE"""),83.93)</f>
        <v>83.93</v>
      </c>
      <c r="Q749" s="3">
        <f ca="1">IFERROR(__xludf.DUMMYFUNCTION("""COMPUTED_VALUE"""),117.74)</f>
        <v>117.74</v>
      </c>
      <c r="R749" s="3">
        <f ca="1">IFERROR(__xludf.DUMMYFUNCTION("""COMPUTED_VALUE"""),85.58)</f>
        <v>85.58</v>
      </c>
      <c r="S749" s="3">
        <f ca="1">IFERROR(__xludf.DUMMYFUNCTION("""COMPUTED_VALUE"""),56.82)</f>
        <v>56.82</v>
      </c>
      <c r="T749" s="3">
        <f ca="1">IFERROR(__xludf.DUMMYFUNCTION("""COMPUTED_VALUE"""),22.02)</f>
        <v>22.02</v>
      </c>
      <c r="U749" s="3">
        <f ca="1">IFERROR(__xludf.DUMMYFUNCTION("""COMPUTED_VALUE"""),73.1)</f>
        <v>73.099999999999994</v>
      </c>
      <c r="V749" s="3">
        <f ca="1">IFERROR(__xludf.DUMMYFUNCTION("""COMPUTED_VALUE"""),33.54)</f>
        <v>33.54</v>
      </c>
      <c r="W749" s="3">
        <f ca="1">IFERROR(__xludf.DUMMYFUNCTION("""COMPUTED_VALUE"""),48.51)</f>
        <v>48.51</v>
      </c>
      <c r="X749" s="3">
        <f ca="1">IFERROR(__xludf.DUMMYFUNCTION("""COMPUTED_VALUE"""),118.1)</f>
        <v>118.1</v>
      </c>
      <c r="Y749" s="3">
        <f ca="1">IFERROR(__xludf.DUMMYFUNCTION("""COMPUTED_VALUE"""),55.84)</f>
        <v>55.84</v>
      </c>
      <c r="Z749" s="3">
        <f ca="1">IFERROR(__xludf.DUMMYFUNCTION("""COMPUTED_VALUE"""),110.8)</f>
        <v>110.8</v>
      </c>
      <c r="AA749" s="3">
        <f ca="1">IFERROR(__xludf.DUMMYFUNCTION("""COMPUTED_VALUE"""),40.79)</f>
        <v>40.79</v>
      </c>
      <c r="AB749" s="3">
        <f ca="1">IFERROR(__xludf.DUMMYFUNCTION("""COMPUTED_VALUE"""),60.81)</f>
        <v>60.81</v>
      </c>
      <c r="AC749" s="3">
        <f ca="1">IFERROR(__xludf.DUMMYFUNCTION("""COMPUTED_VALUE"""),79.17)</f>
        <v>79.17</v>
      </c>
      <c r="AD749" s="3">
        <f ca="1">IFERROR(__xludf.DUMMYFUNCTION("""COMPUTED_VALUE"""),22.77)</f>
        <v>22.77</v>
      </c>
      <c r="AE749" s="3">
        <f ca="1">IFERROR(__xludf.DUMMYFUNCTION("""COMPUTED_VALUE"""),24.72)</f>
        <v>24.72</v>
      </c>
      <c r="AF749" s="3">
        <f ca="1">IFERROR(__xludf.DUMMYFUNCTION("""COMPUTED_VALUE"""),8.36)</f>
        <v>8.36</v>
      </c>
      <c r="AG749" s="3">
        <f ca="1">IFERROR(__xludf.DUMMYFUNCTION("""COMPUTED_VALUE"""),61.1)</f>
        <v>61.1</v>
      </c>
    </row>
    <row r="750" spans="1:33" ht="12.75" x14ac:dyDescent="0.2">
      <c r="A750" s="4">
        <f ca="1">IFERROR(__xludf.DUMMYFUNCTION("""COMPUTED_VALUE"""),45649.6666666666)</f>
        <v>45649.666666666599</v>
      </c>
      <c r="B750" s="3">
        <f ca="1">IFERROR(__xludf.DUMMYFUNCTION("""COMPUTED_VALUE"""),238.07)</f>
        <v>238.07</v>
      </c>
      <c r="C750" s="3">
        <f ca="1">IFERROR(__xludf.DUMMYFUNCTION("""COMPUTED_VALUE"""),637.45)</f>
        <v>637.45000000000005</v>
      </c>
      <c r="D750" s="3">
        <f ca="1">IFERROR(__xludf.DUMMYFUNCTION("""COMPUTED_VALUE"""),162.96)</f>
        <v>162.96</v>
      </c>
      <c r="E750" s="3">
        <f ca="1">IFERROR(__xludf.DUMMYFUNCTION("""COMPUTED_VALUE"""),221.32)</f>
        <v>221.32</v>
      </c>
      <c r="F750" s="3">
        <f ca="1">IFERROR(__xludf.DUMMYFUNCTION("""COMPUTED_VALUE"""),75.58)</f>
        <v>75.58</v>
      </c>
      <c r="G750" s="3">
        <f ca="1">IFERROR(__xludf.DUMMYFUNCTION("""COMPUTED_VALUE"""),32.38)</f>
        <v>32.380000000000003</v>
      </c>
      <c r="H750" s="3">
        <f ca="1">IFERROR(__xludf.DUMMYFUNCTION("""COMPUTED_VALUE"""),31.39)</f>
        <v>31.39</v>
      </c>
      <c r="I750" s="3">
        <f ca="1">IFERROR(__xludf.DUMMYFUNCTION("""COMPUTED_VALUE"""),138.75)</f>
        <v>138.75</v>
      </c>
      <c r="J750" s="3">
        <f ca="1">IFERROR(__xludf.DUMMYFUNCTION("""COMPUTED_VALUE"""),256.19)</f>
        <v>256.19</v>
      </c>
      <c r="K750" s="3">
        <f ca="1">IFERROR(__xludf.DUMMYFUNCTION("""COMPUTED_VALUE"""),133.61)</f>
        <v>133.61000000000001</v>
      </c>
      <c r="L750" s="3">
        <f ca="1">IFERROR(__xludf.DUMMYFUNCTION("""COMPUTED_VALUE"""),91.89)</f>
        <v>91.89</v>
      </c>
      <c r="M750" s="3">
        <f ca="1">IFERROR(__xludf.DUMMYFUNCTION("""COMPUTED_VALUE"""),67.53)</f>
        <v>67.53</v>
      </c>
      <c r="N750" s="3">
        <f ca="1">IFERROR(__xludf.DUMMYFUNCTION("""COMPUTED_VALUE"""),66.06)</f>
        <v>66.06</v>
      </c>
      <c r="O750" s="3">
        <f ca="1">IFERROR(__xludf.DUMMYFUNCTION("""COMPUTED_VALUE"""),39.68)</f>
        <v>39.68</v>
      </c>
      <c r="P750" s="3">
        <f ca="1">IFERROR(__xludf.DUMMYFUNCTION("""COMPUTED_VALUE"""),84.64)</f>
        <v>84.64</v>
      </c>
      <c r="Q750" s="3">
        <f ca="1">IFERROR(__xludf.DUMMYFUNCTION("""COMPUTED_VALUE"""),118.46)</f>
        <v>118.46</v>
      </c>
      <c r="R750" s="3">
        <f ca="1">IFERROR(__xludf.DUMMYFUNCTION("""COMPUTED_VALUE"""),85.07)</f>
        <v>85.07</v>
      </c>
      <c r="S750" s="3">
        <f ca="1">IFERROR(__xludf.DUMMYFUNCTION("""COMPUTED_VALUE"""),57.1)</f>
        <v>57.1</v>
      </c>
      <c r="T750" s="3">
        <f ca="1">IFERROR(__xludf.DUMMYFUNCTION("""COMPUTED_VALUE"""),20.92)</f>
        <v>20.92</v>
      </c>
      <c r="U750" s="3">
        <f ca="1">IFERROR(__xludf.DUMMYFUNCTION("""COMPUTED_VALUE"""),73.06)</f>
        <v>73.06</v>
      </c>
      <c r="V750" s="3">
        <f ca="1">IFERROR(__xludf.DUMMYFUNCTION("""COMPUTED_VALUE"""),34.06)</f>
        <v>34.06</v>
      </c>
      <c r="W750" s="3">
        <f ca="1">IFERROR(__xludf.DUMMYFUNCTION("""COMPUTED_VALUE"""),48.42)</f>
        <v>48.42</v>
      </c>
      <c r="X750" s="3">
        <f ca="1">IFERROR(__xludf.DUMMYFUNCTION("""COMPUTED_VALUE"""),118.36)</f>
        <v>118.36</v>
      </c>
      <c r="Y750" s="3">
        <f ca="1">IFERROR(__xludf.DUMMYFUNCTION("""COMPUTED_VALUE"""),55.61)</f>
        <v>55.61</v>
      </c>
      <c r="Z750" s="3">
        <f ca="1">IFERROR(__xludf.DUMMYFUNCTION("""COMPUTED_VALUE"""),112.07)</f>
        <v>112.07</v>
      </c>
      <c r="AA750" s="3">
        <f ca="1">IFERROR(__xludf.DUMMYFUNCTION("""COMPUTED_VALUE"""),40.54)</f>
        <v>40.54</v>
      </c>
      <c r="AB750" s="3">
        <f ca="1">IFERROR(__xludf.DUMMYFUNCTION("""COMPUTED_VALUE"""),60.6)</f>
        <v>60.6</v>
      </c>
      <c r="AC750" s="3">
        <f ca="1">IFERROR(__xludf.DUMMYFUNCTION("""COMPUTED_VALUE"""),78.53)</f>
        <v>78.53</v>
      </c>
      <c r="AD750" s="3">
        <f ca="1">IFERROR(__xludf.DUMMYFUNCTION("""COMPUTED_VALUE"""),22.22)</f>
        <v>22.22</v>
      </c>
      <c r="AE750" s="3">
        <f ca="1">IFERROR(__xludf.DUMMYFUNCTION("""COMPUTED_VALUE"""),22.74)</f>
        <v>22.74</v>
      </c>
      <c r="AF750" s="3">
        <f ca="1">IFERROR(__xludf.DUMMYFUNCTION("""COMPUTED_VALUE"""),8.53)</f>
        <v>8.5299999999999994</v>
      </c>
      <c r="AG750" s="3">
        <f ca="1">IFERROR(__xludf.DUMMYFUNCTION("""COMPUTED_VALUE"""),57.99)</f>
        <v>57.99</v>
      </c>
    </row>
    <row r="751" spans="1:33" ht="12.75" x14ac:dyDescent="0.2">
      <c r="A751" s="4">
        <f ca="1">IFERROR(__xludf.DUMMYFUNCTION("""COMPUTED_VALUE"""),45650.5416666666)</f>
        <v>45650.541666666599</v>
      </c>
      <c r="B751" s="3">
        <f ca="1">IFERROR(__xludf.DUMMYFUNCTION("""COMPUTED_VALUE"""),240.53)</f>
        <v>240.53</v>
      </c>
      <c r="C751" s="3">
        <f ca="1">IFERROR(__xludf.DUMMYFUNCTION("""COMPUTED_VALUE"""),644.45)</f>
        <v>644.45000000000005</v>
      </c>
      <c r="D751" s="3">
        <f ca="1">IFERROR(__xludf.DUMMYFUNCTION("""COMPUTED_VALUE"""),161)</f>
        <v>161</v>
      </c>
      <c r="E751" s="3">
        <f ca="1">IFERROR(__xludf.DUMMYFUNCTION("""COMPUTED_VALUE"""),223.6)</f>
        <v>223.6</v>
      </c>
      <c r="F751" s="3">
        <f ca="1">IFERROR(__xludf.DUMMYFUNCTION("""COMPUTED_VALUE"""),76.16)</f>
        <v>76.16</v>
      </c>
      <c r="G751" s="3">
        <f ca="1">IFERROR(__xludf.DUMMYFUNCTION("""COMPUTED_VALUE"""),32.64)</f>
        <v>32.64</v>
      </c>
      <c r="H751" s="3">
        <f ca="1">IFERROR(__xludf.DUMMYFUNCTION("""COMPUTED_VALUE"""),31.64)</f>
        <v>31.64</v>
      </c>
      <c r="I751" s="3">
        <f ca="1">IFERROR(__xludf.DUMMYFUNCTION("""COMPUTED_VALUE"""),139.32)</f>
        <v>139.32</v>
      </c>
      <c r="J751" s="3">
        <f ca="1">IFERROR(__xludf.DUMMYFUNCTION("""COMPUTED_VALUE"""),257.03)</f>
        <v>257.02999999999997</v>
      </c>
      <c r="K751" s="3">
        <f ca="1">IFERROR(__xludf.DUMMYFUNCTION("""COMPUTED_VALUE"""),133.95)</f>
        <v>133.94999999999999</v>
      </c>
      <c r="L751" s="3">
        <f ca="1">IFERROR(__xludf.DUMMYFUNCTION("""COMPUTED_VALUE"""),91.98)</f>
        <v>91.98</v>
      </c>
      <c r="M751" s="3">
        <f ca="1">IFERROR(__xludf.DUMMYFUNCTION("""COMPUTED_VALUE"""),67.46)</f>
        <v>67.459999999999994</v>
      </c>
      <c r="N751" s="3">
        <f ca="1">IFERROR(__xludf.DUMMYFUNCTION("""COMPUTED_VALUE"""),66.21)</f>
        <v>66.209999999999994</v>
      </c>
      <c r="O751" s="3">
        <f ca="1">IFERROR(__xludf.DUMMYFUNCTION("""COMPUTED_VALUE"""),39.88)</f>
        <v>39.880000000000003</v>
      </c>
      <c r="P751" s="3">
        <f ca="1">IFERROR(__xludf.DUMMYFUNCTION("""COMPUTED_VALUE"""),84.57)</f>
        <v>84.57</v>
      </c>
      <c r="Q751" s="3">
        <f ca="1">IFERROR(__xludf.DUMMYFUNCTION("""COMPUTED_VALUE"""),119.37)</f>
        <v>119.37</v>
      </c>
      <c r="R751" s="3">
        <f ca="1">IFERROR(__xludf.DUMMYFUNCTION("""COMPUTED_VALUE"""),85.53)</f>
        <v>85.53</v>
      </c>
      <c r="S751" s="3">
        <f ca="1">IFERROR(__xludf.DUMMYFUNCTION("""COMPUTED_VALUE"""),57.27)</f>
        <v>57.27</v>
      </c>
      <c r="T751" s="3">
        <f ca="1">IFERROR(__xludf.DUMMYFUNCTION("""COMPUTED_VALUE"""),21.04)</f>
        <v>21.04</v>
      </c>
      <c r="U751" s="3">
        <f ca="1">IFERROR(__xludf.DUMMYFUNCTION("""COMPUTED_VALUE"""),73.65)</f>
        <v>73.650000000000006</v>
      </c>
      <c r="V751" s="3">
        <f ca="1">IFERROR(__xludf.DUMMYFUNCTION("""COMPUTED_VALUE"""),34.43)</f>
        <v>34.43</v>
      </c>
      <c r="W751" s="3">
        <f ca="1">IFERROR(__xludf.DUMMYFUNCTION("""COMPUTED_VALUE"""),48.99)</f>
        <v>48.99</v>
      </c>
      <c r="X751" s="3">
        <f ca="1">IFERROR(__xludf.DUMMYFUNCTION("""COMPUTED_VALUE"""),119.86)</f>
        <v>119.86</v>
      </c>
      <c r="Y751" s="3">
        <f ca="1">IFERROR(__xludf.DUMMYFUNCTION("""COMPUTED_VALUE"""),56.08)</f>
        <v>56.08</v>
      </c>
      <c r="Z751" s="3">
        <f ca="1">IFERROR(__xludf.DUMMYFUNCTION("""COMPUTED_VALUE"""),112.39)</f>
        <v>112.39</v>
      </c>
      <c r="AA751" s="3">
        <f ca="1">IFERROR(__xludf.DUMMYFUNCTION("""COMPUTED_VALUE"""),40.81)</f>
        <v>40.81</v>
      </c>
      <c r="AB751" s="3">
        <f ca="1">IFERROR(__xludf.DUMMYFUNCTION("""COMPUTED_VALUE"""),61.04)</f>
        <v>61.04</v>
      </c>
      <c r="AC751" s="3">
        <f ca="1">IFERROR(__xludf.DUMMYFUNCTION("""COMPUTED_VALUE"""),77.74)</f>
        <v>77.739999999999995</v>
      </c>
      <c r="AD751" s="3">
        <f ca="1">IFERROR(__xludf.DUMMYFUNCTION("""COMPUTED_VALUE"""),15.47)</f>
        <v>15.47</v>
      </c>
      <c r="AE751" s="3">
        <f ca="1">IFERROR(__xludf.DUMMYFUNCTION("""COMPUTED_VALUE"""),24.25)</f>
        <v>24.25</v>
      </c>
      <c r="AF751" s="3">
        <f ca="1">IFERROR(__xludf.DUMMYFUNCTION("""COMPUTED_VALUE"""),8.22)</f>
        <v>8.2200000000000006</v>
      </c>
      <c r="AG751" s="3">
        <f ca="1">IFERROR(__xludf.DUMMYFUNCTION("""COMPUTED_VALUE"""),61.25)</f>
        <v>61.25</v>
      </c>
    </row>
    <row r="752" spans="1:33" ht="12.75" x14ac:dyDescent="0.2">
      <c r="A752" s="4">
        <f ca="1">IFERROR(__xludf.DUMMYFUNCTION("""COMPUTED_VALUE"""),45652.6666666666)</f>
        <v>45652.666666666599</v>
      </c>
      <c r="B752" s="3">
        <f ca="1">IFERROR(__xludf.DUMMYFUNCTION("""COMPUTED_VALUE"""),240.69)</f>
        <v>240.69</v>
      </c>
      <c r="C752" s="3">
        <f ca="1">IFERROR(__xludf.DUMMYFUNCTION("""COMPUTED_VALUE"""),645.57)</f>
        <v>645.57000000000005</v>
      </c>
      <c r="D752" s="3">
        <f ca="1">IFERROR(__xludf.DUMMYFUNCTION("""COMPUTED_VALUE"""),159.52)</f>
        <v>159.52000000000001</v>
      </c>
      <c r="E752" s="3">
        <f ca="1">IFERROR(__xludf.DUMMYFUNCTION("""COMPUTED_VALUE"""),223.53)</f>
        <v>223.53</v>
      </c>
      <c r="F752" s="3">
        <f ca="1">IFERROR(__xludf.DUMMYFUNCTION("""COMPUTED_VALUE"""),76.64)</f>
        <v>76.64</v>
      </c>
      <c r="G752" s="3">
        <f ca="1">IFERROR(__xludf.DUMMYFUNCTION("""COMPUTED_VALUE"""),32.92)</f>
        <v>32.92</v>
      </c>
      <c r="H752" s="3">
        <f ca="1">IFERROR(__xludf.DUMMYFUNCTION("""COMPUTED_VALUE"""),31.7)</f>
        <v>31.7</v>
      </c>
      <c r="I752" s="3">
        <f ca="1">IFERROR(__xludf.DUMMYFUNCTION("""COMPUTED_VALUE"""),139.6)</f>
        <v>139.6</v>
      </c>
      <c r="J752" s="3">
        <f ca="1">IFERROR(__xludf.DUMMYFUNCTION("""COMPUTED_VALUE"""),257.87)</f>
        <v>257.87</v>
      </c>
      <c r="K752" s="3">
        <f ca="1">IFERROR(__xludf.DUMMYFUNCTION("""COMPUTED_VALUE"""),134.67)</f>
        <v>134.66999999999999</v>
      </c>
      <c r="L752" s="3">
        <f ca="1">IFERROR(__xludf.DUMMYFUNCTION("""COMPUTED_VALUE"""),92.65)</f>
        <v>92.65</v>
      </c>
      <c r="M752" s="3">
        <f ca="1">IFERROR(__xludf.DUMMYFUNCTION("""COMPUTED_VALUE"""),67.85)</f>
        <v>67.849999999999994</v>
      </c>
      <c r="N752" s="3">
        <f ca="1">IFERROR(__xludf.DUMMYFUNCTION("""COMPUTED_VALUE"""),66.4)</f>
        <v>66.400000000000006</v>
      </c>
      <c r="O752" s="3">
        <f ca="1">IFERROR(__xludf.DUMMYFUNCTION("""COMPUTED_VALUE"""),39.91)</f>
        <v>39.909999999999997</v>
      </c>
      <c r="P752" s="3">
        <f ca="1">IFERROR(__xludf.DUMMYFUNCTION("""COMPUTED_VALUE"""),84.56)</f>
        <v>84.56</v>
      </c>
      <c r="Q752" s="3">
        <f ca="1">IFERROR(__xludf.DUMMYFUNCTION("""COMPUTED_VALUE"""),119.25)</f>
        <v>119.25</v>
      </c>
      <c r="R752" s="3">
        <f ca="1">IFERROR(__xludf.DUMMYFUNCTION("""COMPUTED_VALUE"""),85.4)</f>
        <v>85.4</v>
      </c>
      <c r="S752" s="3">
        <f ca="1">IFERROR(__xludf.DUMMYFUNCTION("""COMPUTED_VALUE"""),57.39)</f>
        <v>57.39</v>
      </c>
      <c r="T752" s="3">
        <f ca="1">IFERROR(__xludf.DUMMYFUNCTION("""COMPUTED_VALUE"""),20.98)</f>
        <v>20.98</v>
      </c>
      <c r="U752" s="3">
        <f ca="1">IFERROR(__xludf.DUMMYFUNCTION("""COMPUTED_VALUE"""),73.13)</f>
        <v>73.13</v>
      </c>
      <c r="V752" s="3">
        <f ca="1">IFERROR(__xludf.DUMMYFUNCTION("""COMPUTED_VALUE"""),34.39)</f>
        <v>34.39</v>
      </c>
      <c r="W752" s="3">
        <f ca="1">IFERROR(__xludf.DUMMYFUNCTION("""COMPUTED_VALUE"""),49.11)</f>
        <v>49.11</v>
      </c>
      <c r="X752" s="3">
        <f ca="1">IFERROR(__xludf.DUMMYFUNCTION("""COMPUTED_VALUE"""),120.11)</f>
        <v>120.11</v>
      </c>
      <c r="Y752" s="3">
        <f ca="1">IFERROR(__xludf.DUMMYFUNCTION("""COMPUTED_VALUE"""),56.39)</f>
        <v>56.39</v>
      </c>
      <c r="Z752" s="3">
        <f ca="1">IFERROR(__xludf.DUMMYFUNCTION("""COMPUTED_VALUE"""),111.55)</f>
        <v>111.55</v>
      </c>
      <c r="AA752" s="3">
        <f ca="1">IFERROR(__xludf.DUMMYFUNCTION("""COMPUTED_VALUE"""),40.87)</f>
        <v>40.869999999999997</v>
      </c>
      <c r="AB752" s="3">
        <f ca="1">IFERROR(__xludf.DUMMYFUNCTION("""COMPUTED_VALUE"""),61.33)</f>
        <v>61.33</v>
      </c>
      <c r="AC752" s="3">
        <f ca="1">IFERROR(__xludf.DUMMYFUNCTION("""COMPUTED_VALUE"""),77.81)</f>
        <v>77.81</v>
      </c>
      <c r="AD752" s="3">
        <f ca="1">IFERROR(__xludf.DUMMYFUNCTION("""COMPUTED_VALUE"""),14.81)</f>
        <v>14.81</v>
      </c>
      <c r="AE752" s="3">
        <f ca="1">IFERROR(__xludf.DUMMYFUNCTION("""COMPUTED_VALUE"""),23.33)</f>
        <v>23.33</v>
      </c>
      <c r="AF752" s="3">
        <f ca="1">IFERROR(__xludf.DUMMYFUNCTION("""COMPUTED_VALUE"""),7.75)</f>
        <v>7.75</v>
      </c>
      <c r="AG752" s="3">
        <f ca="1">IFERROR(__xludf.DUMMYFUNCTION("""COMPUTED_VALUE"""),60.82)</f>
        <v>60.82</v>
      </c>
    </row>
    <row r="753" spans="1:33" ht="12.75" x14ac:dyDescent="0.2">
      <c r="A753" s="4">
        <f ca="1">IFERROR(__xludf.DUMMYFUNCTION("""COMPUTED_VALUE"""),45653.6666666666)</f>
        <v>45653.666666666599</v>
      </c>
      <c r="B753" s="3">
        <f ca="1">IFERROR(__xludf.DUMMYFUNCTION("""COMPUTED_VALUE"""),237.49)</f>
        <v>237.49</v>
      </c>
      <c r="C753" s="3">
        <f ca="1">IFERROR(__xludf.DUMMYFUNCTION("""COMPUTED_VALUE"""),635.5)</f>
        <v>635.5</v>
      </c>
      <c r="E753" s="3">
        <f ca="1">IFERROR(__xludf.DUMMYFUNCTION("""COMPUTED_VALUE"""),221.64)</f>
        <v>221.64</v>
      </c>
      <c r="F753" s="3">
        <f ca="1">IFERROR(__xludf.DUMMYFUNCTION("""COMPUTED_VALUE"""),75.85)</f>
        <v>75.849999999999994</v>
      </c>
      <c r="G753" s="3">
        <f ca="1">IFERROR(__xludf.DUMMYFUNCTION("""COMPUTED_VALUE"""),32.52)</f>
        <v>32.520000000000003</v>
      </c>
      <c r="H753" s="3">
        <f ca="1">IFERROR(__xludf.DUMMYFUNCTION("""COMPUTED_VALUE"""),31.32)</f>
        <v>31.32</v>
      </c>
      <c r="I753" s="3">
        <f ca="1">IFERROR(__xludf.DUMMYFUNCTION("""COMPUTED_VALUE"""),138.95)</f>
        <v>138.94999999999999</v>
      </c>
      <c r="J753" s="3">
        <f ca="1">IFERROR(__xludf.DUMMYFUNCTION("""COMPUTED_VALUE"""),256.38)</f>
        <v>256.38</v>
      </c>
      <c r="K753" s="3">
        <f ca="1">IFERROR(__xludf.DUMMYFUNCTION("""COMPUTED_VALUE"""),133.52)</f>
        <v>133.52000000000001</v>
      </c>
      <c r="L753" s="3">
        <f ca="1">IFERROR(__xludf.DUMMYFUNCTION("""COMPUTED_VALUE"""),91.35)</f>
        <v>91.35</v>
      </c>
      <c r="M753" s="3">
        <f ca="1">IFERROR(__xludf.DUMMYFUNCTION("""COMPUTED_VALUE"""),67.33)</f>
        <v>67.33</v>
      </c>
      <c r="N753" s="3">
        <f ca="1">IFERROR(__xludf.DUMMYFUNCTION("""COMPUTED_VALUE"""),66.09)</f>
        <v>66.09</v>
      </c>
      <c r="O753" s="3">
        <f ca="1">IFERROR(__xludf.DUMMYFUNCTION("""COMPUTED_VALUE"""),39.34)</f>
        <v>39.340000000000003</v>
      </c>
      <c r="P753" s="3">
        <f ca="1">IFERROR(__xludf.DUMMYFUNCTION("""COMPUTED_VALUE"""),84.55)</f>
        <v>84.55</v>
      </c>
      <c r="Q753" s="3">
        <f ca="1">IFERROR(__xludf.DUMMYFUNCTION("""COMPUTED_VALUE"""),119.27)</f>
        <v>119.27</v>
      </c>
      <c r="R753" s="3">
        <f ca="1">IFERROR(__xludf.DUMMYFUNCTION("""COMPUTED_VALUE"""),84.94)</f>
        <v>84.94</v>
      </c>
      <c r="S753" s="3">
        <f ca="1">IFERROR(__xludf.DUMMYFUNCTION("""COMPUTED_VALUE"""),56.69)</f>
        <v>56.69</v>
      </c>
      <c r="T753" s="3">
        <f ca="1">IFERROR(__xludf.DUMMYFUNCTION("""COMPUTED_VALUE"""),21.08)</f>
        <v>21.08</v>
      </c>
      <c r="U753" s="3">
        <f ca="1">IFERROR(__xludf.DUMMYFUNCTION("""COMPUTED_VALUE"""),73.85)</f>
        <v>73.849999999999994</v>
      </c>
      <c r="V753" s="3">
        <f ca="1">IFERROR(__xludf.DUMMYFUNCTION("""COMPUTED_VALUE"""),33.95)</f>
        <v>33.950000000000003</v>
      </c>
      <c r="W753" s="3">
        <f ca="1">IFERROR(__xludf.DUMMYFUNCTION("""COMPUTED_VALUE"""),48.75)</f>
        <v>48.75</v>
      </c>
      <c r="X753" s="3">
        <f ca="1">IFERROR(__xludf.DUMMYFUNCTION("""COMPUTED_VALUE"""),119.27)</f>
        <v>119.27</v>
      </c>
      <c r="Y753" s="3">
        <f ca="1">IFERROR(__xludf.DUMMYFUNCTION("""COMPUTED_VALUE"""),55.72)</f>
        <v>55.72</v>
      </c>
      <c r="Z753" s="3">
        <f ca="1">IFERROR(__xludf.DUMMYFUNCTION("""COMPUTED_VALUE"""),110.57)</f>
        <v>110.57</v>
      </c>
      <c r="AA753" s="3">
        <f ca="1">IFERROR(__xludf.DUMMYFUNCTION("""COMPUTED_VALUE"""),40.54)</f>
        <v>40.54</v>
      </c>
      <c r="AB753" s="3">
        <f ca="1">IFERROR(__xludf.DUMMYFUNCTION("""COMPUTED_VALUE"""),60.57)</f>
        <v>60.57</v>
      </c>
      <c r="AD753" s="3">
        <f ca="1">IFERROR(__xludf.DUMMYFUNCTION("""COMPUTED_VALUE"""),14.73)</f>
        <v>14.73</v>
      </c>
      <c r="AE753" s="3">
        <f ca="1">IFERROR(__xludf.DUMMYFUNCTION("""COMPUTED_VALUE"""),23.06)</f>
        <v>23.06</v>
      </c>
      <c r="AF753" s="3">
        <f ca="1">IFERROR(__xludf.DUMMYFUNCTION("""COMPUTED_VALUE"""),7.3)</f>
        <v>7.3</v>
      </c>
      <c r="AG753" s="3">
        <f ca="1">IFERROR(__xludf.DUMMYFUNCTION("""COMPUTED_VALUE"""),57.91)</f>
        <v>57.91</v>
      </c>
    </row>
    <row r="754" spans="1:33" ht="12.75" x14ac:dyDescent="0.2">
      <c r="A754" s="4">
        <f ca="1">IFERROR(__xludf.DUMMYFUNCTION("""COMPUTED_VALUE"""),45656.6666666666)</f>
        <v>45656.666666666599</v>
      </c>
      <c r="B754" s="3">
        <f ca="1">IFERROR(__xludf.DUMMYFUNCTION("""COMPUTED_VALUE"""),234.47)</f>
        <v>234.47</v>
      </c>
      <c r="C754" s="3">
        <f ca="1">IFERROR(__xludf.DUMMYFUNCTION("""COMPUTED_VALUE"""),627.57)</f>
        <v>627.57000000000005</v>
      </c>
      <c r="E754" s="3">
        <f ca="1">IFERROR(__xludf.DUMMYFUNCTION("""COMPUTED_VALUE"""),217.28)</f>
        <v>217.28</v>
      </c>
      <c r="F754" s="3">
        <f ca="1">IFERROR(__xludf.DUMMYFUNCTION("""COMPUTED_VALUE"""),74.83)</f>
        <v>74.83</v>
      </c>
      <c r="G754" s="3">
        <f ca="1">IFERROR(__xludf.DUMMYFUNCTION("""COMPUTED_VALUE"""),32.22)</f>
        <v>32.22</v>
      </c>
      <c r="H754" s="3">
        <f ca="1">IFERROR(__xludf.DUMMYFUNCTION("""COMPUTED_VALUE"""),30.91)</f>
        <v>30.91</v>
      </c>
      <c r="I754" s="3">
        <f ca="1">IFERROR(__xludf.DUMMYFUNCTION("""COMPUTED_VALUE"""),137.24)</f>
        <v>137.24</v>
      </c>
      <c r="J754" s="3">
        <f ca="1">IFERROR(__xludf.DUMMYFUNCTION("""COMPUTED_VALUE"""),253.18)</f>
        <v>253.18</v>
      </c>
      <c r="K754" s="3">
        <f ca="1">IFERROR(__xludf.DUMMYFUNCTION("""COMPUTED_VALUE"""),131.67)</f>
        <v>131.66999999999999</v>
      </c>
      <c r="L754" s="3">
        <f ca="1">IFERROR(__xludf.DUMMYFUNCTION("""COMPUTED_VALUE"""),89.89)</f>
        <v>89.89</v>
      </c>
      <c r="M754" s="3">
        <f ca="1">IFERROR(__xludf.DUMMYFUNCTION("""COMPUTED_VALUE"""),66.49)</f>
        <v>66.489999999999995</v>
      </c>
      <c r="N754" s="3">
        <f ca="1">IFERROR(__xludf.DUMMYFUNCTION("""COMPUTED_VALUE"""),65.28)</f>
        <v>65.28</v>
      </c>
      <c r="O754" s="3">
        <f ca="1">IFERROR(__xludf.DUMMYFUNCTION("""COMPUTED_VALUE"""),38.68)</f>
        <v>38.68</v>
      </c>
      <c r="P754" s="3">
        <f ca="1">IFERROR(__xludf.DUMMYFUNCTION("""COMPUTED_VALUE"""),85.66)</f>
        <v>85.66</v>
      </c>
      <c r="Q754" s="3">
        <f ca="1">IFERROR(__xludf.DUMMYFUNCTION("""COMPUTED_VALUE"""),119.65)</f>
        <v>119.65</v>
      </c>
      <c r="R754" s="3">
        <f ca="1">IFERROR(__xludf.DUMMYFUNCTION("""COMPUTED_VALUE"""),83.8)</f>
        <v>83.8</v>
      </c>
      <c r="S754" s="3">
        <f ca="1">IFERROR(__xludf.DUMMYFUNCTION("""COMPUTED_VALUE"""),56.27)</f>
        <v>56.27</v>
      </c>
      <c r="T754" s="3">
        <f ca="1">IFERROR(__xludf.DUMMYFUNCTION("""COMPUTED_VALUE"""),21.27)</f>
        <v>21.27</v>
      </c>
      <c r="U754" s="3">
        <f ca="1">IFERROR(__xludf.DUMMYFUNCTION("""COMPUTED_VALUE"""),74.82)</f>
        <v>74.819999999999993</v>
      </c>
      <c r="V754" s="3">
        <f ca="1">IFERROR(__xludf.DUMMYFUNCTION("""COMPUTED_VALUE"""),33.62)</f>
        <v>33.619999999999997</v>
      </c>
      <c r="W754" s="3">
        <f ca="1">IFERROR(__xludf.DUMMYFUNCTION("""COMPUTED_VALUE"""),48.28)</f>
        <v>48.28</v>
      </c>
      <c r="X754" s="3">
        <f ca="1">IFERROR(__xludf.DUMMYFUNCTION("""COMPUTED_VALUE"""),118.05)</f>
        <v>118.05</v>
      </c>
      <c r="Y754" s="3">
        <f ca="1">IFERROR(__xludf.DUMMYFUNCTION("""COMPUTED_VALUE"""),55.49)</f>
        <v>55.49</v>
      </c>
      <c r="Z754" s="3">
        <f ca="1">IFERROR(__xludf.DUMMYFUNCTION("""COMPUTED_VALUE"""),110.58)</f>
        <v>110.58</v>
      </c>
      <c r="AA754" s="3">
        <f ca="1">IFERROR(__xludf.DUMMYFUNCTION("""COMPUTED_VALUE"""),40.35)</f>
        <v>40.35</v>
      </c>
      <c r="AB754" s="3">
        <f ca="1">IFERROR(__xludf.DUMMYFUNCTION("""COMPUTED_VALUE"""),60.42)</f>
        <v>60.42</v>
      </c>
      <c r="AD754" s="3">
        <f ca="1">IFERROR(__xludf.DUMMYFUNCTION("""COMPUTED_VALUE"""),14.84)</f>
        <v>14.84</v>
      </c>
      <c r="AE754" s="3">
        <f ca="1">IFERROR(__xludf.DUMMYFUNCTION("""COMPUTED_VALUE"""),22.99)</f>
        <v>22.99</v>
      </c>
      <c r="AF754" s="3">
        <f ca="1">IFERROR(__xludf.DUMMYFUNCTION("""COMPUTED_VALUE"""),7.53)</f>
        <v>7.53</v>
      </c>
      <c r="AG754" s="3">
        <f ca="1">IFERROR(__xludf.DUMMYFUNCTION("""COMPUTED_VALUE"""),52.29)</f>
        <v>52.29</v>
      </c>
    </row>
    <row r="755" spans="1:33" ht="12.75" x14ac:dyDescent="0.2">
      <c r="A755" s="4">
        <f ca="1">IFERROR(__xludf.DUMMYFUNCTION("""COMPUTED_VALUE"""),45657.6666666666)</f>
        <v>45657.666666666599</v>
      </c>
      <c r="B755" s="3">
        <f ca="1">IFERROR(__xludf.DUMMYFUNCTION("""COMPUTED_VALUE"""),232.52)</f>
        <v>232.52</v>
      </c>
      <c r="C755" s="3">
        <f ca="1">IFERROR(__xludf.DUMMYFUNCTION("""COMPUTED_VALUE"""),621.8)</f>
        <v>621.79999999999995</v>
      </c>
      <c r="E755" s="3">
        <f ca="1">IFERROR(__xludf.DUMMYFUNCTION("""COMPUTED_VALUE"""),215.49)</f>
        <v>215.49</v>
      </c>
      <c r="F755" s="3">
        <f ca="1">IFERROR(__xludf.DUMMYFUNCTION("""COMPUTED_VALUE"""),74.49)</f>
        <v>74.489999999999995</v>
      </c>
      <c r="G755" s="3">
        <f ca="1">IFERROR(__xludf.DUMMYFUNCTION("""COMPUTED_VALUE"""),31.95)</f>
        <v>31.95</v>
      </c>
      <c r="H755" s="3">
        <f ca="1">IFERROR(__xludf.DUMMYFUNCTION("""COMPUTED_VALUE"""),30.88)</f>
        <v>30.88</v>
      </c>
      <c r="I755" s="3">
        <f ca="1">IFERROR(__xludf.DUMMYFUNCTION("""COMPUTED_VALUE"""),137.57)</f>
        <v>137.57</v>
      </c>
      <c r="J755" s="3">
        <f ca="1">IFERROR(__xludf.DUMMYFUNCTION("""COMPUTED_VALUE"""),253.69)</f>
        <v>253.69</v>
      </c>
      <c r="K755" s="3">
        <f ca="1">IFERROR(__xludf.DUMMYFUNCTION("""COMPUTED_VALUE"""),132.21)</f>
        <v>132.21</v>
      </c>
      <c r="L755" s="3">
        <f ca="1">IFERROR(__xludf.DUMMYFUNCTION("""COMPUTED_VALUE"""),90.06)</f>
        <v>90.06</v>
      </c>
      <c r="M755" s="3">
        <f ca="1">IFERROR(__xludf.DUMMYFUNCTION("""COMPUTED_VALUE"""),66.53)</f>
        <v>66.53</v>
      </c>
      <c r="N755" s="3">
        <f ca="1">IFERROR(__xludf.DUMMYFUNCTION("""COMPUTED_VALUE"""),65.35)</f>
        <v>65.349999999999994</v>
      </c>
      <c r="O755" s="3">
        <f ca="1">IFERROR(__xludf.DUMMYFUNCTION("""COMPUTED_VALUE"""),38.84)</f>
        <v>38.840000000000003</v>
      </c>
      <c r="Q755" s="3">
        <f ca="1">IFERROR(__xludf.DUMMYFUNCTION("""COMPUTED_VALUE"""),121.31)</f>
        <v>121.31</v>
      </c>
      <c r="R755" s="3">
        <f ca="1">IFERROR(__xludf.DUMMYFUNCTION("""COMPUTED_VALUE"""),84.14)</f>
        <v>84.14</v>
      </c>
      <c r="S755" s="3">
        <f ca="1">IFERROR(__xludf.DUMMYFUNCTION("""COMPUTED_VALUE"""),56.75)</f>
        <v>56.75</v>
      </c>
      <c r="T755" s="3">
        <f ca="1">IFERROR(__xludf.DUMMYFUNCTION("""COMPUTED_VALUE"""),21.38)</f>
        <v>21.38</v>
      </c>
      <c r="U755" s="3">
        <f ca="1">IFERROR(__xludf.DUMMYFUNCTION("""COMPUTED_VALUE"""),75.55)</f>
        <v>75.55</v>
      </c>
      <c r="V755" s="3">
        <f ca="1">IFERROR(__xludf.DUMMYFUNCTION("""COMPUTED_VALUE"""),33.12)</f>
        <v>33.119999999999997</v>
      </c>
      <c r="W755" s="3">
        <f ca="1">IFERROR(__xludf.DUMMYFUNCTION("""COMPUTED_VALUE"""),48.33)</f>
        <v>48.33</v>
      </c>
      <c r="X755" s="3">
        <f ca="1">IFERROR(__xludf.DUMMYFUNCTION("""COMPUTED_VALUE"""),118.07)</f>
        <v>118.07</v>
      </c>
      <c r="Y755" s="3">
        <f ca="1">IFERROR(__xludf.DUMMYFUNCTION("""COMPUTED_VALUE"""),55.47)</f>
        <v>55.47</v>
      </c>
      <c r="AA755" s="3">
        <f ca="1">IFERROR(__xludf.DUMMYFUNCTION("""COMPUTED_VALUE"""),40.67)</f>
        <v>40.67</v>
      </c>
      <c r="AB755" s="3">
        <f ca="1">IFERROR(__xludf.DUMMYFUNCTION("""COMPUTED_VALUE"""),60.35)</f>
        <v>60.35</v>
      </c>
      <c r="AD755" s="3">
        <f ca="1">IFERROR(__xludf.DUMMYFUNCTION("""COMPUTED_VALUE"""),14.65)</f>
        <v>14.65</v>
      </c>
      <c r="AE755" s="3">
        <f ca="1">IFERROR(__xludf.DUMMYFUNCTION("""COMPUTED_VALUE"""),22.78)</f>
        <v>22.78</v>
      </c>
      <c r="AF755" s="3">
        <f ca="1">IFERROR(__xludf.DUMMYFUNCTION("""COMPUTED_VALUE"""),7.31)</f>
        <v>7.31</v>
      </c>
      <c r="AG755" s="3">
        <f ca="1">IFERROR(__xludf.DUMMYFUNCTION("""COMPUTED_VALUE"""),51.23)</f>
        <v>51.23</v>
      </c>
    </row>
    <row r="756" spans="1:33" ht="12.75" x14ac:dyDescent="0.2">
      <c r="A756" s="4"/>
      <c r="AF756" s="3">
        <f ca="1">IFERROR(__xludf.DUMMYFUNCTION("""COMPUTED_VALUE"""),7.52)</f>
        <v>7.52</v>
      </c>
    </row>
    <row r="757" spans="1:33" ht="12.75" x14ac:dyDescent="0.2">
      <c r="A757" s="4"/>
      <c r="AF757" s="3">
        <f ca="1">IFERROR(__xludf.DUMMYFUNCTION("""COMPUTED_VALUE"""),7.18)</f>
        <v>7.18</v>
      </c>
    </row>
    <row r="758" spans="1:33" ht="12.75" x14ac:dyDescent="0.2">
      <c r="A758" s="4"/>
      <c r="AF758" s="3">
        <f ca="1">IFERROR(__xludf.DUMMYFUNCTION("""COMPUTED_VALUE"""),6.91)</f>
        <v>6.91</v>
      </c>
    </row>
    <row r="759" spans="1:33" ht="12.75" x14ac:dyDescent="0.2">
      <c r="A759" s="4"/>
    </row>
    <row r="760" spans="1:33" ht="12.75" x14ac:dyDescent="0.2">
      <c r="A760" s="4"/>
    </row>
    <row r="761" spans="1:33" ht="12.75" x14ac:dyDescent="0.2">
      <c r="A761" s="4"/>
    </row>
    <row r="762" spans="1:33" ht="12.75" x14ac:dyDescent="0.2">
      <c r="A762" s="4"/>
    </row>
    <row r="763" spans="1:33" ht="12.75" x14ac:dyDescent="0.2">
      <c r="A763" s="4"/>
    </row>
    <row r="764" spans="1:33" ht="12.75" x14ac:dyDescent="0.2">
      <c r="A764" s="4"/>
    </row>
    <row r="765" spans="1:33" ht="12.75" x14ac:dyDescent="0.2">
      <c r="A765" s="4"/>
    </row>
    <row r="766" spans="1:33" ht="12.75" x14ac:dyDescent="0.2">
      <c r="A766" s="4"/>
    </row>
    <row r="767" spans="1:33" ht="12.75" x14ac:dyDescent="0.2">
      <c r="A767" s="4"/>
    </row>
    <row r="768" spans="1:33" ht="12.75" x14ac:dyDescent="0.2">
      <c r="A768" s="4"/>
    </row>
    <row r="769" spans="1:1" ht="12.75" x14ac:dyDescent="0.2">
      <c r="A769" s="4"/>
    </row>
    <row r="770" spans="1:1" ht="12.75" x14ac:dyDescent="0.2">
      <c r="A770" s="4"/>
    </row>
    <row r="771" spans="1:1" ht="12.75" x14ac:dyDescent="0.2">
      <c r="A771" s="4"/>
    </row>
    <row r="772" spans="1:1" ht="12.75" x14ac:dyDescent="0.2">
      <c r="A772" s="4"/>
    </row>
    <row r="773" spans="1:1" ht="12.75" x14ac:dyDescent="0.2">
      <c r="A773" s="4"/>
    </row>
    <row r="774" spans="1:1" ht="12.75" x14ac:dyDescent="0.2">
      <c r="A774" s="4"/>
    </row>
    <row r="775" spans="1:1" ht="12.75" x14ac:dyDescent="0.2">
      <c r="A775" s="4"/>
    </row>
    <row r="776" spans="1:1" ht="12.75" x14ac:dyDescent="0.2">
      <c r="A776" s="4"/>
    </row>
    <row r="777" spans="1:1" ht="12.75" x14ac:dyDescent="0.2">
      <c r="A777" s="4"/>
    </row>
    <row r="778" spans="1:1" ht="12.75" x14ac:dyDescent="0.2">
      <c r="A778" s="4"/>
    </row>
    <row r="779" spans="1:1" ht="12.75" x14ac:dyDescent="0.2">
      <c r="A779" s="4"/>
    </row>
    <row r="780" spans="1:1" ht="12.75" x14ac:dyDescent="0.2">
      <c r="A780" s="4"/>
    </row>
    <row r="781" spans="1:1" ht="12.75" x14ac:dyDescent="0.2">
      <c r="A781" s="4"/>
    </row>
    <row r="782" spans="1:1" ht="12.75" x14ac:dyDescent="0.2">
      <c r="A782" s="4"/>
    </row>
    <row r="783" spans="1:1" ht="12.75" x14ac:dyDescent="0.2">
      <c r="A783" s="4"/>
    </row>
    <row r="784" spans="1:1" ht="12.75" x14ac:dyDescent="0.2">
      <c r="A784" s="4"/>
    </row>
    <row r="785" spans="1:1" ht="12.75" x14ac:dyDescent="0.2">
      <c r="A785" s="4"/>
    </row>
    <row r="786" spans="1:1" ht="12.75" x14ac:dyDescent="0.2">
      <c r="A786" s="4"/>
    </row>
    <row r="787" spans="1:1" ht="12.75" x14ac:dyDescent="0.2">
      <c r="A787" s="4"/>
    </row>
    <row r="788" spans="1:1" ht="12.75" x14ac:dyDescent="0.2">
      <c r="A788" s="4"/>
    </row>
    <row r="789" spans="1:1" ht="12.75" x14ac:dyDescent="0.2">
      <c r="A789" s="4"/>
    </row>
    <row r="790" spans="1:1" ht="12.75" x14ac:dyDescent="0.2">
      <c r="A790" s="4"/>
    </row>
    <row r="791" spans="1:1" ht="12.75" x14ac:dyDescent="0.2">
      <c r="A791" s="4"/>
    </row>
    <row r="792" spans="1:1" ht="12.75" x14ac:dyDescent="0.2">
      <c r="A792" s="4"/>
    </row>
    <row r="793" spans="1:1" ht="12.75" x14ac:dyDescent="0.2">
      <c r="A793" s="4"/>
    </row>
    <row r="794" spans="1:1" ht="12.75" x14ac:dyDescent="0.2">
      <c r="A794" s="4"/>
    </row>
    <row r="795" spans="1:1" ht="12.75" x14ac:dyDescent="0.2">
      <c r="A795" s="4"/>
    </row>
    <row r="796" spans="1:1" ht="12.75" x14ac:dyDescent="0.2">
      <c r="A796" s="4"/>
    </row>
    <row r="797" spans="1:1" ht="12.75" x14ac:dyDescent="0.2">
      <c r="A797" s="4"/>
    </row>
    <row r="798" spans="1:1" ht="12.75" x14ac:dyDescent="0.2">
      <c r="A798" s="4"/>
    </row>
    <row r="799" spans="1:1" ht="12.75" x14ac:dyDescent="0.2">
      <c r="A799" s="4"/>
    </row>
    <row r="800" spans="1:1" ht="12.75" x14ac:dyDescent="0.2">
      <c r="A800" s="4"/>
    </row>
    <row r="801" spans="1:1" ht="12.75" x14ac:dyDescent="0.2">
      <c r="A801" s="4"/>
    </row>
    <row r="802" spans="1:1" ht="12.75" x14ac:dyDescent="0.2">
      <c r="A802" s="4"/>
    </row>
    <row r="803" spans="1:1" ht="12.75" x14ac:dyDescent="0.2">
      <c r="A803" s="4"/>
    </row>
    <row r="804" spans="1:1" ht="12.75" x14ac:dyDescent="0.2">
      <c r="A804" s="4"/>
    </row>
    <row r="805" spans="1:1" ht="12.75" x14ac:dyDescent="0.2">
      <c r="A805" s="4"/>
    </row>
    <row r="806" spans="1:1" ht="12.75" x14ac:dyDescent="0.2">
      <c r="A806" s="4"/>
    </row>
    <row r="807" spans="1:1" ht="12.75" x14ac:dyDescent="0.2">
      <c r="A807" s="4"/>
    </row>
    <row r="808" spans="1:1" ht="12.75" x14ac:dyDescent="0.2">
      <c r="A808" s="4"/>
    </row>
    <row r="809" spans="1:1" ht="12.75" x14ac:dyDescent="0.2">
      <c r="A809" s="4"/>
    </row>
    <row r="810" spans="1:1" ht="12.75" x14ac:dyDescent="0.2">
      <c r="A810" s="4"/>
    </row>
    <row r="811" spans="1:1" ht="12.75" x14ac:dyDescent="0.2">
      <c r="A811" s="4"/>
    </row>
    <row r="812" spans="1:1" ht="12.75" x14ac:dyDescent="0.2">
      <c r="A812" s="4"/>
    </row>
    <row r="813" spans="1:1" ht="12.75" x14ac:dyDescent="0.2">
      <c r="A813" s="4"/>
    </row>
    <row r="814" spans="1:1" ht="12.75" x14ac:dyDescent="0.2">
      <c r="A814" s="4"/>
    </row>
    <row r="815" spans="1:1" ht="12.75" x14ac:dyDescent="0.2">
      <c r="A815" s="4"/>
    </row>
    <row r="816" spans="1:1" ht="12.75" x14ac:dyDescent="0.2">
      <c r="A816" s="4"/>
    </row>
    <row r="817" spans="1:1" ht="12.75" x14ac:dyDescent="0.2">
      <c r="A817" s="4"/>
    </row>
    <row r="818" spans="1:1" ht="12.75" x14ac:dyDescent="0.2">
      <c r="A818" s="4"/>
    </row>
    <row r="819" spans="1:1" ht="12.75" x14ac:dyDescent="0.2">
      <c r="A819" s="4"/>
    </row>
    <row r="820" spans="1:1" ht="12.75" x14ac:dyDescent="0.2">
      <c r="A820" s="4"/>
    </row>
    <row r="821" spans="1:1" ht="12.75" x14ac:dyDescent="0.2">
      <c r="A821" s="4"/>
    </row>
    <row r="822" spans="1:1" ht="12.75" x14ac:dyDescent="0.2">
      <c r="A822" s="4"/>
    </row>
    <row r="823" spans="1:1" ht="12.75" x14ac:dyDescent="0.2">
      <c r="A823" s="4"/>
    </row>
    <row r="824" spans="1:1" ht="12.75" x14ac:dyDescent="0.2">
      <c r="A824" s="4"/>
    </row>
    <row r="825" spans="1:1" ht="12.75" x14ac:dyDescent="0.2">
      <c r="A825" s="4"/>
    </row>
    <row r="826" spans="1:1" ht="12.75" x14ac:dyDescent="0.2">
      <c r="A826" s="4"/>
    </row>
    <row r="827" spans="1:1" ht="12.75" x14ac:dyDescent="0.2">
      <c r="A827" s="4"/>
    </row>
    <row r="828" spans="1:1" ht="12.75" x14ac:dyDescent="0.2">
      <c r="A828" s="4"/>
    </row>
    <row r="829" spans="1:1" ht="12.75" x14ac:dyDescent="0.2">
      <c r="A829" s="4"/>
    </row>
    <row r="830" spans="1:1" ht="12.75" x14ac:dyDescent="0.2">
      <c r="A830" s="4"/>
    </row>
    <row r="831" spans="1:1" ht="12.75" x14ac:dyDescent="0.2">
      <c r="A831" s="4"/>
    </row>
    <row r="832" spans="1:1" ht="12.75" x14ac:dyDescent="0.2">
      <c r="A832" s="4"/>
    </row>
    <row r="833" spans="1:1" ht="12.75" x14ac:dyDescent="0.2">
      <c r="A833" s="4"/>
    </row>
    <row r="834" spans="1:1" ht="12.75" x14ac:dyDescent="0.2">
      <c r="A834" s="4"/>
    </row>
    <row r="835" spans="1:1" ht="12.75" x14ac:dyDescent="0.2">
      <c r="A835" s="4"/>
    </row>
    <row r="836" spans="1:1" ht="12.75" x14ac:dyDescent="0.2">
      <c r="A836" s="4"/>
    </row>
    <row r="837" spans="1:1" ht="12.75" x14ac:dyDescent="0.2">
      <c r="A837" s="4"/>
    </row>
    <row r="838" spans="1:1" ht="12.75" x14ac:dyDescent="0.2">
      <c r="A838" s="4"/>
    </row>
    <row r="839" spans="1:1" ht="12.75" x14ac:dyDescent="0.2">
      <c r="A839" s="4"/>
    </row>
    <row r="840" spans="1:1" ht="12.75" x14ac:dyDescent="0.2">
      <c r="A840" s="4"/>
    </row>
    <row r="841" spans="1:1" ht="12.75" x14ac:dyDescent="0.2">
      <c r="A841" s="4"/>
    </row>
    <row r="842" spans="1:1" ht="12.75" x14ac:dyDescent="0.2">
      <c r="A842" s="4"/>
    </row>
    <row r="843" spans="1:1" ht="12.75" x14ac:dyDescent="0.2">
      <c r="A843" s="4"/>
    </row>
    <row r="844" spans="1:1" ht="12.75" x14ac:dyDescent="0.2">
      <c r="A844" s="4"/>
    </row>
    <row r="845" spans="1:1" ht="12.75" x14ac:dyDescent="0.2">
      <c r="A845" s="4"/>
    </row>
    <row r="846" spans="1:1" ht="12.75" x14ac:dyDescent="0.2">
      <c r="A846" s="4"/>
    </row>
    <row r="847" spans="1:1" ht="12.75" x14ac:dyDescent="0.2">
      <c r="A847" s="4"/>
    </row>
    <row r="848" spans="1:1" ht="12.75" x14ac:dyDescent="0.2">
      <c r="A848" s="4"/>
    </row>
    <row r="849" spans="1:1" ht="12.75" x14ac:dyDescent="0.2">
      <c r="A849" s="4"/>
    </row>
    <row r="850" spans="1:1" ht="12.75" x14ac:dyDescent="0.2">
      <c r="A850" s="4"/>
    </row>
    <row r="851" spans="1:1" ht="12.75" x14ac:dyDescent="0.2">
      <c r="A851" s="4"/>
    </row>
    <row r="852" spans="1:1" ht="12.75" x14ac:dyDescent="0.2">
      <c r="A852" s="4"/>
    </row>
    <row r="853" spans="1:1" ht="12.75" x14ac:dyDescent="0.2">
      <c r="A853" s="4"/>
    </row>
    <row r="854" spans="1:1" ht="12.75" x14ac:dyDescent="0.2">
      <c r="A854" s="4"/>
    </row>
    <row r="855" spans="1:1" ht="12.75" x14ac:dyDescent="0.2">
      <c r="A855" s="4"/>
    </row>
    <row r="856" spans="1:1" ht="12.75" x14ac:dyDescent="0.2">
      <c r="A856" s="4"/>
    </row>
    <row r="857" spans="1:1" ht="12.75" x14ac:dyDescent="0.2">
      <c r="A857" s="4"/>
    </row>
    <row r="858" spans="1:1" ht="12.75" x14ac:dyDescent="0.2">
      <c r="A858" s="4"/>
    </row>
    <row r="859" spans="1:1" ht="12.75" x14ac:dyDescent="0.2">
      <c r="A859" s="4"/>
    </row>
    <row r="860" spans="1:1" ht="12.75" x14ac:dyDescent="0.2">
      <c r="A860" s="4"/>
    </row>
    <row r="861" spans="1:1" ht="12.75" x14ac:dyDescent="0.2">
      <c r="A861" s="4"/>
    </row>
    <row r="862" spans="1:1" ht="12.75" x14ac:dyDescent="0.2">
      <c r="A862" s="4"/>
    </row>
    <row r="863" spans="1:1" ht="12.75" x14ac:dyDescent="0.2">
      <c r="A863" s="4"/>
    </row>
    <row r="864" spans="1:1" ht="12.75" x14ac:dyDescent="0.2">
      <c r="A864" s="4"/>
    </row>
    <row r="865" spans="1:1" ht="12.75" x14ac:dyDescent="0.2">
      <c r="A865" s="4"/>
    </row>
    <row r="866" spans="1:1" ht="12.75" x14ac:dyDescent="0.2">
      <c r="A866" s="4"/>
    </row>
    <row r="867" spans="1:1" ht="12.75" x14ac:dyDescent="0.2">
      <c r="A867" s="4"/>
    </row>
    <row r="868" spans="1:1" ht="12.75" x14ac:dyDescent="0.2">
      <c r="A868" s="4"/>
    </row>
    <row r="869" spans="1:1" ht="12.75" x14ac:dyDescent="0.2">
      <c r="A869" s="4"/>
    </row>
    <row r="870" spans="1:1" ht="12.75" x14ac:dyDescent="0.2">
      <c r="A870" s="4"/>
    </row>
    <row r="871" spans="1:1" ht="12.75" x14ac:dyDescent="0.2">
      <c r="A871" s="4"/>
    </row>
    <row r="872" spans="1:1" ht="12.75" x14ac:dyDescent="0.2">
      <c r="A872" s="4"/>
    </row>
    <row r="873" spans="1:1" ht="12.75" x14ac:dyDescent="0.2">
      <c r="A873" s="4"/>
    </row>
    <row r="874" spans="1:1" ht="12.75" x14ac:dyDescent="0.2">
      <c r="A874" s="4"/>
    </row>
    <row r="875" spans="1:1" ht="12.75" x14ac:dyDescent="0.2">
      <c r="A875" s="4"/>
    </row>
    <row r="876" spans="1:1" ht="12.75" x14ac:dyDescent="0.2">
      <c r="A876" s="4"/>
    </row>
    <row r="877" spans="1:1" ht="12.75" x14ac:dyDescent="0.2">
      <c r="A877" s="4"/>
    </row>
    <row r="878" spans="1:1" ht="12.75" x14ac:dyDescent="0.2">
      <c r="A878" s="4"/>
    </row>
    <row r="879" spans="1:1" ht="12.75" x14ac:dyDescent="0.2">
      <c r="A879" s="4"/>
    </row>
    <row r="880" spans="1:1" ht="12.75" x14ac:dyDescent="0.2">
      <c r="A880" s="4"/>
    </row>
    <row r="881" spans="1:1" ht="12.75" x14ac:dyDescent="0.2">
      <c r="A881" s="4"/>
    </row>
    <row r="882" spans="1:1" ht="12.75" x14ac:dyDescent="0.2">
      <c r="A882" s="4"/>
    </row>
    <row r="883" spans="1:1" ht="12.75" x14ac:dyDescent="0.2">
      <c r="A883" s="4"/>
    </row>
    <row r="884" spans="1:1" ht="12.75" x14ac:dyDescent="0.2">
      <c r="A884" s="4"/>
    </row>
    <row r="885" spans="1:1" ht="12.75" x14ac:dyDescent="0.2">
      <c r="A885" s="4"/>
    </row>
    <row r="886" spans="1:1" ht="12.75" x14ac:dyDescent="0.2">
      <c r="A886" s="4"/>
    </row>
    <row r="887" spans="1:1" ht="12.75" x14ac:dyDescent="0.2">
      <c r="A887" s="4"/>
    </row>
    <row r="888" spans="1:1" ht="12.75" x14ac:dyDescent="0.2">
      <c r="A888" s="4"/>
    </row>
    <row r="889" spans="1:1" ht="12.75" x14ac:dyDescent="0.2">
      <c r="A889" s="4"/>
    </row>
    <row r="890" spans="1:1" ht="12.75" x14ac:dyDescent="0.2">
      <c r="A890" s="4"/>
    </row>
    <row r="891" spans="1:1" ht="12.75" x14ac:dyDescent="0.2">
      <c r="A891" s="4"/>
    </row>
    <row r="892" spans="1:1" ht="12.75" x14ac:dyDescent="0.2">
      <c r="A892" s="4"/>
    </row>
    <row r="893" spans="1:1" ht="12.75" x14ac:dyDescent="0.2">
      <c r="A893" s="4"/>
    </row>
    <row r="894" spans="1:1" ht="12.75" x14ac:dyDescent="0.2">
      <c r="A894" s="4"/>
    </row>
    <row r="895" spans="1:1" ht="12.75" x14ac:dyDescent="0.2">
      <c r="A895" s="4"/>
    </row>
    <row r="896" spans="1:1" ht="12.75" x14ac:dyDescent="0.2">
      <c r="A896" s="4"/>
    </row>
    <row r="897" spans="1:1" ht="12.75" x14ac:dyDescent="0.2">
      <c r="A897" s="4"/>
    </row>
    <row r="898" spans="1:1" ht="12.75" x14ac:dyDescent="0.2">
      <c r="A898" s="4"/>
    </row>
    <row r="899" spans="1:1" ht="12.75" x14ac:dyDescent="0.2">
      <c r="A899" s="4"/>
    </row>
    <row r="900" spans="1:1" ht="12.75" x14ac:dyDescent="0.2">
      <c r="A900" s="4"/>
    </row>
    <row r="901" spans="1:1" ht="12.75" x14ac:dyDescent="0.2">
      <c r="A901" s="4"/>
    </row>
    <row r="902" spans="1:1" ht="12.75" x14ac:dyDescent="0.2">
      <c r="A902" s="4"/>
    </row>
    <row r="903" spans="1:1" ht="12.75" x14ac:dyDescent="0.2">
      <c r="A903" s="4"/>
    </row>
    <row r="904" spans="1:1" ht="12.75" x14ac:dyDescent="0.2">
      <c r="A904" s="4"/>
    </row>
    <row r="905" spans="1:1" ht="12.75" x14ac:dyDescent="0.2">
      <c r="A905" s="4"/>
    </row>
    <row r="906" spans="1:1" ht="12.75" x14ac:dyDescent="0.2">
      <c r="A906" s="4"/>
    </row>
    <row r="907" spans="1:1" ht="12.75" x14ac:dyDescent="0.2">
      <c r="A907" s="4"/>
    </row>
    <row r="908" spans="1:1" ht="12.75" x14ac:dyDescent="0.2">
      <c r="A908" s="4"/>
    </row>
    <row r="909" spans="1:1" ht="12.75" x14ac:dyDescent="0.2">
      <c r="A909" s="4"/>
    </row>
    <row r="910" spans="1:1" ht="12.75" x14ac:dyDescent="0.2">
      <c r="A910" s="4"/>
    </row>
    <row r="911" spans="1:1" ht="12.75" x14ac:dyDescent="0.2">
      <c r="A911" s="4"/>
    </row>
    <row r="912" spans="1:1" ht="12.75" x14ac:dyDescent="0.2">
      <c r="A912" s="4"/>
    </row>
    <row r="913" spans="1:1" ht="12.75" x14ac:dyDescent="0.2">
      <c r="A913" s="4"/>
    </row>
    <row r="914" spans="1:1" ht="12.75" x14ac:dyDescent="0.2">
      <c r="A914" s="4"/>
    </row>
    <row r="915" spans="1:1" ht="12.75" x14ac:dyDescent="0.2">
      <c r="A915" s="4"/>
    </row>
    <row r="916" spans="1:1" ht="12.75" x14ac:dyDescent="0.2">
      <c r="A916" s="4"/>
    </row>
    <row r="917" spans="1:1" ht="12.75" x14ac:dyDescent="0.2">
      <c r="A917" s="4"/>
    </row>
    <row r="918" spans="1:1" ht="12.75" x14ac:dyDescent="0.2">
      <c r="A918" s="4"/>
    </row>
    <row r="919" spans="1:1" ht="12.75" x14ac:dyDescent="0.2">
      <c r="A919" s="4"/>
    </row>
    <row r="920" spans="1:1" ht="12.75" x14ac:dyDescent="0.2">
      <c r="A920" s="4"/>
    </row>
    <row r="921" spans="1:1" ht="12.75" x14ac:dyDescent="0.2">
      <c r="A921" s="4"/>
    </row>
    <row r="922" spans="1:1" ht="12.75" x14ac:dyDescent="0.2">
      <c r="A922" s="4"/>
    </row>
    <row r="923" spans="1:1" ht="12.75" x14ac:dyDescent="0.2">
      <c r="A923" s="4"/>
    </row>
    <row r="924" spans="1:1" ht="12.75" x14ac:dyDescent="0.2">
      <c r="A924" s="4"/>
    </row>
    <row r="925" spans="1:1" ht="12.75" x14ac:dyDescent="0.2">
      <c r="A925" s="4"/>
    </row>
    <row r="926" spans="1:1" ht="12.75" x14ac:dyDescent="0.2">
      <c r="A926" s="4"/>
    </row>
    <row r="927" spans="1:1" ht="12.75" x14ac:dyDescent="0.2">
      <c r="A927" s="4"/>
    </row>
    <row r="928" spans="1:1" ht="12.75" x14ac:dyDescent="0.2">
      <c r="A928" s="4"/>
    </row>
    <row r="929" spans="1:1" ht="12.75" x14ac:dyDescent="0.2">
      <c r="A929" s="4"/>
    </row>
    <row r="930" spans="1:1" ht="12.75" x14ac:dyDescent="0.2">
      <c r="A930" s="4"/>
    </row>
    <row r="931" spans="1:1" ht="12.75" x14ac:dyDescent="0.2">
      <c r="A931" s="4"/>
    </row>
    <row r="932" spans="1:1" ht="12.75" x14ac:dyDescent="0.2">
      <c r="A932" s="4"/>
    </row>
    <row r="933" spans="1:1" ht="12.75" x14ac:dyDescent="0.2">
      <c r="A933" s="4"/>
    </row>
    <row r="934" spans="1:1" ht="12.75" x14ac:dyDescent="0.2">
      <c r="A934" s="4"/>
    </row>
    <row r="935" spans="1:1" ht="12.75" x14ac:dyDescent="0.2">
      <c r="A935" s="4"/>
    </row>
    <row r="936" spans="1:1" ht="12.75" x14ac:dyDescent="0.2">
      <c r="A936" s="4"/>
    </row>
    <row r="937" spans="1:1" ht="12.75" x14ac:dyDescent="0.2">
      <c r="A937" s="4"/>
    </row>
    <row r="938" spans="1:1" ht="12.75" x14ac:dyDescent="0.2">
      <c r="A938" s="4"/>
    </row>
    <row r="939" spans="1:1" ht="12.75" x14ac:dyDescent="0.2">
      <c r="A939" s="4"/>
    </row>
    <row r="940" spans="1:1" ht="12.75" x14ac:dyDescent="0.2">
      <c r="A940" s="4"/>
    </row>
    <row r="941" spans="1:1" ht="12.75" x14ac:dyDescent="0.2">
      <c r="A941" s="4"/>
    </row>
    <row r="942" spans="1:1" ht="12.75" x14ac:dyDescent="0.2">
      <c r="A942" s="4"/>
    </row>
    <row r="943" spans="1:1" ht="12.75" x14ac:dyDescent="0.2">
      <c r="A943" s="4"/>
    </row>
    <row r="944" spans="1:1" ht="12.75" x14ac:dyDescent="0.2">
      <c r="A944" s="4"/>
    </row>
    <row r="945" spans="1:1" ht="12.75" x14ac:dyDescent="0.2">
      <c r="A945" s="4"/>
    </row>
    <row r="946" spans="1:1" ht="12.75" x14ac:dyDescent="0.2">
      <c r="A946" s="4"/>
    </row>
    <row r="947" spans="1:1" ht="12.75" x14ac:dyDescent="0.2">
      <c r="A947" s="4"/>
    </row>
    <row r="948" spans="1:1" ht="12.75" x14ac:dyDescent="0.2">
      <c r="A948" s="4"/>
    </row>
    <row r="949" spans="1:1" ht="12.75" x14ac:dyDescent="0.2">
      <c r="A949" s="4"/>
    </row>
    <row r="950" spans="1:1" ht="12.75" x14ac:dyDescent="0.2">
      <c r="A950" s="4"/>
    </row>
    <row r="951" spans="1:1" ht="12.75" x14ac:dyDescent="0.2">
      <c r="A951" s="4"/>
    </row>
    <row r="952" spans="1:1" ht="12.75" x14ac:dyDescent="0.2">
      <c r="A952" s="4"/>
    </row>
    <row r="953" spans="1:1" ht="12.75" x14ac:dyDescent="0.2">
      <c r="A953" s="4"/>
    </row>
    <row r="954" spans="1:1" ht="12.75" x14ac:dyDescent="0.2">
      <c r="A954" s="4"/>
    </row>
    <row r="955" spans="1:1" ht="12.75" x14ac:dyDescent="0.2">
      <c r="A955" s="4"/>
    </row>
    <row r="956" spans="1:1" ht="12.75" x14ac:dyDescent="0.2">
      <c r="A956" s="4"/>
    </row>
    <row r="957" spans="1:1" ht="12.75" x14ac:dyDescent="0.2">
      <c r="A957" s="4"/>
    </row>
    <row r="958" spans="1:1" ht="12.75" x14ac:dyDescent="0.2">
      <c r="A958" s="4"/>
    </row>
    <row r="959" spans="1:1" ht="12.75" x14ac:dyDescent="0.2">
      <c r="A959" s="4"/>
    </row>
    <row r="960" spans="1:1" ht="12.75" x14ac:dyDescent="0.2">
      <c r="A960" s="4"/>
    </row>
    <row r="961" spans="1:1" ht="12.75" x14ac:dyDescent="0.2">
      <c r="A961" s="4"/>
    </row>
    <row r="962" spans="1:1" ht="12.75" x14ac:dyDescent="0.2">
      <c r="A962" s="4"/>
    </row>
    <row r="963" spans="1:1" ht="12.75" x14ac:dyDescent="0.2">
      <c r="A963" s="4"/>
    </row>
    <row r="964" spans="1:1" ht="12.75" x14ac:dyDescent="0.2">
      <c r="A964" s="4"/>
    </row>
    <row r="965" spans="1:1" ht="12.75" x14ac:dyDescent="0.2">
      <c r="A965" s="4"/>
    </row>
    <row r="966" spans="1:1" ht="12.75" x14ac:dyDescent="0.2">
      <c r="A966" s="4"/>
    </row>
    <row r="967" spans="1:1" ht="12.75" x14ac:dyDescent="0.2">
      <c r="A967" s="4"/>
    </row>
    <row r="968" spans="1:1" ht="12.75" x14ac:dyDescent="0.2">
      <c r="A968" s="4"/>
    </row>
    <row r="969" spans="1:1" ht="12.75" x14ac:dyDescent="0.2">
      <c r="A969" s="4"/>
    </row>
    <row r="970" spans="1:1" ht="12.75" x14ac:dyDescent="0.2">
      <c r="A970" s="4"/>
    </row>
    <row r="971" spans="1:1" ht="12.75" x14ac:dyDescent="0.2">
      <c r="A971" s="4"/>
    </row>
    <row r="972" spans="1:1" ht="12.75" x14ac:dyDescent="0.2">
      <c r="A972" s="4"/>
    </row>
    <row r="973" spans="1:1" ht="12.75" x14ac:dyDescent="0.2">
      <c r="A973" s="4"/>
    </row>
    <row r="974" spans="1:1" ht="12.75" x14ac:dyDescent="0.2">
      <c r="A974" s="4"/>
    </row>
    <row r="975" spans="1:1" ht="12.75" x14ac:dyDescent="0.2">
      <c r="A975" s="4"/>
    </row>
    <row r="976" spans="1:1" ht="12.75" x14ac:dyDescent="0.2">
      <c r="A976" s="4"/>
    </row>
    <row r="977" spans="1:1" ht="12.75" x14ac:dyDescent="0.2">
      <c r="A977" s="4"/>
    </row>
    <row r="978" spans="1:1" ht="12.75" x14ac:dyDescent="0.2">
      <c r="A978" s="4"/>
    </row>
    <row r="979" spans="1:1" ht="12.75" x14ac:dyDescent="0.2">
      <c r="A979" s="4"/>
    </row>
    <row r="980" spans="1:1" ht="12.75" x14ac:dyDescent="0.2">
      <c r="A980" s="4"/>
    </row>
    <row r="981" spans="1:1" ht="12.75" x14ac:dyDescent="0.2">
      <c r="A981" s="4"/>
    </row>
    <row r="982" spans="1:1" ht="12.75" x14ac:dyDescent="0.2">
      <c r="A982" s="4"/>
    </row>
    <row r="983" spans="1:1" ht="12.75" x14ac:dyDescent="0.2">
      <c r="A983" s="4"/>
    </row>
    <row r="984" spans="1:1" ht="12.75" x14ac:dyDescent="0.2">
      <c r="A984" s="4"/>
    </row>
    <row r="985" spans="1:1" ht="12.75" x14ac:dyDescent="0.2">
      <c r="A985" s="4"/>
    </row>
    <row r="986" spans="1:1" ht="12.75" x14ac:dyDescent="0.2">
      <c r="A986" s="4"/>
    </row>
    <row r="987" spans="1:1" ht="12.75" x14ac:dyDescent="0.2">
      <c r="A987" s="4"/>
    </row>
    <row r="988" spans="1:1" ht="12.75" x14ac:dyDescent="0.2">
      <c r="A988" s="4"/>
    </row>
    <row r="989" spans="1:1" ht="12.75" x14ac:dyDescent="0.2">
      <c r="A989" s="4"/>
    </row>
    <row r="990" spans="1:1" ht="12.75" x14ac:dyDescent="0.2">
      <c r="A990" s="4"/>
    </row>
    <row r="991" spans="1:1" ht="12.75" x14ac:dyDescent="0.2">
      <c r="A991" s="4"/>
    </row>
    <row r="992" spans="1:1" ht="12.75" x14ac:dyDescent="0.2">
      <c r="A992" s="4"/>
    </row>
    <row r="993" spans="1:1" ht="12.75" x14ac:dyDescent="0.2">
      <c r="A993" s="4"/>
    </row>
    <row r="994" spans="1:1" ht="12.75" x14ac:dyDescent="0.2">
      <c r="A994" s="4"/>
    </row>
    <row r="995" spans="1:1" ht="12.75" x14ac:dyDescent="0.2">
      <c r="A995" s="4"/>
    </row>
    <row r="996" spans="1:1" ht="12.75" x14ac:dyDescent="0.2">
      <c r="A996" s="4"/>
    </row>
    <row r="997" spans="1:1" ht="12.75" x14ac:dyDescent="0.2">
      <c r="A997" s="4"/>
    </row>
    <row r="998" spans="1:1" ht="12.75" x14ac:dyDescent="0.2">
      <c r="A998" s="4"/>
    </row>
    <row r="999" spans="1:1" ht="12.75" x14ac:dyDescent="0.2">
      <c r="A999" s="4"/>
    </row>
    <row r="1000" spans="1:1" ht="12.75" x14ac:dyDescent="0.2">
      <c r="A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753"/>
  <sheetViews>
    <sheetView workbookViewId="0">
      <selection sqref="A1:AF1"/>
    </sheetView>
  </sheetViews>
  <sheetFormatPr defaultColWidth="12.5703125" defaultRowHeight="15.75" customHeight="1" x14ac:dyDescent="0.2"/>
  <cols>
    <col min="1" max="2" width="5.7109375" customWidth="1"/>
    <col min="3" max="3" width="6.5703125" customWidth="1"/>
    <col min="4" max="4" width="5.7109375" customWidth="1"/>
    <col min="5" max="5" width="5.140625" customWidth="1"/>
    <col min="6" max="6" width="4.85546875" customWidth="1"/>
    <col min="7" max="7" width="5.42578125" customWidth="1"/>
    <col min="8" max="11" width="4.7109375" customWidth="1"/>
    <col min="12" max="12" width="5.7109375" customWidth="1"/>
    <col min="13" max="13" width="4.7109375" customWidth="1"/>
    <col min="14" max="14" width="6.140625" customWidth="1"/>
    <col min="15" max="17" width="4.7109375" customWidth="1"/>
    <col min="18" max="18" width="5.7109375" customWidth="1"/>
    <col min="19" max="27" width="4.7109375" customWidth="1"/>
    <col min="28" max="28" width="5.7109375" customWidth="1"/>
  </cols>
  <sheetData>
    <row r="1" spans="1:32" ht="15.75" customHeight="1" x14ac:dyDescent="0.25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19</v>
      </c>
      <c r="I1" s="2" t="s">
        <v>21</v>
      </c>
      <c r="J1" s="2" t="s">
        <v>23</v>
      </c>
      <c r="K1" s="2" t="s">
        <v>25</v>
      </c>
      <c r="L1" s="2" t="s">
        <v>27</v>
      </c>
      <c r="M1" s="2" t="s">
        <v>29</v>
      </c>
      <c r="N1" s="2" t="s">
        <v>31</v>
      </c>
      <c r="O1" s="2" t="s">
        <v>34</v>
      </c>
      <c r="P1" s="2" t="s">
        <v>36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46</v>
      </c>
      <c r="V1" s="2" t="s">
        <v>49</v>
      </c>
      <c r="W1" s="2" t="s">
        <v>51</v>
      </c>
      <c r="X1" s="2" t="s">
        <v>53</v>
      </c>
      <c r="Y1" s="2" t="s">
        <v>55</v>
      </c>
      <c r="Z1" s="2" t="s">
        <v>57</v>
      </c>
      <c r="AA1" s="2" t="s">
        <v>59</v>
      </c>
      <c r="AB1" s="2" t="s">
        <v>61</v>
      </c>
      <c r="AC1" s="2" t="s">
        <v>64</v>
      </c>
      <c r="AD1" s="2" t="s">
        <v>66</v>
      </c>
      <c r="AE1" s="2" t="s">
        <v>68</v>
      </c>
      <c r="AF1" s="2" t="s">
        <v>70</v>
      </c>
    </row>
    <row r="2" spans="1:32" ht="15.75" customHeight="1" x14ac:dyDescent="0.2">
      <c r="A2" s="3">
        <f ca="1">'ETF price'!B4-'ETF price'!B3</f>
        <v>-1.8600000000000136</v>
      </c>
      <c r="B2" s="3">
        <f ca="1">'ETF price'!C4-'ETF price'!C3</f>
        <v>-5.839999999999975</v>
      </c>
      <c r="C2" s="3">
        <f ca="1">'ETF price'!D4-'ETF price'!D3</f>
        <v>-1.5</v>
      </c>
      <c r="D2" s="3">
        <f ca="1">'ETF price'!E4-'ETF price'!E3</f>
        <v>-0.56999999999999318</v>
      </c>
      <c r="E2" s="3">
        <f ca="1">'ETF price'!F4-'ETF price'!F3</f>
        <v>-1.2299999999999969</v>
      </c>
      <c r="F2" s="3">
        <f ca="1">'ETF price'!G4-'ETF price'!G3</f>
        <v>-0.22000000000000597</v>
      </c>
      <c r="G2" s="3">
        <f ca="1">'ETF price'!H4-'ETF price'!H3</f>
        <v>-0.41000000000000369</v>
      </c>
      <c r="H2" s="3">
        <f ca="1">'ETF price'!I4-'ETF price'!I3</f>
        <v>-1.8400000000000034</v>
      </c>
      <c r="I2" s="3">
        <f ca="1">'ETF price'!J4-'ETF price'!J3</f>
        <v>-4.25</v>
      </c>
      <c r="J2" s="3">
        <f ca="1">'ETF price'!K4-'ETF price'!K3</f>
        <v>-4.0800000000000125</v>
      </c>
      <c r="K2" s="3">
        <f ca="1">'ETF price'!L4-'ETF price'!L3</f>
        <v>-4.0799999999999983</v>
      </c>
      <c r="L2" s="3">
        <f ca="1">'ETF price'!M4-'ETF price'!M3</f>
        <v>-2.6900000000000119</v>
      </c>
      <c r="M2" s="3">
        <f ca="1">'ETF price'!N4-'ETF price'!N3</f>
        <v>-1.0099999999999909</v>
      </c>
      <c r="N2" s="3">
        <f ca="1">'ETF price'!O4-'ETF price'!O3</f>
        <v>-3.4000000000000057</v>
      </c>
      <c r="O2" s="3">
        <f ca="1">'ETF price'!P4-'ETF price'!P3</f>
        <v>1.980000000000004</v>
      </c>
      <c r="P2" s="3">
        <f ca="1">'ETF price'!Q4-'ETF price'!Q3</f>
        <v>2.8000000000000114</v>
      </c>
      <c r="Q2" s="3">
        <f ca="1">'ETF price'!R4-'ETF price'!R3</f>
        <v>1.0999999999999943</v>
      </c>
      <c r="R2" s="3">
        <f ca="1">'ETF price'!S4-'ETF price'!S3</f>
        <v>0.64999999999999858</v>
      </c>
      <c r="S2" s="3">
        <f ca="1">'ETF price'!T4-'ETF price'!T3</f>
        <v>0.25</v>
      </c>
      <c r="T2" s="3">
        <f ca="1">'ETF price'!U4-'ETF price'!U3</f>
        <v>0.76000000000000512</v>
      </c>
      <c r="U2" s="3">
        <f ca="1">'ETF price'!V4-'ETF price'!V3</f>
        <v>-2.1700000000000017</v>
      </c>
      <c r="V2" s="3">
        <f ca="1">'ETF price'!W4-'ETF price'!W3</f>
        <v>1.0399999999999991</v>
      </c>
      <c r="W2" s="3">
        <f ca="1">'ETF price'!X4-'ETF price'!X3</f>
        <v>2.230000000000004</v>
      </c>
      <c r="X2" s="3">
        <f ca="1">'ETF price'!Y4-'ETF price'!Y3</f>
        <v>1.5</v>
      </c>
      <c r="Y2" s="3">
        <f ca="1">'ETF price'!Z4-'ETF price'!Z3</f>
        <v>2.0300000000000011</v>
      </c>
      <c r="Z2" s="3">
        <f ca="1">'ETF price'!AA4-'ETF price'!AA3</f>
        <v>-0.19999999999999574</v>
      </c>
      <c r="AA2" s="3">
        <f ca="1">'ETF price'!AB4-'ETF price'!AB3</f>
        <v>2.039999999999992</v>
      </c>
      <c r="AB2" s="3">
        <f ca="1">'ETF price'!AC4-'ETF price'!AC3</f>
        <v>1.3999999999999915</v>
      </c>
      <c r="AC2" s="3">
        <f ca="1">'ETF price'!AD4-'ETF price'!AD3</f>
        <v>0.16000000000000014</v>
      </c>
      <c r="AD2" s="3">
        <f ca="1">'ETF price'!AE4-'ETF price'!AE3</f>
        <v>0.26999999999999957</v>
      </c>
      <c r="AE2" s="3">
        <f ca="1">'ETF price'!AF4-'ETF price'!AF3</f>
        <v>-0.14999999999999947</v>
      </c>
      <c r="AF2" s="3">
        <f ca="1">'ETF price'!AG4-'ETF price'!AG3</f>
        <v>-0.15999999999999659</v>
      </c>
    </row>
    <row r="3" spans="1:32" ht="15.75" customHeight="1" x14ac:dyDescent="0.2">
      <c r="A3" s="3">
        <f ca="1">'ETF price'!B5-'ETF price'!B4</f>
        <v>-5.3400000000000034</v>
      </c>
      <c r="B3" s="3">
        <f ca="1">'ETF price'!C5-'ETF price'!C4</f>
        <v>-15.140000000000043</v>
      </c>
      <c r="C3" s="3">
        <f ca="1">'ETF price'!D5-'ETF price'!D4</f>
        <v>-4.25</v>
      </c>
      <c r="D3" s="3">
        <f ca="1">'ETF price'!E5-'ETF price'!E4</f>
        <v>-6.2400000000000091</v>
      </c>
      <c r="E3" s="3">
        <f ca="1">'ETF price'!F5-'ETF price'!F4</f>
        <v>-1.8700000000000045</v>
      </c>
      <c r="F3" s="3">
        <f ca="1">'ETF price'!G5-'ETF price'!G4</f>
        <v>-1.0700000000000003</v>
      </c>
      <c r="G3" s="3">
        <f ca="1">'ETF price'!H5-'ETF price'!H4</f>
        <v>-1.25</v>
      </c>
      <c r="H3" s="3">
        <f ca="1">'ETF price'!I5-'ETF price'!I4</f>
        <v>-0.97999999999998977</v>
      </c>
      <c r="I3" s="3">
        <f ca="1">'ETF price'!J5-'ETF price'!J4</f>
        <v>-3.1800000000000068</v>
      </c>
      <c r="J3" s="3">
        <f ca="1">'ETF price'!K5-'ETF price'!K4</f>
        <v>-5.789999999999992</v>
      </c>
      <c r="K3" s="3">
        <f ca="1">'ETF price'!L5-'ETF price'!L4</f>
        <v>-6.1299999999999955</v>
      </c>
      <c r="L3" s="3">
        <f ca="1">'ETF price'!M5-'ETF price'!M4</f>
        <v>-2.8999999999999915</v>
      </c>
      <c r="M3" s="3">
        <f ca="1">'ETF price'!N5-'ETF price'!N4</f>
        <v>-0.85999999999999943</v>
      </c>
      <c r="N3" s="3">
        <f ca="1">'ETF price'!O5-'ETF price'!O4</f>
        <v>-4.039999999999992</v>
      </c>
      <c r="O3" s="3">
        <f ca="1">'ETF price'!P5-'ETF price'!P4</f>
        <v>-1.0000000000005116E-2</v>
      </c>
      <c r="P3" s="3">
        <f ca="1">'ETF price'!Q5-'ETF price'!Q4</f>
        <v>-0.37000000000000455</v>
      </c>
      <c r="Q3" s="3">
        <f ca="1">'ETF price'!R5-'ETF price'!R4</f>
        <v>-1.0000000000005116E-2</v>
      </c>
      <c r="R3" s="3">
        <f ca="1">'ETF price'!S5-'ETF price'!S4</f>
        <v>6.0000000000002274E-2</v>
      </c>
      <c r="S3" s="3">
        <f ca="1">'ETF price'!T5-'ETF price'!T4</f>
        <v>-8.9999999999999858E-2</v>
      </c>
      <c r="T3" s="3">
        <f ca="1">'ETF price'!U5-'ETF price'!U4</f>
        <v>-0.16000000000000369</v>
      </c>
      <c r="U3" s="3">
        <f ca="1">'ETF price'!V5-'ETF price'!V4</f>
        <v>-5.1099999999999994</v>
      </c>
      <c r="V3" s="3">
        <f ca="1">'ETF price'!W5-'ETF price'!W4</f>
        <v>-0.46999999999999886</v>
      </c>
      <c r="W3" s="3">
        <f ca="1">'ETF price'!X5-'ETF price'!X4</f>
        <v>-1.4200000000000017</v>
      </c>
      <c r="X3" s="3">
        <f ca="1">'ETF price'!Y5-'ETF price'!Y4</f>
        <v>-0.42999999999999972</v>
      </c>
      <c r="Y3" s="3">
        <f ca="1">'ETF price'!Z5-'ETF price'!Z4</f>
        <v>-1.2199999999999989</v>
      </c>
      <c r="Z3" s="3">
        <f ca="1">'ETF price'!AA5-'ETF price'!AA4</f>
        <v>-1.6600000000000037</v>
      </c>
      <c r="AA3" s="3">
        <f ca="1">'ETF price'!AB5-'ETF price'!AB4</f>
        <v>-0.47999999999998977</v>
      </c>
      <c r="AB3" s="3">
        <f ca="1">'ETF price'!AC5-'ETF price'!AC4</f>
        <v>-0.93999999999999773</v>
      </c>
      <c r="AC3" s="3">
        <f ca="1">'ETF price'!AD5-'ETF price'!AD4</f>
        <v>-0.98999999999999844</v>
      </c>
      <c r="AD3" s="3">
        <f ca="1">'ETF price'!AE5-'ETF price'!AE4</f>
        <v>-1.5799999999999983</v>
      </c>
      <c r="AE3" s="3">
        <f ca="1">'ETF price'!AF5-'ETF price'!AF4</f>
        <v>-0.65000000000000036</v>
      </c>
      <c r="AF3" s="3">
        <f ca="1">'ETF price'!AG5-'ETF price'!AG4</f>
        <v>-7.1400000000000006</v>
      </c>
    </row>
    <row r="4" spans="1:32" ht="15.75" customHeight="1" x14ac:dyDescent="0.2">
      <c r="A4" s="3">
        <f ca="1">'ETF price'!B6-'ETF price'!B5</f>
        <v>-0.84999999999999432</v>
      </c>
      <c r="B4" s="3">
        <f ca="1">'ETF price'!C6-'ETF price'!C5</f>
        <v>-1.6699999999999591</v>
      </c>
      <c r="C4" s="3">
        <f ca="1">'ETF price'!D6-'ETF price'!D5</f>
        <v>-0.12999999999999545</v>
      </c>
      <c r="D4" s="3">
        <f ca="1">'ETF price'!E6-'ETF price'!E5</f>
        <v>1.3799999999999955</v>
      </c>
      <c r="E4" s="3">
        <f ca="1">'ETF price'!F6-'ETF price'!F5</f>
        <v>2.0000000000003126E-2</v>
      </c>
      <c r="F4" s="3">
        <f ca="1">'ETF price'!G6-'ETF price'!G5</f>
        <v>-0.32999999999999829</v>
      </c>
      <c r="G4" s="3">
        <f ca="1">'ETF price'!H6-'ETF price'!H5</f>
        <v>1.0000000000001563E-2</v>
      </c>
      <c r="H4" s="3">
        <f ca="1">'ETF price'!I6-'ETF price'!I5</f>
        <v>-1.5800000000000125</v>
      </c>
      <c r="I4" s="3">
        <f ca="1">'ETF price'!J6-'ETF price'!J5</f>
        <v>-3.2399999999999807</v>
      </c>
      <c r="J4" s="3">
        <f ca="1">'ETF price'!K6-'ETF price'!K5</f>
        <v>-8.0000000000012506E-2</v>
      </c>
      <c r="K4" s="3">
        <f ca="1">'ETF price'!L6-'ETF price'!L5</f>
        <v>-3.0000000000001137E-2</v>
      </c>
      <c r="L4" s="3">
        <f ca="1">'ETF price'!M6-'ETF price'!M5</f>
        <v>0.23999999999999488</v>
      </c>
      <c r="M4" s="3">
        <f ca="1">'ETF price'!N6-'ETF price'!N5</f>
        <v>-0.73000000000000398</v>
      </c>
      <c r="N4" s="3">
        <f ca="1">'ETF price'!O6-'ETF price'!O5</f>
        <v>-4.0000000000006253E-2</v>
      </c>
      <c r="O4" s="3">
        <f ca="1">'ETF price'!P6-'ETF price'!P5</f>
        <v>1.3200000000000003</v>
      </c>
      <c r="P4" s="3">
        <f ca="1">'ETF price'!Q6-'ETF price'!Q5</f>
        <v>1.9500000000000028</v>
      </c>
      <c r="Q4" s="3">
        <f ca="1">'ETF price'!R6-'ETF price'!R5</f>
        <v>-1.1400000000000006</v>
      </c>
      <c r="R4" s="3">
        <f ca="1">'ETF price'!S6-'ETF price'!S5</f>
        <v>-0.67999999999999972</v>
      </c>
      <c r="S4" s="3">
        <f ca="1">'ETF price'!T6-'ETF price'!T5</f>
        <v>0.17999999999999972</v>
      </c>
      <c r="T4" s="3">
        <f ca="1">'ETF price'!U6-'ETF price'!U5</f>
        <v>1.4600000000000009</v>
      </c>
      <c r="U4" s="3">
        <f ca="1">'ETF price'!V6-'ETF price'!V5</f>
        <v>-0.57999999999999829</v>
      </c>
      <c r="V4" s="3">
        <f ca="1">'ETF price'!W6-'ETF price'!W5</f>
        <v>0.58999999999999631</v>
      </c>
      <c r="W4" s="3">
        <f ca="1">'ETF price'!X6-'ETF price'!X5</f>
        <v>1.6199999999999903</v>
      </c>
      <c r="X4" s="3">
        <f ca="1">'ETF price'!Y6-'ETF price'!Y5</f>
        <v>1.9299999999999997</v>
      </c>
      <c r="Y4" s="3">
        <f ca="1">'ETF price'!Z6-'ETF price'!Z5</f>
        <v>1.4100000000000108</v>
      </c>
      <c r="Z4" s="3">
        <f ca="1">'ETF price'!AA6-'ETF price'!AA5</f>
        <v>6.0000000000002274E-2</v>
      </c>
      <c r="AA4" s="3">
        <f ca="1">'ETF price'!AB6-'ETF price'!AB5</f>
        <v>2.789999999999992</v>
      </c>
      <c r="AB4" s="3">
        <f ca="1">'ETF price'!AC6-'ETF price'!AC5</f>
        <v>0.85000000000000853</v>
      </c>
      <c r="AC4" s="3">
        <f ca="1">'ETF price'!AD6-'ETF price'!AD5</f>
        <v>-0.21000000000000085</v>
      </c>
      <c r="AD4" s="3">
        <f ca="1">'ETF price'!AE6-'ETF price'!AE5</f>
        <v>-0.35999999999999943</v>
      </c>
      <c r="AE4" s="3">
        <f ca="1">'ETF price'!AF6-'ETF price'!AF5</f>
        <v>-9.9999999999999645E-2</v>
      </c>
      <c r="AF4" s="3">
        <f ca="1">'ETF price'!AG6-'ETF price'!AG5</f>
        <v>-1.5</v>
      </c>
    </row>
    <row r="5" spans="1:32" ht="15.75" customHeight="1" x14ac:dyDescent="0.2">
      <c r="A5" s="3">
        <f ca="1">'ETF price'!B7-'ETF price'!B6</f>
        <v>-1.539999999999992</v>
      </c>
      <c r="B5" s="3">
        <f ca="1">'ETF price'!C7-'ETF price'!C6</f>
        <v>-4.4900000000000091</v>
      </c>
      <c r="C5" s="3">
        <f ca="1">'ETF price'!D7-'ETF price'!D6</f>
        <v>-1.1099999999999994</v>
      </c>
      <c r="D5" s="3">
        <f ca="1">'ETF price'!E7-'ETF price'!E6</f>
        <v>-5.1899999999999977</v>
      </c>
      <c r="E5" s="3">
        <f ca="1">'ETF price'!F7-'ETF price'!F6</f>
        <v>-0.24000000000000199</v>
      </c>
      <c r="F5" s="3">
        <f ca="1">'ETF price'!G7-'ETF price'!G6</f>
        <v>-0.57000000000000028</v>
      </c>
      <c r="G5" s="3">
        <f ca="1">'ETF price'!H7-'ETF price'!H6</f>
        <v>-0.28000000000000114</v>
      </c>
      <c r="H5" s="3">
        <f ca="1">'ETF price'!I7-'ETF price'!I6</f>
        <v>-0.68999999999999773</v>
      </c>
      <c r="I5" s="3">
        <f ca="1">'ETF price'!J7-'ETF price'!J6</f>
        <v>-1.5600000000000023</v>
      </c>
      <c r="J5" s="3">
        <f ca="1">'ETF price'!K7-'ETF price'!K6</f>
        <v>-1.8699999999999761</v>
      </c>
      <c r="K5" s="3">
        <f ca="1">'ETF price'!L7-'ETF price'!L6</f>
        <v>-2.210000000000008</v>
      </c>
      <c r="L5" s="3">
        <f ca="1">'ETF price'!M7-'ETF price'!M6</f>
        <v>-0.79999999999999716</v>
      </c>
      <c r="M5" s="3">
        <f ca="1">'ETF price'!N7-'ETF price'!N6</f>
        <v>-0.5</v>
      </c>
      <c r="N5" s="3">
        <f ca="1">'ETF price'!O7-'ETF price'!O6</f>
        <v>-1.2000000000000028</v>
      </c>
      <c r="O5" s="3">
        <f ca="1">'ETF price'!P7-'ETF price'!P6</f>
        <v>0.8300000000000054</v>
      </c>
      <c r="P5" s="3">
        <f ca="1">'ETF price'!Q7-'ETF price'!Q6</f>
        <v>1.039999999999992</v>
      </c>
      <c r="Q5" s="3">
        <f ca="1">'ETF price'!R7-'ETF price'!R6</f>
        <v>-7.9999999999998295E-2</v>
      </c>
      <c r="R5" s="3">
        <f ca="1">'ETF price'!S7-'ETF price'!S6</f>
        <v>0.5</v>
      </c>
      <c r="S5" s="3">
        <f ca="1">'ETF price'!T7-'ETF price'!T6</f>
        <v>3.9999999999999147E-2</v>
      </c>
      <c r="T5" s="3">
        <f ca="1">'ETF price'!U7-'ETF price'!U6</f>
        <v>-0.21999999999999886</v>
      </c>
      <c r="U5" s="3">
        <f ca="1">'ETF price'!V7-'ETF price'!V6</f>
        <v>0.12000000000000455</v>
      </c>
      <c r="V5" s="3">
        <f ca="1">'ETF price'!W7-'ETF price'!W6</f>
        <v>0.48000000000000398</v>
      </c>
      <c r="W5" s="3">
        <f ca="1">'ETF price'!X7-'ETF price'!X6</f>
        <v>0.96000000000000796</v>
      </c>
      <c r="X5" s="3">
        <f ca="1">'ETF price'!Y7-'ETF price'!Y6</f>
        <v>0.64000000000000057</v>
      </c>
      <c r="Y5" s="3">
        <f ca="1">'ETF price'!Z7-'ETF price'!Z6</f>
        <v>0.84999999999999432</v>
      </c>
      <c r="Z5" s="3">
        <f ca="1">'ETF price'!AA7-'ETF price'!AA6</f>
        <v>-0.25999999999999801</v>
      </c>
      <c r="AA5" s="3">
        <f ca="1">'ETF price'!AB7-'ETF price'!AB6</f>
        <v>0.75</v>
      </c>
      <c r="AB5" s="3">
        <f ca="1">'ETF price'!AC7-'ETF price'!AC6</f>
        <v>0.39999999999999147</v>
      </c>
      <c r="AC5" s="3">
        <f ca="1">'ETF price'!AD7-'ETF price'!AD6</f>
        <v>-0.53999999999999915</v>
      </c>
      <c r="AD5" s="3">
        <f ca="1">'ETF price'!AE7-'ETF price'!AE6</f>
        <v>-0.87000000000000099</v>
      </c>
      <c r="AE5" s="3">
        <f ca="1">'ETF price'!AF7-'ETF price'!AF6</f>
        <v>4.9999999999999822E-2</v>
      </c>
      <c r="AF5" s="3">
        <f ca="1">'ETF price'!AG7-'ETF price'!AG6</f>
        <v>-0.95999999999999375</v>
      </c>
    </row>
    <row r="6" spans="1:32" ht="15.75" customHeight="1" x14ac:dyDescent="0.2">
      <c r="A6" s="3">
        <f ca="1">'ETF price'!B8-'ETF price'!B7</f>
        <v>3.0000000000001137E-2</v>
      </c>
      <c r="B6" s="3">
        <f ca="1">'ETF price'!C8-'ETF price'!C7</f>
        <v>0.45999999999997954</v>
      </c>
      <c r="C6" s="3">
        <f ca="1">'ETF price'!D8-'ETF price'!D7</f>
        <v>0.40999999999999659</v>
      </c>
      <c r="D6" s="3">
        <f ca="1">'ETF price'!E8-'ETF price'!E7</f>
        <v>6.0000000000002274E-2</v>
      </c>
      <c r="E6" s="3">
        <f ca="1">'ETF price'!F8-'ETF price'!F7</f>
        <v>0.45000000000000284</v>
      </c>
      <c r="F6" s="3">
        <f ca="1">'ETF price'!G8-'ETF price'!G7</f>
        <v>-0.46999999999999886</v>
      </c>
      <c r="G6" s="3">
        <f ca="1">'ETF price'!H8-'ETF price'!H7</f>
        <v>5.9999999999998721E-2</v>
      </c>
      <c r="H6" s="3">
        <f ca="1">'ETF price'!I8-'ETF price'!I7</f>
        <v>1.3799999999999955</v>
      </c>
      <c r="I6" s="3">
        <f ca="1">'ETF price'!J8-'ETF price'!J7</f>
        <v>2.710000000000008</v>
      </c>
      <c r="J6" s="3">
        <f ca="1">'ETF price'!K8-'ETF price'!K7</f>
        <v>1.6099999999999852</v>
      </c>
      <c r="K6" s="3">
        <f ca="1">'ETF price'!L8-'ETF price'!L7</f>
        <v>0.15000000000000568</v>
      </c>
      <c r="L6" s="3">
        <f ca="1">'ETF price'!M8-'ETF price'!M7</f>
        <v>0.71999999999999886</v>
      </c>
      <c r="M6" s="3">
        <f ca="1">'ETF price'!N8-'ETF price'!N7</f>
        <v>0.62999999999999545</v>
      </c>
      <c r="N6" s="3">
        <f ca="1">'ETF price'!O8-'ETF price'!O7</f>
        <v>0.24000000000000909</v>
      </c>
      <c r="O6" s="3">
        <f ca="1">'ETF price'!P8-'ETF price'!P7</f>
        <v>-0.19000000000000483</v>
      </c>
      <c r="P6" s="3">
        <f ca="1">'ETF price'!Q8-'ETF price'!Q7</f>
        <v>-0.28000000000000114</v>
      </c>
      <c r="Q6" s="3">
        <f ca="1">'ETF price'!R8-'ETF price'!R7</f>
        <v>-0.90999999999999659</v>
      </c>
      <c r="R6" s="3">
        <f ca="1">'ETF price'!S8-'ETF price'!S7</f>
        <v>-0.38000000000000256</v>
      </c>
      <c r="S6" s="3">
        <f ca="1">'ETF price'!T8-'ETF price'!T7</f>
        <v>-8.9999999999999858E-2</v>
      </c>
      <c r="T6" s="3">
        <f ca="1">'ETF price'!U8-'ETF price'!U7</f>
        <v>-0.51000000000000512</v>
      </c>
      <c r="U6" s="3">
        <f ca="1">'ETF price'!V8-'ETF price'!V7</f>
        <v>-4.9999999999997158E-2</v>
      </c>
      <c r="V6" s="3">
        <f ca="1">'ETF price'!W8-'ETF price'!W7</f>
        <v>-0.14000000000000057</v>
      </c>
      <c r="W6" s="3">
        <f ca="1">'ETF price'!X8-'ETF price'!X7</f>
        <v>-0.29000000000000625</v>
      </c>
      <c r="X6" s="3">
        <f ca="1">'ETF price'!Y8-'ETF price'!Y7</f>
        <v>0</v>
      </c>
      <c r="Y6" s="3">
        <f ca="1">'ETF price'!Z8-'ETF price'!Z7</f>
        <v>-0.26999999999999602</v>
      </c>
      <c r="Z6" s="3">
        <f ca="1">'ETF price'!AA8-'ETF price'!AA7</f>
        <v>-0.29000000000000625</v>
      </c>
      <c r="AA6" s="3">
        <f ca="1">'ETF price'!AB8-'ETF price'!AB7</f>
        <v>-0.11999999999999034</v>
      </c>
      <c r="AB6" s="3">
        <f ca="1">'ETF price'!AC8-'ETF price'!AC7</f>
        <v>-0.37999999999999545</v>
      </c>
      <c r="AC6" s="3">
        <f ca="1">'ETF price'!AD8-'ETF price'!AD7</f>
        <v>-7.0000000000000284E-2</v>
      </c>
      <c r="AD6" s="3">
        <f ca="1">'ETF price'!AE8-'ETF price'!AE7</f>
        <v>-0.10000000000000142</v>
      </c>
      <c r="AE6" s="3">
        <f ca="1">'ETF price'!AF8-'ETF price'!AF7</f>
        <v>-0.16000000000000014</v>
      </c>
      <c r="AF6" s="3">
        <f ca="1">'ETF price'!AG8-'ETF price'!AG7</f>
        <v>-1.4000000000000057</v>
      </c>
    </row>
    <row r="7" spans="1:32" ht="15.75" customHeight="1" x14ac:dyDescent="0.2">
      <c r="A7" s="3">
        <f ca="1">'ETF price'!B9-'ETF price'!B8</f>
        <v>1.9899999999999807</v>
      </c>
      <c r="B7" s="3">
        <f ca="1">'ETF price'!C9-'ETF price'!C8</f>
        <v>5.75</v>
      </c>
      <c r="C7" s="3">
        <f ca="1">'ETF price'!D9-'ETF price'!D8</f>
        <v>1.4300000000000068</v>
      </c>
      <c r="D7" s="3">
        <f ca="1">'ETF price'!E9-'ETF price'!E8</f>
        <v>3.2700000000000102</v>
      </c>
      <c r="E7" s="3">
        <f ca="1">'ETF price'!F9-'ETF price'!F8</f>
        <v>0.71999999999999886</v>
      </c>
      <c r="F7" s="3">
        <f ca="1">'ETF price'!G9-'ETF price'!G8</f>
        <v>0.20000000000000284</v>
      </c>
      <c r="G7" s="3">
        <f ca="1">'ETF price'!H9-'ETF price'!H8</f>
        <v>0.37000000000000099</v>
      </c>
      <c r="H7" s="3">
        <f ca="1">'ETF price'!I9-'ETF price'!I8</f>
        <v>1.0800000000000125</v>
      </c>
      <c r="I7" s="3">
        <f ca="1">'ETF price'!J9-'ETF price'!J8</f>
        <v>2.1000000000000227</v>
      </c>
      <c r="J7" s="3">
        <f ca="1">'ETF price'!K9-'ETF price'!K8</f>
        <v>1.3600000000000136</v>
      </c>
      <c r="K7" s="3">
        <f ca="1">'ETF price'!L9-'ETF price'!L8</f>
        <v>0.75</v>
      </c>
      <c r="L7" s="3">
        <f ca="1">'ETF price'!M9-'ETF price'!M8</f>
        <v>0.15999999999999659</v>
      </c>
      <c r="M7" s="3">
        <f ca="1">'ETF price'!N9-'ETF price'!N8</f>
        <v>0.53000000000000114</v>
      </c>
      <c r="N7" s="3">
        <f ca="1">'ETF price'!O9-'ETF price'!O8</f>
        <v>0.51999999999999602</v>
      </c>
      <c r="O7" s="3">
        <f ca="1">'ETF price'!P9-'ETF price'!P8</f>
        <v>2.0799999999999983</v>
      </c>
      <c r="P7" s="3">
        <f ca="1">'ETF price'!Q9-'ETF price'!Q8</f>
        <v>2.980000000000004</v>
      </c>
      <c r="Q7" s="3">
        <f ca="1">'ETF price'!R9-'ETF price'!R8</f>
        <v>0.96999999999999886</v>
      </c>
      <c r="R7" s="3">
        <f ca="1">'ETF price'!S9-'ETF price'!S8</f>
        <v>0.80000000000000426</v>
      </c>
      <c r="S7" s="3">
        <f ca="1">'ETF price'!T9-'ETF price'!T8</f>
        <v>0.41000000000000014</v>
      </c>
      <c r="T7" s="3">
        <f ca="1">'ETF price'!U9-'ETF price'!U8</f>
        <v>2</v>
      </c>
      <c r="U7" s="3">
        <f ca="1">'ETF price'!V9-'ETF price'!V8</f>
        <v>1.2099999999999937</v>
      </c>
      <c r="V7" s="3">
        <f ca="1">'ETF price'!W9-'ETF price'!W8</f>
        <v>0.35999999999999943</v>
      </c>
      <c r="W7" s="3">
        <f ca="1">'ETF price'!X9-'ETF price'!X8</f>
        <v>0.96999999999999886</v>
      </c>
      <c r="X7" s="3">
        <f ca="1">'ETF price'!Y9-'ETF price'!Y8</f>
        <v>0.35000000000000142</v>
      </c>
      <c r="Y7" s="3">
        <f ca="1">'ETF price'!Z9-'ETF price'!Z8</f>
        <v>0.90999999999999659</v>
      </c>
      <c r="Z7" s="3">
        <f ca="1">'ETF price'!AA9-'ETF price'!AA8</f>
        <v>-7.9999999999998295E-2</v>
      </c>
      <c r="AA7" s="3">
        <f ca="1">'ETF price'!AB9-'ETF price'!AB8</f>
        <v>0.26999999999999602</v>
      </c>
      <c r="AB7" s="3">
        <f ca="1">'ETF price'!AC9-'ETF price'!AC8</f>
        <v>0.78000000000000114</v>
      </c>
      <c r="AC7" s="3">
        <f ca="1">'ETF price'!AD9-'ETF price'!AD8</f>
        <v>0.46000000000000085</v>
      </c>
      <c r="AD7" s="3">
        <f ca="1">'ETF price'!AE9-'ETF price'!AE8</f>
        <v>0.70000000000000284</v>
      </c>
      <c r="AE7" s="3">
        <f ca="1">'ETF price'!AF9-'ETF price'!AF8</f>
        <v>0.27000000000000046</v>
      </c>
      <c r="AF7" s="3">
        <f ca="1">'ETF price'!AG9-'ETF price'!AG8</f>
        <v>5.2000000000000028</v>
      </c>
    </row>
    <row r="8" spans="1:32" ht="15.75" customHeight="1" x14ac:dyDescent="0.2">
      <c r="A8" s="3">
        <f ca="1">'ETF price'!B10-'ETF price'!B9</f>
        <v>0.79000000000002046</v>
      </c>
      <c r="B8" s="3">
        <f ca="1">'ETF price'!C10-'ETF price'!C9</f>
        <v>1.4399999999999977</v>
      </c>
      <c r="C8" s="3">
        <f ca="1">'ETF price'!D10-'ETF price'!D9</f>
        <v>0.53000000000000114</v>
      </c>
      <c r="D8" s="3">
        <f ca="1">'ETF price'!E10-'ETF price'!E9</f>
        <v>1.2999999999999829</v>
      </c>
      <c r="E8" s="3">
        <f ca="1">'ETF price'!F10-'ETF price'!F9</f>
        <v>-0.39999999999999858</v>
      </c>
      <c r="F8" s="3">
        <f ca="1">'ETF price'!G10-'ETF price'!G9</f>
        <v>0.34999999999999432</v>
      </c>
      <c r="G8" s="3">
        <f ca="1">'ETF price'!H10-'ETF price'!H9</f>
        <v>-9.9999999999997868E-2</v>
      </c>
      <c r="H8" s="3">
        <f ca="1">'ETF price'!I10-'ETF price'!I9</f>
        <v>-0.39000000000001478</v>
      </c>
      <c r="I8" s="3">
        <f ca="1">'ETF price'!J10-'ETF price'!J9</f>
        <v>-1.460000000000008</v>
      </c>
      <c r="J8" s="3">
        <f ca="1">'ETF price'!K10-'ETF price'!K9</f>
        <v>-1.5900000000000034</v>
      </c>
      <c r="K8" s="3">
        <f ca="1">'ETF price'!L10-'ETF price'!L9</f>
        <v>-3.2900000000000063</v>
      </c>
      <c r="L8" s="3">
        <f ca="1">'ETF price'!M10-'ETF price'!M9</f>
        <v>-1.519999999999996</v>
      </c>
      <c r="M8" s="3">
        <f ca="1">'ETF price'!N10-'ETF price'!N9</f>
        <v>-0.28000000000000114</v>
      </c>
      <c r="N8" s="3">
        <f ca="1">'ETF price'!O10-'ETF price'!O9</f>
        <v>-1.480000000000004</v>
      </c>
      <c r="O8" s="3">
        <f ca="1">'ETF price'!P10-'ETF price'!P9</f>
        <v>0.12000000000000455</v>
      </c>
      <c r="P8" s="3">
        <f ca="1">'ETF price'!Q10-'ETF price'!Q9</f>
        <v>0.32999999999999829</v>
      </c>
      <c r="Q8" s="3">
        <f ca="1">'ETF price'!R10-'ETF price'!R9</f>
        <v>0.90000000000000568</v>
      </c>
      <c r="R8" s="3">
        <f ca="1">'ETF price'!S10-'ETF price'!S9</f>
        <v>1.0499999999999972</v>
      </c>
      <c r="S8" s="3">
        <f ca="1">'ETF price'!T10-'ETF price'!T9</f>
        <v>0.17000000000000171</v>
      </c>
      <c r="T8" s="3">
        <f ca="1">'ETF price'!U10-'ETF price'!U9</f>
        <v>0.75</v>
      </c>
      <c r="U8" s="3">
        <f ca="1">'ETF price'!V10-'ETF price'!V9</f>
        <v>0.32000000000000739</v>
      </c>
      <c r="V8" s="3">
        <f ca="1">'ETF price'!W10-'ETF price'!W9</f>
        <v>3.0000000000001137E-2</v>
      </c>
      <c r="W8" s="3">
        <f ca="1">'ETF price'!X10-'ETF price'!X9</f>
        <v>1.0000000000005116E-2</v>
      </c>
      <c r="X8" s="3">
        <f ca="1">'ETF price'!Y10-'ETF price'!Y9</f>
        <v>0.15999999999999659</v>
      </c>
      <c r="Y8" s="3">
        <f ca="1">'ETF price'!Z10-'ETF price'!Z9</f>
        <v>3.9999999999992042E-2</v>
      </c>
      <c r="Z8" s="3">
        <f ca="1">'ETF price'!AA10-'ETF price'!AA9</f>
        <v>0.13000000000000256</v>
      </c>
      <c r="AA8" s="3">
        <f ca="1">'ETF price'!AB10-'ETF price'!AB9</f>
        <v>0.20999999999999375</v>
      </c>
      <c r="AB8" s="3">
        <f ca="1">'ETF price'!AC10-'ETF price'!AC9</f>
        <v>9.0000000000003411E-2</v>
      </c>
      <c r="AC8" s="3">
        <f ca="1">'ETF price'!AD10-'ETF price'!AD9</f>
        <v>0.36999999999999744</v>
      </c>
      <c r="AD8" s="3">
        <f ca="1">'ETF price'!AE10-'ETF price'!AE9</f>
        <v>0.60999999999999943</v>
      </c>
      <c r="AE8" s="3">
        <f ca="1">'ETF price'!AF10-'ETF price'!AF9</f>
        <v>5.9999999999999609E-2</v>
      </c>
      <c r="AF8" s="3">
        <f ca="1">'ETF price'!AG10-'ETF price'!AG9</f>
        <v>1.2000000000000028</v>
      </c>
    </row>
    <row r="9" spans="1:32" ht="15.75" customHeight="1" x14ac:dyDescent="0.2">
      <c r="A9" s="3">
        <f ca="1">'ETF price'!B11-'ETF price'!B10</f>
        <v>-4.3700000000000045</v>
      </c>
      <c r="B9" s="3">
        <f ca="1">'ETF price'!C11-'ETF price'!C10</f>
        <v>-12.509999999999991</v>
      </c>
      <c r="C9" s="3">
        <f ca="1">'ETF price'!D11-'ETF price'!D10</f>
        <v>-3.210000000000008</v>
      </c>
      <c r="D9" s="3">
        <f ca="1">'ETF price'!E11-'ETF price'!E10</f>
        <v>-4.1599999999999966</v>
      </c>
      <c r="E9" s="3">
        <f ca="1">'ETF price'!F11-'ETF price'!F10</f>
        <v>-1.5799999999999983</v>
      </c>
      <c r="F9" s="3">
        <f ca="1">'ETF price'!G11-'ETF price'!G10</f>
        <v>-1.2399999999999949</v>
      </c>
      <c r="G9" s="3">
        <f ca="1">'ETF price'!H11-'ETF price'!H10</f>
        <v>-0.73000000000000043</v>
      </c>
      <c r="H9" s="3">
        <f ca="1">'ETF price'!I11-'ETF price'!I10</f>
        <v>-2.1199999999999761</v>
      </c>
      <c r="I9" s="3">
        <f ca="1">'ETF price'!J11-'ETF price'!J10</f>
        <v>-4.4300000000000068</v>
      </c>
      <c r="J9" s="3">
        <f ca="1">'ETF price'!K11-'ETF price'!K10</f>
        <v>-3.8799999999999955</v>
      </c>
      <c r="K9" s="3">
        <f ca="1">'ETF price'!L11-'ETF price'!L10</f>
        <v>-2.5</v>
      </c>
      <c r="L9" s="3">
        <f ca="1">'ETF price'!M11-'ETF price'!M10</f>
        <v>-1.6400000000000006</v>
      </c>
      <c r="M9" s="3">
        <f ca="1">'ETF price'!N11-'ETF price'!N10</f>
        <v>-1.1599999999999966</v>
      </c>
      <c r="N9" s="3">
        <f ca="1">'ETF price'!O11-'ETF price'!O10</f>
        <v>-2.3999999999999915</v>
      </c>
      <c r="O9" s="3">
        <f ca="1">'ETF price'!P11-'ETF price'!P10</f>
        <v>-0.32000000000000028</v>
      </c>
      <c r="P9" s="3">
        <f ca="1">'ETF price'!Q11-'ETF price'!Q10</f>
        <v>-0.71999999999999886</v>
      </c>
      <c r="Q9" s="3">
        <f ca="1">'ETF price'!R11-'ETF price'!R10</f>
        <v>-0.70000000000000284</v>
      </c>
      <c r="R9" s="3">
        <f ca="1">'ETF price'!S11-'ETF price'!S10</f>
        <v>-0.76999999999999602</v>
      </c>
      <c r="S9" s="3">
        <f ca="1">'ETF price'!T11-'ETF price'!T10</f>
        <v>-0.23000000000000043</v>
      </c>
      <c r="T9" s="3">
        <f ca="1">'ETF price'!U11-'ETF price'!U10</f>
        <v>-0.63999999999999346</v>
      </c>
      <c r="U9" s="3">
        <f ca="1">'ETF price'!V11-'ETF price'!V10</f>
        <v>-1.6000000000000085</v>
      </c>
      <c r="V9" s="3">
        <f ca="1">'ETF price'!W11-'ETF price'!W10</f>
        <v>-0.16000000000000369</v>
      </c>
      <c r="W9" s="3">
        <f ca="1">'ETF price'!X11-'ETF price'!X10</f>
        <v>-0.40000000000000568</v>
      </c>
      <c r="X9" s="3">
        <f ca="1">'ETF price'!Y11-'ETF price'!Y10</f>
        <v>0.25</v>
      </c>
      <c r="Y9" s="3">
        <f ca="1">'ETF price'!Z11-'ETF price'!Z10</f>
        <v>-0.42999999999999261</v>
      </c>
      <c r="Z9" s="3">
        <f ca="1">'ETF price'!AA11-'ETF price'!AA10</f>
        <v>-0.17000000000000171</v>
      </c>
      <c r="AA9" s="3">
        <f ca="1">'ETF price'!AB11-'ETF price'!AB10</f>
        <v>0.46000000000000796</v>
      </c>
      <c r="AB9" s="3">
        <f ca="1">'ETF price'!AC11-'ETF price'!AC10</f>
        <v>-0.38000000000000966</v>
      </c>
      <c r="AC9" s="3">
        <f ca="1">'ETF price'!AD11-'ETF price'!AD10</f>
        <v>-0.42999999999999972</v>
      </c>
      <c r="AD9" s="3">
        <f ca="1">'ETF price'!AE11-'ETF price'!AE10</f>
        <v>-0.66000000000000014</v>
      </c>
      <c r="AE9" s="3">
        <f ca="1">'ETF price'!AF11-'ETF price'!AF10</f>
        <v>-0.29999999999999982</v>
      </c>
      <c r="AF9" s="3">
        <f ca="1">'ETF price'!AG11-'ETF price'!AG10</f>
        <v>-4.4000000000000057</v>
      </c>
    </row>
    <row r="10" spans="1:32" ht="15.75" customHeight="1" x14ac:dyDescent="0.2">
      <c r="A10" s="3">
        <f ca="1">'ETF price'!B12-'ETF price'!B11</f>
        <v>1.3899999999999864</v>
      </c>
      <c r="B10" s="3">
        <f ca="1">'ETF price'!C12-'ETF price'!C11</f>
        <v>3.4700000000000273</v>
      </c>
      <c r="C10" s="3">
        <f ca="1">'ETF price'!D12-'ETF price'!D11</f>
        <v>1.0799999999999983</v>
      </c>
      <c r="D10" s="3">
        <f ca="1">'ETF price'!E12-'ETF price'!E11</f>
        <v>4.1699999999999875</v>
      </c>
      <c r="E10" s="3">
        <f ca="1">'ETF price'!F12-'ETF price'!F11</f>
        <v>0.15999999999999659</v>
      </c>
      <c r="F10" s="3">
        <f ca="1">'ETF price'!G12-'ETF price'!G11</f>
        <v>-0.56000000000000227</v>
      </c>
      <c r="G10" s="3">
        <f ca="1">'ETF price'!H12-'ETF price'!H11</f>
        <v>-0.10000000000000142</v>
      </c>
      <c r="H10" s="3">
        <f ca="1">'ETF price'!I12-'ETF price'!I11</f>
        <v>-0.23000000000001819</v>
      </c>
      <c r="I10" s="3">
        <f ca="1">'ETF price'!J12-'ETF price'!J11</f>
        <v>-0.18000000000000682</v>
      </c>
      <c r="J10" s="3">
        <f ca="1">'ETF price'!K12-'ETF price'!K11</f>
        <v>0.89999999999997726</v>
      </c>
      <c r="K10" s="3">
        <f ca="1">'ETF price'!L12-'ETF price'!L11</f>
        <v>2.3900000000000006</v>
      </c>
      <c r="L10" s="3">
        <f ca="1">'ETF price'!M12-'ETF price'!M11</f>
        <v>0.93999999999999773</v>
      </c>
      <c r="M10" s="3">
        <f ca="1">'ETF price'!N12-'ETF price'!N11</f>
        <v>-6.0000000000002274E-2</v>
      </c>
      <c r="N10" s="3">
        <f ca="1">'ETF price'!O12-'ETF price'!O11</f>
        <v>0.75999999999999091</v>
      </c>
      <c r="O10" s="3">
        <f ca="1">'ETF price'!P12-'ETF price'!P11</f>
        <v>1.480000000000004</v>
      </c>
      <c r="P10" s="3">
        <f ca="1">'ETF price'!Q12-'ETF price'!Q11</f>
        <v>2.2199999999999989</v>
      </c>
      <c r="Q10" s="3">
        <f ca="1">'ETF price'!R12-'ETF price'!R11</f>
        <v>-0.76000000000000512</v>
      </c>
      <c r="R10" s="3">
        <f ca="1">'ETF price'!S12-'ETF price'!S11</f>
        <v>0.20999999999999375</v>
      </c>
      <c r="S10" s="3">
        <f ca="1">'ETF price'!T12-'ETF price'!T11</f>
        <v>0.28000000000000114</v>
      </c>
      <c r="T10" s="3">
        <f ca="1">'ETF price'!U12-'ETF price'!U11</f>
        <v>1.6999999999999957</v>
      </c>
      <c r="U10" s="3">
        <f ca="1">'ETF price'!V12-'ETF price'!V11</f>
        <v>-0.17999999999999261</v>
      </c>
      <c r="V10" s="3">
        <f ca="1">'ETF price'!W12-'ETF price'!W11</f>
        <v>-0.42999999999999972</v>
      </c>
      <c r="W10" s="3">
        <f ca="1">'ETF price'!X12-'ETF price'!X11</f>
        <v>-0.89000000000000057</v>
      </c>
      <c r="X10" s="3">
        <f ca="1">'ETF price'!Y12-'ETF price'!Y11</f>
        <v>0.36999999999999744</v>
      </c>
      <c r="Y10" s="3">
        <f ca="1">'ETF price'!Z12-'ETF price'!Z11</f>
        <v>-0.73000000000000398</v>
      </c>
      <c r="Z10" s="3">
        <f ca="1">'ETF price'!AA12-'ETF price'!AA11</f>
        <v>-0.57000000000000028</v>
      </c>
      <c r="AA10" s="3">
        <f ca="1">'ETF price'!AB12-'ETF price'!AB11</f>
        <v>0.68999999999999773</v>
      </c>
      <c r="AB10" s="3">
        <f ca="1">'ETF price'!AC12-'ETF price'!AC11</f>
        <v>-0.73999999999999488</v>
      </c>
      <c r="AC10" s="3">
        <f ca="1">'ETF price'!AD12-'ETF price'!AD11</f>
        <v>0.16000000000000014</v>
      </c>
      <c r="AD10" s="3">
        <f ca="1">'ETF price'!AE12-'ETF price'!AE11</f>
        <v>0.21000000000000085</v>
      </c>
      <c r="AE10" s="3">
        <f ca="1">'ETF price'!AF12-'ETF price'!AF11</f>
        <v>7.0000000000000284E-2</v>
      </c>
      <c r="AF10" s="3">
        <f ca="1">'ETF price'!AG12-'ETF price'!AG11</f>
        <v>1.0799999999999983</v>
      </c>
    </row>
    <row r="11" spans="1:32" ht="15.75" customHeight="1" x14ac:dyDescent="0.2">
      <c r="A11" s="3">
        <f ca="1">'ETF price'!B13-'ETF price'!B12</f>
        <v>-3.9799999999999898</v>
      </c>
      <c r="B11" s="3">
        <f ca="1">'ETF price'!C13-'ETF price'!C12</f>
        <v>-11.060000000000002</v>
      </c>
      <c r="C11" s="3">
        <f ca="1">'ETF price'!D13-'ETF price'!D12</f>
        <v>-2.9899999999999949</v>
      </c>
      <c r="D11" s="3">
        <f ca="1">'ETF price'!E13-'ETF price'!E12</f>
        <v>-7.9799999999999898</v>
      </c>
      <c r="E11" s="3">
        <f ca="1">'ETF price'!F13-'ETF price'!F12</f>
        <v>-1.1899999999999977</v>
      </c>
      <c r="F11" s="3">
        <f ca="1">'ETF price'!G13-'ETF price'!G12</f>
        <v>-0.94999999999999929</v>
      </c>
      <c r="G11" s="3">
        <f ca="1">'ETF price'!H13-'ETF price'!H12</f>
        <v>-0.82999999999999829</v>
      </c>
      <c r="H11" s="3">
        <f ca="1">'ETF price'!I13-'ETF price'!I12</f>
        <v>-1.8799999999999955</v>
      </c>
      <c r="I11" s="3">
        <f ca="1">'ETF price'!J13-'ETF price'!J12</f>
        <v>-4.75</v>
      </c>
      <c r="J11" s="3">
        <f ca="1">'ETF price'!K13-'ETF price'!K12</f>
        <v>-5.4899999999999807</v>
      </c>
      <c r="K11" s="3">
        <f ca="1">'ETF price'!L13-'ETF price'!L12</f>
        <v>-5.9699999999999989</v>
      </c>
      <c r="L11" s="3">
        <f ca="1">'ETF price'!M13-'ETF price'!M12</f>
        <v>-2.509999999999998</v>
      </c>
      <c r="M11" s="3">
        <f ca="1">'ETF price'!N13-'ETF price'!N12</f>
        <v>-1.1599999999999966</v>
      </c>
      <c r="N11" s="3">
        <f ca="1">'ETF price'!O13-'ETF price'!O12</f>
        <v>-3.9200000000000017</v>
      </c>
      <c r="O11" s="3">
        <f ca="1">'ETF price'!P13-'ETF price'!P12</f>
        <v>0.25999999999999091</v>
      </c>
      <c r="P11" s="3">
        <f ca="1">'ETF price'!Q13-'ETF price'!Q12</f>
        <v>0.10000000000000853</v>
      </c>
      <c r="Q11" s="3">
        <f ca="1">'ETF price'!R13-'ETF price'!R12</f>
        <v>-1.1700000000000017</v>
      </c>
      <c r="R11" s="3">
        <f ca="1">'ETF price'!S13-'ETF price'!S12</f>
        <v>-0.76999999999999602</v>
      </c>
      <c r="S11" s="3">
        <f ca="1">'ETF price'!T13-'ETF price'!T12</f>
        <v>0.16999999999999815</v>
      </c>
      <c r="T11" s="3">
        <f ca="1">'ETF price'!U13-'ETF price'!U12</f>
        <v>1</v>
      </c>
      <c r="U11" s="3">
        <f ca="1">'ETF price'!V13-'ETF price'!V12</f>
        <v>-3.019999999999996</v>
      </c>
      <c r="V11" s="3">
        <f ca="1">'ETF price'!W13-'ETF price'!W12</f>
        <v>-0.90999999999999659</v>
      </c>
      <c r="W11" s="3">
        <f ca="1">'ETF price'!X13-'ETF price'!X12</f>
        <v>-2.2399999999999949</v>
      </c>
      <c r="X11" s="3">
        <f ca="1">'ETF price'!Y13-'ETF price'!Y12</f>
        <v>-1.1899999999999977</v>
      </c>
      <c r="Y11" s="3">
        <f ca="1">'ETF price'!Z13-'ETF price'!Z12</f>
        <v>-1.9299999999999926</v>
      </c>
      <c r="Z11" s="3">
        <f ca="1">'ETF price'!AA13-'ETF price'!AA12</f>
        <v>-0.32999999999999829</v>
      </c>
      <c r="AA11" s="3">
        <f ca="1">'ETF price'!AB13-'ETF price'!AB12</f>
        <v>-1.6700000000000017</v>
      </c>
      <c r="AB11" s="3">
        <f ca="1">'ETF price'!AC13-'ETF price'!AC12</f>
        <v>-1.5600000000000023</v>
      </c>
      <c r="AC11" s="3">
        <f ca="1">'ETF price'!AD13-'ETF price'!AD12</f>
        <v>-0.55999999999999872</v>
      </c>
      <c r="AD11" s="3">
        <f ca="1">'ETF price'!AE13-'ETF price'!AE12</f>
        <v>-0.89000000000000057</v>
      </c>
      <c r="AE11" s="3">
        <f ca="1">'ETF price'!AF13-'ETF price'!AF12</f>
        <v>-6.0000000000000497E-2</v>
      </c>
      <c r="AF11" s="3">
        <f ca="1">'ETF price'!AG13-'ETF price'!AG12</f>
        <v>-5.1200000000000045</v>
      </c>
    </row>
    <row r="12" spans="1:32" ht="15.75" customHeight="1" x14ac:dyDescent="0.2">
      <c r="A12" s="3">
        <f ca="1">'ETF price'!B14-'ETF price'!B13</f>
        <v>-2.2599999999999909</v>
      </c>
      <c r="B12" s="3">
        <f ca="1">'ETF price'!C14-'ETF price'!C13</f>
        <v>-5.8900000000000432</v>
      </c>
      <c r="C12" s="3">
        <f ca="1">'ETF price'!D14-'ETF price'!D13</f>
        <v>-1.2999999999999972</v>
      </c>
      <c r="D12" s="3">
        <f ca="1">'ETF price'!E14-'ETF price'!E13</f>
        <v>-5.0099999999999909</v>
      </c>
      <c r="E12" s="3">
        <f ca="1">'ETF price'!F14-'ETF price'!F13</f>
        <v>-0.21000000000000085</v>
      </c>
      <c r="F12" s="3">
        <f ca="1">'ETF price'!G14-'ETF price'!G13</f>
        <v>-0.42999999999999972</v>
      </c>
      <c r="G12" s="3">
        <f ca="1">'ETF price'!H14-'ETF price'!H13</f>
        <v>-0.26000000000000156</v>
      </c>
      <c r="H12" s="3">
        <f ca="1">'ETF price'!I14-'ETF price'!I13</f>
        <v>-0.53999999999999204</v>
      </c>
      <c r="I12" s="3">
        <f ca="1">'ETF price'!J14-'ETF price'!J13</f>
        <v>-1.0500000000000114</v>
      </c>
      <c r="J12" s="3">
        <f ca="1">'ETF price'!K14-'ETF price'!K13</f>
        <v>-1.6299999999999955</v>
      </c>
      <c r="K12" s="3">
        <f ca="1">'ETF price'!L14-'ETF price'!L13</f>
        <v>-1.019999999999996</v>
      </c>
      <c r="L12" s="3">
        <f ca="1">'ETF price'!M14-'ETF price'!M13</f>
        <v>-0.78000000000000114</v>
      </c>
      <c r="M12" s="3">
        <f ca="1">'ETF price'!N14-'ETF price'!N13</f>
        <v>-0.28000000000000114</v>
      </c>
      <c r="N12" s="3">
        <f ca="1">'ETF price'!O14-'ETF price'!O13</f>
        <v>-0.71999999999999886</v>
      </c>
      <c r="O12" s="3">
        <f ca="1">'ETF price'!P14-'ETF price'!P13</f>
        <v>-0.46999999999999886</v>
      </c>
      <c r="P12" s="3">
        <f ca="1">'ETF price'!Q14-'ETF price'!Q13</f>
        <v>-0.76000000000000512</v>
      </c>
      <c r="Q12" s="3">
        <f ca="1">'ETF price'!R14-'ETF price'!R13</f>
        <v>-0.21999999999999886</v>
      </c>
      <c r="R12" s="3">
        <f ca="1">'ETF price'!S14-'ETF price'!S13</f>
        <v>-3.0000000000001137E-2</v>
      </c>
      <c r="S12" s="3">
        <f ca="1">'ETF price'!T14-'ETF price'!T13</f>
        <v>0.12000000000000099</v>
      </c>
      <c r="T12" s="3">
        <f ca="1">'ETF price'!U14-'ETF price'!U13</f>
        <v>7.9999999999998295E-2</v>
      </c>
      <c r="U12" s="3">
        <f ca="1">'ETF price'!V14-'ETF price'!V13</f>
        <v>-0.49000000000000909</v>
      </c>
      <c r="V12" s="3">
        <f ca="1">'ETF price'!W14-'ETF price'!W13</f>
        <v>-0.67000000000000171</v>
      </c>
      <c r="W12" s="3">
        <f ca="1">'ETF price'!X14-'ETF price'!X13</f>
        <v>-1.7600000000000051</v>
      </c>
      <c r="X12" s="3">
        <f ca="1">'ETF price'!Y14-'ETF price'!Y13</f>
        <v>-1.6499999999999986</v>
      </c>
      <c r="Y12" s="3">
        <f ca="1">'ETF price'!Z14-'ETF price'!Z13</f>
        <v>-1.5400000000000063</v>
      </c>
      <c r="Z12" s="3">
        <f ca="1">'ETF price'!AA14-'ETF price'!AA13</f>
        <v>-0.61999999999999744</v>
      </c>
      <c r="AA12" s="3">
        <f ca="1">'ETF price'!AB14-'ETF price'!AB13</f>
        <v>-2.0999999999999943</v>
      </c>
      <c r="AB12" s="3">
        <f ca="1">'ETF price'!AC14-'ETF price'!AC13</f>
        <v>-1.0499999999999972</v>
      </c>
      <c r="AC12" s="3">
        <f ca="1">'ETF price'!AD14-'ETF price'!AD13</f>
        <v>-5.0000000000000711E-2</v>
      </c>
      <c r="AD12" s="3">
        <f ca="1">'ETF price'!AE14-'ETF price'!AE13</f>
        <v>-8.0000000000001847E-2</v>
      </c>
      <c r="AE12" s="3">
        <f ca="1">'ETF price'!AF14-'ETF price'!AF13</f>
        <v>-0.42999999999999972</v>
      </c>
      <c r="AF12" s="3">
        <f ca="1">'ETF price'!AG14-'ETF price'!AG13</f>
        <v>-2.4799999999999898</v>
      </c>
    </row>
    <row r="13" spans="1:32" ht="15.75" customHeight="1" x14ac:dyDescent="0.2">
      <c r="A13" s="3">
        <f ca="1">'ETF price'!B15-'ETF price'!B14</f>
        <v>-2.0600000000000023</v>
      </c>
      <c r="B13" s="3">
        <f ca="1">'ETF price'!C15-'ETF price'!C14</f>
        <v>-5.1800000000000068</v>
      </c>
      <c r="C13" s="3">
        <f ca="1">'ETF price'!D15-'ETF price'!D14</f>
        <v>-1.460000000000008</v>
      </c>
      <c r="D13" s="3">
        <f ca="1">'ETF price'!E15-'ETF price'!E14</f>
        <v>-5.1899999999999977</v>
      </c>
      <c r="E13" s="3">
        <f ca="1">'ETF price'!F15-'ETF price'!F14</f>
        <v>-0.14999999999999858</v>
      </c>
      <c r="F13" s="3">
        <f ca="1">'ETF price'!G15-'ETF price'!G14</f>
        <v>-0.25</v>
      </c>
      <c r="G13" s="3">
        <f ca="1">'ETF price'!H15-'ETF price'!H14</f>
        <v>-0.35000000000000142</v>
      </c>
      <c r="H13" s="3">
        <f ca="1">'ETF price'!I15-'ETF price'!I14</f>
        <v>-0.86000000000001364</v>
      </c>
      <c r="I13" s="3">
        <f ca="1">'ETF price'!J15-'ETF price'!J14</f>
        <v>-1.4499999999999886</v>
      </c>
      <c r="J13" s="3">
        <f ca="1">'ETF price'!K15-'ETF price'!K14</f>
        <v>-1.1800000000000068</v>
      </c>
      <c r="K13" s="3">
        <f ca="1">'ETF price'!L15-'ETF price'!L14</f>
        <v>-1.5300000000000011</v>
      </c>
      <c r="L13" s="3">
        <f ca="1">'ETF price'!M15-'ETF price'!M14</f>
        <v>-0.94999999999999574</v>
      </c>
      <c r="M13" s="3">
        <f ca="1">'ETF price'!N15-'ETF price'!N14</f>
        <v>-0.42999999999999972</v>
      </c>
      <c r="N13" s="3">
        <f ca="1">'ETF price'!O15-'ETF price'!O14</f>
        <v>-0.39999999999999147</v>
      </c>
      <c r="O13" s="3">
        <f ca="1">'ETF price'!P15-'ETF price'!P14</f>
        <v>-0.58999999999999631</v>
      </c>
      <c r="P13" s="3">
        <f ca="1">'ETF price'!Q15-'ETF price'!Q14</f>
        <v>-1.0999999999999943</v>
      </c>
      <c r="Q13" s="3">
        <f ca="1">'ETF price'!R15-'ETF price'!R14</f>
        <v>-1.269999999999996</v>
      </c>
      <c r="R13" s="3">
        <f ca="1">'ETF price'!S15-'ETF price'!S14</f>
        <v>-1.6799999999999997</v>
      </c>
      <c r="S13" s="3">
        <f ca="1">'ETF price'!T15-'ETF price'!T14</f>
        <v>-8.0000000000001847E-2</v>
      </c>
      <c r="T13" s="3">
        <f ca="1">'ETF price'!U15-'ETF price'!U14</f>
        <v>-0.39000000000000057</v>
      </c>
      <c r="U13" s="3">
        <f ca="1">'ETF price'!V15-'ETF price'!V14</f>
        <v>4.9999999999997158E-2</v>
      </c>
      <c r="V13" s="3">
        <f ca="1">'ETF price'!W15-'ETF price'!W14</f>
        <v>-0.25</v>
      </c>
      <c r="W13" s="3">
        <f ca="1">'ETF price'!X15-'ETF price'!X14</f>
        <v>-0.77999999999998693</v>
      </c>
      <c r="X13" s="3">
        <f ca="1">'ETF price'!Y15-'ETF price'!Y14</f>
        <v>-1.3299999999999983</v>
      </c>
      <c r="Y13" s="3">
        <f ca="1">'ETF price'!Z15-'ETF price'!Z14</f>
        <v>-0.56000000000000227</v>
      </c>
      <c r="Z13" s="3">
        <f ca="1">'ETF price'!AA15-'ETF price'!AA14</f>
        <v>-0.42000000000000171</v>
      </c>
      <c r="AA13" s="3">
        <f ca="1">'ETF price'!AB15-'ETF price'!AB14</f>
        <v>-1.9699999999999989</v>
      </c>
      <c r="AB13" s="3">
        <f ca="1">'ETF price'!AC15-'ETF price'!AC14</f>
        <v>-0.37000000000000455</v>
      </c>
      <c r="AC13" s="3">
        <f ca="1">'ETF price'!AD15-'ETF price'!AD14</f>
        <v>0.42999999999999972</v>
      </c>
      <c r="AD13" s="3">
        <f ca="1">'ETF price'!AE15-'ETF price'!AE14</f>
        <v>0.69999999999999929</v>
      </c>
      <c r="AE13" s="3">
        <f ca="1">'ETF price'!AF15-'ETF price'!AF14</f>
        <v>-8.9999999999999858E-2</v>
      </c>
      <c r="AF13" s="3">
        <f ca="1">'ETF price'!AG15-'ETF price'!AG14</f>
        <v>0.71999999999999886</v>
      </c>
    </row>
    <row r="14" spans="1:32" ht="15.75" customHeight="1" x14ac:dyDescent="0.2">
      <c r="A14" s="3">
        <f ca="1">'ETF price'!B16-'ETF price'!B15</f>
        <v>-3.1299999999999955</v>
      </c>
      <c r="B14" s="3">
        <f ca="1">'ETF price'!C16-'ETF price'!C15</f>
        <v>-8.9099999999999682</v>
      </c>
      <c r="C14" s="3">
        <f ca="1">'ETF price'!D16-'ETF price'!D15</f>
        <v>-2.289999999999992</v>
      </c>
      <c r="D14" s="3">
        <f ca="1">'ETF price'!E16-'ETF price'!E15</f>
        <v>-2.6599999999999966</v>
      </c>
      <c r="E14" s="3">
        <f ca="1">'ETF price'!F16-'ETF price'!F15</f>
        <v>-1.1099999999999994</v>
      </c>
      <c r="F14" s="3">
        <f ca="1">'ETF price'!G16-'ETF price'!G15</f>
        <v>-1.0600000000000023</v>
      </c>
      <c r="G14" s="3">
        <f ca="1">'ETF price'!H16-'ETF price'!H15</f>
        <v>-0.79999999999999716</v>
      </c>
      <c r="H14" s="3">
        <f ca="1">'ETF price'!I16-'ETF price'!I15</f>
        <v>-1.3199999999999932</v>
      </c>
      <c r="I14" s="3">
        <f ca="1">'ETF price'!J16-'ETF price'!J15</f>
        <v>-2.5800000000000125</v>
      </c>
      <c r="J14" s="3">
        <f ca="1">'ETF price'!K16-'ETF price'!K15</f>
        <v>-1.9699999999999989</v>
      </c>
      <c r="K14" s="3">
        <f ca="1">'ETF price'!L16-'ETF price'!L15</f>
        <v>-1.9399999999999977</v>
      </c>
      <c r="L14" s="3">
        <f ca="1">'ETF price'!M16-'ETF price'!M15</f>
        <v>-0.72000000000000597</v>
      </c>
      <c r="M14" s="3">
        <f ca="1">'ETF price'!N16-'ETF price'!N15</f>
        <v>-0.71000000000000085</v>
      </c>
      <c r="N14" s="3">
        <f ca="1">'ETF price'!O16-'ETF price'!O15</f>
        <v>-1.2800000000000011</v>
      </c>
      <c r="O14" s="3">
        <f ca="1">'ETF price'!P16-'ETF price'!P15</f>
        <v>-1.259999999999998</v>
      </c>
      <c r="P14" s="3">
        <f ca="1">'ETF price'!Q16-'ETF price'!Q15</f>
        <v>-1.8800000000000097</v>
      </c>
      <c r="Q14" s="3">
        <f ca="1">'ETF price'!R16-'ETF price'!R15</f>
        <v>-2.0999999999999943</v>
      </c>
      <c r="R14" s="3">
        <f ca="1">'ETF price'!S16-'ETF price'!S15</f>
        <v>-2.2299999999999969</v>
      </c>
      <c r="S14" s="3">
        <f ca="1">'ETF price'!T16-'ETF price'!T15</f>
        <v>2.0000000000003126E-2</v>
      </c>
      <c r="T14" s="3">
        <f ca="1">'ETF price'!U16-'ETF price'!U15</f>
        <v>0.12000000000000455</v>
      </c>
      <c r="U14" s="3">
        <f ca="1">'ETF price'!V16-'ETF price'!V15</f>
        <v>-3.2499999999999929</v>
      </c>
      <c r="V14" s="3">
        <f ca="1">'ETF price'!W16-'ETF price'!W15</f>
        <v>-0.79999999999999716</v>
      </c>
      <c r="W14" s="3">
        <f ca="1">'ETF price'!X16-'ETF price'!X15</f>
        <v>-1.8300000000000125</v>
      </c>
      <c r="X14" s="3">
        <f ca="1">'ETF price'!Y16-'ETF price'!Y15</f>
        <v>-1.1200000000000045</v>
      </c>
      <c r="Y14" s="3">
        <f ca="1">'ETF price'!Z16-'ETF price'!Z15</f>
        <v>-1.75</v>
      </c>
      <c r="Z14" s="3">
        <f ca="1">'ETF price'!AA16-'ETF price'!AA15</f>
        <v>-3.0000000000001137E-2</v>
      </c>
      <c r="AA14" s="3">
        <f ca="1">'ETF price'!AB16-'ETF price'!AB15</f>
        <v>-1.4300000000000068</v>
      </c>
      <c r="AB14" s="3">
        <f ca="1">'ETF price'!AC16-'ETF price'!AC15</f>
        <v>-1.4799999999999969</v>
      </c>
      <c r="AC14" s="3">
        <f ca="1">'ETF price'!AD16-'ETF price'!AD15</f>
        <v>-1.7199999999999989</v>
      </c>
      <c r="AD14" s="3">
        <f ca="1">'ETF price'!AE16-'ETF price'!AE15</f>
        <v>-2.7999999999999972</v>
      </c>
      <c r="AE14" s="3">
        <f ca="1">'ETF price'!AF16-'ETF price'!AF15</f>
        <v>-0.37000000000000011</v>
      </c>
      <c r="AF14" s="3">
        <f ca="1">'ETF price'!AG16-'ETF price'!AG15</f>
        <v>-9.0400000000000063</v>
      </c>
    </row>
    <row r="15" spans="1:32" ht="15.75" customHeight="1" x14ac:dyDescent="0.2">
      <c r="A15" s="3">
        <f ca="1">'ETF price'!B17-'ETF price'!B16</f>
        <v>0.79999999999998295</v>
      </c>
      <c r="B15" s="3">
        <f ca="1">'ETF price'!C17-'ETF price'!C16</f>
        <v>2.5999999999999659</v>
      </c>
      <c r="C15" s="3">
        <f ca="1">'ETF price'!D17-'ETF price'!D16</f>
        <v>1.0099999999999909</v>
      </c>
      <c r="D15" s="3">
        <f ca="1">'ETF price'!E17-'ETF price'!E16</f>
        <v>1.7999999999999829</v>
      </c>
      <c r="E15" s="3">
        <f ca="1">'ETF price'!F17-'ETF price'!F16</f>
        <v>0.52999999999999403</v>
      </c>
      <c r="F15" s="3">
        <f ca="1">'ETF price'!G17-'ETF price'!G16</f>
        <v>-0.18999999999999773</v>
      </c>
      <c r="G15" s="3">
        <f ca="1">'ETF price'!H17-'ETF price'!H16</f>
        <v>0.34999999999999787</v>
      </c>
      <c r="H15" s="3">
        <f ca="1">'ETF price'!I17-'ETF price'!I16</f>
        <v>-0.43000000000000682</v>
      </c>
      <c r="I15" s="3">
        <f ca="1">'ETF price'!J17-'ETF price'!J16</f>
        <v>-0.27999999999997272</v>
      </c>
      <c r="J15" s="3">
        <f ca="1">'ETF price'!K17-'ETF price'!K16</f>
        <v>1.1800000000000068</v>
      </c>
      <c r="K15" s="3">
        <f ca="1">'ETF price'!L17-'ETF price'!L16</f>
        <v>2.0799999999999983</v>
      </c>
      <c r="L15" s="3">
        <f ca="1">'ETF price'!M17-'ETF price'!M16</f>
        <v>0.90000000000000568</v>
      </c>
      <c r="M15" s="3">
        <f ca="1">'ETF price'!N17-'ETF price'!N16</f>
        <v>-3.0000000000001137E-2</v>
      </c>
      <c r="N15" s="3">
        <f ca="1">'ETF price'!O17-'ETF price'!O16</f>
        <v>1.0399999999999991</v>
      </c>
      <c r="O15" s="3">
        <f ca="1">'ETF price'!P17-'ETF price'!P16</f>
        <v>0.4199999999999946</v>
      </c>
      <c r="P15" s="3">
        <f ca="1">'ETF price'!Q17-'ETF price'!Q16</f>
        <v>0.65000000000000568</v>
      </c>
      <c r="Q15" s="3">
        <f ca="1">'ETF price'!R17-'ETF price'!R16</f>
        <v>4.9999999999997158E-2</v>
      </c>
      <c r="R15" s="3">
        <f ca="1">'ETF price'!S17-'ETF price'!S16</f>
        <v>0.38999999999999346</v>
      </c>
      <c r="S15" s="3">
        <f ca="1">'ETF price'!T17-'ETF price'!T16</f>
        <v>-5.0000000000000711E-2</v>
      </c>
      <c r="T15" s="3">
        <f ca="1">'ETF price'!U17-'ETF price'!U16</f>
        <v>-0.67000000000000171</v>
      </c>
      <c r="U15" s="3">
        <f ca="1">'ETF price'!V17-'ETF price'!V16</f>
        <v>0.67999999999999972</v>
      </c>
      <c r="V15" s="3">
        <f ca="1">'ETF price'!W17-'ETF price'!W16</f>
        <v>0.10999999999999943</v>
      </c>
      <c r="W15" s="3">
        <f ca="1">'ETF price'!X17-'ETF price'!X16</f>
        <v>0.34000000000000341</v>
      </c>
      <c r="X15" s="3">
        <f ca="1">'ETF price'!Y17-'ETF price'!Y16</f>
        <v>0.5800000000000054</v>
      </c>
      <c r="Y15" s="3">
        <f ca="1">'ETF price'!Z17-'ETF price'!Z16</f>
        <v>0.28000000000000114</v>
      </c>
      <c r="Z15" s="3">
        <f ca="1">'ETF price'!AA17-'ETF price'!AA16</f>
        <v>0.10000000000000142</v>
      </c>
      <c r="AA15" s="3">
        <f ca="1">'ETF price'!AB17-'ETF price'!AB16</f>
        <v>1</v>
      </c>
      <c r="AB15" s="3">
        <f ca="1">'ETF price'!AC17-'ETF price'!AC16</f>
        <v>-0.13000000000000256</v>
      </c>
      <c r="AC15" s="3">
        <f ca="1">'ETF price'!AD17-'ETF price'!AD16</f>
        <v>-0.41999999999999993</v>
      </c>
      <c r="AD15" s="3">
        <f ca="1">'ETF price'!AE17-'ETF price'!AE16</f>
        <v>-0.62000000000000099</v>
      </c>
      <c r="AE15" s="3">
        <f ca="1">'ETF price'!AF17-'ETF price'!AF16</f>
        <v>-0.58000000000000007</v>
      </c>
      <c r="AF15" s="3">
        <f ca="1">'ETF price'!AG17-'ETF price'!AG16</f>
        <v>-1.1999999999999957</v>
      </c>
    </row>
    <row r="16" spans="1:32" ht="15.75" customHeight="1" x14ac:dyDescent="0.2">
      <c r="A16" s="3">
        <f ca="1">'ETF price'!B18-'ETF price'!B17</f>
        <v>-3.5900000000000034</v>
      </c>
      <c r="B16" s="3">
        <f ca="1">'ETF price'!C18-'ETF price'!C17</f>
        <v>-9.9499999999999886</v>
      </c>
      <c r="C16" s="3">
        <f ca="1">'ETF price'!D18-'ETF price'!D17</f>
        <v>-2.8699999999999903</v>
      </c>
      <c r="D16" s="3">
        <f ca="1">'ETF price'!E18-'ETF price'!E17</f>
        <v>-5.9499999999999886</v>
      </c>
      <c r="E16" s="3">
        <f ca="1">'ETF price'!F18-'ETF price'!F17</f>
        <v>-1.7299999999999969</v>
      </c>
      <c r="F16" s="3">
        <f ca="1">'ETF price'!G18-'ETF price'!G17</f>
        <v>-0.49000000000000199</v>
      </c>
      <c r="G16" s="3">
        <f ca="1">'ETF price'!H18-'ETF price'!H17</f>
        <v>-0.66000000000000014</v>
      </c>
      <c r="H16" s="3">
        <f ca="1">'ETF price'!I18-'ETF price'!I17</f>
        <v>-0.82999999999998408</v>
      </c>
      <c r="I16" s="3">
        <f ca="1">'ETF price'!J18-'ETF price'!J17</f>
        <v>-2.2600000000000193</v>
      </c>
      <c r="J16" s="3">
        <f ca="1">'ETF price'!K18-'ETF price'!K17</f>
        <v>-2.2700000000000102</v>
      </c>
      <c r="K16" s="3">
        <f ca="1">'ETF price'!L18-'ETF price'!L17</f>
        <v>-0.73000000000000398</v>
      </c>
      <c r="L16" s="3">
        <f ca="1">'ETF price'!M18-'ETF price'!M17</f>
        <v>-0.89000000000000057</v>
      </c>
      <c r="M16" s="3">
        <f ca="1">'ETF price'!N18-'ETF price'!N17</f>
        <v>-0.54999999999999716</v>
      </c>
      <c r="N16" s="3">
        <f ca="1">'ETF price'!O18-'ETF price'!O17</f>
        <v>-1.1200000000000045</v>
      </c>
      <c r="O16" s="3">
        <f ca="1">'ETF price'!P18-'ETF price'!P17</f>
        <v>2.4400000000000048</v>
      </c>
      <c r="P16" s="3">
        <f ca="1">'ETF price'!Q18-'ETF price'!Q17</f>
        <v>3.230000000000004</v>
      </c>
      <c r="Q16" s="3">
        <f ca="1">'ETF price'!R18-'ETF price'!R17</f>
        <v>-0.76000000000000512</v>
      </c>
      <c r="R16" s="3">
        <f ca="1">'ETF price'!S18-'ETF price'!S17</f>
        <v>0.14000000000000057</v>
      </c>
      <c r="S16" s="3">
        <f ca="1">'ETF price'!T18-'ETF price'!T17</f>
        <v>0.19999999999999929</v>
      </c>
      <c r="T16" s="3">
        <f ca="1">'ETF price'!U18-'ETF price'!U17</f>
        <v>0.85999999999999943</v>
      </c>
      <c r="U16" s="3">
        <f ca="1">'ETF price'!V18-'ETF price'!V17</f>
        <v>-2.0500000000000043</v>
      </c>
      <c r="V16" s="3">
        <f ca="1">'ETF price'!W18-'ETF price'!W17</f>
        <v>0.15999999999999659</v>
      </c>
      <c r="W16" s="3">
        <f ca="1">'ETF price'!X18-'ETF price'!X17</f>
        <v>0.29999999999999716</v>
      </c>
      <c r="X16" s="3">
        <f ca="1">'ETF price'!Y18-'ETF price'!Y17</f>
        <v>0.11999999999999744</v>
      </c>
      <c r="Y16" s="3">
        <f ca="1">'ETF price'!Z18-'ETF price'!Z17</f>
        <v>-7.9999999999998295E-2</v>
      </c>
      <c r="Z16" s="3">
        <f ca="1">'ETF price'!AA18-'ETF price'!AA17</f>
        <v>-0.13000000000000256</v>
      </c>
      <c r="AA16" s="3">
        <f ca="1">'ETF price'!AB18-'ETF price'!AB17</f>
        <v>-6.0000000000002274E-2</v>
      </c>
      <c r="AB16" s="3">
        <f ca="1">'ETF price'!AC18-'ETF price'!AC17</f>
        <v>0.10000000000000142</v>
      </c>
      <c r="AC16" s="3">
        <f ca="1">'ETF price'!AD18-'ETF price'!AD17</f>
        <v>-0.10999999999999943</v>
      </c>
      <c r="AD16" s="3">
        <f ca="1">'ETF price'!AE18-'ETF price'!AE17</f>
        <v>-0.26000000000000156</v>
      </c>
      <c r="AE16" s="3">
        <f ca="1">'ETF price'!AF18-'ETF price'!AF17</f>
        <v>9.9999999999997868E-3</v>
      </c>
      <c r="AF16" s="3">
        <f ca="1">'ETF price'!AG18-'ETF price'!AG17</f>
        <v>-0.67999999999999972</v>
      </c>
    </row>
    <row r="17" spans="1:32" ht="15.75" customHeight="1" x14ac:dyDescent="0.2">
      <c r="A17" s="3">
        <f ca="1">'ETF price'!B19-'ETF price'!B18</f>
        <v>0.89000000000001478</v>
      </c>
      <c r="B17" s="3">
        <f ca="1">'ETF price'!C19-'ETF price'!C18</f>
        <v>1.3700000000000045</v>
      </c>
      <c r="C17" s="3">
        <f ca="1">'ETF price'!D19-'ETF price'!D18</f>
        <v>0.47999999999998977</v>
      </c>
      <c r="D17" s="3">
        <f ca="1">'ETF price'!E19-'ETF price'!E18</f>
        <v>2.3599999999999852</v>
      </c>
      <c r="E17" s="3">
        <f ca="1">'ETF price'!F19-'ETF price'!F18</f>
        <v>-0.42999999999999972</v>
      </c>
      <c r="F17" s="3">
        <f ca="1">'ETF price'!G19-'ETF price'!G18</f>
        <v>-5.9999999999998721E-2</v>
      </c>
      <c r="G17" s="3">
        <f ca="1">'ETF price'!H19-'ETF price'!H18</f>
        <v>-0.28999999999999915</v>
      </c>
      <c r="H17" s="3">
        <f ca="1">'ETF price'!I19-'ETF price'!I18</f>
        <v>-0.67000000000000171</v>
      </c>
      <c r="I17" s="3">
        <f ca="1">'ETF price'!J19-'ETF price'!J18</f>
        <v>-1.289999999999992</v>
      </c>
      <c r="J17" s="3">
        <f ca="1">'ETF price'!K19-'ETF price'!K18</f>
        <v>-1.3700000000000045</v>
      </c>
      <c r="K17" s="3">
        <f ca="1">'ETF price'!L19-'ETF price'!L18</f>
        <v>-1.789999999999992</v>
      </c>
      <c r="L17" s="3">
        <f ca="1">'ETF price'!M19-'ETF price'!M18</f>
        <v>-0.81000000000000227</v>
      </c>
      <c r="M17" s="3">
        <f ca="1">'ETF price'!N19-'ETF price'!N18</f>
        <v>-0.45000000000000284</v>
      </c>
      <c r="N17" s="3">
        <f ca="1">'ETF price'!O19-'ETF price'!O18</f>
        <v>-1.279999999999994</v>
      </c>
      <c r="O17" s="3">
        <f ca="1">'ETF price'!P19-'ETF price'!P18</f>
        <v>-0.10999999999999943</v>
      </c>
      <c r="P17" s="3">
        <f ca="1">'ETF price'!Q19-'ETF price'!Q18</f>
        <v>-0.23000000000000398</v>
      </c>
      <c r="Q17" s="3">
        <f ca="1">'ETF price'!R19-'ETF price'!R18</f>
        <v>-0.87000000000000455</v>
      </c>
      <c r="R17" s="3">
        <f ca="1">'ETF price'!S19-'ETF price'!S18</f>
        <v>-1.1299999999999955</v>
      </c>
      <c r="S17" s="3">
        <f ca="1">'ETF price'!T19-'ETF price'!T18</f>
        <v>5.0000000000000711E-2</v>
      </c>
      <c r="T17" s="3">
        <f ca="1">'ETF price'!U19-'ETF price'!U18</f>
        <v>0.71000000000000085</v>
      </c>
      <c r="U17" s="3">
        <f ca="1">'ETF price'!V19-'ETF price'!V18</f>
        <v>0.12000000000000455</v>
      </c>
      <c r="V17" s="3">
        <f ca="1">'ETF price'!W19-'ETF price'!W18</f>
        <v>0.10000000000000142</v>
      </c>
      <c r="W17" s="3">
        <f ca="1">'ETF price'!X19-'ETF price'!X18</f>
        <v>-3.9999999999992042E-2</v>
      </c>
      <c r="X17" s="3">
        <f ca="1">'ETF price'!Y19-'ETF price'!Y18</f>
        <v>-0.36999999999999744</v>
      </c>
      <c r="Y17" s="3">
        <f ca="1">'ETF price'!Z19-'ETF price'!Z18</f>
        <v>0.23999999999999488</v>
      </c>
      <c r="Z17" s="3">
        <f ca="1">'ETF price'!AA19-'ETF price'!AA18</f>
        <v>-0.78000000000000114</v>
      </c>
      <c r="AA17" s="3">
        <f ca="1">'ETF price'!AB19-'ETF price'!AB18</f>
        <v>-0.39999999999999147</v>
      </c>
      <c r="AB17" s="3">
        <f ca="1">'ETF price'!AC19-'ETF price'!AC18</f>
        <v>0.25999999999999801</v>
      </c>
      <c r="AC17" s="3">
        <f ca="1">'ETF price'!AD19-'ETF price'!AD18</f>
        <v>3.9999999999999147E-2</v>
      </c>
      <c r="AD17" s="3">
        <f ca="1">'ETF price'!AE19-'ETF price'!AE18</f>
        <v>3.0000000000001137E-2</v>
      </c>
      <c r="AE17" s="3">
        <f ca="1">'ETF price'!AF19-'ETF price'!AF18</f>
        <v>-5.9999999999999609E-2</v>
      </c>
      <c r="AF17" s="3">
        <f ca="1">'ETF price'!AG19-'ETF price'!AG18</f>
        <v>-0.16000000000000369</v>
      </c>
    </row>
    <row r="18" spans="1:32" ht="15.75" customHeight="1" x14ac:dyDescent="0.2">
      <c r="A18" s="3">
        <f ca="1">'ETF price'!B20-'ETF price'!B19</f>
        <v>-1.0500000000000114</v>
      </c>
      <c r="B18" s="3">
        <f ca="1">'ETF price'!C20-'ETF price'!C19</f>
        <v>-3.3600000000000136</v>
      </c>
      <c r="C18" s="3">
        <f ca="1">'ETF price'!D20-'ETF price'!D19</f>
        <v>-0.85999999999999943</v>
      </c>
      <c r="D18" s="3">
        <f ca="1">'ETF price'!E20-'ETF price'!E19</f>
        <v>-6.9399999999999977</v>
      </c>
      <c r="E18" s="3">
        <f ca="1">'ETF price'!F20-'ETF price'!F19</f>
        <v>-0.60999999999999943</v>
      </c>
      <c r="F18" s="3">
        <f ca="1">'ETF price'!G20-'ETF price'!G19</f>
        <v>-0.67000000000000171</v>
      </c>
      <c r="G18" s="3">
        <f ca="1">'ETF price'!H20-'ETF price'!H19</f>
        <v>-0.44000000000000128</v>
      </c>
      <c r="H18" s="3">
        <f ca="1">'ETF price'!I20-'ETF price'!I19</f>
        <v>0.32999999999999829</v>
      </c>
      <c r="I18" s="3">
        <f ca="1">'ETF price'!J20-'ETF price'!J19</f>
        <v>-0.71000000000000796</v>
      </c>
      <c r="J18" s="3">
        <f ca="1">'ETF price'!K20-'ETF price'!K19</f>
        <v>-2.539999999999992</v>
      </c>
      <c r="K18" s="3">
        <f ca="1">'ETF price'!L20-'ETF price'!L19</f>
        <v>-4.0799999999999983</v>
      </c>
      <c r="L18" s="3">
        <f ca="1">'ETF price'!M20-'ETF price'!M19</f>
        <v>-1.3999999999999986</v>
      </c>
      <c r="M18" s="3">
        <f ca="1">'ETF price'!N20-'ETF price'!N19</f>
        <v>-6.0000000000002274E-2</v>
      </c>
      <c r="N18" s="3">
        <f ca="1">'ETF price'!O20-'ETF price'!O19</f>
        <v>-1.8400000000000034</v>
      </c>
      <c r="O18" s="3">
        <f ca="1">'ETF price'!P20-'ETF price'!P19</f>
        <v>0.70999999999999375</v>
      </c>
      <c r="P18" s="3">
        <f ca="1">'ETF price'!Q20-'ETF price'!Q19</f>
        <v>0.92000000000000171</v>
      </c>
      <c r="Q18" s="3">
        <f ca="1">'ETF price'!R20-'ETF price'!R19</f>
        <v>0.28000000000000114</v>
      </c>
      <c r="R18" s="3">
        <f ca="1">'ETF price'!S20-'ETF price'!S19</f>
        <v>-0.64999999999999858</v>
      </c>
      <c r="S18" s="3">
        <f ca="1">'ETF price'!T20-'ETF price'!T19</f>
        <v>0.10999999999999943</v>
      </c>
      <c r="T18" s="3">
        <f ca="1">'ETF price'!U20-'ETF price'!U19</f>
        <v>0.17999999999999972</v>
      </c>
      <c r="U18" s="3">
        <f ca="1">'ETF price'!V20-'ETF price'!V19</f>
        <v>-2.3500000000000014</v>
      </c>
      <c r="V18" s="3">
        <f ca="1">'ETF price'!W20-'ETF price'!W19</f>
        <v>-0.35000000000000142</v>
      </c>
      <c r="W18" s="3">
        <f ca="1">'ETF price'!X20-'ETF price'!X19</f>
        <v>-0.82000000000000739</v>
      </c>
      <c r="X18" s="3">
        <f ca="1">'ETF price'!Y20-'ETF price'!Y19</f>
        <v>-1.1700000000000017</v>
      </c>
      <c r="Y18" s="3">
        <f ca="1">'ETF price'!Z20-'ETF price'!Z19</f>
        <v>-0.63999999999998636</v>
      </c>
      <c r="Z18" s="3">
        <f ca="1">'ETF price'!AA20-'ETF price'!AA19</f>
        <v>-0.82999999999999829</v>
      </c>
      <c r="AA18" s="3">
        <f ca="1">'ETF price'!AB20-'ETF price'!AB19</f>
        <v>-1.5200000000000102</v>
      </c>
      <c r="AB18" s="3">
        <f ca="1">'ETF price'!AC20-'ETF price'!AC19</f>
        <v>-0.28999999999999915</v>
      </c>
      <c r="AC18" s="3">
        <f ca="1">'ETF price'!AD20-'ETF price'!AD19</f>
        <v>-0.57000000000000028</v>
      </c>
      <c r="AD18" s="3">
        <f ca="1">'ETF price'!AE20-'ETF price'!AE19</f>
        <v>-0.94000000000000128</v>
      </c>
      <c r="AE18" s="3">
        <f ca="1">'ETF price'!AF20-'ETF price'!AF19</f>
        <v>-2.0000000000000462E-2</v>
      </c>
      <c r="AF18" s="3">
        <f ca="1">'ETF price'!AG20-'ETF price'!AG19</f>
        <v>-4.1599999999999966</v>
      </c>
    </row>
    <row r="19" spans="1:32" ht="15.75" customHeight="1" x14ac:dyDescent="0.2">
      <c r="A19" s="3">
        <f ca="1">'ETF price'!B21-'ETF price'!B20</f>
        <v>6.6200000000000045</v>
      </c>
      <c r="B19" s="3">
        <f ca="1">'ETF price'!C21-'ETF price'!C20</f>
        <v>16.75</v>
      </c>
      <c r="C19" s="3">
        <f ca="1">'ETF price'!D21-'ETF price'!D20</f>
        <v>3.6600000000000108</v>
      </c>
      <c r="D19" s="3">
        <f ca="1">'ETF price'!E21-'ETF price'!E20</f>
        <v>2.8600000000000136</v>
      </c>
      <c r="E19" s="3">
        <f ca="1">'ETF price'!F21-'ETF price'!F20</f>
        <v>0.89999999999999858</v>
      </c>
      <c r="F19" s="3">
        <f ca="1">'ETF price'!G21-'ETF price'!G20</f>
        <v>0.31000000000000227</v>
      </c>
      <c r="G19" s="3">
        <f ca="1">'ETF price'!H21-'ETF price'!H20</f>
        <v>0.75</v>
      </c>
      <c r="H19" s="3">
        <f ca="1">'ETF price'!I21-'ETF price'!I20</f>
        <v>2.6099999999999852</v>
      </c>
      <c r="I19" s="3">
        <f ca="1">'ETF price'!J21-'ETF price'!J20</f>
        <v>5.4300000000000068</v>
      </c>
      <c r="J19" s="3">
        <f ca="1">'ETF price'!K21-'ETF price'!K20</f>
        <v>4.289999999999992</v>
      </c>
      <c r="K19" s="3">
        <f ca="1">'ETF price'!L21-'ETF price'!L20</f>
        <v>3.0699999999999932</v>
      </c>
      <c r="L19" s="3">
        <f ca="1">'ETF price'!M21-'ETF price'!M20</f>
        <v>2.269999999999996</v>
      </c>
      <c r="M19" s="3">
        <f ca="1">'ETF price'!N21-'ETF price'!N20</f>
        <v>1.4000000000000057</v>
      </c>
      <c r="N19" s="3">
        <f ca="1">'ETF price'!O21-'ETF price'!O20</f>
        <v>1.759999999999998</v>
      </c>
      <c r="O19" s="3">
        <f ca="1">'ETF price'!P21-'ETF price'!P20</f>
        <v>-0.28000000000000114</v>
      </c>
      <c r="P19" s="3">
        <f ca="1">'ETF price'!Q21-'ETF price'!Q20</f>
        <v>-0.18999999999999773</v>
      </c>
      <c r="Q19" s="3">
        <f ca="1">'ETF price'!R21-'ETF price'!R20</f>
        <v>0.48000000000000398</v>
      </c>
      <c r="R19" s="3">
        <f ca="1">'ETF price'!S21-'ETF price'!S20</f>
        <v>0.34999999999999432</v>
      </c>
      <c r="S19" s="3">
        <f ca="1">'ETF price'!T21-'ETF price'!T20</f>
        <v>1.9999999999999574E-2</v>
      </c>
      <c r="T19" s="3">
        <f ca="1">'ETF price'!U21-'ETF price'!U20</f>
        <v>0.10999999999999943</v>
      </c>
      <c r="U19" s="3">
        <f ca="1">'ETF price'!V21-'ETF price'!V20</f>
        <v>0.36999999999999744</v>
      </c>
      <c r="V19" s="3">
        <f ca="1">'ETF price'!W21-'ETF price'!W20</f>
        <v>0.5</v>
      </c>
      <c r="W19" s="3">
        <f ca="1">'ETF price'!X21-'ETF price'!X20</f>
        <v>1.2400000000000091</v>
      </c>
      <c r="X19" s="3">
        <f ca="1">'ETF price'!Y21-'ETF price'!Y20</f>
        <v>0.29999999999999716</v>
      </c>
      <c r="Y19" s="3">
        <f ca="1">'ETF price'!Z21-'ETF price'!Z20</f>
        <v>1.2299999999999898</v>
      </c>
      <c r="Z19" s="3">
        <f ca="1">'ETF price'!AA21-'ETF price'!AA20</f>
        <v>1.5700000000000003</v>
      </c>
      <c r="AA19" s="3">
        <f ca="1">'ETF price'!AB21-'ETF price'!AB20</f>
        <v>0.38000000000000966</v>
      </c>
      <c r="AB19" s="3">
        <f ca="1">'ETF price'!AC21-'ETF price'!AC20</f>
        <v>1.5700000000000003</v>
      </c>
      <c r="AC19" s="3">
        <f ca="1">'ETF price'!AD21-'ETF price'!AD20</f>
        <v>0.86000000000000121</v>
      </c>
      <c r="AD19" s="3">
        <f ca="1">'ETF price'!AE21-'ETF price'!AE20</f>
        <v>1.4600000000000009</v>
      </c>
      <c r="AE19" s="3">
        <f ca="1">'ETF price'!AF21-'ETF price'!AF20</f>
        <v>0.12000000000000011</v>
      </c>
      <c r="AF19" s="3">
        <f ca="1">'ETF price'!AG21-'ETF price'!AG20</f>
        <v>3.1199999999999974</v>
      </c>
    </row>
    <row r="20" spans="1:32" ht="15.75" customHeight="1" x14ac:dyDescent="0.2">
      <c r="A20" s="3">
        <f ca="1">'ETF price'!B22-'ETF price'!B21</f>
        <v>3.9699999999999989</v>
      </c>
      <c r="B20" s="3">
        <f ca="1">'ETF price'!C22-'ETF price'!C21</f>
        <v>12.420000000000016</v>
      </c>
      <c r="C20" s="3">
        <f ca="1">'ETF price'!D22-'ETF price'!D21</f>
        <v>3.2199999999999989</v>
      </c>
      <c r="D20" s="3">
        <f ca="1">'ETF price'!E22-'ETF price'!E21</f>
        <v>8.1399999999999864</v>
      </c>
      <c r="E20" s="3">
        <f ca="1">'ETF price'!F22-'ETF price'!F21</f>
        <v>1.8999999999999986</v>
      </c>
      <c r="F20" s="3">
        <f ca="1">'ETF price'!G22-'ETF price'!G21</f>
        <v>1.3099999999999987</v>
      </c>
      <c r="G20" s="3">
        <f ca="1">'ETF price'!H22-'ETF price'!H21</f>
        <v>1.1000000000000014</v>
      </c>
      <c r="H20" s="3">
        <f ca="1">'ETF price'!I22-'ETF price'!I21</f>
        <v>0.75</v>
      </c>
      <c r="I20" s="3">
        <f ca="1">'ETF price'!J22-'ETF price'!J21</f>
        <v>3.0600000000000023</v>
      </c>
      <c r="J20" s="3">
        <f ca="1">'ETF price'!K22-'ETF price'!K21</f>
        <v>3.8900000000000148</v>
      </c>
      <c r="K20" s="3">
        <f ca="1">'ETF price'!L22-'ETF price'!L21</f>
        <v>4.8500000000000085</v>
      </c>
      <c r="L20" s="3">
        <f ca="1">'ETF price'!M22-'ETF price'!M21</f>
        <v>1.6799999999999997</v>
      </c>
      <c r="M20" s="3">
        <f ca="1">'ETF price'!N22-'ETF price'!N21</f>
        <v>0.76999999999999602</v>
      </c>
      <c r="N20" s="3">
        <f ca="1">'ETF price'!O22-'ETF price'!O21</f>
        <v>3.4400000000000048</v>
      </c>
      <c r="O20" s="3">
        <f ca="1">'ETF price'!P22-'ETF price'!P21</f>
        <v>0.29000000000000625</v>
      </c>
      <c r="P20" s="3">
        <f ca="1">'ETF price'!Q22-'ETF price'!Q21</f>
        <v>0.39000000000000057</v>
      </c>
      <c r="Q20" s="3">
        <f ca="1">'ETF price'!R22-'ETF price'!R21</f>
        <v>1.230000000000004</v>
      </c>
      <c r="R20" s="3">
        <f ca="1">'ETF price'!S22-'ETF price'!S21</f>
        <v>0.35000000000000142</v>
      </c>
      <c r="S20" s="3">
        <f ca="1">'ETF price'!T22-'ETF price'!T21</f>
        <v>8.0000000000001847E-2</v>
      </c>
      <c r="T20" s="3">
        <f ca="1">'ETF price'!U22-'ETF price'!U21</f>
        <v>0.50999999999999801</v>
      </c>
      <c r="U20" s="3">
        <f ca="1">'ETF price'!V22-'ETF price'!V21</f>
        <v>4.970000000000006</v>
      </c>
      <c r="V20" s="3">
        <f ca="1">'ETF price'!W22-'ETF price'!W21</f>
        <v>0.34000000000000341</v>
      </c>
      <c r="W20" s="3">
        <f ca="1">'ETF price'!X22-'ETF price'!X21</f>
        <v>1.1499999999999915</v>
      </c>
      <c r="X20" s="3">
        <f ca="1">'ETF price'!Y22-'ETF price'!Y21</f>
        <v>0.45000000000000284</v>
      </c>
      <c r="Y20" s="3">
        <f ca="1">'ETF price'!Z22-'ETF price'!Z21</f>
        <v>0.95000000000000284</v>
      </c>
      <c r="Z20" s="3">
        <f ca="1">'ETF price'!AA22-'ETF price'!AA21</f>
        <v>0.52000000000000313</v>
      </c>
      <c r="AA20" s="3">
        <f ca="1">'ETF price'!AB22-'ETF price'!AB21</f>
        <v>0.5899999999999892</v>
      </c>
      <c r="AB20" s="3">
        <f ca="1">'ETF price'!AC22-'ETF price'!AC21</f>
        <v>0.71999999999999886</v>
      </c>
      <c r="AC20" s="3">
        <f ca="1">'ETF price'!AD22-'ETF price'!AD21</f>
        <v>0.27999999999999936</v>
      </c>
      <c r="AD20" s="3">
        <f ca="1">'ETF price'!AE22-'ETF price'!AE21</f>
        <v>0.39000000000000057</v>
      </c>
      <c r="AE20" s="3">
        <f ca="1">'ETF price'!AF22-'ETF price'!AF21</f>
        <v>0.44000000000000039</v>
      </c>
      <c r="AF20" s="3">
        <f ca="1">'ETF price'!AG22-'ETF price'!AG21</f>
        <v>4.6800000000000068</v>
      </c>
    </row>
    <row r="21" spans="1:32" ht="15.75" customHeight="1" x14ac:dyDescent="0.2">
      <c r="A21" s="3">
        <f ca="1">'ETF price'!B23-'ETF price'!B22</f>
        <v>0.41999999999998749</v>
      </c>
      <c r="B21" s="3">
        <f ca="1">'ETF price'!C23-'ETF price'!C22</f>
        <v>1.75</v>
      </c>
      <c r="C21" s="3">
        <f ca="1">'ETF price'!D23-'ETF price'!D22</f>
        <v>0.57999999999999829</v>
      </c>
      <c r="D21" s="3">
        <f ca="1">'ETF price'!E23-'ETF price'!E22</f>
        <v>1.3300000000000125</v>
      </c>
      <c r="E21" s="3">
        <f ca="1">'ETF price'!F23-'ETF price'!F22</f>
        <v>0.53000000000000114</v>
      </c>
      <c r="F21" s="3">
        <f ca="1">'ETF price'!G23-'ETF price'!G22</f>
        <v>0.44999999999999929</v>
      </c>
      <c r="G21" s="3">
        <f ca="1">'ETF price'!H23-'ETF price'!H22</f>
        <v>0.39999999999999858</v>
      </c>
      <c r="H21" s="3">
        <f ca="1">'ETF price'!I23-'ETF price'!I22</f>
        <v>0.35000000000002274</v>
      </c>
      <c r="I21" s="3">
        <f ca="1">'ETF price'!J23-'ETF price'!J22</f>
        <v>0.93999999999999773</v>
      </c>
      <c r="J21" s="3">
        <f ca="1">'ETF price'!K23-'ETF price'!K22</f>
        <v>2.3899999999999864</v>
      </c>
      <c r="K21" s="3">
        <f ca="1">'ETF price'!L23-'ETF price'!L22</f>
        <v>1.5099999999999909</v>
      </c>
      <c r="L21" s="3">
        <f ca="1">'ETF price'!M23-'ETF price'!M22</f>
        <v>0.91000000000000369</v>
      </c>
      <c r="M21" s="3">
        <f ca="1">'ETF price'!N23-'ETF price'!N22</f>
        <v>0.18999999999999773</v>
      </c>
      <c r="N21" s="3">
        <f ca="1">'ETF price'!O23-'ETF price'!O22</f>
        <v>1.5600000000000023</v>
      </c>
      <c r="O21" s="3">
        <f ca="1">'ETF price'!P23-'ETF price'!P22</f>
        <v>2.3499999999999943</v>
      </c>
      <c r="P21" s="3">
        <f ca="1">'ETF price'!Q23-'ETF price'!Q22</f>
        <v>3.3499999999999943</v>
      </c>
      <c r="Q21" s="3">
        <f ca="1">'ETF price'!R23-'ETF price'!R22</f>
        <v>1.2999999999999972</v>
      </c>
      <c r="R21" s="3">
        <f ca="1">'ETF price'!S23-'ETF price'!S22</f>
        <v>1.9100000000000037</v>
      </c>
      <c r="S21" s="3">
        <f ca="1">'ETF price'!T23-'ETF price'!T22</f>
        <v>8.9999999999999858E-2</v>
      </c>
      <c r="T21" s="3">
        <f ca="1">'ETF price'!U23-'ETF price'!U22</f>
        <v>5.0000000000004263E-2</v>
      </c>
      <c r="U21" s="3">
        <f ca="1">'ETF price'!V23-'ETF price'!V22</f>
        <v>-0.27000000000001023</v>
      </c>
      <c r="V21" s="3">
        <f ca="1">'ETF price'!W23-'ETF price'!W22</f>
        <v>0.53999999999999915</v>
      </c>
      <c r="W21" s="3">
        <f ca="1">'ETF price'!X23-'ETF price'!X22</f>
        <v>1.2999999999999972</v>
      </c>
      <c r="X21" s="3">
        <f ca="1">'ETF price'!Y23-'ETF price'!Y22</f>
        <v>0.83999999999999631</v>
      </c>
      <c r="Y21" s="3">
        <f ca="1">'ETF price'!Z23-'ETF price'!Z22</f>
        <v>1.2099999999999937</v>
      </c>
      <c r="Z21" s="3">
        <f ca="1">'ETF price'!AA23-'ETF price'!AA22</f>
        <v>-0.32000000000000028</v>
      </c>
      <c r="AA21" s="3">
        <f ca="1">'ETF price'!AB23-'ETF price'!AB22</f>
        <v>1.0800000000000125</v>
      </c>
      <c r="AB21" s="3">
        <f ca="1">'ETF price'!AC23-'ETF price'!AC22</f>
        <v>1.2400000000000091</v>
      </c>
      <c r="AC21" s="3">
        <f ca="1">'ETF price'!AD23-'ETF price'!AD22</f>
        <v>1.9999999999999574E-2</v>
      </c>
      <c r="AD21" s="3">
        <f ca="1">'ETF price'!AE23-'ETF price'!AE22</f>
        <v>3.9999999999999147E-2</v>
      </c>
      <c r="AE21" s="3">
        <f ca="1">'ETF price'!AF23-'ETF price'!AF22</f>
        <v>0.15999999999999925</v>
      </c>
      <c r="AF21" s="3">
        <f ca="1">'ETF price'!AG23-'ETF price'!AG22</f>
        <v>3.1199999999999903</v>
      </c>
    </row>
    <row r="22" spans="1:32" ht="15.75" customHeight="1" x14ac:dyDescent="0.2">
      <c r="A22" s="3">
        <f ca="1">'ETF price'!B24-'ETF price'!B23</f>
        <v>1.3200000000000216</v>
      </c>
      <c r="B22" s="3">
        <f ca="1">'ETF price'!C24-'ETF price'!C23</f>
        <v>2.1999999999999886</v>
      </c>
      <c r="C22" s="3">
        <f ca="1">'ETF price'!D24-'ETF price'!D23</f>
        <v>1.7599999999999909</v>
      </c>
      <c r="D22" s="3">
        <f ca="1">'ETF price'!E24-'ETF price'!E23</f>
        <v>4.0699999999999932</v>
      </c>
      <c r="E22" s="3">
        <f ca="1">'ETF price'!F24-'ETF price'!F23</f>
        <v>-0.61999999999999744</v>
      </c>
      <c r="F22" s="3">
        <f ca="1">'ETF price'!G24-'ETF price'!G23</f>
        <v>0.17000000000000171</v>
      </c>
      <c r="G22" s="3">
        <f ca="1">'ETF price'!H24-'ETF price'!H23</f>
        <v>-0.10999999999999943</v>
      </c>
      <c r="H22" s="3">
        <f ca="1">'ETF price'!I24-'ETF price'!I23</f>
        <v>1.7699999999999818</v>
      </c>
      <c r="I22" s="3">
        <f ca="1">'ETF price'!J24-'ETF price'!J23</f>
        <v>2.289999999999992</v>
      </c>
      <c r="J22" s="3">
        <f ca="1">'ETF price'!K24-'ETF price'!K23</f>
        <v>-1.2700000000000102</v>
      </c>
      <c r="K22" s="3">
        <f ca="1">'ETF price'!L24-'ETF price'!L23</f>
        <v>-3.0900000000000034</v>
      </c>
      <c r="L22" s="3">
        <f ca="1">'ETF price'!M24-'ETF price'!M23</f>
        <v>-0.96000000000000085</v>
      </c>
      <c r="M22" s="3">
        <f ca="1">'ETF price'!N24-'ETF price'!N23</f>
        <v>0.63000000000000966</v>
      </c>
      <c r="N22" s="3">
        <f ca="1">'ETF price'!O24-'ETF price'!O23</f>
        <v>-1.6800000000000068</v>
      </c>
      <c r="O22" s="3">
        <f ca="1">'ETF price'!P24-'ETF price'!P23</f>
        <v>0.21999999999999886</v>
      </c>
      <c r="P22" s="3">
        <f ca="1">'ETF price'!Q24-'ETF price'!Q23</f>
        <v>0.31000000000000227</v>
      </c>
      <c r="Q22" s="3">
        <f ca="1">'ETF price'!R24-'ETF price'!R23</f>
        <v>0.26999999999999602</v>
      </c>
      <c r="R22" s="3">
        <f ca="1">'ETF price'!S24-'ETF price'!S23</f>
        <v>0.55999999999999517</v>
      </c>
      <c r="S22" s="3">
        <f ca="1">'ETF price'!T24-'ETF price'!T23</f>
        <v>8.9999999999999858E-2</v>
      </c>
      <c r="T22" s="3">
        <f ca="1">'ETF price'!U24-'ETF price'!U23</f>
        <v>-9.9999999999980105E-3</v>
      </c>
      <c r="U22" s="3">
        <f ca="1">'ETF price'!V24-'ETF price'!V23</f>
        <v>-1.2099999999999937</v>
      </c>
      <c r="V22" s="3">
        <f ca="1">'ETF price'!W24-'ETF price'!W23</f>
        <v>0.26999999999999602</v>
      </c>
      <c r="W22" s="3">
        <f ca="1">'ETF price'!X24-'ETF price'!X23</f>
        <v>0.46000000000000796</v>
      </c>
      <c r="X22" s="3">
        <f ca="1">'ETF price'!Y24-'ETF price'!Y23</f>
        <v>-0.14000000000000057</v>
      </c>
      <c r="Y22" s="3">
        <f ca="1">'ETF price'!Z24-'ETF price'!Z23</f>
        <v>0.57000000000000739</v>
      </c>
      <c r="Z22" s="3">
        <f ca="1">'ETF price'!AA24-'ETF price'!AA23</f>
        <v>0.80999999999999517</v>
      </c>
      <c r="AA22" s="3">
        <f ca="1">'ETF price'!AB24-'ETF price'!AB23</f>
        <v>-0.19000000000001194</v>
      </c>
      <c r="AB22" s="3">
        <f ca="1">'ETF price'!AC24-'ETF price'!AC23</f>
        <v>0.25999999999999091</v>
      </c>
      <c r="AC22" s="3">
        <f ca="1">'ETF price'!AD24-'ETF price'!AD23</f>
        <v>-0.37999999999999901</v>
      </c>
      <c r="AD22" s="3">
        <f ca="1">'ETF price'!AE24-'ETF price'!AE23</f>
        <v>-0.62000000000000099</v>
      </c>
      <c r="AE22" s="3">
        <f ca="1">'ETF price'!AF24-'ETF price'!AF23</f>
        <v>-0.48999999999999932</v>
      </c>
      <c r="AF22" s="3">
        <f ca="1">'ETF price'!AG24-'ETF price'!AG23</f>
        <v>-3.7599999999999909</v>
      </c>
    </row>
    <row r="23" spans="1:32" ht="15.75" customHeight="1" x14ac:dyDescent="0.2">
      <c r="A23" s="3">
        <f ca="1">'ETF price'!B25-'ETF price'!B24</f>
        <v>-4.75</v>
      </c>
      <c r="B23" s="3">
        <f ca="1">'ETF price'!C25-'ETF price'!C24</f>
        <v>-13.279999999999973</v>
      </c>
      <c r="C23" s="3">
        <f ca="1">'ETF price'!D25-'ETF price'!D24</f>
        <v>-4.789999999999992</v>
      </c>
      <c r="D23" s="3">
        <f ca="1">'ETF price'!E25-'ETF price'!E24</f>
        <v>-7.1899999999999977</v>
      </c>
      <c r="E23" s="3">
        <f ca="1">'ETF price'!F25-'ETF price'!F24</f>
        <v>-1.259999999999998</v>
      </c>
      <c r="F23" s="3">
        <f ca="1">'ETF price'!G25-'ETF price'!G24</f>
        <v>-1.3500000000000014</v>
      </c>
      <c r="G23" s="3">
        <f ca="1">'ETF price'!H25-'ETF price'!H24</f>
        <v>-0.75999999999999801</v>
      </c>
      <c r="H23" s="3">
        <f ca="1">'ETF price'!I25-'ETF price'!I24</f>
        <v>-0.56999999999999318</v>
      </c>
      <c r="I23" s="3">
        <f ca="1">'ETF price'!J25-'ETF price'!J24</f>
        <v>-1.6800000000000068</v>
      </c>
      <c r="J23" s="3">
        <f ca="1">'ETF price'!K25-'ETF price'!K24</f>
        <v>-2.7699999999999818</v>
      </c>
      <c r="K23" s="3">
        <f ca="1">'ETF price'!L25-'ETF price'!L24</f>
        <v>-2.4099999999999966</v>
      </c>
      <c r="L23" s="3">
        <f ca="1">'ETF price'!M25-'ETF price'!M24</f>
        <v>-1.0200000000000031</v>
      </c>
      <c r="M23" s="3">
        <f ca="1">'ETF price'!N25-'ETF price'!N24</f>
        <v>-0.40000000000000568</v>
      </c>
      <c r="N23" s="3">
        <f ca="1">'ETF price'!O25-'ETF price'!O24</f>
        <v>-1.8399999999999963</v>
      </c>
      <c r="O23" s="3">
        <f ca="1">'ETF price'!P25-'ETF price'!P24</f>
        <v>-0.64999999999999147</v>
      </c>
      <c r="P23" s="3">
        <f ca="1">'ETF price'!Q25-'ETF price'!Q24</f>
        <v>-1.0900000000000034</v>
      </c>
      <c r="Q23" s="3">
        <f ca="1">'ETF price'!R25-'ETF price'!R24</f>
        <v>-1.5</v>
      </c>
      <c r="R23" s="3">
        <f ca="1">'ETF price'!S25-'ETF price'!S24</f>
        <v>-0.36999999999999744</v>
      </c>
      <c r="S23" s="3">
        <f ca="1">'ETF price'!T25-'ETF price'!T24</f>
        <v>4.9999999999997158E-2</v>
      </c>
      <c r="T23" s="3">
        <f ca="1">'ETF price'!U25-'ETF price'!U24</f>
        <v>0.98999999999999488</v>
      </c>
      <c r="U23" s="3">
        <f ca="1">'ETF price'!V25-'ETF price'!V24</f>
        <v>-2.5600000000000023</v>
      </c>
      <c r="V23" s="3">
        <f ca="1">'ETF price'!W25-'ETF price'!W24</f>
        <v>-0.43999999999999773</v>
      </c>
      <c r="W23" s="3">
        <f ca="1">'ETF price'!X25-'ETF price'!X24</f>
        <v>-1.1299999999999955</v>
      </c>
      <c r="X23" s="3">
        <f ca="1">'ETF price'!Y25-'ETF price'!Y24</f>
        <v>-0.34999999999999432</v>
      </c>
      <c r="Y23" s="3">
        <f ca="1">'ETF price'!Z25-'ETF price'!Z24</f>
        <v>-1.1099999999999994</v>
      </c>
      <c r="Z23" s="3">
        <f ca="1">'ETF price'!AA25-'ETF price'!AA24</f>
        <v>-0.48999999999999488</v>
      </c>
      <c r="AA23" s="3">
        <f ca="1">'ETF price'!AB25-'ETF price'!AB24</f>
        <v>-0.42000000000000171</v>
      </c>
      <c r="AB23" s="3">
        <f ca="1">'ETF price'!AC25-'ETF price'!AC24</f>
        <v>-0.89999999999999147</v>
      </c>
      <c r="AC23" s="3">
        <f ca="1">'ETF price'!AD25-'ETF price'!AD24</f>
        <v>-0.51000000000000156</v>
      </c>
      <c r="AD23" s="3">
        <f ca="1">'ETF price'!AE25-'ETF price'!AE24</f>
        <v>-0.73999999999999844</v>
      </c>
      <c r="AE23" s="3">
        <f ca="1">'ETF price'!AF25-'ETF price'!AF24</f>
        <v>8.9999999999999858E-2</v>
      </c>
      <c r="AF23" s="3">
        <f ca="1">'ETF price'!AG25-'ETF price'!AG24</f>
        <v>-3.1600000000000037</v>
      </c>
    </row>
    <row r="24" spans="1:32" ht="15.75" customHeight="1" x14ac:dyDescent="0.2">
      <c r="A24" s="3">
        <f ca="1">'ETF price'!B26-'ETF price'!B25</f>
        <v>0.63999999999998636</v>
      </c>
      <c r="B24" s="3">
        <f ca="1">'ETF price'!C26-'ETF price'!C25</f>
        <v>3.1499999999999773</v>
      </c>
      <c r="C24" s="3">
        <f ca="1">'ETF price'!D26-'ETF price'!D25</f>
        <v>0.98999999999999488</v>
      </c>
      <c r="D24" s="3">
        <f ca="1">'ETF price'!E26-'ETF price'!E25</f>
        <v>0.90999999999999659</v>
      </c>
      <c r="E24" s="3">
        <f ca="1">'ETF price'!F26-'ETF price'!F25</f>
        <v>1.009999999999998</v>
      </c>
      <c r="F24" s="3">
        <f ca="1">'ETF price'!G26-'ETF price'!G25</f>
        <v>0.19000000000000128</v>
      </c>
      <c r="G24" s="3">
        <f ca="1">'ETF price'!H26-'ETF price'!H25</f>
        <v>0.44999999999999929</v>
      </c>
      <c r="H24" s="3">
        <f ca="1">'ETF price'!I26-'ETF price'!I25</f>
        <v>-0.47999999999998977</v>
      </c>
      <c r="I24" s="3">
        <f ca="1">'ETF price'!J26-'ETF price'!J25</f>
        <v>-0.44999999999998863</v>
      </c>
      <c r="J24" s="3">
        <f ca="1">'ETF price'!K26-'ETF price'!K25</f>
        <v>0.41999999999998749</v>
      </c>
      <c r="K24" s="3">
        <f ca="1">'ETF price'!L26-'ETF price'!L25</f>
        <v>1.3500000000000085</v>
      </c>
      <c r="L24" s="3">
        <f ca="1">'ETF price'!M26-'ETF price'!M25</f>
        <v>0.36000000000000654</v>
      </c>
      <c r="M24" s="3">
        <f ca="1">'ETF price'!N26-'ETF price'!N25</f>
        <v>-0.13000000000000256</v>
      </c>
      <c r="N24" s="3">
        <f ca="1">'ETF price'!O26-'ETF price'!O25</f>
        <v>0.92000000000000171</v>
      </c>
      <c r="O24" s="3">
        <f ca="1">'ETF price'!P26-'ETF price'!P25</f>
        <v>1.0600000000000023</v>
      </c>
      <c r="P24" s="3">
        <f ca="1">'ETF price'!Q26-'ETF price'!Q25</f>
        <v>1.4300000000000068</v>
      </c>
      <c r="Q24" s="3">
        <f ca="1">'ETF price'!R26-'ETF price'!R25</f>
        <v>-1.3999999999999915</v>
      </c>
      <c r="R24" s="3">
        <f ca="1">'ETF price'!S26-'ETF price'!S25</f>
        <v>0.43999999999999773</v>
      </c>
      <c r="S24" s="3">
        <f ca="1">'ETF price'!T26-'ETF price'!T25</f>
        <v>0.17999999999999972</v>
      </c>
      <c r="T24" s="3">
        <f ca="1">'ETF price'!U26-'ETF price'!U25</f>
        <v>1.3999999999999986</v>
      </c>
      <c r="U24" s="3">
        <f ca="1">'ETF price'!V26-'ETF price'!V25</f>
        <v>1.9699999999999989</v>
      </c>
      <c r="V24" s="3">
        <f ca="1">'ETF price'!W26-'ETF price'!W25</f>
        <v>0.67000000000000171</v>
      </c>
      <c r="W24" s="3">
        <f ca="1">'ETF price'!X26-'ETF price'!X25</f>
        <v>1.5799999999999983</v>
      </c>
      <c r="X24" s="3">
        <f ca="1">'ETF price'!Y26-'ETF price'!Y25</f>
        <v>0.98999999999999488</v>
      </c>
      <c r="Y24" s="3">
        <f ca="1">'ETF price'!Z26-'ETF price'!Z25</f>
        <v>1.4399999999999977</v>
      </c>
      <c r="Z24" s="3">
        <f ca="1">'ETF price'!AA26-'ETF price'!AA25</f>
        <v>-0.65000000000000568</v>
      </c>
      <c r="AA24" s="3">
        <f ca="1">'ETF price'!AB26-'ETF price'!AB25</f>
        <v>1.3800000000000097</v>
      </c>
      <c r="AB24" s="3">
        <f ca="1">'ETF price'!AC26-'ETF price'!AC25</f>
        <v>0.93999999999999773</v>
      </c>
      <c r="AC24" s="3">
        <f ca="1">'ETF price'!AD26-'ETF price'!AD25</f>
        <v>1.7100000000000009</v>
      </c>
      <c r="AD24" s="3">
        <f ca="1">'ETF price'!AE26-'ETF price'!AE25</f>
        <v>2.7199999999999989</v>
      </c>
      <c r="AE24" s="3">
        <f ca="1">'ETF price'!AF26-'ETF price'!AF25</f>
        <v>0.58000000000000007</v>
      </c>
      <c r="AF24" s="3">
        <f ca="1">'ETF price'!AG26-'ETF price'!AG25</f>
        <v>5.6000000000000014</v>
      </c>
    </row>
    <row r="25" spans="1:32" ht="12.75" x14ac:dyDescent="0.2">
      <c r="A25" s="3">
        <f ca="1">'ETF price'!B27-'ETF price'!B26</f>
        <v>-1.0600000000000023</v>
      </c>
      <c r="B25" s="3">
        <f ca="1">'ETF price'!C27-'ETF price'!C26</f>
        <v>-2.0399999999999636</v>
      </c>
      <c r="C25" s="3">
        <f ca="1">'ETF price'!D27-'ETF price'!D26</f>
        <v>-0.93999999999999773</v>
      </c>
      <c r="D25" s="3">
        <f ca="1">'ETF price'!E27-'ETF price'!E26</f>
        <v>-9.0000000000003411E-2</v>
      </c>
      <c r="E25" s="3">
        <f ca="1">'ETF price'!F27-'ETF price'!F26</f>
        <v>0.21000000000000085</v>
      </c>
      <c r="F25" s="3">
        <f ca="1">'ETF price'!G27-'ETF price'!G26</f>
        <v>0</v>
      </c>
      <c r="G25" s="3">
        <f ca="1">'ETF price'!H27-'ETF price'!H26</f>
        <v>5.0000000000000711E-2</v>
      </c>
      <c r="H25" s="3">
        <f ca="1">'ETF price'!I27-'ETF price'!I26</f>
        <v>-0.23000000000001819</v>
      </c>
      <c r="I25" s="3">
        <f ca="1">'ETF price'!J27-'ETF price'!J26</f>
        <v>-0.15999999999999659</v>
      </c>
      <c r="J25" s="3">
        <f ca="1">'ETF price'!K27-'ETF price'!K26</f>
        <v>1.0099999999999909</v>
      </c>
      <c r="K25" s="3">
        <f ca="1">'ETF price'!L27-'ETF price'!L26</f>
        <v>2.4599999999999937</v>
      </c>
      <c r="L25" s="3">
        <f ca="1">'ETF price'!M27-'ETF price'!M26</f>
        <v>0.71999999999999886</v>
      </c>
      <c r="M25" s="3">
        <f ca="1">'ETF price'!N27-'ETF price'!N26</f>
        <v>-4.9999999999997158E-2</v>
      </c>
      <c r="N25" s="3">
        <f ca="1">'ETF price'!O27-'ETF price'!O26</f>
        <v>1.3599999999999923</v>
      </c>
      <c r="O25" s="3">
        <f ca="1">'ETF price'!P27-'ETF price'!P26</f>
        <v>0.87999999999999545</v>
      </c>
      <c r="P25" s="3">
        <f ca="1">'ETF price'!Q27-'ETF price'!Q26</f>
        <v>1.0299999999999869</v>
      </c>
      <c r="Q25" s="3">
        <f ca="1">'ETF price'!R27-'ETF price'!R26</f>
        <v>-0.4100000000000108</v>
      </c>
      <c r="R25" s="3">
        <f ca="1">'ETF price'!S27-'ETF price'!S26</f>
        <v>0.31000000000000227</v>
      </c>
      <c r="S25" s="3">
        <f ca="1">'ETF price'!T27-'ETF price'!T26</f>
        <v>5.0000000000000711E-2</v>
      </c>
      <c r="T25" s="3">
        <f ca="1">'ETF price'!U27-'ETF price'!U26</f>
        <v>-0.22999999999998977</v>
      </c>
      <c r="U25" s="3">
        <f ca="1">'ETF price'!V27-'ETF price'!V26</f>
        <v>-0.51999999999999602</v>
      </c>
      <c r="V25" s="3">
        <f ca="1">'ETF price'!W27-'ETF price'!W26</f>
        <v>0.11999999999999744</v>
      </c>
      <c r="W25" s="3">
        <f ca="1">'ETF price'!X27-'ETF price'!X26</f>
        <v>0.36999999999999034</v>
      </c>
      <c r="X25" s="3">
        <f ca="1">'ETF price'!Y27-'ETF price'!Y26</f>
        <v>0.3300000000000054</v>
      </c>
      <c r="Y25" s="3">
        <f ca="1">'ETF price'!Z27-'ETF price'!Z26</f>
        <v>0.21000000000000796</v>
      </c>
      <c r="Z25" s="3">
        <f ca="1">'ETF price'!AA27-'ETF price'!AA26</f>
        <v>1.0000000000005116E-2</v>
      </c>
      <c r="AA25" s="3">
        <f ca="1">'ETF price'!AB27-'ETF price'!AB26</f>
        <v>0.34999999999999432</v>
      </c>
      <c r="AB25" s="3">
        <f ca="1">'ETF price'!AC27-'ETF price'!AC26</f>
        <v>3.9999999999992042E-2</v>
      </c>
      <c r="AC25" s="3">
        <f ca="1">'ETF price'!AD27-'ETF price'!AD26</f>
        <v>1.3899999999999988</v>
      </c>
      <c r="AD25" s="3">
        <f ca="1">'ETF price'!AE27-'ETF price'!AE26</f>
        <v>2.2699999999999996</v>
      </c>
      <c r="AE25" s="3">
        <f ca="1">'ETF price'!AF27-'ETF price'!AF26</f>
        <v>0.10999999999999943</v>
      </c>
      <c r="AF25" s="3">
        <f ca="1">'ETF price'!AG27-'ETF price'!AG26</f>
        <v>4.5999999999999943</v>
      </c>
    </row>
    <row r="26" spans="1:32" ht="12.75" x14ac:dyDescent="0.2">
      <c r="A26" s="3">
        <f ca="1">'ETF price'!B28-'ETF price'!B27</f>
        <v>1.960000000000008</v>
      </c>
      <c r="B26" s="3">
        <f ca="1">'ETF price'!C28-'ETF price'!C27</f>
        <v>5.339999999999975</v>
      </c>
      <c r="C26" s="3">
        <f ca="1">'ETF price'!D28-'ETF price'!D27</f>
        <v>1.2199999999999989</v>
      </c>
      <c r="D26" s="3">
        <f ca="1">'ETF price'!E28-'ETF price'!E27</f>
        <v>4.0200000000000102</v>
      </c>
      <c r="E26" s="3">
        <f ca="1">'ETF price'!F28-'ETF price'!F27</f>
        <v>0.6699999999999946</v>
      </c>
      <c r="F26" s="3">
        <f ca="1">'ETF price'!G28-'ETF price'!G27</f>
        <v>0.30999999999999872</v>
      </c>
      <c r="G26" s="3">
        <f ca="1">'ETF price'!H28-'ETF price'!H27</f>
        <v>0.34999999999999787</v>
      </c>
      <c r="H26" s="3">
        <f ca="1">'ETF price'!I28-'ETF price'!I27</f>
        <v>1.0800000000000125</v>
      </c>
      <c r="I26" s="3">
        <f ca="1">'ETF price'!J28-'ETF price'!J27</f>
        <v>2.0300000000000011</v>
      </c>
      <c r="J26" s="3">
        <f ca="1">'ETF price'!K28-'ETF price'!K27</f>
        <v>-8.9999999999974989E-2</v>
      </c>
      <c r="K26" s="3">
        <f ca="1">'ETF price'!L28-'ETF price'!L27</f>
        <v>-0.31000000000000227</v>
      </c>
      <c r="L26" s="3">
        <f ca="1">'ETF price'!M28-'ETF price'!M27</f>
        <v>7.0000000000000284E-2</v>
      </c>
      <c r="M26" s="3">
        <f ca="1">'ETF price'!N28-'ETF price'!N27</f>
        <v>0.55000000000000426</v>
      </c>
      <c r="N26" s="3">
        <f ca="1">'ETF price'!O28-'ETF price'!O27</f>
        <v>-0.59999999999999432</v>
      </c>
      <c r="O26" s="3">
        <f ca="1">'ETF price'!P28-'ETF price'!P27</f>
        <v>-1.5</v>
      </c>
      <c r="P26" s="3">
        <f ca="1">'ETF price'!Q28-'ETF price'!Q27</f>
        <v>-2.0299999999999869</v>
      </c>
      <c r="Q26" s="3">
        <f ca="1">'ETF price'!R28-'ETF price'!R27</f>
        <v>1.2800000000000011</v>
      </c>
      <c r="R26" s="3">
        <f ca="1">'ETF price'!S28-'ETF price'!S27</f>
        <v>1.740000000000002</v>
      </c>
      <c r="S26" s="3">
        <f ca="1">'ETF price'!T28-'ETF price'!T27</f>
        <v>-0.19999999999999929</v>
      </c>
      <c r="T26" s="3">
        <f ca="1">'ETF price'!U28-'ETF price'!U27</f>
        <v>-1.0600000000000094</v>
      </c>
      <c r="U26" s="3">
        <f ca="1">'ETF price'!V28-'ETF price'!V27</f>
        <v>0.90999999999999659</v>
      </c>
      <c r="V26" s="3">
        <f ca="1">'ETF price'!W28-'ETF price'!W27</f>
        <v>0.56000000000000227</v>
      </c>
      <c r="W26" s="3">
        <f ca="1">'ETF price'!X28-'ETF price'!X27</f>
        <v>1.2700000000000102</v>
      </c>
      <c r="X26" s="3">
        <f ca="1">'ETF price'!Y28-'ETF price'!Y27</f>
        <v>1.4499999999999957</v>
      </c>
      <c r="Y26" s="3">
        <f ca="1">'ETF price'!Z28-'ETF price'!Z27</f>
        <v>1.0299999999999869</v>
      </c>
      <c r="Z26" s="3">
        <f ca="1">'ETF price'!AA28-'ETF price'!AA27</f>
        <v>-0.42000000000000171</v>
      </c>
      <c r="AA26" s="3">
        <f ca="1">'ETF price'!AB28-'ETF price'!AB27</f>
        <v>1.8299999999999983</v>
      </c>
      <c r="AB26" s="3">
        <f ca="1">'ETF price'!AC28-'ETF price'!AC27</f>
        <v>0.70000000000000284</v>
      </c>
      <c r="AC26" s="3">
        <f ca="1">'ETF price'!AD28-'ETF price'!AD27</f>
        <v>5.0000000000000711E-2</v>
      </c>
      <c r="AD26" s="3">
        <f ca="1">'ETF price'!AE28-'ETF price'!AE27</f>
        <v>9.0000000000003411E-2</v>
      </c>
      <c r="AE26" s="3">
        <f ca="1">'ETF price'!AF28-'ETF price'!AF27</f>
        <v>-1.9999999999999574E-2</v>
      </c>
      <c r="AF26" s="3">
        <f ca="1">'ETF price'!AG28-'ETF price'!AG27</f>
        <v>0.43999999999999773</v>
      </c>
    </row>
    <row r="27" spans="1:32" ht="12.75" x14ac:dyDescent="0.2">
      <c r="A27" s="3">
        <f ca="1">'ETF price'!B29-'ETF price'!B28</f>
        <v>3.5600000000000023</v>
      </c>
      <c r="B27" s="3">
        <f ca="1">'ETF price'!C29-'ETF price'!C28</f>
        <v>10.300000000000011</v>
      </c>
      <c r="C27" s="3">
        <f ca="1">'ETF price'!D29-'ETF price'!D28</f>
        <v>2.6000000000000085</v>
      </c>
      <c r="D27" s="3">
        <f ca="1">'ETF price'!E29-'ETF price'!E28</f>
        <v>5.3400000000000034</v>
      </c>
      <c r="E27" s="3">
        <f ca="1">'ETF price'!F29-'ETF price'!F28</f>
        <v>1.1700000000000017</v>
      </c>
      <c r="F27" s="3">
        <f ca="1">'ETF price'!G29-'ETF price'!G28</f>
        <v>1.0100000000000016</v>
      </c>
      <c r="G27" s="3">
        <f ca="1">'ETF price'!H29-'ETF price'!H28</f>
        <v>0.94000000000000128</v>
      </c>
      <c r="H27" s="3">
        <f ca="1">'ETF price'!I29-'ETF price'!I28</f>
        <v>1.0300000000000011</v>
      </c>
      <c r="I27" s="3">
        <f ca="1">'ETF price'!J29-'ETF price'!J28</f>
        <v>2.9900000000000091</v>
      </c>
      <c r="J27" s="3">
        <f ca="1">'ETF price'!K29-'ETF price'!K28</f>
        <v>3.5499999999999829</v>
      </c>
      <c r="K27" s="3">
        <f ca="1">'ETF price'!L29-'ETF price'!L28</f>
        <v>4.3200000000000074</v>
      </c>
      <c r="L27" s="3">
        <f ca="1">'ETF price'!M29-'ETF price'!M28</f>
        <v>1.7199999999999989</v>
      </c>
      <c r="M27" s="3">
        <f ca="1">'ETF price'!N29-'ETF price'!N28</f>
        <v>0.68999999999999773</v>
      </c>
      <c r="N27" s="3">
        <f ca="1">'ETF price'!O29-'ETF price'!O28</f>
        <v>2.7600000000000051</v>
      </c>
      <c r="O27" s="3">
        <f ca="1">'ETF price'!P29-'ETF price'!P28</f>
        <v>0.56999999999999318</v>
      </c>
      <c r="P27" s="3">
        <f ca="1">'ETF price'!Q29-'ETF price'!Q28</f>
        <v>0.84999999999999432</v>
      </c>
      <c r="Q27" s="3">
        <f ca="1">'ETF price'!R29-'ETF price'!R28</f>
        <v>1.8299999999999983</v>
      </c>
      <c r="R27" s="3">
        <f ca="1">'ETF price'!S29-'ETF price'!S28</f>
        <v>1.0399999999999991</v>
      </c>
      <c r="S27" s="3">
        <f ca="1">'ETF price'!T29-'ETF price'!T28</f>
        <v>0.23000000000000043</v>
      </c>
      <c r="T27" s="3">
        <f ca="1">'ETF price'!U29-'ETF price'!U28</f>
        <v>0.55000000000000426</v>
      </c>
      <c r="U27" s="3">
        <f ca="1">'ETF price'!V29-'ETF price'!V28</f>
        <v>3.0300000000000011</v>
      </c>
      <c r="V27" s="3">
        <f ca="1">'ETF price'!W29-'ETF price'!W28</f>
        <v>0.25999999999999801</v>
      </c>
      <c r="W27" s="3">
        <f ca="1">'ETF price'!X29-'ETF price'!X28</f>
        <v>0.51999999999999602</v>
      </c>
      <c r="X27" s="3">
        <f ca="1">'ETF price'!Y29-'ETF price'!Y28</f>
        <v>-0.39000000000000057</v>
      </c>
      <c r="Y27" s="3">
        <f ca="1">'ETF price'!Z29-'ETF price'!Z28</f>
        <v>0.59000000000000341</v>
      </c>
      <c r="Z27" s="3">
        <f ca="1">'ETF price'!AA29-'ETF price'!AA28</f>
        <v>1.1199999999999974</v>
      </c>
      <c r="AA27" s="3">
        <f ca="1">'ETF price'!AB29-'ETF price'!AB28</f>
        <v>-0.64000000000000057</v>
      </c>
      <c r="AB27" s="3">
        <f ca="1">'ETF price'!AC29-'ETF price'!AC28</f>
        <v>0.62000000000000455</v>
      </c>
      <c r="AC27" s="3">
        <f ca="1">'ETF price'!AD29-'ETF price'!AD28</f>
        <v>0.21000000000000085</v>
      </c>
      <c r="AD27" s="3">
        <f ca="1">'ETF price'!AE29-'ETF price'!AE28</f>
        <v>0.30999999999999872</v>
      </c>
      <c r="AE27" s="3">
        <f ca="1">'ETF price'!AF29-'ETF price'!AF28</f>
        <v>0.29999999999999982</v>
      </c>
      <c r="AF27" s="3">
        <f ca="1">'ETF price'!AG29-'ETF price'!AG28</f>
        <v>3.960000000000008</v>
      </c>
    </row>
    <row r="28" spans="1:32" ht="12.75" x14ac:dyDescent="0.2">
      <c r="A28" s="3">
        <f ca="1">'ETF price'!B30-'ETF price'!B29</f>
        <v>-4.289999999999992</v>
      </c>
      <c r="B28" s="3">
        <f ca="1">'ETF price'!C30-'ETF price'!C29</f>
        <v>-10.490000000000009</v>
      </c>
      <c r="C28" s="3">
        <f ca="1">'ETF price'!D30-'ETF price'!D29</f>
        <v>-2.5400000000000063</v>
      </c>
      <c r="D28" s="3">
        <f ca="1">'ETF price'!E30-'ETF price'!E29</f>
        <v>-5.2400000000000091</v>
      </c>
      <c r="E28" s="3">
        <f ca="1">'ETF price'!F30-'ETF price'!F29</f>
        <v>-0.39000000000000057</v>
      </c>
      <c r="F28" s="3">
        <f ca="1">'ETF price'!G30-'ETF price'!G29</f>
        <v>-0.67000000000000171</v>
      </c>
      <c r="G28" s="3">
        <f ca="1">'ETF price'!H30-'ETF price'!H29</f>
        <v>-0.46999999999999886</v>
      </c>
      <c r="H28" s="3">
        <f ca="1">'ETF price'!I30-'ETF price'!I29</f>
        <v>-2.0999999999999943</v>
      </c>
      <c r="I28" s="3">
        <f ca="1">'ETF price'!J30-'ETF price'!J29</f>
        <v>-3.9300000000000068</v>
      </c>
      <c r="J28" s="3">
        <f ca="1">'ETF price'!K30-'ETF price'!K29</f>
        <v>-3.2999999999999829</v>
      </c>
      <c r="K28" s="3">
        <f ca="1">'ETF price'!L30-'ETF price'!L29</f>
        <v>-2.9000000000000057</v>
      </c>
      <c r="L28" s="3">
        <f ca="1">'ETF price'!M30-'ETF price'!M29</f>
        <v>-1.1499999999999986</v>
      </c>
      <c r="M28" s="3">
        <f ca="1">'ETF price'!N30-'ETF price'!N29</f>
        <v>-1.0200000000000031</v>
      </c>
      <c r="N28" s="3">
        <f ca="1">'ETF price'!O30-'ETF price'!O29</f>
        <v>-1.8800000000000097</v>
      </c>
      <c r="O28" s="3">
        <f ca="1">'ETF price'!P30-'ETF price'!P29</f>
        <v>-0.42999999999999261</v>
      </c>
      <c r="P28" s="3">
        <f ca="1">'ETF price'!Q30-'ETF price'!Q29</f>
        <v>-0.53000000000000114</v>
      </c>
      <c r="Q28" s="3">
        <f ca="1">'ETF price'!R30-'ETF price'!R29</f>
        <v>-0.5</v>
      </c>
      <c r="R28" s="3">
        <f ca="1">'ETF price'!S30-'ETF price'!S29</f>
        <v>-3.9999999999999147E-2</v>
      </c>
      <c r="S28" s="3">
        <f ca="1">'ETF price'!T30-'ETF price'!T29</f>
        <v>-0.12000000000000099</v>
      </c>
      <c r="T28" s="3">
        <f ca="1">'ETF price'!U30-'ETF price'!U29</f>
        <v>-0.21000000000000085</v>
      </c>
      <c r="U28" s="3">
        <f ca="1">'ETF price'!V30-'ETF price'!V29</f>
        <v>-1.7800000000000011</v>
      </c>
      <c r="V28" s="3">
        <f ca="1">'ETF price'!W30-'ETF price'!W29</f>
        <v>-0.35999999999999943</v>
      </c>
      <c r="W28" s="3">
        <f ca="1">'ETF price'!X30-'ETF price'!X29</f>
        <v>-0.79999999999999716</v>
      </c>
      <c r="X28" s="3">
        <f ca="1">'ETF price'!Y30-'ETF price'!Y29</f>
        <v>-0.10999999999999943</v>
      </c>
      <c r="Y28" s="3">
        <f ca="1">'ETF price'!Z30-'ETF price'!Z29</f>
        <v>-0.81000000000000227</v>
      </c>
      <c r="Z28" s="3">
        <f ca="1">'ETF price'!AA30-'ETF price'!AA29</f>
        <v>-1.3500000000000014</v>
      </c>
      <c r="AA28" s="3">
        <f ca="1">'ETF price'!AB30-'ETF price'!AB29</f>
        <v>-0.17999999999999261</v>
      </c>
      <c r="AB28" s="3">
        <f ca="1">'ETF price'!AC30-'ETF price'!AC29</f>
        <v>-0.70000000000000284</v>
      </c>
      <c r="AC28" s="3">
        <f ca="1">'ETF price'!AD30-'ETF price'!AD29</f>
        <v>-0.26999999999999957</v>
      </c>
      <c r="AD28" s="3">
        <f ca="1">'ETF price'!AE30-'ETF price'!AE29</f>
        <v>-0.49000000000000199</v>
      </c>
      <c r="AE28" s="3">
        <f ca="1">'ETF price'!AF30-'ETF price'!AF29</f>
        <v>-0.1899999999999995</v>
      </c>
      <c r="AF28" s="3">
        <f ca="1">'ETF price'!AG30-'ETF price'!AG29</f>
        <v>-1.8400000000000034</v>
      </c>
    </row>
    <row r="29" spans="1:32" ht="12.75" x14ac:dyDescent="0.2">
      <c r="A29" s="3">
        <f ca="1">'ETF price'!B31-'ETF price'!B30</f>
        <v>-4.8800000000000239</v>
      </c>
      <c r="B29" s="3">
        <f ca="1">'ETF price'!C31-'ETF price'!C30</f>
        <v>-13.230000000000018</v>
      </c>
      <c r="C29" s="3">
        <f ca="1">'ETF price'!D31-'ETF price'!D30</f>
        <v>-3.5</v>
      </c>
      <c r="D29" s="3">
        <f ca="1">'ETF price'!E31-'ETF price'!E30</f>
        <v>-8.3000000000000114</v>
      </c>
      <c r="E29" s="3">
        <f ca="1">'ETF price'!F31-'ETF price'!F30</f>
        <v>-1.1199999999999974</v>
      </c>
      <c r="F29" s="3">
        <f ca="1">'ETF price'!G31-'ETF price'!G30</f>
        <v>-0.86999999999999744</v>
      </c>
      <c r="G29" s="3">
        <f ca="1">'ETF price'!H31-'ETF price'!H30</f>
        <v>-0.70000000000000284</v>
      </c>
      <c r="H29" s="3">
        <f ca="1">'ETF price'!I31-'ETF price'!I30</f>
        <v>-1.8300000000000125</v>
      </c>
      <c r="I29" s="3">
        <f ca="1">'ETF price'!J31-'ETF price'!J30</f>
        <v>-3.5900000000000034</v>
      </c>
      <c r="J29" s="3">
        <f ca="1">'ETF price'!K31-'ETF price'!K30</f>
        <v>-1.7300000000000182</v>
      </c>
      <c r="K29" s="3">
        <f ca="1">'ETF price'!L31-'ETF price'!L30</f>
        <v>-1.0100000000000051</v>
      </c>
      <c r="L29" s="3">
        <f ca="1">'ETF price'!M31-'ETF price'!M30</f>
        <v>-0.16000000000000369</v>
      </c>
      <c r="M29" s="3">
        <f ca="1">'ETF price'!N31-'ETF price'!N30</f>
        <v>-0.78000000000000114</v>
      </c>
      <c r="N29" s="3">
        <f ca="1">'ETF price'!O31-'ETF price'!O30</f>
        <v>-1.519999999999996</v>
      </c>
      <c r="O29" s="3">
        <f ca="1">'ETF price'!P31-'ETF price'!P30</f>
        <v>1.9899999999999949</v>
      </c>
      <c r="P29" s="3">
        <f ca="1">'ETF price'!Q31-'ETF price'!Q30</f>
        <v>2.7199999999999989</v>
      </c>
      <c r="Q29" s="3">
        <f ca="1">'ETF price'!R31-'ETF price'!R30</f>
        <v>-1.3199999999999932</v>
      </c>
      <c r="R29" s="3">
        <f ca="1">'ETF price'!S31-'ETF price'!S30</f>
        <v>1.0899999999999963</v>
      </c>
      <c r="S29" s="3">
        <f ca="1">'ETF price'!T31-'ETF price'!T30</f>
        <v>0.33999999999999986</v>
      </c>
      <c r="T29" s="3">
        <f ca="1">'ETF price'!U31-'ETF price'!U30</f>
        <v>1.779999999999994</v>
      </c>
      <c r="U29" s="3">
        <f ca="1">'ETF price'!V31-'ETF price'!V30</f>
        <v>-2.4699999999999989</v>
      </c>
      <c r="V29" s="3">
        <f ca="1">'ETF price'!W31-'ETF price'!W30</f>
        <v>-0.57000000000000028</v>
      </c>
      <c r="W29" s="3">
        <f ca="1">'ETF price'!X31-'ETF price'!X30</f>
        <v>-1.5300000000000011</v>
      </c>
      <c r="X29" s="3">
        <f ca="1">'ETF price'!Y31-'ETF price'!Y30</f>
        <v>-0.35999999999999943</v>
      </c>
      <c r="Y29" s="3">
        <f ca="1">'ETF price'!Z31-'ETF price'!Z30</f>
        <v>-1.5099999999999909</v>
      </c>
      <c r="Z29" s="3">
        <f ca="1">'ETF price'!AA31-'ETF price'!AA30</f>
        <v>-0.62999999999999545</v>
      </c>
      <c r="AA29" s="3">
        <f ca="1">'ETF price'!AB31-'ETF price'!AB30</f>
        <v>-0.62000000000000455</v>
      </c>
      <c r="AB29" s="3">
        <f ca="1">'ETF price'!AC31-'ETF price'!AC30</f>
        <v>-1.1899999999999977</v>
      </c>
      <c r="AC29" s="3">
        <f ca="1">'ETF price'!AD31-'ETF price'!AD30</f>
        <v>-0.67999999999999972</v>
      </c>
      <c r="AD29" s="3">
        <f ca="1">'ETF price'!AE31-'ETF price'!AE30</f>
        <v>-1.0899999999999999</v>
      </c>
      <c r="AE29" s="3">
        <f ca="1">'ETF price'!AF31-'ETF price'!AF30</f>
        <v>-0.1800000000000006</v>
      </c>
      <c r="AF29" s="3">
        <f ca="1">'ETF price'!AG31-'ETF price'!AG30</f>
        <v>-4.5600000000000023</v>
      </c>
    </row>
    <row r="30" spans="1:32" ht="12.75" x14ac:dyDescent="0.2">
      <c r="A30" s="3">
        <f ca="1">'ETF price'!B32-'ETF price'!B31</f>
        <v>-4.9999999999982947E-2</v>
      </c>
      <c r="B30" s="3">
        <f ca="1">'ETF price'!C32-'ETF price'!C31</f>
        <v>-6.9999999999993179E-2</v>
      </c>
      <c r="C30" s="3">
        <f ca="1">'ETF price'!D32-'ETF price'!D31</f>
        <v>1.9999999999996021E-2</v>
      </c>
      <c r="D30" s="3">
        <f ca="1">'ETF price'!E32-'ETF price'!E31</f>
        <v>0.15000000000000568</v>
      </c>
      <c r="E30" s="3">
        <f ca="1">'ETF price'!F32-'ETF price'!F31</f>
        <v>-0.17000000000000171</v>
      </c>
      <c r="F30" s="3">
        <f ca="1">'ETF price'!G32-'ETF price'!G31</f>
        <v>-8.0000000000001847E-2</v>
      </c>
      <c r="G30" s="3">
        <f ca="1">'ETF price'!H32-'ETF price'!H31</f>
        <v>-0.18999999999999773</v>
      </c>
      <c r="H30" s="3">
        <f ca="1">'ETF price'!I32-'ETF price'!I31</f>
        <v>-1.3300000000000125</v>
      </c>
      <c r="I30" s="3">
        <f ca="1">'ETF price'!J32-'ETF price'!J31</f>
        <v>-2.4499999999999886</v>
      </c>
      <c r="J30" s="3">
        <f ca="1">'ETF price'!K32-'ETF price'!K31</f>
        <v>-2.3899999999999864</v>
      </c>
      <c r="K30" s="3">
        <f ca="1">'ETF price'!L32-'ETF price'!L31</f>
        <v>-1.539999999999992</v>
      </c>
      <c r="L30" s="3">
        <f ca="1">'ETF price'!M32-'ETF price'!M31</f>
        <v>-0.85000000000000142</v>
      </c>
      <c r="M30" s="3">
        <f ca="1">'ETF price'!N32-'ETF price'!N31</f>
        <v>-0.74000000000000199</v>
      </c>
      <c r="N30" s="3">
        <f ca="1">'ETF price'!O32-'ETF price'!O31</f>
        <v>-0.92000000000000171</v>
      </c>
      <c r="O30" s="3">
        <f ca="1">'ETF price'!P32-'ETF price'!P31</f>
        <v>-1.6599999999999966</v>
      </c>
      <c r="P30" s="3">
        <f ca="1">'ETF price'!Q32-'ETF price'!Q31</f>
        <v>-2.1099999999999994</v>
      </c>
      <c r="Q30" s="3">
        <f ca="1">'ETF price'!R32-'ETF price'!R31</f>
        <v>-0.68999999999999773</v>
      </c>
      <c r="R30" s="3">
        <f ca="1">'ETF price'!S32-'ETF price'!S31</f>
        <v>0.42999999999999972</v>
      </c>
      <c r="S30" s="3">
        <f ca="1">'ETF price'!T32-'ETF price'!T31</f>
        <v>0.12000000000000099</v>
      </c>
      <c r="T30" s="3">
        <f ca="1">'ETF price'!U32-'ETF price'!U31</f>
        <v>0.62000000000000455</v>
      </c>
      <c r="U30" s="3">
        <f ca="1">'ETF price'!V32-'ETF price'!V31</f>
        <v>-0.85000000000000142</v>
      </c>
      <c r="V30" s="3">
        <f ca="1">'ETF price'!W32-'ETF price'!W31</f>
        <v>-0.45000000000000284</v>
      </c>
      <c r="W30" s="3">
        <f ca="1">'ETF price'!X32-'ETF price'!X31</f>
        <v>-1.0499999999999972</v>
      </c>
      <c r="X30" s="3">
        <f ca="1">'ETF price'!Y32-'ETF price'!Y31</f>
        <v>-0.5</v>
      </c>
      <c r="Y30" s="3">
        <f ca="1">'ETF price'!Z32-'ETF price'!Z31</f>
        <v>-1</v>
      </c>
      <c r="Z30" s="3">
        <f ca="1">'ETF price'!AA32-'ETF price'!AA31</f>
        <v>-0.49000000000000199</v>
      </c>
      <c r="AA30" s="3">
        <f ca="1">'ETF price'!AB32-'ETF price'!AB31</f>
        <v>-0.57999999999999829</v>
      </c>
      <c r="AB30" s="3">
        <f ca="1">'ETF price'!AC32-'ETF price'!AC31</f>
        <v>-0.46999999999999886</v>
      </c>
      <c r="AC30" s="3">
        <f ca="1">'ETF price'!AD32-'ETF price'!AD31</f>
        <v>-8.9999999999999858E-2</v>
      </c>
      <c r="AD30" s="3">
        <f ca="1">'ETF price'!AE32-'ETF price'!AE31</f>
        <v>-0.11999999999999744</v>
      </c>
      <c r="AE30" s="3">
        <f ca="1">'ETF price'!AF32-'ETF price'!AF31</f>
        <v>1.0000000000000675E-2</v>
      </c>
      <c r="AF30" s="3">
        <f ca="1">'ETF price'!AG32-'ETF price'!AG31</f>
        <v>-1.2999999999999972</v>
      </c>
    </row>
    <row r="31" spans="1:32" ht="12.75" x14ac:dyDescent="0.2">
      <c r="A31" s="3">
        <f ca="1">'ETF price'!B33-'ETF price'!B32</f>
        <v>4.0699999999999932</v>
      </c>
      <c r="B31" s="3">
        <f ca="1">'ETF price'!C33-'ETF price'!C32</f>
        <v>11.689999999999998</v>
      </c>
      <c r="C31" s="3">
        <f ca="1">'ETF price'!D33-'ETF price'!D32</f>
        <v>2.7700000000000102</v>
      </c>
      <c r="D31" s="3">
        <f ca="1">'ETF price'!E33-'ETF price'!E32</f>
        <v>8.5400000000000205</v>
      </c>
      <c r="E31" s="3">
        <f ca="1">'ETF price'!F33-'ETF price'!F32</f>
        <v>0.91000000000000369</v>
      </c>
      <c r="F31" s="3">
        <f ca="1">'ETF price'!G33-'ETF price'!G32</f>
        <v>1.1600000000000001</v>
      </c>
      <c r="G31" s="3">
        <f ca="1">'ETF price'!H33-'ETF price'!H32</f>
        <v>0.98000000000000043</v>
      </c>
      <c r="H31" s="3">
        <f ca="1">'ETF price'!I33-'ETF price'!I32</f>
        <v>1.4500000000000171</v>
      </c>
      <c r="I31" s="3">
        <f ca="1">'ETF price'!J33-'ETF price'!J32</f>
        <v>3.3199999999999932</v>
      </c>
      <c r="J31" s="3">
        <f ca="1">'ETF price'!K33-'ETF price'!K32</f>
        <v>2.2999999999999829</v>
      </c>
      <c r="K31" s="3">
        <f ca="1">'ETF price'!L33-'ETF price'!L32</f>
        <v>3.8299999999999983</v>
      </c>
      <c r="L31" s="3">
        <f ca="1">'ETF price'!M33-'ETF price'!M32</f>
        <v>1.1400000000000006</v>
      </c>
      <c r="M31" s="3">
        <f ca="1">'ETF price'!N33-'ETF price'!N32</f>
        <v>0.86000000000000654</v>
      </c>
      <c r="N31" s="3">
        <f ca="1">'ETF price'!O33-'ETF price'!O32</f>
        <v>2.519999999999996</v>
      </c>
      <c r="O31" s="3">
        <f ca="1">'ETF price'!P33-'ETF price'!P32</f>
        <v>-0.71999999999999886</v>
      </c>
      <c r="P31" s="3">
        <f ca="1">'ETF price'!Q33-'ETF price'!Q32</f>
        <v>-1.0499999999999972</v>
      </c>
      <c r="Q31" s="3">
        <f ca="1">'ETF price'!R33-'ETF price'!R32</f>
        <v>1.5300000000000011</v>
      </c>
      <c r="R31" s="3">
        <f ca="1">'ETF price'!S33-'ETF price'!S32</f>
        <v>0.92000000000000171</v>
      </c>
      <c r="S31" s="3">
        <f ca="1">'ETF price'!T33-'ETF price'!T32</f>
        <v>-0.37999999999999901</v>
      </c>
      <c r="T31" s="3">
        <f ca="1">'ETF price'!U33-'ETF price'!U32</f>
        <v>-2.0799999999999983</v>
      </c>
      <c r="U31" s="3">
        <f ca="1">'ETF price'!V33-'ETF price'!V32</f>
        <v>3.8200000000000003</v>
      </c>
      <c r="V31" s="3">
        <f ca="1">'ETF price'!W33-'ETF price'!W32</f>
        <v>0.54000000000000625</v>
      </c>
      <c r="W31" s="3">
        <f ca="1">'ETF price'!X33-'ETF price'!X32</f>
        <v>1.6099999999999994</v>
      </c>
      <c r="X31" s="3">
        <f ca="1">'ETF price'!Y33-'ETF price'!Y32</f>
        <v>1.4100000000000037</v>
      </c>
      <c r="Y31" s="3">
        <f ca="1">'ETF price'!Z33-'ETF price'!Z32</f>
        <v>1.3100000000000023</v>
      </c>
      <c r="Z31" s="3">
        <f ca="1">'ETF price'!AA33-'ETF price'!AA32</f>
        <v>0.21999999999999886</v>
      </c>
      <c r="AA31" s="3">
        <f ca="1">'ETF price'!AB33-'ETF price'!AB32</f>
        <v>1.9699999999999989</v>
      </c>
      <c r="AB31" s="3">
        <f ca="1">'ETF price'!AC33-'ETF price'!AC32</f>
        <v>1.0999999999999943</v>
      </c>
      <c r="AC31" s="3">
        <f ca="1">'ETF price'!AD33-'ETF price'!AD32</f>
        <v>0.76999999999999957</v>
      </c>
      <c r="AD31" s="3">
        <f ca="1">'ETF price'!AE33-'ETF price'!AE32</f>
        <v>1.2699999999999996</v>
      </c>
      <c r="AE31" s="3">
        <f ca="1">'ETF price'!AF33-'ETF price'!AF32</f>
        <v>0.29999999999999982</v>
      </c>
      <c r="AF31" s="3">
        <f ca="1">'ETF price'!AG33-'ETF price'!AG32</f>
        <v>4.9399999999999977</v>
      </c>
    </row>
    <row r="32" spans="1:32" ht="12.75" x14ac:dyDescent="0.2">
      <c r="A32" s="3">
        <f ca="1">'ETF price'!B34-'ETF price'!B33</f>
        <v>-0.15999999999999659</v>
      </c>
      <c r="B32" s="3">
        <f ca="1">'ETF price'!C34-'ETF price'!C33</f>
        <v>-0.74000000000000909</v>
      </c>
      <c r="C32" s="3">
        <f ca="1">'ETF price'!D34-'ETF price'!D33</f>
        <v>-0.26000000000000512</v>
      </c>
      <c r="D32" s="3">
        <f ca="1">'ETF price'!E34-'ETF price'!E33</f>
        <v>5.9999999999973852E-2</v>
      </c>
      <c r="E32" s="3">
        <f ca="1">'ETF price'!F34-'ETF price'!F33</f>
        <v>-0.31000000000000227</v>
      </c>
      <c r="F32" s="3">
        <f ca="1">'ETF price'!G34-'ETF price'!G33</f>
        <v>0.44999999999999929</v>
      </c>
      <c r="G32" s="3">
        <f ca="1">'ETF price'!H34-'ETF price'!H33</f>
        <v>-0.30000000000000071</v>
      </c>
      <c r="H32" s="3">
        <f ca="1">'ETF price'!I34-'ETF price'!I33</f>
        <v>0.19999999999998863</v>
      </c>
      <c r="I32" s="3">
        <f ca="1">'ETF price'!J34-'ETF price'!J33</f>
        <v>-0.12999999999999545</v>
      </c>
      <c r="J32" s="3">
        <f ca="1">'ETF price'!K34-'ETF price'!K33</f>
        <v>-6.9999999999993179E-2</v>
      </c>
      <c r="K32" s="3">
        <f ca="1">'ETF price'!L34-'ETF price'!L33</f>
        <v>-0.98999999999999488</v>
      </c>
      <c r="L32" s="3">
        <f ca="1">'ETF price'!M34-'ETF price'!M33</f>
        <v>2.0000000000003126E-2</v>
      </c>
      <c r="M32" s="3">
        <f ca="1">'ETF price'!N34-'ETF price'!N33</f>
        <v>1.9999999999996021E-2</v>
      </c>
      <c r="N32" s="3">
        <f ca="1">'ETF price'!O34-'ETF price'!O33</f>
        <v>-0.64000000000000057</v>
      </c>
      <c r="O32" s="3">
        <f ca="1">'ETF price'!P34-'ETF price'!P33</f>
        <v>0.54999999999999716</v>
      </c>
      <c r="P32" s="3">
        <f ca="1">'ETF price'!Q34-'ETF price'!Q33</f>
        <v>0.62999999999999545</v>
      </c>
      <c r="Q32" s="3">
        <f ca="1">'ETF price'!R34-'ETF price'!R33</f>
        <v>0.61999999999999034</v>
      </c>
      <c r="R32" s="3">
        <f ca="1">'ETF price'!S34-'ETF price'!S33</f>
        <v>0.25999999999999801</v>
      </c>
      <c r="S32" s="3">
        <f ca="1">'ETF price'!T34-'ETF price'!T33</f>
        <v>2.9999999999997584E-2</v>
      </c>
      <c r="T32" s="3">
        <f ca="1">'ETF price'!U34-'ETF price'!U33</f>
        <v>-0.74000000000000199</v>
      </c>
      <c r="U32" s="3">
        <f ca="1">'ETF price'!V34-'ETF price'!V33</f>
        <v>0.10999999999999943</v>
      </c>
      <c r="V32" s="3">
        <f ca="1">'ETF price'!W34-'ETF price'!W33</f>
        <v>2.9999999999994031E-2</v>
      </c>
      <c r="W32" s="3">
        <f ca="1">'ETF price'!X34-'ETF price'!X33</f>
        <v>7.9999999999998295E-2</v>
      </c>
      <c r="X32" s="3">
        <f ca="1">'ETF price'!Y34-'ETF price'!Y33</f>
        <v>0.14999999999999858</v>
      </c>
      <c r="Y32" s="3">
        <f ca="1">'ETF price'!Z34-'ETF price'!Z33</f>
        <v>0.11999999999999034</v>
      </c>
      <c r="Z32" s="3">
        <f ca="1">'ETF price'!AA34-'ETF price'!AA33</f>
        <v>0.12000000000000455</v>
      </c>
      <c r="AA32" s="3">
        <f ca="1">'ETF price'!AB34-'ETF price'!AB33</f>
        <v>0.14000000000000057</v>
      </c>
      <c r="AB32" s="3">
        <f ca="1">'ETF price'!AC34-'ETF price'!AC33</f>
        <v>0.14000000000000057</v>
      </c>
      <c r="AC32" s="3">
        <f ca="1">'ETF price'!AD34-'ETF price'!AD33</f>
        <v>0</v>
      </c>
      <c r="AD32" s="3">
        <f ca="1">'ETF price'!AE34-'ETF price'!AE33</f>
        <v>-3.9999999999999147E-2</v>
      </c>
      <c r="AE32" s="3">
        <f ca="1">'ETF price'!AF34-'ETF price'!AF33</f>
        <v>-0.12000000000000011</v>
      </c>
      <c r="AF32" s="3">
        <f ca="1">'ETF price'!AG34-'ETF price'!AG33</f>
        <v>-0.75999999999999091</v>
      </c>
    </row>
    <row r="33" spans="1:32" ht="12.75" x14ac:dyDescent="0.2">
      <c r="A33" s="3">
        <f ca="1">'ETF price'!B35-'ETF price'!B34</f>
        <v>-4.75</v>
      </c>
      <c r="B33" s="3">
        <f ca="1">'ETF price'!C35-'ETF price'!C34</f>
        <v>-13.70999999999998</v>
      </c>
      <c r="C33" s="3">
        <f ca="1">'ETF price'!D35-'ETF price'!D34</f>
        <v>-3.7000000000000028</v>
      </c>
      <c r="D33" s="3">
        <f ca="1">'ETF price'!E35-'ETF price'!E34</f>
        <v>-6.1399999999999864</v>
      </c>
      <c r="E33" s="3">
        <f ca="1">'ETF price'!F35-'ETF price'!F34</f>
        <v>-1.5600000000000023</v>
      </c>
      <c r="F33" s="3">
        <f ca="1">'ETF price'!G35-'ETF price'!G34</f>
        <v>-1.009999999999998</v>
      </c>
      <c r="G33" s="3">
        <f ca="1">'ETF price'!H35-'ETF price'!H34</f>
        <v>-0.85999999999999943</v>
      </c>
      <c r="H33" s="3">
        <f ca="1">'ETF price'!I35-'ETF price'!I34</f>
        <v>-2.0999999999999943</v>
      </c>
      <c r="I33" s="3">
        <f ca="1">'ETF price'!J35-'ETF price'!J34</f>
        <v>-4.5700000000000216</v>
      </c>
      <c r="J33" s="3">
        <f ca="1">'ETF price'!K35-'ETF price'!K34</f>
        <v>-3.9099999999999966</v>
      </c>
      <c r="K33" s="3">
        <f ca="1">'ETF price'!L35-'ETF price'!L34</f>
        <v>-4.0400000000000063</v>
      </c>
      <c r="L33" s="3">
        <f ca="1">'ETF price'!M35-'ETF price'!M34</f>
        <v>-2.0399999999999991</v>
      </c>
      <c r="M33" s="3">
        <f ca="1">'ETF price'!N35-'ETF price'!N34</f>
        <v>-1.1599999999999966</v>
      </c>
      <c r="N33" s="3">
        <f ca="1">'ETF price'!O35-'ETF price'!O34</f>
        <v>-2.7999999999999972</v>
      </c>
      <c r="O33" s="3">
        <f ca="1">'ETF price'!P35-'ETF price'!P34</f>
        <v>-0.10999999999999943</v>
      </c>
      <c r="P33" s="3">
        <f ca="1">'ETF price'!Q35-'ETF price'!Q34</f>
        <v>-0.18999999999999773</v>
      </c>
      <c r="Q33" s="3">
        <f ca="1">'ETF price'!R35-'ETF price'!R34</f>
        <v>-1.4599999999999937</v>
      </c>
      <c r="R33" s="3">
        <f ca="1">'ETF price'!S35-'ETF price'!S34</f>
        <v>-0.25999999999999801</v>
      </c>
      <c r="S33" s="3">
        <f ca="1">'ETF price'!T35-'ETF price'!T34</f>
        <v>0.19000000000000128</v>
      </c>
      <c r="T33" s="3">
        <f ca="1">'ETF price'!U35-'ETF price'!U34</f>
        <v>0.63000000000000256</v>
      </c>
      <c r="U33" s="3">
        <f ca="1">'ETF price'!V35-'ETF price'!V34</f>
        <v>-1.6999999999999957</v>
      </c>
      <c r="V33" s="3">
        <f ca="1">'ETF price'!W35-'ETF price'!W34</f>
        <v>-1</v>
      </c>
      <c r="W33" s="3">
        <f ca="1">'ETF price'!X35-'ETF price'!X34</f>
        <v>-2.5300000000000011</v>
      </c>
      <c r="X33" s="3">
        <f ca="1">'ETF price'!Y35-'ETF price'!Y34</f>
        <v>-1.8299999999999983</v>
      </c>
      <c r="Y33" s="3">
        <f ca="1">'ETF price'!Z35-'ETF price'!Z34</f>
        <v>-2.2999999999999972</v>
      </c>
      <c r="Z33" s="3">
        <f ca="1">'ETF price'!AA35-'ETF price'!AA34</f>
        <v>-0.39000000000000057</v>
      </c>
      <c r="AA33" s="3">
        <f ca="1">'ETF price'!AB35-'ETF price'!AB34</f>
        <v>-2.3100000000000023</v>
      </c>
      <c r="AB33" s="3">
        <f ca="1">'ETF price'!AC35-'ETF price'!AC34</f>
        <v>-2.019999999999996</v>
      </c>
      <c r="AC33" s="3">
        <f ca="1">'ETF price'!AD35-'ETF price'!AD34</f>
        <v>-1.2800000000000011</v>
      </c>
      <c r="AD33" s="3">
        <f ca="1">'ETF price'!AE35-'ETF price'!AE34</f>
        <v>-2.0600000000000023</v>
      </c>
      <c r="AE33" s="3">
        <f ca="1">'ETF price'!AF35-'ETF price'!AF34</f>
        <v>-0.41000000000000014</v>
      </c>
      <c r="AF33" s="3">
        <f ca="1">'ETF price'!AG35-'ETF price'!AG34</f>
        <v>-5.4400000000000119</v>
      </c>
    </row>
    <row r="34" spans="1:32" ht="12.75" x14ac:dyDescent="0.2">
      <c r="A34" s="3">
        <f ca="1">'ETF price'!B36-'ETF price'!B35</f>
        <v>-1.5600000000000023</v>
      </c>
      <c r="B34" s="3">
        <f ca="1">'ETF price'!C36-'ETF price'!C35</f>
        <v>-5.0400000000000205</v>
      </c>
      <c r="C34" s="3">
        <f ca="1">'ETF price'!D36-'ETF price'!D35</f>
        <v>-1.3599999999999994</v>
      </c>
      <c r="D34" s="3">
        <f ca="1">'ETF price'!E36-'ETF price'!E35</f>
        <v>-1.7599999999999909</v>
      </c>
      <c r="E34" s="3">
        <f ca="1">'ETF price'!F36-'ETF price'!F35</f>
        <v>-0.82999999999999829</v>
      </c>
      <c r="F34" s="3">
        <f ca="1">'ETF price'!G36-'ETF price'!G35</f>
        <v>-0.75</v>
      </c>
      <c r="G34" s="3">
        <f ca="1">'ETF price'!H36-'ETF price'!H35</f>
        <v>-0.44000000000000128</v>
      </c>
      <c r="H34" s="3">
        <f ca="1">'ETF price'!I36-'ETF price'!I35</f>
        <v>-0.95999999999999375</v>
      </c>
      <c r="I34" s="3">
        <f ca="1">'ETF price'!J36-'ETF price'!J35</f>
        <v>-1.8999999999999773</v>
      </c>
      <c r="J34" s="3">
        <f ca="1">'ETF price'!K36-'ETF price'!K35</f>
        <v>-0.95999999999999375</v>
      </c>
      <c r="K34" s="3">
        <f ca="1">'ETF price'!L36-'ETF price'!L35</f>
        <v>-1.2199999999999989</v>
      </c>
      <c r="L34" s="3">
        <f ca="1">'ETF price'!M36-'ETF price'!M35</f>
        <v>-0.34000000000000341</v>
      </c>
      <c r="M34" s="3">
        <f ca="1">'ETF price'!N36-'ETF price'!N35</f>
        <v>-0.52000000000000313</v>
      </c>
      <c r="N34" s="3">
        <f ca="1">'ETF price'!O36-'ETF price'!O35</f>
        <v>-1.0799999999999983</v>
      </c>
      <c r="O34" s="3">
        <f ca="1">'ETF price'!P36-'ETF price'!P35</f>
        <v>-0.42000000000000171</v>
      </c>
      <c r="P34" s="3">
        <f ca="1">'ETF price'!Q36-'ETF price'!Q35</f>
        <v>-0.64000000000000057</v>
      </c>
      <c r="Q34" s="3">
        <f ca="1">'ETF price'!R36-'ETF price'!R35</f>
        <v>-0.14000000000000057</v>
      </c>
      <c r="R34" s="3">
        <f ca="1">'ETF price'!S36-'ETF price'!S35</f>
        <v>-0.35000000000000142</v>
      </c>
      <c r="S34" s="3">
        <f ca="1">'ETF price'!T36-'ETF price'!T35</f>
        <v>8.9999999999999858E-2</v>
      </c>
      <c r="T34" s="3">
        <f ca="1">'ETF price'!U36-'ETF price'!U35</f>
        <v>0.56999999999999318</v>
      </c>
      <c r="U34" s="3">
        <f ca="1">'ETF price'!V36-'ETF price'!V35</f>
        <v>-1.480000000000004</v>
      </c>
      <c r="V34" s="3">
        <f ca="1">'ETF price'!W36-'ETF price'!W35</f>
        <v>-9.9999999999980105E-3</v>
      </c>
      <c r="W34" s="3">
        <f ca="1">'ETF price'!X36-'ETF price'!X35</f>
        <v>-7.000000000000739E-2</v>
      </c>
      <c r="X34" s="3">
        <f ca="1">'ETF price'!Y36-'ETF price'!Y35</f>
        <v>0</v>
      </c>
      <c r="Y34" s="3">
        <f ca="1">'ETF price'!Z36-'ETF price'!Z35</f>
        <v>-0.15000000000000568</v>
      </c>
      <c r="Z34" s="3">
        <f ca="1">'ETF price'!AA36-'ETF price'!AA35</f>
        <v>-0.20000000000000284</v>
      </c>
      <c r="AA34" s="3">
        <f ca="1">'ETF price'!AB36-'ETF price'!AB35</f>
        <v>0.13000000000000966</v>
      </c>
      <c r="AB34" s="3">
        <f ca="1">'ETF price'!AC36-'ETF price'!AC35</f>
        <v>-0.21000000000000085</v>
      </c>
      <c r="AC34" s="3">
        <f ca="1">'ETF price'!AD36-'ETF price'!AD35</f>
        <v>-0.35999999999999943</v>
      </c>
      <c r="AD34" s="3">
        <f ca="1">'ETF price'!AE36-'ETF price'!AE35</f>
        <v>-0.58999999999999986</v>
      </c>
      <c r="AE34" s="3">
        <f ca="1">'ETF price'!AF36-'ETF price'!AF35</f>
        <v>-0.25</v>
      </c>
      <c r="AF34" s="3">
        <f ca="1">'ETF price'!AG36-'ETF price'!AG35</f>
        <v>-1.7999999999999972</v>
      </c>
    </row>
    <row r="35" spans="1:32" ht="12.75" x14ac:dyDescent="0.2">
      <c r="A35" s="3">
        <f ca="1">'ETF price'!B37-'ETF price'!B36</f>
        <v>-1.4099999999999966</v>
      </c>
      <c r="B35" s="3">
        <f ca="1">'ETF price'!C37-'ETF price'!C36</f>
        <v>-3.9099999999999682</v>
      </c>
      <c r="C35" s="3">
        <f ca="1">'ETF price'!D37-'ETF price'!D36</f>
        <v>-0.92000000000000171</v>
      </c>
      <c r="D35" s="3">
        <f ca="1">'ETF price'!E37-'ETF price'!E36</f>
        <v>-0.93999999999999773</v>
      </c>
      <c r="E35" s="3">
        <f ca="1">'ETF price'!F37-'ETF price'!F36</f>
        <v>-0.47999999999999687</v>
      </c>
      <c r="F35" s="3">
        <f ca="1">'ETF price'!G37-'ETF price'!G36</f>
        <v>-0.26000000000000156</v>
      </c>
      <c r="G35" s="3">
        <f ca="1">'ETF price'!H37-'ETF price'!H36</f>
        <v>-0.58999999999999986</v>
      </c>
      <c r="H35" s="3">
        <f ca="1">'ETF price'!I37-'ETF price'!I36</f>
        <v>-0.32000000000000739</v>
      </c>
      <c r="I35" s="3">
        <f ca="1">'ETF price'!J37-'ETF price'!J36</f>
        <v>-0.93999999999999773</v>
      </c>
      <c r="J35" s="3">
        <f ca="1">'ETF price'!K37-'ETF price'!K36</f>
        <v>-0.88000000000000966</v>
      </c>
      <c r="K35" s="3">
        <f ca="1">'ETF price'!L37-'ETF price'!L36</f>
        <v>-0.70999999999999375</v>
      </c>
      <c r="L35" s="3">
        <f ca="1">'ETF price'!M37-'ETF price'!M36</f>
        <v>-0.54999999999999716</v>
      </c>
      <c r="M35" s="3">
        <f ca="1">'ETF price'!N37-'ETF price'!N36</f>
        <v>-0.25</v>
      </c>
      <c r="N35" s="3">
        <f ca="1">'ETF price'!O37-'ETF price'!O36</f>
        <v>-0.83999999999999631</v>
      </c>
      <c r="O35" s="3">
        <f ca="1">'ETF price'!P37-'ETF price'!P36</f>
        <v>-1.0999999999999943</v>
      </c>
      <c r="P35" s="3">
        <f ca="1">'ETF price'!Q37-'ETF price'!Q36</f>
        <v>-1.6200000000000045</v>
      </c>
      <c r="Q35" s="3">
        <f ca="1">'ETF price'!R37-'ETF price'!R36</f>
        <v>-1.1899999999999977</v>
      </c>
      <c r="R35" s="3">
        <f ca="1">'ETF price'!S37-'ETF price'!S36</f>
        <v>-0.40999999999999659</v>
      </c>
      <c r="S35" s="3">
        <f ca="1">'ETF price'!T37-'ETF price'!T36</f>
        <v>0.33000000000000185</v>
      </c>
      <c r="T35" s="3">
        <f ca="1">'ETF price'!U37-'ETF price'!U36</f>
        <v>0.80000000000001137</v>
      </c>
      <c r="U35" s="3">
        <f ca="1">'ETF price'!V37-'ETF price'!V36</f>
        <v>-2.3299999999999983</v>
      </c>
      <c r="V35" s="3">
        <f ca="1">'ETF price'!W37-'ETF price'!W36</f>
        <v>-0.19999999999999574</v>
      </c>
      <c r="W35" s="3">
        <f ca="1">'ETF price'!X37-'ETF price'!X36</f>
        <v>-0.5899999999999892</v>
      </c>
      <c r="X35" s="3">
        <f ca="1">'ETF price'!Y37-'ETF price'!Y36</f>
        <v>-0.42999999999999972</v>
      </c>
      <c r="Y35" s="3">
        <f ca="1">'ETF price'!Z37-'ETF price'!Z36</f>
        <v>-0.46999999999999886</v>
      </c>
      <c r="Z35" s="3">
        <f ca="1">'ETF price'!AA37-'ETF price'!AA36</f>
        <v>-0.11999999999999744</v>
      </c>
      <c r="AA35" s="3">
        <f ca="1">'ETF price'!AB37-'ETF price'!AB36</f>
        <v>-0.37000000000000455</v>
      </c>
      <c r="AB35" s="3">
        <f ca="1">'ETF price'!AC37-'ETF price'!AC36</f>
        <v>-0.45000000000000284</v>
      </c>
      <c r="AC35" s="3">
        <f ca="1">'ETF price'!AD37-'ETF price'!AD36</f>
        <v>-0.8100000000000005</v>
      </c>
      <c r="AD35" s="3">
        <f ca="1">'ETF price'!AE37-'ETF price'!AE36</f>
        <v>-1.3200000000000003</v>
      </c>
      <c r="AE35" s="3">
        <f ca="1">'ETF price'!AF37-'ETF price'!AF36</f>
        <v>-0.41999999999999993</v>
      </c>
      <c r="AF35" s="3">
        <f ca="1">'ETF price'!AG37-'ETF price'!AG36</f>
        <v>-3.3999999999999986</v>
      </c>
    </row>
    <row r="36" spans="1:32" ht="12.75" x14ac:dyDescent="0.2">
      <c r="A36" s="3">
        <f ca="1">'ETF price'!B38-'ETF price'!B37</f>
        <v>-3.7800000000000011</v>
      </c>
      <c r="B36" s="3">
        <f ca="1">'ETF price'!C38-'ETF price'!C37</f>
        <v>-9.9700000000000273</v>
      </c>
      <c r="C36" s="3">
        <f ca="1">'ETF price'!D38-'ETF price'!D37</f>
        <v>-2.3900000000000006</v>
      </c>
      <c r="D36" s="3">
        <f ca="1">'ETF price'!E38-'ETF price'!E37</f>
        <v>-3.6900000000000261</v>
      </c>
      <c r="E36" s="3">
        <f ca="1">'ETF price'!F38-'ETF price'!F37</f>
        <v>-1.0800000000000054</v>
      </c>
      <c r="F36" s="3">
        <f ca="1">'ETF price'!G38-'ETF price'!G37</f>
        <v>-0.75999999999999801</v>
      </c>
      <c r="G36" s="3">
        <f ca="1">'ETF price'!H38-'ETF price'!H37</f>
        <v>-0.73999999999999844</v>
      </c>
      <c r="H36" s="3">
        <f ca="1">'ETF price'!I38-'ETF price'!I37</f>
        <v>-0.64000000000000057</v>
      </c>
      <c r="I36" s="3">
        <f ca="1">'ETF price'!J38-'ETF price'!J37</f>
        <v>-1.8400000000000034</v>
      </c>
      <c r="J36" s="3">
        <f ca="1">'ETF price'!K38-'ETF price'!K37</f>
        <v>-2.6599999999999966</v>
      </c>
      <c r="K36" s="3">
        <f ca="1">'ETF price'!L38-'ETF price'!L37</f>
        <v>-3.5800000000000125</v>
      </c>
      <c r="L36" s="3">
        <f ca="1">'ETF price'!M38-'ETF price'!M37</f>
        <v>-1.509999999999998</v>
      </c>
      <c r="M36" s="3">
        <f ca="1">'ETF price'!N38-'ETF price'!N37</f>
        <v>-0.49000000000000199</v>
      </c>
      <c r="N36" s="3">
        <f ca="1">'ETF price'!O38-'ETF price'!O37</f>
        <v>-1.5600000000000023</v>
      </c>
      <c r="O36" s="3">
        <f ca="1">'ETF price'!P38-'ETF price'!P37</f>
        <v>0.68999999999999773</v>
      </c>
      <c r="P36" s="3">
        <f ca="1">'ETF price'!Q38-'ETF price'!Q37</f>
        <v>1.1000000000000085</v>
      </c>
      <c r="Q36" s="3">
        <f ca="1">'ETF price'!R38-'ETF price'!R37</f>
        <v>-1.0600000000000023</v>
      </c>
      <c r="R36" s="3">
        <f ca="1">'ETF price'!S38-'ETF price'!S37</f>
        <v>0.61999999999999744</v>
      </c>
      <c r="S36" s="3">
        <f ca="1">'ETF price'!T38-'ETF price'!T37</f>
        <v>0.21999999999999886</v>
      </c>
      <c r="T36" s="3">
        <f ca="1">'ETF price'!U38-'ETF price'!U37</f>
        <v>0.69999999999998863</v>
      </c>
      <c r="U36" s="3">
        <f ca="1">'ETF price'!V38-'ETF price'!V37</f>
        <v>-0.49000000000000199</v>
      </c>
      <c r="V36" s="3">
        <f ca="1">'ETF price'!W38-'ETF price'!W37</f>
        <v>-0.67999999999999972</v>
      </c>
      <c r="W36" s="3">
        <f ca="1">'ETF price'!X38-'ETF price'!X37</f>
        <v>-1.6800000000000068</v>
      </c>
      <c r="X36" s="3">
        <f ca="1">'ETF price'!Y38-'ETF price'!Y37</f>
        <v>-0.92000000000000171</v>
      </c>
      <c r="Y36" s="3">
        <f ca="1">'ETF price'!Z38-'ETF price'!Z37</f>
        <v>-1.3999999999999915</v>
      </c>
      <c r="Z36" s="3">
        <f ca="1">'ETF price'!AA38-'ETF price'!AA37</f>
        <v>-0.5800000000000054</v>
      </c>
      <c r="AA36" s="3">
        <f ca="1">'ETF price'!AB38-'ETF price'!AB37</f>
        <v>-1.2900000000000063</v>
      </c>
      <c r="AB36" s="3">
        <f ca="1">'ETF price'!AC38-'ETF price'!AC37</f>
        <v>-1.2199999999999989</v>
      </c>
      <c r="AC36" s="3">
        <f ca="1">'ETF price'!AD38-'ETF price'!AD37</f>
        <v>-9.9999999999999645E-2</v>
      </c>
      <c r="AD36" s="3">
        <f ca="1">'ETF price'!AE38-'ETF price'!AE37</f>
        <v>-0.17999999999999972</v>
      </c>
      <c r="AE36" s="3">
        <f ca="1">'ETF price'!AF38-'ETF price'!AF37</f>
        <v>0.26999999999999957</v>
      </c>
      <c r="AF36" s="3">
        <f ca="1">'ETF price'!AG38-'ETF price'!AG37</f>
        <v>-2.0799999999999983</v>
      </c>
    </row>
    <row r="37" spans="1:32" ht="12.75" x14ac:dyDescent="0.2">
      <c r="A37" s="3">
        <f ca="1">'ETF price'!B39-'ETF price'!B38</f>
        <v>5.0300000000000011</v>
      </c>
      <c r="B37" s="3">
        <f ca="1">'ETF price'!C39-'ETF price'!C38</f>
        <v>13.879999999999995</v>
      </c>
      <c r="C37" s="3">
        <f ca="1">'ETF price'!D39-'ETF price'!D38</f>
        <v>3.9500000000000028</v>
      </c>
      <c r="D37" s="3">
        <f ca="1">'ETF price'!E39-'ETF price'!E38</f>
        <v>5.5200000000000102</v>
      </c>
      <c r="E37" s="3">
        <f ca="1">'ETF price'!F39-'ETF price'!F38</f>
        <v>3.0900000000000034</v>
      </c>
      <c r="F37" s="3">
        <f ca="1">'ETF price'!G39-'ETF price'!G38</f>
        <v>0.7099999999999973</v>
      </c>
      <c r="G37" s="3">
        <f ca="1">'ETF price'!H39-'ETF price'!H38</f>
        <v>0.91999999999999815</v>
      </c>
      <c r="H37" s="3">
        <f ca="1">'ETF price'!I39-'ETF price'!I38</f>
        <v>0.51000000000000512</v>
      </c>
      <c r="I37" s="3">
        <f ca="1">'ETF price'!J39-'ETF price'!J38</f>
        <v>2.2800000000000011</v>
      </c>
      <c r="J37" s="3">
        <f ca="1">'ETF price'!K39-'ETF price'!K38</f>
        <v>3.0900000000000034</v>
      </c>
      <c r="K37" s="3">
        <f ca="1">'ETF price'!L39-'ETF price'!L38</f>
        <v>3.9000000000000057</v>
      </c>
      <c r="L37" s="3">
        <f ca="1">'ETF price'!M39-'ETF price'!M38</f>
        <v>1.8499999999999943</v>
      </c>
      <c r="M37" s="3">
        <f ca="1">'ETF price'!N39-'ETF price'!N38</f>
        <v>0.59000000000000341</v>
      </c>
      <c r="N37" s="3">
        <f ca="1">'ETF price'!O39-'ETF price'!O38</f>
        <v>2.3599999999999994</v>
      </c>
      <c r="O37" s="3">
        <f ca="1">'ETF price'!P39-'ETF price'!P38</f>
        <v>-0.53000000000000114</v>
      </c>
      <c r="P37" s="3">
        <f ca="1">'ETF price'!Q39-'ETF price'!Q38</f>
        <v>-0.32999999999999829</v>
      </c>
      <c r="Q37" s="3">
        <f ca="1">'ETF price'!R39-'ETF price'!R38</f>
        <v>-0.23999999999999488</v>
      </c>
      <c r="R37" s="3">
        <f ca="1">'ETF price'!S39-'ETF price'!S38</f>
        <v>-0.60999999999999943</v>
      </c>
      <c r="S37" s="3">
        <f ca="1">'ETF price'!T39-'ETF price'!T38</f>
        <v>9.9999999999997868E-2</v>
      </c>
      <c r="T37" s="3">
        <f ca="1">'ETF price'!U39-'ETF price'!U38</f>
        <v>0.10000000000000853</v>
      </c>
      <c r="U37" s="3">
        <f ca="1">'ETF price'!V39-'ETF price'!V38</f>
        <v>5.1400000000000006</v>
      </c>
      <c r="V37" s="3">
        <f ca="1">'ETF price'!W39-'ETF price'!W38</f>
        <v>-0.46000000000000085</v>
      </c>
      <c r="W37" s="3">
        <f ca="1">'ETF price'!X39-'ETF price'!X38</f>
        <v>-0.92000000000000171</v>
      </c>
      <c r="X37" s="3">
        <f ca="1">'ETF price'!Y39-'ETF price'!Y38</f>
        <v>-0.91000000000000369</v>
      </c>
      <c r="Y37" s="3">
        <f ca="1">'ETF price'!Z39-'ETF price'!Z38</f>
        <v>-0.90999999999999659</v>
      </c>
      <c r="Z37" s="3">
        <f ca="1">'ETF price'!AA39-'ETF price'!AA38</f>
        <v>0.76000000000000512</v>
      </c>
      <c r="AA37" s="3">
        <f ca="1">'ETF price'!AB39-'ETF price'!AB38</f>
        <v>-1.289999999999992</v>
      </c>
      <c r="AB37" s="3">
        <f ca="1">'ETF price'!AC39-'ETF price'!AC38</f>
        <v>-0.46999999999999886</v>
      </c>
      <c r="AC37" s="3">
        <f ca="1">'ETF price'!AD39-'ETF price'!AD38</f>
        <v>0.26999999999999957</v>
      </c>
      <c r="AD37" s="3">
        <f ca="1">'ETF price'!AE39-'ETF price'!AE38</f>
        <v>0.44999999999999929</v>
      </c>
      <c r="AE37" s="3">
        <f ca="1">'ETF price'!AF39-'ETF price'!AF38</f>
        <v>-0.59999999999999964</v>
      </c>
      <c r="AF37" s="3">
        <f ca="1">'ETF price'!AG39-'ETF price'!AG38</f>
        <v>3.5200000000000031</v>
      </c>
    </row>
    <row r="38" spans="1:32" ht="12.75" x14ac:dyDescent="0.2">
      <c r="A38" s="3">
        <f ca="1">'ETF price'!B40-'ETF price'!B39</f>
        <v>2.0699999999999932</v>
      </c>
      <c r="B38" s="3">
        <f ca="1">'ETF price'!C40-'ETF price'!C39</f>
        <v>5.7300000000000182</v>
      </c>
      <c r="C38" s="3">
        <f ca="1">'ETF price'!D40-'ETF price'!D39</f>
        <v>1.2600000000000051</v>
      </c>
      <c r="D38" s="3">
        <f ca="1">'ETF price'!E40-'ETF price'!E39</f>
        <v>2.6100000000000136</v>
      </c>
      <c r="E38" s="3">
        <f ca="1">'ETF price'!F40-'ETF price'!F39</f>
        <v>0.76999999999999602</v>
      </c>
      <c r="F38" s="3">
        <f ca="1">'ETF price'!G40-'ETF price'!G39</f>
        <v>0.90000000000000213</v>
      </c>
      <c r="G38" s="3">
        <f ca="1">'ETF price'!H40-'ETF price'!H39</f>
        <v>0.62000000000000099</v>
      </c>
      <c r="H38" s="3">
        <f ca="1">'ETF price'!I40-'ETF price'!I39</f>
        <v>3.8899999999999864</v>
      </c>
      <c r="I38" s="3">
        <f ca="1">'ETF price'!J40-'ETF price'!J39</f>
        <v>6.9199999999999875</v>
      </c>
      <c r="J38" s="3">
        <f ca="1">'ETF price'!K40-'ETF price'!K39</f>
        <v>1.7000000000000028</v>
      </c>
      <c r="K38" s="3">
        <f ca="1">'ETF price'!L40-'ETF price'!L39</f>
        <v>0.79999999999999716</v>
      </c>
      <c r="L38" s="3">
        <f ca="1">'ETF price'!M40-'ETF price'!M39</f>
        <v>0.99000000000000199</v>
      </c>
      <c r="M38" s="3">
        <f ca="1">'ETF price'!N40-'ETF price'!N39</f>
        <v>1.8500000000000014</v>
      </c>
      <c r="N38" s="3">
        <f ca="1">'ETF price'!O40-'ETF price'!O39</f>
        <v>1.2800000000000011</v>
      </c>
      <c r="O38" s="3">
        <f ca="1">'ETF price'!P40-'ETF price'!P39</f>
        <v>1.769999999999996</v>
      </c>
      <c r="P38" s="3">
        <f ca="1">'ETF price'!Q40-'ETF price'!Q39</f>
        <v>2.3699999999999903</v>
      </c>
      <c r="Q38" s="3">
        <f ca="1">'ETF price'!R40-'ETF price'!R39</f>
        <v>2.9699999999999989</v>
      </c>
      <c r="R38" s="3">
        <f ca="1">'ETF price'!S40-'ETF price'!S39</f>
        <v>2.7700000000000031</v>
      </c>
      <c r="S38" s="3">
        <f ca="1">'ETF price'!T40-'ETF price'!T39</f>
        <v>-0.35999999999999943</v>
      </c>
      <c r="T38" s="3">
        <f ca="1">'ETF price'!U40-'ETF price'!U39</f>
        <v>-0.54000000000000625</v>
      </c>
      <c r="U38" s="3">
        <f ca="1">'ETF price'!V40-'ETF price'!V39</f>
        <v>1.6200000000000045</v>
      </c>
      <c r="V38" s="3">
        <f ca="1">'ETF price'!W40-'ETF price'!W39</f>
        <v>1.2199999999999989</v>
      </c>
      <c r="W38" s="3">
        <f ca="1">'ETF price'!X40-'ETF price'!X39</f>
        <v>3.0200000000000102</v>
      </c>
      <c r="X38" s="3">
        <f ca="1">'ETF price'!Y40-'ETF price'!Y39</f>
        <v>2.3200000000000003</v>
      </c>
      <c r="Y38" s="3">
        <f ca="1">'ETF price'!Z40-'ETF price'!Z39</f>
        <v>2.8299999999999983</v>
      </c>
      <c r="Z38" s="3">
        <f ca="1">'ETF price'!AA40-'ETF price'!AA39</f>
        <v>1.1199999999999974</v>
      </c>
      <c r="AA38" s="3">
        <f ca="1">'ETF price'!AB40-'ETF price'!AB39</f>
        <v>3.25</v>
      </c>
      <c r="AB38" s="3">
        <f ca="1">'ETF price'!AC40-'ETF price'!AC39</f>
        <v>1.7100000000000009</v>
      </c>
      <c r="AC38" s="3">
        <f ca="1">'ETF price'!AD40-'ETF price'!AD39</f>
        <v>0.28000000000000114</v>
      </c>
      <c r="AD38" s="3">
        <f ca="1">'ETF price'!AE40-'ETF price'!AE39</f>
        <v>0.47000000000000242</v>
      </c>
      <c r="AE38" s="3">
        <f ca="1">'ETF price'!AF40-'ETF price'!AF39</f>
        <v>0.62000000000000011</v>
      </c>
      <c r="AF38" s="3">
        <f ca="1">'ETF price'!AG40-'ETF price'!AG39</f>
        <v>-0.12000000000000455</v>
      </c>
    </row>
    <row r="39" spans="1:32" ht="12.75" x14ac:dyDescent="0.2">
      <c r="A39" s="3">
        <f ca="1">'ETF price'!B41-'ETF price'!B40</f>
        <v>-0.28000000000000114</v>
      </c>
      <c r="B39" s="3">
        <f ca="1">'ETF price'!C41-'ETF price'!C40</f>
        <v>9.0000000000031832E-2</v>
      </c>
      <c r="C39" s="3">
        <f ca="1">'ETF price'!D41-'ETF price'!D40</f>
        <v>0.12999999999999545</v>
      </c>
      <c r="D39" s="3">
        <f ca="1">'ETF price'!E41-'ETF price'!E40</f>
        <v>-0.96999999999999886</v>
      </c>
      <c r="E39" s="3">
        <f ca="1">'ETF price'!F41-'ETF price'!F40</f>
        <v>1.6600000000000037</v>
      </c>
      <c r="F39" s="3">
        <f ca="1">'ETF price'!G41-'ETF price'!G40</f>
        <v>0.26999999999999957</v>
      </c>
      <c r="G39" s="3">
        <f ca="1">'ETF price'!H41-'ETF price'!H40</f>
        <v>1.9999999999999574E-2</v>
      </c>
      <c r="H39" s="3">
        <f ca="1">'ETF price'!I41-'ETF price'!I40</f>
        <v>-0.98999999999998067</v>
      </c>
      <c r="I39" s="3">
        <f ca="1">'ETF price'!J41-'ETF price'!J40</f>
        <v>-1.5300000000000011</v>
      </c>
      <c r="J39" s="3">
        <f ca="1">'ETF price'!K41-'ETF price'!K40</f>
        <v>-0.22000000000001307</v>
      </c>
      <c r="K39" s="3">
        <f ca="1">'ETF price'!L41-'ETF price'!L40</f>
        <v>3.0000000000001137E-2</v>
      </c>
      <c r="L39" s="3">
        <f ca="1">'ETF price'!M41-'ETF price'!M40</f>
        <v>0.34000000000000341</v>
      </c>
      <c r="M39" s="3">
        <f ca="1">'ETF price'!N41-'ETF price'!N40</f>
        <v>-0.46000000000000085</v>
      </c>
      <c r="N39" s="3">
        <f ca="1">'ETF price'!O41-'ETF price'!O40</f>
        <v>-0.11999999999999744</v>
      </c>
      <c r="O39" s="3">
        <f ca="1">'ETF price'!P41-'ETF price'!P40</f>
        <v>1.7000000000000028</v>
      </c>
      <c r="P39" s="3">
        <f ca="1">'ETF price'!Q41-'ETF price'!Q40</f>
        <v>2.6400000000000006</v>
      </c>
      <c r="Q39" s="3">
        <f ca="1">'ETF price'!R41-'ETF price'!R40</f>
        <v>-0.96000000000000796</v>
      </c>
      <c r="R39" s="3">
        <f ca="1">'ETF price'!S41-'ETF price'!S40</f>
        <v>0.84999999999999432</v>
      </c>
      <c r="S39" s="3">
        <f ca="1">'ETF price'!T41-'ETF price'!T40</f>
        <v>0.40000000000000213</v>
      </c>
      <c r="T39" s="3">
        <f ca="1">'ETF price'!U41-'ETF price'!U40</f>
        <v>1.6800000000000068</v>
      </c>
      <c r="U39" s="3">
        <f ca="1">'ETF price'!V41-'ETF price'!V40</f>
        <v>5.0499999999999972</v>
      </c>
      <c r="V39" s="3">
        <f ca="1">'ETF price'!W41-'ETF price'!W40</f>
        <v>-0.57999999999999829</v>
      </c>
      <c r="W39" s="3">
        <f ca="1">'ETF price'!X41-'ETF price'!X40</f>
        <v>-1.1800000000000068</v>
      </c>
      <c r="X39" s="3">
        <f ca="1">'ETF price'!Y41-'ETF price'!Y40</f>
        <v>3.9999999999999147E-2</v>
      </c>
      <c r="Y39" s="3">
        <f ca="1">'ETF price'!Z41-'ETF price'!Z40</f>
        <v>-1.1800000000000068</v>
      </c>
      <c r="Z39" s="3">
        <f ca="1">'ETF price'!AA41-'ETF price'!AA40</f>
        <v>-0.78999999999999915</v>
      </c>
      <c r="AA39" s="3">
        <f ca="1">'ETF price'!AB41-'ETF price'!AB40</f>
        <v>0.43999999999999773</v>
      </c>
      <c r="AB39" s="3">
        <f ca="1">'ETF price'!AC41-'ETF price'!AC40</f>
        <v>-1.1000000000000014</v>
      </c>
      <c r="AC39" s="3">
        <f ca="1">'ETF price'!AD41-'ETF price'!AD40</f>
        <v>1.129999999999999</v>
      </c>
      <c r="AD39" s="3">
        <f ca="1">'ETF price'!AE41-'ETF price'!AE40</f>
        <v>1.8499999999999979</v>
      </c>
      <c r="AE39" s="3">
        <f ca="1">'ETF price'!AF41-'ETF price'!AF40</f>
        <v>-0.15000000000000036</v>
      </c>
      <c r="AF39" s="3">
        <f ca="1">'ETF price'!AG41-'ETF price'!AG40</f>
        <v>3.2399999999999949</v>
      </c>
    </row>
    <row r="40" spans="1:32" ht="12.75" x14ac:dyDescent="0.2">
      <c r="A40" s="3">
        <f ca="1">'ETF price'!B42-'ETF price'!B41</f>
        <v>-3.0799999999999841</v>
      </c>
      <c r="B40" s="3">
        <f ca="1">'ETF price'!C42-'ETF price'!C41</f>
        <v>-7.7700000000000387</v>
      </c>
      <c r="C40" s="3">
        <f ca="1">'ETF price'!D42-'ETF price'!D41</f>
        <v>-1.6800000000000068</v>
      </c>
      <c r="D40" s="3">
        <f ca="1">'ETF price'!E42-'ETF price'!E41</f>
        <v>-5.7300000000000182</v>
      </c>
      <c r="E40" s="3">
        <f ca="1">'ETF price'!F42-'ETF price'!F41</f>
        <v>0.31000000000000227</v>
      </c>
      <c r="F40" s="3">
        <f ca="1">'ETF price'!G42-'ETF price'!G41</f>
        <v>-0.55000000000000071</v>
      </c>
      <c r="G40" s="3">
        <f ca="1">'ETF price'!H42-'ETF price'!H41</f>
        <v>-0.35000000000000142</v>
      </c>
      <c r="H40" s="3">
        <f ca="1">'ETF price'!I42-'ETF price'!I41</f>
        <v>-0.71999999999999886</v>
      </c>
      <c r="I40" s="3">
        <f ca="1">'ETF price'!J42-'ETF price'!J41</f>
        <v>-1.3100000000000023</v>
      </c>
      <c r="J40" s="3">
        <f ca="1">'ETF price'!K42-'ETF price'!K41</f>
        <v>-0.66999999999998749</v>
      </c>
      <c r="K40" s="3">
        <f ca="1">'ETF price'!L42-'ETF price'!L41</f>
        <v>-0.73999999999999488</v>
      </c>
      <c r="L40" s="3">
        <f ca="1">'ETF price'!M42-'ETF price'!M41</f>
        <v>-0.52000000000000313</v>
      </c>
      <c r="M40" s="3">
        <f ca="1">'ETF price'!N42-'ETF price'!N41</f>
        <v>-0.24000000000000199</v>
      </c>
      <c r="N40" s="3">
        <f ca="1">'ETF price'!O42-'ETF price'!O41</f>
        <v>-0.68000000000000682</v>
      </c>
      <c r="O40" s="3">
        <f ca="1">'ETF price'!P42-'ETF price'!P41</f>
        <v>0.71000000000000796</v>
      </c>
      <c r="P40" s="3">
        <f ca="1">'ETF price'!Q42-'ETF price'!Q41</f>
        <v>0.93000000000000682</v>
      </c>
      <c r="Q40" s="3">
        <f ca="1">'ETF price'!R42-'ETF price'!R41</f>
        <v>-1.9200000000000017</v>
      </c>
      <c r="R40" s="3">
        <f ca="1">'ETF price'!S42-'ETF price'!S41</f>
        <v>1.3100000000000023</v>
      </c>
      <c r="S40" s="3">
        <f ca="1">'ETF price'!T42-'ETF price'!T41</f>
        <v>0.9599999999999973</v>
      </c>
      <c r="T40" s="3">
        <f ca="1">'ETF price'!U42-'ETF price'!U41</f>
        <v>4.3399999999999892</v>
      </c>
      <c r="U40" s="3">
        <f ca="1">'ETF price'!V42-'ETF price'!V41</f>
        <v>1.3700000000000045</v>
      </c>
      <c r="V40" s="3">
        <f ca="1">'ETF price'!W42-'ETF price'!W41</f>
        <v>-1.4200000000000017</v>
      </c>
      <c r="W40" s="3">
        <f ca="1">'ETF price'!X42-'ETF price'!X41</f>
        <v>-3.5999999999999943</v>
      </c>
      <c r="X40" s="3">
        <f ca="1">'ETF price'!Y42-'ETF price'!Y41</f>
        <v>-2.8399999999999963</v>
      </c>
      <c r="Y40" s="3">
        <f ca="1">'ETF price'!Z42-'ETF price'!Z41</f>
        <v>-2.980000000000004</v>
      </c>
      <c r="Z40" s="3">
        <f ca="1">'ETF price'!AA42-'ETF price'!AA41</f>
        <v>-9.0000000000003411E-2</v>
      </c>
      <c r="AA40" s="3">
        <f ca="1">'ETF price'!AB42-'ETF price'!AB41</f>
        <v>-4.0600000000000023</v>
      </c>
      <c r="AB40" s="3">
        <f ca="1">'ETF price'!AC42-'ETF price'!AC41</f>
        <v>-2.6199999999999974</v>
      </c>
      <c r="AC40" s="3">
        <f ca="1">'ETF price'!AD42-'ETF price'!AD41</f>
        <v>0.85999999999999943</v>
      </c>
      <c r="AD40" s="3">
        <f ca="1">'ETF price'!AE42-'ETF price'!AE41</f>
        <v>1.4000000000000021</v>
      </c>
      <c r="AE40" s="3">
        <f ca="1">'ETF price'!AF42-'ETF price'!AF41</f>
        <v>0.62999999999999989</v>
      </c>
      <c r="AF40" s="3">
        <f ca="1">'ETF price'!AG42-'ETF price'!AG41</f>
        <v>0.92000000000000171</v>
      </c>
    </row>
    <row r="41" spans="1:32" ht="12.75" x14ac:dyDescent="0.2">
      <c r="A41" s="3">
        <f ca="1">'ETF price'!B43-'ETF price'!B42</f>
        <v>3.2699999999999818</v>
      </c>
      <c r="B41" s="3">
        <f ca="1">'ETF price'!C43-'ETF price'!C42</f>
        <v>8.25</v>
      </c>
      <c r="C41" s="3">
        <f ca="1">'ETF price'!D43-'ETF price'!D42</f>
        <v>1.980000000000004</v>
      </c>
      <c r="D41" s="3">
        <f ca="1">'ETF price'!E43-'ETF price'!E42</f>
        <v>4.8499999999999943</v>
      </c>
      <c r="E41" s="3">
        <f ca="1">'ETF price'!F43-'ETF price'!F42</f>
        <v>0.68999999999999773</v>
      </c>
      <c r="F41" s="3">
        <f ca="1">'ETF price'!G43-'ETF price'!G42</f>
        <v>0.71999999999999886</v>
      </c>
      <c r="G41" s="3">
        <f ca="1">'ETF price'!H43-'ETF price'!H42</f>
        <v>0.39000000000000057</v>
      </c>
      <c r="H41" s="3">
        <f ca="1">'ETF price'!I43-'ETF price'!I42</f>
        <v>1.9499999999999886</v>
      </c>
      <c r="I41" s="3">
        <f ca="1">'ETF price'!J43-'ETF price'!J42</f>
        <v>3.6899999999999977</v>
      </c>
      <c r="J41" s="3">
        <f ca="1">'ETF price'!K43-'ETF price'!K42</f>
        <v>0.66999999999998749</v>
      </c>
      <c r="K41" s="3">
        <f ca="1">'ETF price'!L43-'ETF price'!L42</f>
        <v>0.22999999999998977</v>
      </c>
      <c r="L41" s="3">
        <f ca="1">'ETF price'!M43-'ETF price'!M42</f>
        <v>0.35000000000000142</v>
      </c>
      <c r="M41" s="3">
        <f ca="1">'ETF price'!N43-'ETF price'!N42</f>
        <v>0.82000000000000028</v>
      </c>
      <c r="N41" s="3">
        <f ca="1">'ETF price'!O43-'ETF price'!O42</f>
        <v>0.28000000000000114</v>
      </c>
      <c r="O41" s="3">
        <f ca="1">'ETF price'!P43-'ETF price'!P42</f>
        <v>1.6299999999999955</v>
      </c>
      <c r="P41" s="3">
        <f ca="1">'ETF price'!Q43-'ETF price'!Q42</f>
        <v>2.3999999999999915</v>
      </c>
      <c r="Q41" s="3">
        <f ca="1">'ETF price'!R43-'ETF price'!R42</f>
        <v>1.7900000000000063</v>
      </c>
      <c r="R41" s="3">
        <f ca="1">'ETF price'!S43-'ETF price'!S42</f>
        <v>2.0399999999999991</v>
      </c>
      <c r="S41" s="3">
        <f ca="1">'ETF price'!T43-'ETF price'!T42</f>
        <v>0.81000000000000227</v>
      </c>
      <c r="T41" s="3">
        <f ca="1">'ETF price'!U43-'ETF price'!U42</f>
        <v>3.6000000000000085</v>
      </c>
      <c r="U41" s="3">
        <f ca="1">'ETF price'!V43-'ETF price'!V42</f>
        <v>-2.4900000000000091</v>
      </c>
      <c r="V41" s="3">
        <f ca="1">'ETF price'!W43-'ETF price'!W42</f>
        <v>0.96000000000000085</v>
      </c>
      <c r="W41" s="3">
        <f ca="1">'ETF price'!X43-'ETF price'!X42</f>
        <v>2.4599999999999937</v>
      </c>
      <c r="X41" s="3">
        <f ca="1">'ETF price'!Y43-'ETF price'!Y42</f>
        <v>2.25</v>
      </c>
      <c r="Y41" s="3">
        <f ca="1">'ETF price'!Z43-'ETF price'!Z42</f>
        <v>2.3500000000000085</v>
      </c>
      <c r="Z41" s="3">
        <f ca="1">'ETF price'!AA43-'ETF price'!AA42</f>
        <v>0.80000000000000426</v>
      </c>
      <c r="AA41" s="3">
        <f ca="1">'ETF price'!AB43-'ETF price'!AB42</f>
        <v>3.1299999999999955</v>
      </c>
      <c r="AB41" s="3">
        <f ca="1">'ETF price'!AC43-'ETF price'!AC42</f>
        <v>1.3699999999999974</v>
      </c>
      <c r="AC41" s="3">
        <f ca="1">'ETF price'!AD43-'ETF price'!AD42</f>
        <v>-9.9999999999997868E-2</v>
      </c>
      <c r="AD41" s="3">
        <f ca="1">'ETF price'!AE43-'ETF price'!AE42</f>
        <v>-0.20000000000000284</v>
      </c>
      <c r="AE41" s="3">
        <f ca="1">'ETF price'!AF43-'ETF price'!AF42</f>
        <v>-4.0000000000000036E-2</v>
      </c>
      <c r="AF41" s="3">
        <f ca="1">'ETF price'!AG43-'ETF price'!AG42</f>
        <v>0.92000000000000171</v>
      </c>
    </row>
    <row r="42" spans="1:32" ht="12.75" x14ac:dyDescent="0.2">
      <c r="A42" s="3">
        <f ca="1">'ETF price'!B44-'ETF price'!B43</f>
        <v>-1.8400000000000034</v>
      </c>
      <c r="B42" s="3">
        <f ca="1">'ETF price'!C44-'ETF price'!C43</f>
        <v>-6.2899999999999636</v>
      </c>
      <c r="C42" s="3">
        <f ca="1">'ETF price'!D44-'ETF price'!D43</f>
        <v>-1.5999999999999943</v>
      </c>
      <c r="D42" s="3">
        <f ca="1">'ETF price'!E44-'ETF price'!E43</f>
        <v>-3.2999999999999829</v>
      </c>
      <c r="E42" s="3">
        <f ca="1">'ETF price'!F44-'ETF price'!F43</f>
        <v>-0.75</v>
      </c>
      <c r="F42" s="3">
        <f ca="1">'ETF price'!G44-'ETF price'!G43</f>
        <v>-0.59999999999999787</v>
      </c>
      <c r="G42" s="3">
        <f ca="1">'ETF price'!H44-'ETF price'!H43</f>
        <v>-0.71999999999999886</v>
      </c>
      <c r="H42" s="3">
        <f ca="1">'ETF price'!I44-'ETF price'!I43</f>
        <v>0.67000000000001592</v>
      </c>
      <c r="I42" s="3">
        <f ca="1">'ETF price'!J44-'ETF price'!J43</f>
        <v>0.31000000000000227</v>
      </c>
      <c r="J42" s="3">
        <f ca="1">'ETF price'!K44-'ETF price'!K43</f>
        <v>-1.6299999999999955</v>
      </c>
      <c r="K42" s="3">
        <f ca="1">'ETF price'!L44-'ETF price'!L43</f>
        <v>-2.6699999999999875</v>
      </c>
      <c r="L42" s="3">
        <f ca="1">'ETF price'!M44-'ETF price'!M43</f>
        <v>-0.80000000000000426</v>
      </c>
      <c r="M42" s="3">
        <f ca="1">'ETF price'!N44-'ETF price'!N43</f>
        <v>0.13000000000000256</v>
      </c>
      <c r="N42" s="3">
        <f ca="1">'ETF price'!O44-'ETF price'!O43</f>
        <v>-2.0799999999999983</v>
      </c>
      <c r="O42" s="3">
        <f ca="1">'ETF price'!P44-'ETF price'!P43</f>
        <v>0.20000000000000284</v>
      </c>
      <c r="P42" s="3">
        <f ca="1">'ETF price'!Q44-'ETF price'!Q43</f>
        <v>0.18000000000000682</v>
      </c>
      <c r="Q42" s="3">
        <f ca="1">'ETF price'!R44-'ETF price'!R43</f>
        <v>9.9999999999994316E-2</v>
      </c>
      <c r="R42" s="3">
        <f ca="1">'ETF price'!S44-'ETF price'!S43</f>
        <v>1.8100000000000023</v>
      </c>
      <c r="S42" s="3">
        <f ca="1">'ETF price'!T44-'ETF price'!T43</f>
        <v>0.28000000000000114</v>
      </c>
      <c r="T42" s="3">
        <f ca="1">'ETF price'!U44-'ETF price'!U43</f>
        <v>-0.89000000000000057</v>
      </c>
      <c r="U42" s="3">
        <f ca="1">'ETF price'!V44-'ETF price'!V43</f>
        <v>-2.019999999999996</v>
      </c>
      <c r="V42" s="3">
        <f ca="1">'ETF price'!W44-'ETF price'!W43</f>
        <v>-0.12000000000000455</v>
      </c>
      <c r="W42" s="3">
        <f ca="1">'ETF price'!X44-'ETF price'!X43</f>
        <v>-0.42999999999999261</v>
      </c>
      <c r="X42" s="3">
        <f ca="1">'ETF price'!Y44-'ETF price'!Y43</f>
        <v>-0.38000000000000256</v>
      </c>
      <c r="Y42" s="3">
        <f ca="1">'ETF price'!Z44-'ETF price'!Z43</f>
        <v>-0.42000000000000171</v>
      </c>
      <c r="Z42" s="3">
        <f ca="1">'ETF price'!AA44-'ETF price'!AA43</f>
        <v>0.5</v>
      </c>
      <c r="AA42" s="3">
        <f ca="1">'ETF price'!AB44-'ETF price'!AB43</f>
        <v>-0.45999999999999375</v>
      </c>
      <c r="AB42" s="3">
        <f ca="1">'ETF price'!AC44-'ETF price'!AC43</f>
        <v>-0.50999999999999801</v>
      </c>
      <c r="AC42" s="3">
        <f ca="1">'ETF price'!AD44-'ETF price'!AD43</f>
        <v>-0.72000000000000242</v>
      </c>
      <c r="AD42" s="3">
        <f ca="1">'ETF price'!AE44-'ETF price'!AE43</f>
        <v>-1.1699999999999982</v>
      </c>
      <c r="AE42" s="3">
        <f ca="1">'ETF price'!AF44-'ETF price'!AF43</f>
        <v>-2.9999999999999361E-2</v>
      </c>
      <c r="AF42" s="3">
        <f ca="1">'ETF price'!AG44-'ETF price'!AG43</f>
        <v>-4.4399999999999977</v>
      </c>
    </row>
    <row r="43" spans="1:32" ht="12.75" x14ac:dyDescent="0.2">
      <c r="A43" s="3">
        <f ca="1">'ETF price'!B45-'ETF price'!B44</f>
        <v>-2.6699999999999875</v>
      </c>
      <c r="B43" s="3">
        <f ca="1">'ETF price'!C45-'ETF price'!C44</f>
        <v>-7.9399999999999977</v>
      </c>
      <c r="C43" s="3">
        <f ca="1">'ETF price'!D45-'ETF price'!D44</f>
        <v>-1.9300000000000068</v>
      </c>
      <c r="D43" s="3">
        <f ca="1">'ETF price'!E45-'ETF price'!E44</f>
        <v>-4.0800000000000125</v>
      </c>
      <c r="E43" s="3">
        <f ca="1">'ETF price'!F45-'ETF price'!F44</f>
        <v>-0.82999999999999829</v>
      </c>
      <c r="F43" s="3">
        <f ca="1">'ETF price'!G45-'ETF price'!G44</f>
        <v>-1.0500000000000007</v>
      </c>
      <c r="G43" s="3">
        <f ca="1">'ETF price'!H45-'ETF price'!H44</f>
        <v>-0.67999999999999972</v>
      </c>
      <c r="H43" s="3">
        <f ca="1">'ETF price'!I45-'ETF price'!I44</f>
        <v>0.65999999999999659</v>
      </c>
      <c r="I43" s="3">
        <f ca="1">'ETF price'!J45-'ETF price'!J44</f>
        <v>0.42000000000001592</v>
      </c>
      <c r="J43" s="3">
        <f ca="1">'ETF price'!K45-'ETF price'!K44</f>
        <v>-1.8700000000000045</v>
      </c>
      <c r="K43" s="3">
        <f ca="1">'ETF price'!L45-'ETF price'!L44</f>
        <v>-2.75</v>
      </c>
      <c r="L43" s="3">
        <f ca="1">'ETF price'!M45-'ETF price'!M44</f>
        <v>-0.98999999999999488</v>
      </c>
      <c r="M43" s="3">
        <f ca="1">'ETF price'!N45-'ETF price'!N44</f>
        <v>4.9999999999997158E-2</v>
      </c>
      <c r="N43" s="3">
        <f ca="1">'ETF price'!O45-'ETF price'!O44</f>
        <v>-1.4799999999999969</v>
      </c>
      <c r="O43" s="3">
        <f ca="1">'ETF price'!P45-'ETF price'!P44</f>
        <v>2.1099999999999994</v>
      </c>
      <c r="P43" s="3">
        <f ca="1">'ETF price'!Q45-'ETF price'!Q44</f>
        <v>3.2000000000000028</v>
      </c>
      <c r="Q43" s="3">
        <f ca="1">'ETF price'!R45-'ETF price'!R44</f>
        <v>-0.28999999999999204</v>
      </c>
      <c r="R43" s="3">
        <f ca="1">'ETF price'!S45-'ETF price'!S44</f>
        <v>1.3299999999999983</v>
      </c>
      <c r="S43" s="3">
        <f ca="1">'ETF price'!T45-'ETF price'!T44</f>
        <v>1.0899999999999999</v>
      </c>
      <c r="T43" s="3">
        <f ca="1">'ETF price'!U45-'ETF price'!U44</f>
        <v>4.9299999999999926</v>
      </c>
      <c r="U43" s="3">
        <f ca="1">'ETF price'!V45-'ETF price'!V44</f>
        <v>-0.37000000000000455</v>
      </c>
      <c r="V43" s="3">
        <f ca="1">'ETF price'!W45-'ETF price'!W44</f>
        <v>-0.71000000000000085</v>
      </c>
      <c r="W43" s="3">
        <f ca="1">'ETF price'!X45-'ETF price'!X44</f>
        <v>-2</v>
      </c>
      <c r="X43" s="3">
        <f ca="1">'ETF price'!Y45-'ETF price'!Y44</f>
        <v>-2.0399999999999991</v>
      </c>
      <c r="Y43" s="3">
        <f ca="1">'ETF price'!Z45-'ETF price'!Z44</f>
        <v>-1.6200000000000045</v>
      </c>
      <c r="Z43" s="3">
        <f ca="1">'ETF price'!AA45-'ETF price'!AA44</f>
        <v>0.39000000000000057</v>
      </c>
      <c r="AA43" s="3">
        <f ca="1">'ETF price'!AB45-'ETF price'!AB44</f>
        <v>-2.8599999999999994</v>
      </c>
      <c r="AB43" s="3">
        <f ca="1">'ETF price'!AC45-'ETF price'!AC44</f>
        <v>-1.6600000000000037</v>
      </c>
      <c r="AC43" s="3">
        <f ca="1">'ETF price'!AD45-'ETF price'!AD44</f>
        <v>-1.0099999999999998</v>
      </c>
      <c r="AD43" s="3">
        <f ca="1">'ETF price'!AE45-'ETF price'!AE44</f>
        <v>-1.629999999999999</v>
      </c>
      <c r="AE43" s="3">
        <f ca="1">'ETF price'!AF45-'ETF price'!AF44</f>
        <v>-0.47000000000000064</v>
      </c>
      <c r="AF43" s="3">
        <f ca="1">'ETF price'!AG45-'ETF price'!AG44</f>
        <v>-5</v>
      </c>
    </row>
    <row r="44" spans="1:32" ht="12.75" x14ac:dyDescent="0.2">
      <c r="A44" s="3">
        <f ca="1">'ETF price'!B46-'ETF price'!B45</f>
        <v>-5.4799999999999898</v>
      </c>
      <c r="B44" s="3">
        <f ca="1">'ETF price'!C46-'ETF price'!C45</f>
        <v>-14.630000000000052</v>
      </c>
      <c r="C44" s="3">
        <f ca="1">'ETF price'!D46-'ETF price'!D45</f>
        <v>-3.8900000000000006</v>
      </c>
      <c r="D44" s="3">
        <f ca="1">'ETF price'!E46-'ETF price'!E45</f>
        <v>-7.5199999999999818</v>
      </c>
      <c r="E44" s="3">
        <f ca="1">'ETF price'!F46-'ETF price'!F45</f>
        <v>-1.2700000000000031</v>
      </c>
      <c r="F44" s="3">
        <f ca="1">'ETF price'!G46-'ETF price'!G45</f>
        <v>-1.4699999999999989</v>
      </c>
      <c r="G44" s="3">
        <f ca="1">'ETF price'!H46-'ETF price'!H45</f>
        <v>-1.0500000000000007</v>
      </c>
      <c r="H44" s="3">
        <f ca="1">'ETF price'!I46-'ETF price'!I45</f>
        <v>-2.3100000000000023</v>
      </c>
      <c r="I44" s="3">
        <f ca="1">'ETF price'!J46-'ETF price'!J45</f>
        <v>-4.1700000000000159</v>
      </c>
      <c r="J44" s="3">
        <f ca="1">'ETF price'!K46-'ETF price'!K45</f>
        <v>-1.9499999999999886</v>
      </c>
      <c r="K44" s="3">
        <f ca="1">'ETF price'!L46-'ETF price'!L45</f>
        <v>-0.14000000000000057</v>
      </c>
      <c r="L44" s="3">
        <f ca="1">'ETF price'!M46-'ETF price'!M45</f>
        <v>-0.78000000000000114</v>
      </c>
      <c r="M44" s="3">
        <f ca="1">'ETF price'!N46-'ETF price'!N45</f>
        <v>-1.019999999999996</v>
      </c>
      <c r="N44" s="3">
        <f ca="1">'ETF price'!O46-'ETF price'!O45</f>
        <v>-1.240000000000002</v>
      </c>
      <c r="O44" s="3">
        <f ca="1">'ETF price'!P46-'ETF price'!P45</f>
        <v>1.1099999999999994</v>
      </c>
      <c r="P44" s="3">
        <f ca="1">'ETF price'!Q46-'ETF price'!Q45</f>
        <v>1.6499999999999915</v>
      </c>
      <c r="Q44" s="3">
        <f ca="1">'ETF price'!R46-'ETF price'!R45</f>
        <v>-2.8799999999999955</v>
      </c>
      <c r="R44" s="3">
        <f ca="1">'ETF price'!S46-'ETF price'!S45</f>
        <v>-1.509999999999998</v>
      </c>
      <c r="S44" s="3">
        <f ca="1">'ETF price'!T46-'ETF price'!T45</f>
        <v>0.58999999999999986</v>
      </c>
      <c r="T44" s="3">
        <f ca="1">'ETF price'!U46-'ETF price'!U45</f>
        <v>2.9100000000000108</v>
      </c>
      <c r="U44" s="3">
        <f ca="1">'ETF price'!V46-'ETF price'!V45</f>
        <v>2.0300000000000011</v>
      </c>
      <c r="V44" s="3">
        <f ca="1">'ETF price'!W46-'ETF price'!W45</f>
        <v>-1.3599999999999994</v>
      </c>
      <c r="W44" s="3">
        <f ca="1">'ETF price'!X46-'ETF price'!X45</f>
        <v>-3.6000000000000085</v>
      </c>
      <c r="X44" s="3">
        <f ca="1">'ETF price'!Y46-'ETF price'!Y45</f>
        <v>-2.259999999999998</v>
      </c>
      <c r="Y44" s="3">
        <f ca="1">'ETF price'!Z46-'ETF price'!Z45</f>
        <v>-3.2000000000000028</v>
      </c>
      <c r="Z44" s="3">
        <f ca="1">'ETF price'!AA46-'ETF price'!AA45</f>
        <v>-0.85000000000000142</v>
      </c>
      <c r="AA44" s="3">
        <f ca="1">'ETF price'!AB46-'ETF price'!AB45</f>
        <v>-3.019999999999996</v>
      </c>
      <c r="AB44" s="3">
        <f ca="1">'ETF price'!AC46-'ETF price'!AC45</f>
        <v>-2.9200000000000017</v>
      </c>
      <c r="AC44" s="3">
        <f ca="1">'ETF price'!AD46-'ETF price'!AD45</f>
        <v>-0.76999999999999957</v>
      </c>
      <c r="AD44" s="3">
        <f ca="1">'ETF price'!AE46-'ETF price'!AE45</f>
        <v>-1.2200000000000024</v>
      </c>
      <c r="AE44" s="3">
        <f ca="1">'ETF price'!AF46-'ETF price'!AF45</f>
        <v>-0.52999999999999936</v>
      </c>
      <c r="AF44" s="3">
        <f ca="1">'ETF price'!AG46-'ETF price'!AG45</f>
        <v>-3</v>
      </c>
    </row>
    <row r="45" spans="1:32" ht="12.75" x14ac:dyDescent="0.2">
      <c r="A45" s="3">
        <f ca="1">'ETF price'!B47-'ETF price'!B46</f>
        <v>-0.70000000000001705</v>
      </c>
      <c r="B45" s="3">
        <f ca="1">'ETF price'!C47-'ETF price'!C46</f>
        <v>-1.8499999999999659</v>
      </c>
      <c r="C45" s="3">
        <f ca="1">'ETF price'!D47-'ETF price'!D46</f>
        <v>-0.26999999999999602</v>
      </c>
      <c r="D45" s="3">
        <f ca="1">'ETF price'!E47-'ETF price'!E46</f>
        <v>2.7299999999999898</v>
      </c>
      <c r="E45" s="3">
        <f ca="1">'ETF price'!F47-'ETF price'!F46</f>
        <v>-0.69999999999999574</v>
      </c>
      <c r="F45" s="3">
        <f ca="1">'ETF price'!G47-'ETF price'!G46</f>
        <v>8.9999999999999858E-2</v>
      </c>
      <c r="G45" s="3">
        <f ca="1">'ETF price'!H47-'ETF price'!H46</f>
        <v>5.0000000000000711E-2</v>
      </c>
      <c r="H45" s="3">
        <f ca="1">'ETF price'!I47-'ETF price'!I46</f>
        <v>-2.6600000000000108</v>
      </c>
      <c r="I45" s="3">
        <f ca="1">'ETF price'!J47-'ETF price'!J46</f>
        <v>-4.6599999999999966</v>
      </c>
      <c r="J45" s="3">
        <f ca="1">'ETF price'!K47-'ETF price'!K46</f>
        <v>-0.30000000000001137</v>
      </c>
      <c r="K45" s="3">
        <f ca="1">'ETF price'!L47-'ETF price'!L46</f>
        <v>0.55999999999998806</v>
      </c>
      <c r="L45" s="3">
        <f ca="1">'ETF price'!M47-'ETF price'!M46</f>
        <v>-0.16000000000000369</v>
      </c>
      <c r="M45" s="3">
        <f ca="1">'ETF price'!N47-'ETF price'!N46</f>
        <v>-1.1500000000000057</v>
      </c>
      <c r="N45" s="3">
        <f ca="1">'ETF price'!O47-'ETF price'!O46</f>
        <v>0.79999999999999716</v>
      </c>
      <c r="O45" s="3">
        <f ca="1">'ETF price'!P47-'ETF price'!P46</f>
        <v>1.2000000000000028</v>
      </c>
      <c r="P45" s="3">
        <f ca="1">'ETF price'!Q47-'ETF price'!Q46</f>
        <v>1.0799999999999983</v>
      </c>
      <c r="Q45" s="3">
        <f ca="1">'ETF price'!R47-'ETF price'!R46</f>
        <v>-0.4100000000000108</v>
      </c>
      <c r="R45" s="3">
        <f ca="1">'ETF price'!S47-'ETF price'!S46</f>
        <v>-0.52000000000000313</v>
      </c>
      <c r="S45" s="3">
        <f ca="1">'ETF price'!T47-'ETF price'!T46</f>
        <v>0.46999999999999886</v>
      </c>
      <c r="T45" s="3">
        <f ca="1">'ETF price'!U47-'ETF price'!U46</f>
        <v>3.0600000000000023</v>
      </c>
      <c r="U45" s="3">
        <f ca="1">'ETF price'!V47-'ETF price'!V46</f>
        <v>6.5200000000000102</v>
      </c>
      <c r="V45" s="3">
        <f ca="1">'ETF price'!W47-'ETF price'!W46</f>
        <v>-0.21000000000000085</v>
      </c>
      <c r="W45" s="3">
        <f ca="1">'ETF price'!X47-'ETF price'!X46</f>
        <v>-0.31999999999999318</v>
      </c>
      <c r="X45" s="3">
        <f ca="1">'ETF price'!Y47-'ETF price'!Y46</f>
        <v>0.28000000000000114</v>
      </c>
      <c r="Y45" s="3">
        <f ca="1">'ETF price'!Z47-'ETF price'!Z46</f>
        <v>-0.3399999999999892</v>
      </c>
      <c r="Z45" s="3">
        <f ca="1">'ETF price'!AA47-'ETF price'!AA46</f>
        <v>-0.41000000000000369</v>
      </c>
      <c r="AA45" s="3">
        <f ca="1">'ETF price'!AB47-'ETF price'!AB46</f>
        <v>0.53999999999999204</v>
      </c>
      <c r="AB45" s="3">
        <f ca="1">'ETF price'!AC47-'ETF price'!AC46</f>
        <v>5.0000000000004263E-2</v>
      </c>
      <c r="AC45" s="3">
        <f ca="1">'ETF price'!AD47-'ETF price'!AD46</f>
        <v>0.37000000000000099</v>
      </c>
      <c r="AD45" s="3">
        <f ca="1">'ETF price'!AE47-'ETF price'!AE46</f>
        <v>0.58999999999999986</v>
      </c>
      <c r="AE45" s="3">
        <f ca="1">'ETF price'!AF47-'ETF price'!AF46</f>
        <v>6.9999999999999396E-2</v>
      </c>
      <c r="AF45" s="3">
        <f ca="1">'ETF price'!AG47-'ETF price'!AG46</f>
        <v>1.0799999999999983</v>
      </c>
    </row>
    <row r="46" spans="1:32" ht="12.75" x14ac:dyDescent="0.2">
      <c r="A46" s="3">
        <f ca="1">'ETF price'!B48-'ETF price'!B47</f>
        <v>5.6800000000000068</v>
      </c>
      <c r="B46" s="3">
        <f ca="1">'ETF price'!C48-'ETF price'!C47</f>
        <v>15.930000000000007</v>
      </c>
      <c r="C46" s="3">
        <f ca="1">'ETF price'!D48-'ETF price'!D47</f>
        <v>4.0699999999999932</v>
      </c>
      <c r="D46" s="3">
        <f ca="1">'ETF price'!E48-'ETF price'!E47</f>
        <v>6.0800000000000125</v>
      </c>
      <c r="E46" s="3">
        <f ca="1">'ETF price'!F48-'ETF price'!F47</f>
        <v>1.3799999999999955</v>
      </c>
      <c r="F46" s="3">
        <f ca="1">'ETF price'!G48-'ETF price'!G47</f>
        <v>1.0999999999999979</v>
      </c>
      <c r="G46" s="3">
        <f ca="1">'ETF price'!H48-'ETF price'!H47</f>
        <v>0.93999999999999773</v>
      </c>
      <c r="H46" s="3">
        <f ca="1">'ETF price'!I48-'ETF price'!I47</f>
        <v>2.4100000000000108</v>
      </c>
      <c r="I46" s="3">
        <f ca="1">'ETF price'!J48-'ETF price'!J47</f>
        <v>4.9699999999999989</v>
      </c>
      <c r="J46" s="3">
        <f ca="1">'ETF price'!K48-'ETF price'!K47</f>
        <v>3.9400000000000119</v>
      </c>
      <c r="K46" s="3">
        <f ca="1">'ETF price'!L48-'ETF price'!L47</f>
        <v>4.1200000000000045</v>
      </c>
      <c r="L46" s="3">
        <f ca="1">'ETF price'!M48-'ETF price'!M47</f>
        <v>1.730000000000004</v>
      </c>
      <c r="M46" s="3">
        <f ca="1">'ETF price'!N48-'ETF price'!N47</f>
        <v>1.240000000000002</v>
      </c>
      <c r="N46" s="3">
        <f ca="1">'ETF price'!O48-'ETF price'!O47</f>
        <v>1.8000000000000043</v>
      </c>
      <c r="O46" s="3">
        <f ca="1">'ETF price'!P48-'ETF price'!P47</f>
        <v>-2.3700000000000045</v>
      </c>
      <c r="P46" s="3">
        <f ca="1">'ETF price'!Q48-'ETF price'!Q47</f>
        <v>-2.8999999999999915</v>
      </c>
      <c r="Q46" s="3">
        <f ca="1">'ETF price'!R48-'ETF price'!R47</f>
        <v>2.4699999999999989</v>
      </c>
      <c r="R46" s="3">
        <f ca="1">'ETF price'!S48-'ETF price'!S47</f>
        <v>0</v>
      </c>
      <c r="S46" s="3">
        <f ca="1">'ETF price'!T48-'ETF price'!T47</f>
        <v>-2.2300000000000004</v>
      </c>
      <c r="T46" s="3">
        <f ca="1">'ETF price'!U48-'ETF price'!U47</f>
        <v>-9.960000000000008</v>
      </c>
      <c r="U46" s="3">
        <f ca="1">'ETF price'!V48-'ETF price'!V47</f>
        <v>0.30999999999998806</v>
      </c>
      <c r="V46" s="3">
        <f ca="1">'ETF price'!W48-'ETF price'!W47</f>
        <v>1.3100000000000023</v>
      </c>
      <c r="W46" s="3">
        <f ca="1">'ETF price'!X48-'ETF price'!X47</f>
        <v>3.2099999999999937</v>
      </c>
      <c r="X46" s="3">
        <f ca="1">'ETF price'!Y48-'ETF price'!Y47</f>
        <v>1.7999999999999972</v>
      </c>
      <c r="Y46" s="3">
        <f ca="1">'ETF price'!Z48-'ETF price'!Z47</f>
        <v>2.8699999999999903</v>
      </c>
      <c r="Z46" s="3">
        <f ca="1">'ETF price'!AA48-'ETF price'!AA47</f>
        <v>0.76000000000000512</v>
      </c>
      <c r="AA46" s="3">
        <f ca="1">'ETF price'!AB48-'ETF price'!AB47</f>
        <v>2.4000000000000057</v>
      </c>
      <c r="AB46" s="3">
        <f ca="1">'ETF price'!AC48-'ETF price'!AC47</f>
        <v>2.3599999999999994</v>
      </c>
      <c r="AC46" s="3">
        <f ca="1">'ETF price'!AD48-'ETF price'!AD47</f>
        <v>1.3499999999999996</v>
      </c>
      <c r="AD46" s="3">
        <f ca="1">'ETF price'!AE48-'ETF price'!AE47</f>
        <v>2.1700000000000017</v>
      </c>
      <c r="AE46" s="3">
        <f ca="1">'ETF price'!AF48-'ETF price'!AF47</f>
        <v>0.3100000000000005</v>
      </c>
      <c r="AF46" s="3">
        <f ca="1">'ETF price'!AG48-'ETF price'!AG47</f>
        <v>5.1600000000000037</v>
      </c>
    </row>
    <row r="47" spans="1:32" ht="12.75" x14ac:dyDescent="0.2">
      <c r="A47" s="3">
        <f ca="1">'ETF price'!B49-'ETF price'!B48</f>
        <v>-2.6100000000000136</v>
      </c>
      <c r="B47" s="3">
        <f ca="1">'ETF price'!C49-'ETF price'!C48</f>
        <v>-6.7300000000000182</v>
      </c>
      <c r="C47" s="3">
        <f ca="1">'ETF price'!D49-'ETF price'!D48</f>
        <v>-1.6199999999999903</v>
      </c>
      <c r="D47" s="3">
        <f ca="1">'ETF price'!E49-'ETF price'!E48</f>
        <v>-3.1000000000000227</v>
      </c>
      <c r="E47" s="3">
        <f ca="1">'ETF price'!F49-'ETF price'!F48</f>
        <v>-0.35999999999999943</v>
      </c>
      <c r="F47" s="3">
        <f ca="1">'ETF price'!G49-'ETF price'!G48</f>
        <v>-0.48000000000000043</v>
      </c>
      <c r="G47" s="3">
        <f ca="1">'ETF price'!H49-'ETF price'!H48</f>
        <v>-0.36999999999999744</v>
      </c>
      <c r="H47" s="3">
        <f ca="1">'ETF price'!I49-'ETF price'!I48</f>
        <v>-5.0000000000011369E-2</v>
      </c>
      <c r="I47" s="3">
        <f ca="1">'ETF price'!J49-'ETF price'!J48</f>
        <v>-0.21999999999999886</v>
      </c>
      <c r="J47" s="3">
        <f ca="1">'ETF price'!K49-'ETF price'!K48</f>
        <v>-1.2600000000000051</v>
      </c>
      <c r="K47" s="3">
        <f ca="1">'ETF price'!L49-'ETF price'!L48</f>
        <v>-0.45999999999999375</v>
      </c>
      <c r="L47" s="3">
        <f ca="1">'ETF price'!M49-'ETF price'!M48</f>
        <v>-0.46999999999999886</v>
      </c>
      <c r="M47" s="3">
        <f ca="1">'ETF price'!N49-'ETF price'!N48</f>
        <v>-3.9999999999999147E-2</v>
      </c>
      <c r="N47" s="3">
        <f ca="1">'ETF price'!O49-'ETF price'!O48</f>
        <v>-0.84000000000000341</v>
      </c>
      <c r="O47" s="3">
        <f ca="1">'ETF price'!P49-'ETF price'!P48</f>
        <v>2.2999999999999972</v>
      </c>
      <c r="P47" s="3">
        <f ca="1">'ETF price'!Q49-'ETF price'!Q48</f>
        <v>3.0600000000000023</v>
      </c>
      <c r="Q47" s="3">
        <f ca="1">'ETF price'!R49-'ETF price'!R48</f>
        <v>0.21999999999999886</v>
      </c>
      <c r="R47" s="3">
        <f ca="1">'ETF price'!S49-'ETF price'!S48</f>
        <v>2.6099999999999994</v>
      </c>
      <c r="S47" s="3">
        <f ca="1">'ETF price'!T49-'ETF price'!T48</f>
        <v>-0.30999999999999872</v>
      </c>
      <c r="T47" s="3">
        <f ca="1">'ETF price'!U49-'ETF price'!U48</f>
        <v>-1.4099999999999966</v>
      </c>
      <c r="U47" s="3">
        <f ca="1">'ETF price'!V49-'ETF price'!V48</f>
        <v>-1.8199999999999932</v>
      </c>
      <c r="V47" s="3">
        <f ca="1">'ETF price'!W49-'ETF price'!W48</f>
        <v>-0.31000000000000227</v>
      </c>
      <c r="W47" s="3">
        <f ca="1">'ETF price'!X49-'ETF price'!X48</f>
        <v>-0.64000000000000057</v>
      </c>
      <c r="X47" s="3">
        <f ca="1">'ETF price'!Y49-'ETF price'!Y48</f>
        <v>-0.18999999999999773</v>
      </c>
      <c r="Y47" s="3">
        <f ca="1">'ETF price'!Z49-'ETF price'!Z48</f>
        <v>-0.64000000000000057</v>
      </c>
      <c r="Z47" s="3">
        <f ca="1">'ETF price'!AA49-'ETF price'!AA48</f>
        <v>0.15999999999999659</v>
      </c>
      <c r="AA47" s="3">
        <f ca="1">'ETF price'!AB49-'ETF price'!AB48</f>
        <v>4.9999999999997158E-2</v>
      </c>
      <c r="AB47" s="3">
        <f ca="1">'ETF price'!AC49-'ETF price'!AC48</f>
        <v>-0.56000000000000227</v>
      </c>
      <c r="AC47" s="3">
        <f ca="1">'ETF price'!AD49-'ETF price'!AD48</f>
        <v>-0.91000000000000014</v>
      </c>
      <c r="AD47" s="3">
        <f ca="1">'ETF price'!AE49-'ETF price'!AE48</f>
        <v>-1.4600000000000009</v>
      </c>
      <c r="AE47" s="3">
        <f ca="1">'ETF price'!AF49-'ETF price'!AF48</f>
        <v>4.0000000000000036E-2</v>
      </c>
      <c r="AF47" s="3">
        <f ca="1">'ETF price'!AG49-'ETF price'!AG48</f>
        <v>-1.1199999999999974</v>
      </c>
    </row>
    <row r="48" spans="1:32" ht="12.75" x14ac:dyDescent="0.2">
      <c r="A48" s="3">
        <f ca="1">'ETF price'!B50-'ETF price'!B49</f>
        <v>-2.5799999999999841</v>
      </c>
      <c r="B48" s="3">
        <f ca="1">'ETF price'!C50-'ETF price'!C49</f>
        <v>-7.9599999999999795</v>
      </c>
      <c r="C48" s="3">
        <f ca="1">'ETF price'!D50-'ETF price'!D49</f>
        <v>-2.1200000000000045</v>
      </c>
      <c r="D48" s="3">
        <f ca="1">'ETF price'!E50-'ETF price'!E49</f>
        <v>-3.1799999999999784</v>
      </c>
      <c r="E48" s="3">
        <f ca="1">'ETF price'!F50-'ETF price'!F49</f>
        <v>-1.240000000000002</v>
      </c>
      <c r="F48" s="3">
        <f ca="1">'ETF price'!G50-'ETF price'!G49</f>
        <v>-0.79999999999999716</v>
      </c>
      <c r="G48" s="3">
        <f ca="1">'ETF price'!H50-'ETF price'!H49</f>
        <v>-0.71000000000000085</v>
      </c>
      <c r="H48" s="3">
        <f ca="1">'ETF price'!I50-'ETF price'!I49</f>
        <v>-0.96999999999999886</v>
      </c>
      <c r="I48" s="3">
        <f ca="1">'ETF price'!J50-'ETF price'!J49</f>
        <v>-2.789999999999992</v>
      </c>
      <c r="J48" s="3">
        <f ca="1">'ETF price'!K50-'ETF price'!K49</f>
        <v>-2.3499999999999943</v>
      </c>
      <c r="K48" s="3">
        <f ca="1">'ETF price'!L50-'ETF price'!L49</f>
        <v>-3.3700000000000045</v>
      </c>
      <c r="L48" s="3">
        <f ca="1">'ETF price'!M50-'ETF price'!M49</f>
        <v>-1.0700000000000003</v>
      </c>
      <c r="M48" s="3">
        <f ca="1">'ETF price'!N50-'ETF price'!N49</f>
        <v>-0.66000000000000369</v>
      </c>
      <c r="N48" s="3">
        <f ca="1">'ETF price'!O50-'ETF price'!O49</f>
        <v>-2.3599999999999994</v>
      </c>
      <c r="O48" s="3">
        <f ca="1">'ETF price'!P50-'ETF price'!P49</f>
        <v>-0.62000000000000455</v>
      </c>
      <c r="P48" s="3">
        <f ca="1">'ETF price'!Q50-'ETF price'!Q49</f>
        <v>-0.99000000000000909</v>
      </c>
      <c r="Q48" s="3">
        <f ca="1">'ETF price'!R50-'ETF price'!R49</f>
        <v>-0.60999999999999943</v>
      </c>
      <c r="R48" s="3">
        <f ca="1">'ETF price'!S50-'ETF price'!S49</f>
        <v>-1.3799999999999955</v>
      </c>
      <c r="S48" s="3">
        <f ca="1">'ETF price'!T50-'ETF price'!T49</f>
        <v>0.43999999999999773</v>
      </c>
      <c r="T48" s="3">
        <f ca="1">'ETF price'!U50-'ETF price'!U49</f>
        <v>2.3400000000000034</v>
      </c>
      <c r="U48" s="3">
        <f ca="1">'ETF price'!V50-'ETF price'!V49</f>
        <v>-1.3700000000000045</v>
      </c>
      <c r="V48" s="3">
        <f ca="1">'ETF price'!W50-'ETF price'!W49</f>
        <v>-0.25999999999999801</v>
      </c>
      <c r="W48" s="3">
        <f ca="1">'ETF price'!X50-'ETF price'!X49</f>
        <v>-0.60999999999999943</v>
      </c>
      <c r="X48" s="3">
        <f ca="1">'ETF price'!Y50-'ETF price'!Y49</f>
        <v>-6.0000000000002274E-2</v>
      </c>
      <c r="Y48" s="3">
        <f ca="1">'ETF price'!Z50-'ETF price'!Z49</f>
        <v>-0.53999999999999204</v>
      </c>
      <c r="Z48" s="3">
        <f ca="1">'ETF price'!AA50-'ETF price'!AA49</f>
        <v>-0.46000000000000085</v>
      </c>
      <c r="AA48" s="3">
        <f ca="1">'ETF price'!AB50-'ETF price'!AB49</f>
        <v>1.9999999999996021E-2</v>
      </c>
      <c r="AB48" s="3">
        <f ca="1">'ETF price'!AC50-'ETF price'!AC49</f>
        <v>-0.57000000000000028</v>
      </c>
      <c r="AC48" s="3">
        <f ca="1">'ETF price'!AD50-'ETF price'!AD49</f>
        <v>-0.50999999999999979</v>
      </c>
      <c r="AD48" s="3">
        <f ca="1">'ETF price'!AE50-'ETF price'!AE49</f>
        <v>-0.83999999999999986</v>
      </c>
      <c r="AE48" s="3">
        <f ca="1">'ETF price'!AF50-'ETF price'!AF49</f>
        <v>-3.0000000000000249E-2</v>
      </c>
      <c r="AF48" s="3">
        <f ca="1">'ETF price'!AG50-'ETF price'!AG49</f>
        <v>-4.8000000000000043</v>
      </c>
    </row>
    <row r="49" spans="1:32" ht="12.75" x14ac:dyDescent="0.2">
      <c r="A49" s="3">
        <f ca="1">'ETF price'!B51-'ETF price'!B50</f>
        <v>-2.6700000000000159</v>
      </c>
      <c r="B49" s="3">
        <f ca="1">'ETF price'!C51-'ETF price'!C50</f>
        <v>-8.1100000000000136</v>
      </c>
      <c r="C49" s="3">
        <f ca="1">'ETF price'!D51-'ETF price'!D50</f>
        <v>-2.2999999999999972</v>
      </c>
      <c r="D49" s="3">
        <f ca="1">'ETF price'!E51-'ETF price'!E50</f>
        <v>-4.6899999999999977</v>
      </c>
      <c r="E49" s="3">
        <f ca="1">'ETF price'!F51-'ETF price'!F50</f>
        <v>-1.259999999999998</v>
      </c>
      <c r="F49" s="3">
        <f ca="1">'ETF price'!G51-'ETF price'!G50</f>
        <v>-0.40000000000000213</v>
      </c>
      <c r="G49" s="3">
        <f ca="1">'ETF price'!H51-'ETF price'!H50</f>
        <v>-0.57000000000000028</v>
      </c>
      <c r="H49" s="3">
        <f ca="1">'ETF price'!I51-'ETF price'!I50</f>
        <v>0.90999999999999659</v>
      </c>
      <c r="I49" s="3">
        <f ca="1">'ETF price'!J51-'ETF price'!J50</f>
        <v>0.48999999999998067</v>
      </c>
      <c r="J49" s="3">
        <f ca="1">'ETF price'!K51-'ETF price'!K50</f>
        <v>-1.0500000000000114</v>
      </c>
      <c r="K49" s="3">
        <f ca="1">'ETF price'!L51-'ETF price'!L50</f>
        <v>-3.5400000000000063</v>
      </c>
      <c r="L49" s="3">
        <f ca="1">'ETF price'!M51-'ETF price'!M50</f>
        <v>-0.71999999999999886</v>
      </c>
      <c r="M49" s="3">
        <f ca="1">'ETF price'!N51-'ETF price'!N50</f>
        <v>8.00000000000054E-2</v>
      </c>
      <c r="N49" s="3">
        <f ca="1">'ETF price'!O51-'ETF price'!O50</f>
        <v>-2.7199999999999989</v>
      </c>
      <c r="O49" s="3">
        <f ca="1">'ETF price'!P51-'ETF price'!P50</f>
        <v>-2.2999999999999972</v>
      </c>
      <c r="P49" s="3">
        <f ca="1">'ETF price'!Q51-'ETF price'!Q50</f>
        <v>-3.3900000000000006</v>
      </c>
      <c r="Q49" s="3">
        <f ca="1">'ETF price'!R51-'ETF price'!R50</f>
        <v>-0.11999999999999034</v>
      </c>
      <c r="R49" s="3">
        <f ca="1">'ETF price'!S51-'ETF price'!S50</f>
        <v>-3.3500000000000014</v>
      </c>
      <c r="S49" s="3">
        <f ca="1">'ETF price'!T51-'ETF price'!T50</f>
        <v>-0.75999999999999801</v>
      </c>
      <c r="T49" s="3">
        <f ca="1">'ETF price'!U51-'ETF price'!U50</f>
        <v>-3.5600000000000023</v>
      </c>
      <c r="U49" s="3">
        <f ca="1">'ETF price'!V51-'ETF price'!V50</f>
        <v>-4.5300000000000011</v>
      </c>
      <c r="V49" s="3">
        <f ca="1">'ETF price'!W51-'ETF price'!W50</f>
        <v>0.46000000000000085</v>
      </c>
      <c r="W49" s="3">
        <f ca="1">'ETF price'!X51-'ETF price'!X50</f>
        <v>0.78000000000000114</v>
      </c>
      <c r="X49" s="3">
        <f ca="1">'ETF price'!Y51-'ETF price'!Y50</f>
        <v>0.25</v>
      </c>
      <c r="Y49" s="3">
        <f ca="1">'ETF price'!Z51-'ETF price'!Z50</f>
        <v>0.71999999999999886</v>
      </c>
      <c r="Z49" s="3">
        <f ca="1">'ETF price'!AA51-'ETF price'!AA50</f>
        <v>-0.27999999999999403</v>
      </c>
      <c r="AA49" s="3">
        <f ca="1">'ETF price'!AB51-'ETF price'!AB50</f>
        <v>0.37000000000000455</v>
      </c>
      <c r="AB49" s="3">
        <f ca="1">'ETF price'!AC51-'ETF price'!AC50</f>
        <v>0.60000000000000142</v>
      </c>
      <c r="AC49" s="3">
        <f ca="1">'ETF price'!AD51-'ETF price'!AD50</f>
        <v>0.19999999999999929</v>
      </c>
      <c r="AD49" s="3">
        <f ca="1">'ETF price'!AE51-'ETF price'!AE50</f>
        <v>0.30000000000000071</v>
      </c>
      <c r="AE49" s="3">
        <f ca="1">'ETF price'!AF51-'ETF price'!AF50</f>
        <v>-0.15000000000000036</v>
      </c>
      <c r="AF49" s="3">
        <f ca="1">'ETF price'!AG51-'ETF price'!AG50</f>
        <v>-3.259999999999998</v>
      </c>
    </row>
    <row r="50" spans="1:32" ht="12.75" x14ac:dyDescent="0.2">
      <c r="A50" s="3">
        <f ca="1">'ETF price'!B52-'ETF price'!B51</f>
        <v>4.75</v>
      </c>
      <c r="B50" s="3">
        <f ca="1">'ETF price'!C52-'ETF price'!C51</f>
        <v>12.329999999999984</v>
      </c>
      <c r="C50" s="3">
        <f ca="1">'ETF price'!D52-'ETF price'!D51</f>
        <v>2.9000000000000057</v>
      </c>
      <c r="D50" s="3">
        <f ca="1">'ETF price'!E52-'ETF price'!E51</f>
        <v>6.4399999999999977</v>
      </c>
      <c r="E50" s="3">
        <f ca="1">'ETF price'!F52-'ETF price'!F51</f>
        <v>0.82999999999999829</v>
      </c>
      <c r="F50" s="3">
        <f ca="1">'ETF price'!G52-'ETF price'!G51</f>
        <v>0.41000000000000014</v>
      </c>
      <c r="G50" s="3">
        <f ca="1">'ETF price'!H52-'ETF price'!H51</f>
        <v>0.67000000000000171</v>
      </c>
      <c r="H50" s="3">
        <f ca="1">'ETF price'!I52-'ETF price'!I51</f>
        <v>2.5900000000000034</v>
      </c>
      <c r="I50" s="3">
        <f ca="1">'ETF price'!J52-'ETF price'!J51</f>
        <v>4.6900000000000261</v>
      </c>
      <c r="J50" s="3">
        <f ca="1">'ETF price'!K52-'ETF price'!K51</f>
        <v>1.5300000000000011</v>
      </c>
      <c r="K50" s="3">
        <f ca="1">'ETF price'!L52-'ETF price'!L51</f>
        <v>1.1900000000000119</v>
      </c>
      <c r="L50" s="3">
        <f ca="1">'ETF price'!M52-'ETF price'!M51</f>
        <v>1.1299999999999955</v>
      </c>
      <c r="M50" s="3">
        <f ca="1">'ETF price'!N52-'ETF price'!N51</f>
        <v>1.1899999999999977</v>
      </c>
      <c r="N50" s="3">
        <f ca="1">'ETF price'!O52-'ETF price'!O51</f>
        <v>0.92000000000000171</v>
      </c>
      <c r="O50" s="3">
        <f ca="1">'ETF price'!P52-'ETF price'!P51</f>
        <v>-2.730000000000004</v>
      </c>
      <c r="P50" s="3">
        <f ca="1">'ETF price'!Q52-'ETF price'!Q51</f>
        <v>-3.4799999999999898</v>
      </c>
      <c r="Q50" s="3">
        <f ca="1">'ETF price'!R52-'ETF price'!R51</f>
        <v>0.93999999999999773</v>
      </c>
      <c r="R50" s="3">
        <f ca="1">'ETF price'!S52-'ETF price'!S51</f>
        <v>0.64000000000000057</v>
      </c>
      <c r="S50" s="3">
        <f ca="1">'ETF price'!T52-'ETF price'!T51</f>
        <v>-0.62000000000000099</v>
      </c>
      <c r="T50" s="3">
        <f ca="1">'ETF price'!U52-'ETF price'!U51</f>
        <v>-4.210000000000008</v>
      </c>
      <c r="U50" s="3">
        <f ca="1">'ETF price'!V52-'ETF price'!V51</f>
        <v>2.230000000000004</v>
      </c>
      <c r="V50" s="3">
        <f ca="1">'ETF price'!W52-'ETF price'!W51</f>
        <v>0.52000000000000313</v>
      </c>
      <c r="W50" s="3">
        <f ca="1">'ETF price'!X52-'ETF price'!X51</f>
        <v>1.1099999999999994</v>
      </c>
      <c r="X50" s="3">
        <f ca="1">'ETF price'!Y52-'ETF price'!Y51</f>
        <v>0.16000000000000369</v>
      </c>
      <c r="Y50" s="3">
        <f ca="1">'ETF price'!Z52-'ETF price'!Z51</f>
        <v>1.0600000000000023</v>
      </c>
      <c r="Z50" s="3">
        <f ca="1">'ETF price'!AA52-'ETF price'!AA51</f>
        <v>0.35999999999999943</v>
      </c>
      <c r="AA50" s="3">
        <f ca="1">'ETF price'!AB52-'ETF price'!AB51</f>
        <v>0.20999999999999375</v>
      </c>
      <c r="AB50" s="3">
        <f ca="1">'ETF price'!AC52-'ETF price'!AC51</f>
        <v>0.85000000000000142</v>
      </c>
      <c r="AC50" s="3">
        <f ca="1">'ETF price'!AD52-'ETF price'!AD51</f>
        <v>0.37000000000000099</v>
      </c>
      <c r="AD50" s="3">
        <f ca="1">'ETF price'!AE52-'ETF price'!AE51</f>
        <v>0.62999999999999901</v>
      </c>
      <c r="AE50" s="3">
        <f ca="1">'ETF price'!AF52-'ETF price'!AF51</f>
        <v>-0.20999999999999996</v>
      </c>
      <c r="AF50" s="3">
        <f ca="1">'ETF price'!AG52-'ETF price'!AG51</f>
        <v>1.4200000000000017</v>
      </c>
    </row>
    <row r="51" spans="1:32" ht="12.75" x14ac:dyDescent="0.2">
      <c r="A51" s="3">
        <f ca="1">'ETF price'!B53-'ETF price'!B52</f>
        <v>4.75</v>
      </c>
      <c r="B51" s="3">
        <f ca="1">'ETF price'!C53-'ETF price'!C52</f>
        <v>13.879999999999995</v>
      </c>
      <c r="C51" s="3">
        <f ca="1">'ETF price'!D53-'ETF price'!D52</f>
        <v>3.5999999999999943</v>
      </c>
      <c r="D51" s="3">
        <f ca="1">'ETF price'!E53-'ETF price'!E52</f>
        <v>7.5499999999999829</v>
      </c>
      <c r="E51" s="3">
        <f ca="1">'ETF price'!F53-'ETF price'!F52</f>
        <v>1.0200000000000031</v>
      </c>
      <c r="F51" s="3">
        <f ca="1">'ETF price'!G53-'ETF price'!G52</f>
        <v>1.3200000000000003</v>
      </c>
      <c r="G51" s="3">
        <f ca="1">'ETF price'!H53-'ETF price'!H52</f>
        <v>1.2899999999999991</v>
      </c>
      <c r="H51" s="3">
        <f ca="1">'ETF price'!I53-'ETF price'!I52</f>
        <v>1.5900000000000034</v>
      </c>
      <c r="I51" s="3">
        <f ca="1">'ETF price'!J53-'ETF price'!J52</f>
        <v>3.9799999999999898</v>
      </c>
      <c r="J51" s="3">
        <f ca="1">'ETF price'!K53-'ETF price'!K52</f>
        <v>4.8400000000000034</v>
      </c>
      <c r="K51" s="3">
        <f ca="1">'ETF price'!L53-'ETF price'!L52</f>
        <v>3.9299999999999926</v>
      </c>
      <c r="L51" s="3">
        <f ca="1">'ETF price'!M53-'ETF price'!M52</f>
        <v>1.8800000000000026</v>
      </c>
      <c r="M51" s="3">
        <f ca="1">'ETF price'!N53-'ETF price'!N52</f>
        <v>1.019999999999996</v>
      </c>
      <c r="N51" s="3">
        <f ca="1">'ETF price'!O53-'ETF price'!O52</f>
        <v>3.8399999999999963</v>
      </c>
      <c r="O51" s="3">
        <f ca="1">'ETF price'!P53-'ETF price'!P52</f>
        <v>-0.32999999999999829</v>
      </c>
      <c r="P51" s="3">
        <f ca="1">'ETF price'!Q53-'ETF price'!Q52</f>
        <v>-0.28000000000000114</v>
      </c>
      <c r="Q51" s="3">
        <f ca="1">'ETF price'!R53-'ETF price'!R52</f>
        <v>1.2999999999999972</v>
      </c>
      <c r="R51" s="3">
        <f ca="1">'ETF price'!S53-'ETF price'!S52</f>
        <v>0.25999999999999801</v>
      </c>
      <c r="S51" s="3">
        <f ca="1">'ETF price'!T53-'ETF price'!T52</f>
        <v>-0.21000000000000085</v>
      </c>
      <c r="T51" s="3">
        <f ca="1">'ETF price'!U53-'ETF price'!U52</f>
        <v>-0.34999999999999432</v>
      </c>
      <c r="U51" s="3">
        <f ca="1">'ETF price'!V53-'ETF price'!V52</f>
        <v>4.2800000000000011</v>
      </c>
      <c r="V51" s="3">
        <f ca="1">'ETF price'!W53-'ETF price'!W52</f>
        <v>1.0499999999999972</v>
      </c>
      <c r="W51" s="3">
        <f ca="1">'ETF price'!X53-'ETF price'!X52</f>
        <v>2.7199999999999989</v>
      </c>
      <c r="X51" s="3">
        <f ca="1">'ETF price'!Y53-'ETF price'!Y52</f>
        <v>1.6499999999999986</v>
      </c>
      <c r="Y51" s="3">
        <f ca="1">'ETF price'!Z53-'ETF price'!Z52</f>
        <v>2.4500000000000028</v>
      </c>
      <c r="Z51" s="3">
        <f ca="1">'ETF price'!AA53-'ETF price'!AA52</f>
        <v>0.50999999999999801</v>
      </c>
      <c r="AA51" s="3">
        <f ca="1">'ETF price'!AB53-'ETF price'!AB52</f>
        <v>2.2199999999999989</v>
      </c>
      <c r="AB51" s="3">
        <f ca="1">'ETF price'!AC53-'ETF price'!AC52</f>
        <v>2.1300000000000026</v>
      </c>
      <c r="AC51" s="3">
        <f ca="1">'ETF price'!AD53-'ETF price'!AD52</f>
        <v>0.46999999999999886</v>
      </c>
      <c r="AD51" s="3">
        <f ca="1">'ETF price'!AE53-'ETF price'!AE52</f>
        <v>0.71000000000000085</v>
      </c>
      <c r="AE51" s="3">
        <f ca="1">'ETF price'!AF53-'ETF price'!AF52</f>
        <v>0.10000000000000053</v>
      </c>
      <c r="AF51" s="3">
        <f ca="1">'ETF price'!AG53-'ETF price'!AG52</f>
        <v>6.019999999999996</v>
      </c>
    </row>
    <row r="52" spans="1:32" ht="12.75" x14ac:dyDescent="0.2">
      <c r="A52" s="3">
        <f ca="1">'ETF price'!B54-'ETF price'!B53</f>
        <v>1.0700000000000216</v>
      </c>
      <c r="B52" s="3">
        <f ca="1">'ETF price'!C54-'ETF price'!C53</f>
        <v>4.2700000000000387</v>
      </c>
      <c r="C52" s="3">
        <f ca="1">'ETF price'!D54-'ETF price'!D53</f>
        <v>1.0799999999999983</v>
      </c>
      <c r="D52" s="3">
        <f ca="1">'ETF price'!E54-'ETF price'!E53</f>
        <v>0.95000000000001705</v>
      </c>
      <c r="E52" s="3">
        <f ca="1">'ETF price'!F54-'ETF price'!F53</f>
        <v>1.0300000000000011</v>
      </c>
      <c r="F52" s="3">
        <f ca="1">'ETF price'!G54-'ETF price'!G53</f>
        <v>0.89000000000000057</v>
      </c>
      <c r="G52" s="3">
        <f ca="1">'ETF price'!H54-'ETF price'!H53</f>
        <v>0.5</v>
      </c>
      <c r="H52" s="3">
        <f ca="1">'ETF price'!I54-'ETF price'!I53</f>
        <v>2.1200000000000045</v>
      </c>
      <c r="I52" s="3">
        <f ca="1">'ETF price'!J54-'ETF price'!J53</f>
        <v>4.6599999999999966</v>
      </c>
      <c r="J52" s="3">
        <f ca="1">'ETF price'!K54-'ETF price'!K53</f>
        <v>2.6500000000000057</v>
      </c>
      <c r="K52" s="3">
        <f ca="1">'ETF price'!L54-'ETF price'!L53</f>
        <v>3.3700000000000045</v>
      </c>
      <c r="L52" s="3">
        <f ca="1">'ETF price'!M54-'ETF price'!M53</f>
        <v>1.1499999999999986</v>
      </c>
      <c r="M52" s="3">
        <f ca="1">'ETF price'!N54-'ETF price'!N53</f>
        <v>1.1300000000000097</v>
      </c>
      <c r="N52" s="3">
        <f ca="1">'ETF price'!O54-'ETF price'!O53</f>
        <v>1.9200000000000017</v>
      </c>
      <c r="O52" s="3">
        <f ca="1">'ETF price'!P54-'ETF price'!P53</f>
        <v>2.460000000000008</v>
      </c>
      <c r="P52" s="3">
        <f ca="1">'ETF price'!Q54-'ETF price'!Q53</f>
        <v>3.5499999999999972</v>
      </c>
      <c r="Q52" s="3">
        <f ca="1">'ETF price'!R54-'ETF price'!R53</f>
        <v>1.6099999999999994</v>
      </c>
      <c r="R52" s="3">
        <f ca="1">'ETF price'!S54-'ETF price'!S53</f>
        <v>2.4399999999999977</v>
      </c>
      <c r="S52" s="3">
        <f ca="1">'ETF price'!T54-'ETF price'!T53</f>
        <v>1.1700000000000017</v>
      </c>
      <c r="T52" s="3">
        <f ca="1">'ETF price'!U54-'ETF price'!U53</f>
        <v>5.4000000000000057</v>
      </c>
      <c r="U52" s="3">
        <f ca="1">'ETF price'!V54-'ETF price'!V53</f>
        <v>-0.42999999999999261</v>
      </c>
      <c r="V52" s="3">
        <f ca="1">'ETF price'!W54-'ETF price'!W53</f>
        <v>0.47999999999999687</v>
      </c>
      <c r="W52" s="3">
        <f ca="1">'ETF price'!X54-'ETF price'!X53</f>
        <v>0.93000000000000682</v>
      </c>
      <c r="X52" s="3">
        <f ca="1">'ETF price'!Y54-'ETF price'!Y53</f>
        <v>-0.5800000000000054</v>
      </c>
      <c r="Y52" s="3">
        <f ca="1">'ETF price'!Z54-'ETF price'!Z53</f>
        <v>0.90999999999999659</v>
      </c>
      <c r="Z52" s="3">
        <f ca="1">'ETF price'!AA54-'ETF price'!AA53</f>
        <v>0.65999999999999659</v>
      </c>
      <c r="AA52" s="3">
        <f ca="1">'ETF price'!AB54-'ETF price'!AB53</f>
        <v>-0.78999999999999204</v>
      </c>
      <c r="AB52" s="3">
        <f ca="1">'ETF price'!AC54-'ETF price'!AC53</f>
        <v>0.46999999999999886</v>
      </c>
      <c r="AC52" s="3">
        <f ca="1">'ETF price'!AD54-'ETF price'!AD53</f>
        <v>-2.9999999999999361E-2</v>
      </c>
      <c r="AD52" s="3">
        <f ca="1">'ETF price'!AE54-'ETF price'!AE53</f>
        <v>-1.0000000000001563E-2</v>
      </c>
      <c r="AE52" s="3">
        <f ca="1">'ETF price'!AF54-'ETF price'!AF53</f>
        <v>0.41999999999999993</v>
      </c>
      <c r="AF52" s="3">
        <f ca="1">'ETF price'!AG54-'ETF price'!AG53</f>
        <v>2.8200000000000074</v>
      </c>
    </row>
    <row r="53" spans="1:32" ht="12.75" x14ac:dyDescent="0.2">
      <c r="A53" s="3">
        <f ca="1">'ETF price'!B55-'ETF price'!B54</f>
        <v>3.1099999999999852</v>
      </c>
      <c r="B53" s="3">
        <f ca="1">'ETF price'!C55-'ETF price'!C54</f>
        <v>9.0999999999999659</v>
      </c>
      <c r="C53" s="3">
        <f ca="1">'ETF price'!D55-'ETF price'!D54</f>
        <v>2.2000000000000028</v>
      </c>
      <c r="D53" s="3">
        <f ca="1">'ETF price'!E55-'ETF price'!E54</f>
        <v>3.0300000000000011</v>
      </c>
      <c r="E53" s="3">
        <f ca="1">'ETF price'!F55-'ETF price'!F54</f>
        <v>0.86999999999999744</v>
      </c>
      <c r="F53" s="3">
        <f ca="1">'ETF price'!G55-'ETF price'!G54</f>
        <v>0.80999999999999872</v>
      </c>
      <c r="G53" s="3">
        <f ca="1">'ETF price'!H55-'ETF price'!H54</f>
        <v>0.59999999999999787</v>
      </c>
      <c r="H53" s="3">
        <f ca="1">'ETF price'!I55-'ETF price'!I54</f>
        <v>0.84000000000000341</v>
      </c>
      <c r="I53" s="3">
        <f ca="1">'ETF price'!J55-'ETF price'!J54</f>
        <v>1.9199999999999875</v>
      </c>
      <c r="J53" s="3">
        <f ca="1">'ETF price'!K55-'ETF price'!K54</f>
        <v>2.3700000000000045</v>
      </c>
      <c r="K53" s="3">
        <f ca="1">'ETF price'!L55-'ETF price'!L54</f>
        <v>2.5999999999999943</v>
      </c>
      <c r="L53" s="3">
        <f ca="1">'ETF price'!M55-'ETF price'!M54</f>
        <v>1.3100000000000023</v>
      </c>
      <c r="M53" s="3">
        <f ca="1">'ETF price'!N55-'ETF price'!N54</f>
        <v>0.28000000000000114</v>
      </c>
      <c r="N53" s="3">
        <f ca="1">'ETF price'!O55-'ETF price'!O54</f>
        <v>1.3999999999999986</v>
      </c>
      <c r="O53" s="3">
        <f ca="1">'ETF price'!P55-'ETF price'!P54</f>
        <v>-7.000000000000739E-2</v>
      </c>
      <c r="P53" s="3">
        <f ca="1">'ETF price'!Q55-'ETF price'!Q54</f>
        <v>-1.9999999999996021E-2</v>
      </c>
      <c r="Q53" s="3">
        <f ca="1">'ETF price'!R55-'ETF price'!R54</f>
        <v>0.51999999999999602</v>
      </c>
      <c r="R53" s="3">
        <f ca="1">'ETF price'!S55-'ETF price'!S54</f>
        <v>0.26000000000000512</v>
      </c>
      <c r="S53" s="3">
        <f ca="1">'ETF price'!T55-'ETF price'!T54</f>
        <v>0.12000000000000099</v>
      </c>
      <c r="T53" s="3">
        <f ca="1">'ETF price'!U55-'ETF price'!U54</f>
        <v>0.95999999999999375</v>
      </c>
      <c r="U53" s="3">
        <f ca="1">'ETF price'!V55-'ETF price'!V54</f>
        <v>0.85999999999999943</v>
      </c>
      <c r="V53" s="3">
        <f ca="1">'ETF price'!W55-'ETF price'!W54</f>
        <v>9.0000000000003411E-2</v>
      </c>
      <c r="W53" s="3">
        <f ca="1">'ETF price'!X55-'ETF price'!X54</f>
        <v>0.42000000000000171</v>
      </c>
      <c r="X53" s="3">
        <f ca="1">'ETF price'!Y55-'ETF price'!Y54</f>
        <v>-6.9999999999993179E-2</v>
      </c>
      <c r="Y53" s="3">
        <f ca="1">'ETF price'!Z55-'ETF price'!Z54</f>
        <v>0.42000000000000171</v>
      </c>
      <c r="Z53" s="3">
        <f ca="1">'ETF price'!AA55-'ETF price'!AA54</f>
        <v>0.10999999999999943</v>
      </c>
      <c r="AA53" s="3">
        <f ca="1">'ETF price'!AB55-'ETF price'!AB54</f>
        <v>-0.14000000000000057</v>
      </c>
      <c r="AB53" s="3">
        <f ca="1">'ETF price'!AC55-'ETF price'!AC54</f>
        <v>0.48999999999999488</v>
      </c>
      <c r="AC53" s="3">
        <f ca="1">'ETF price'!AD55-'ETF price'!AD54</f>
        <v>0.46000000000000085</v>
      </c>
      <c r="AD53" s="3">
        <f ca="1">'ETF price'!AE55-'ETF price'!AE54</f>
        <v>0.78000000000000114</v>
      </c>
      <c r="AE53" s="3">
        <f ca="1">'ETF price'!AF55-'ETF price'!AF54</f>
        <v>8.0000000000000071E-2</v>
      </c>
      <c r="AF53" s="3">
        <f ca="1">'ETF price'!AG55-'ETF price'!AG54</f>
        <v>3.6799999999999926</v>
      </c>
    </row>
    <row r="54" spans="1:32" ht="12.75" x14ac:dyDescent="0.2">
      <c r="A54" s="3">
        <f ca="1">'ETF price'!B56-'ETF price'!B55</f>
        <v>-0.57999999999998408</v>
      </c>
      <c r="B54" s="3">
        <f ca="1">'ETF price'!C56-'ETF price'!C55</f>
        <v>-1.0299999999999727</v>
      </c>
      <c r="C54" s="3">
        <f ca="1">'ETF price'!D56-'ETF price'!D55</f>
        <v>-0.18999999999999773</v>
      </c>
      <c r="D54" s="3">
        <f ca="1">'ETF price'!E56-'ETF price'!E55</f>
        <v>-0.3200000000000216</v>
      </c>
      <c r="E54" s="3">
        <f ca="1">'ETF price'!F56-'ETF price'!F55</f>
        <v>-0.25</v>
      </c>
      <c r="F54" s="3">
        <f ca="1">'ETF price'!G56-'ETF price'!G55</f>
        <v>-0.16999999999999815</v>
      </c>
      <c r="G54" s="3">
        <f ca="1">'ETF price'!H56-'ETF price'!H55</f>
        <v>-0.32000000000000028</v>
      </c>
      <c r="H54" s="3">
        <f ca="1">'ETF price'!I56-'ETF price'!I55</f>
        <v>-0.53000000000000114</v>
      </c>
      <c r="I54" s="3">
        <f ca="1">'ETF price'!J56-'ETF price'!J55</f>
        <v>-0.63999999999998636</v>
      </c>
      <c r="J54" s="3">
        <f ca="1">'ETF price'!K56-'ETF price'!K55</f>
        <v>-1.7600000000000193</v>
      </c>
      <c r="K54" s="3">
        <f ca="1">'ETF price'!L56-'ETF price'!L55</f>
        <v>-3.1400000000000006</v>
      </c>
      <c r="L54" s="3">
        <f ca="1">'ETF price'!M56-'ETF price'!M55</f>
        <v>-0.92000000000000171</v>
      </c>
      <c r="M54" s="3">
        <f ca="1">'ETF price'!N56-'ETF price'!N55</f>
        <v>-0.13000000000000966</v>
      </c>
      <c r="N54" s="3">
        <f ca="1">'ETF price'!O56-'ETF price'!O55</f>
        <v>-1.1999999999999957</v>
      </c>
      <c r="O54" s="3">
        <f ca="1">'ETF price'!P56-'ETF price'!P55</f>
        <v>2.25</v>
      </c>
      <c r="P54" s="3">
        <f ca="1">'ETF price'!Q56-'ETF price'!Q55</f>
        <v>3.9799999999999898</v>
      </c>
      <c r="Q54" s="3">
        <f ca="1">'ETF price'!R56-'ETF price'!R55</f>
        <v>0.39000000000000057</v>
      </c>
      <c r="R54" s="3">
        <f ca="1">'ETF price'!S56-'ETF price'!S55</f>
        <v>2.3499999999999943</v>
      </c>
      <c r="S54" s="3">
        <f ca="1">'ETF price'!T56-'ETF price'!T55</f>
        <v>0.9599999999999973</v>
      </c>
      <c r="T54" s="3">
        <f ca="1">'ETF price'!U56-'ETF price'!U55</f>
        <v>4.9000000000000057</v>
      </c>
      <c r="U54" s="3">
        <f ca="1">'ETF price'!V56-'ETF price'!V55</f>
        <v>-0.46000000000000796</v>
      </c>
      <c r="V54" s="3">
        <f ca="1">'ETF price'!W56-'ETF price'!W55</f>
        <v>-0.18999999999999773</v>
      </c>
      <c r="W54" s="3">
        <f ca="1">'ETF price'!X56-'ETF price'!X55</f>
        <v>-0.26000000000000512</v>
      </c>
      <c r="X54" s="3">
        <f ca="1">'ETF price'!Y56-'ETF price'!Y55</f>
        <v>-0.65000000000000568</v>
      </c>
      <c r="Y54" s="3">
        <f ca="1">'ETF price'!Z56-'ETF price'!Z55</f>
        <v>-0.15000000000000568</v>
      </c>
      <c r="Z54" s="3">
        <f ca="1">'ETF price'!AA56-'ETF price'!AA55</f>
        <v>-0.50999999999999801</v>
      </c>
      <c r="AA54" s="3">
        <f ca="1">'ETF price'!AB56-'ETF price'!AB55</f>
        <v>-0.73000000000000398</v>
      </c>
      <c r="AB54" s="3">
        <f ca="1">'ETF price'!AC56-'ETF price'!AC55</f>
        <v>-0.5</v>
      </c>
      <c r="AC54" s="3">
        <f ca="1">'ETF price'!AD56-'ETF price'!AD55</f>
        <v>-0.35000000000000142</v>
      </c>
      <c r="AD54" s="3">
        <f ca="1">'ETF price'!AE56-'ETF price'!AE55</f>
        <v>-0.57999999999999829</v>
      </c>
      <c r="AE54" s="3">
        <f ca="1">'ETF price'!AF56-'ETF price'!AF55</f>
        <v>0.16999999999999993</v>
      </c>
      <c r="AF54" s="3">
        <f ca="1">'ETF price'!AG56-'ETF price'!AG55</f>
        <v>-0.92000000000000171</v>
      </c>
    </row>
    <row r="55" spans="1:32" ht="12.75" x14ac:dyDescent="0.2">
      <c r="A55" s="3">
        <f ca="1">'ETF price'!B57-'ETF price'!B56</f>
        <v>2.2199999999999989</v>
      </c>
      <c r="B55" s="3">
        <f ca="1">'ETF price'!C57-'ETF price'!C56</f>
        <v>6.4900000000000091</v>
      </c>
      <c r="C55" s="3">
        <f ca="1">'ETF price'!D57-'ETF price'!D56</f>
        <v>1.7800000000000011</v>
      </c>
      <c r="D55" s="3">
        <f ca="1">'ETF price'!E57-'ETF price'!E56</f>
        <v>0.87999999999999545</v>
      </c>
      <c r="E55" s="3">
        <f ca="1">'ETF price'!F57-'ETF price'!F56</f>
        <v>1.4699999999999989</v>
      </c>
      <c r="F55" s="3">
        <f ca="1">'ETF price'!G57-'ETF price'!G56</f>
        <v>7.0000000000000284E-2</v>
      </c>
      <c r="G55" s="3">
        <f ca="1">'ETF price'!H57-'ETF price'!H56</f>
        <v>0.46000000000000085</v>
      </c>
      <c r="H55" s="3">
        <f ca="1">'ETF price'!I57-'ETF price'!I56</f>
        <v>3.0000000000001137E-2</v>
      </c>
      <c r="I55" s="3">
        <f ca="1">'ETF price'!J57-'ETF price'!J56</f>
        <v>0.50999999999999091</v>
      </c>
      <c r="J55" s="3">
        <f ca="1">'ETF price'!K57-'ETF price'!K56</f>
        <v>2.460000000000008</v>
      </c>
      <c r="K55" s="3">
        <f ca="1">'ETF price'!L57-'ETF price'!L56</f>
        <v>3.1899999999999977</v>
      </c>
      <c r="L55" s="3">
        <f ca="1">'ETF price'!M57-'ETF price'!M56</f>
        <v>0.70000000000000284</v>
      </c>
      <c r="M55" s="3">
        <f ca="1">'ETF price'!N57-'ETF price'!N56</f>
        <v>0.14000000000000057</v>
      </c>
      <c r="N55" s="3">
        <f ca="1">'ETF price'!O57-'ETF price'!O56</f>
        <v>1.3599999999999994</v>
      </c>
      <c r="O55" s="3">
        <f ca="1">'ETF price'!P57-'ETF price'!P56</f>
        <v>-0.56000000000000227</v>
      </c>
      <c r="P55" s="3">
        <f ca="1">'ETF price'!Q57-'ETF price'!Q56</f>
        <v>-0.68999999999999773</v>
      </c>
      <c r="Q55" s="3">
        <f ca="1">'ETF price'!R57-'ETF price'!R56</f>
        <v>0.46999999999999886</v>
      </c>
      <c r="R55" s="3">
        <f ca="1">'ETF price'!S57-'ETF price'!S56</f>
        <v>-0.37999999999999545</v>
      </c>
      <c r="S55" s="3">
        <f ca="1">'ETF price'!T57-'ETF price'!T56</f>
        <v>-5.9999999999998721E-2</v>
      </c>
      <c r="T55" s="3">
        <f ca="1">'ETF price'!U57-'ETF price'!U56</f>
        <v>-0.98000000000000398</v>
      </c>
      <c r="U55" s="3">
        <f ca="1">'ETF price'!V57-'ETF price'!V56</f>
        <v>1.1700000000000017</v>
      </c>
      <c r="V55" s="3">
        <f ca="1">'ETF price'!W57-'ETF price'!W56</f>
        <v>0.62999999999999545</v>
      </c>
      <c r="W55" s="3">
        <f ca="1">'ETF price'!X57-'ETF price'!X56</f>
        <v>1.6200000000000045</v>
      </c>
      <c r="X55" s="3">
        <f ca="1">'ETF price'!Y57-'ETF price'!Y56</f>
        <v>0.92999999999999972</v>
      </c>
      <c r="Y55" s="3">
        <f ca="1">'ETF price'!Z57-'ETF price'!Z56</f>
        <v>1.4099999999999966</v>
      </c>
      <c r="Z55" s="3">
        <f ca="1">'ETF price'!AA57-'ETF price'!AA56</f>
        <v>3.0000000000001137E-2</v>
      </c>
      <c r="AA55" s="3">
        <f ca="1">'ETF price'!AB57-'ETF price'!AB56</f>
        <v>1.1899999999999977</v>
      </c>
      <c r="AB55" s="3">
        <f ca="1">'ETF price'!AC57-'ETF price'!AC56</f>
        <v>1.1900000000000048</v>
      </c>
      <c r="AC55" s="3">
        <f ca="1">'ETF price'!AD57-'ETF price'!AD56</f>
        <v>0.46000000000000085</v>
      </c>
      <c r="AD55" s="3">
        <f ca="1">'ETF price'!AE57-'ETF price'!AE56</f>
        <v>0.72999999999999687</v>
      </c>
      <c r="AE55" s="3">
        <f ca="1">'ETF price'!AF57-'ETF price'!AF56</f>
        <v>0.17999999999999972</v>
      </c>
      <c r="AF55" s="3">
        <f ca="1">'ETF price'!AG57-'ETF price'!AG56</f>
        <v>3.519999999999996</v>
      </c>
    </row>
    <row r="56" spans="1:32" ht="12.75" x14ac:dyDescent="0.2">
      <c r="A56" s="3">
        <f ca="1">'ETF price'!B58-'ETF price'!B57</f>
        <v>-2.4099999999999966</v>
      </c>
      <c r="B56" s="3">
        <f ca="1">'ETF price'!C58-'ETF price'!C57</f>
        <v>-6.2700000000000387</v>
      </c>
      <c r="C56" s="3">
        <f ca="1">'ETF price'!D58-'ETF price'!D57</f>
        <v>-1.6300000000000097</v>
      </c>
      <c r="D56" s="3">
        <f ca="1">'ETF price'!E58-'ETF price'!E57</f>
        <v>-4</v>
      </c>
      <c r="E56" s="3">
        <f ca="1">'ETF price'!F58-'ETF price'!F57</f>
        <v>-0.43999999999999773</v>
      </c>
      <c r="F56" s="3">
        <f ca="1">'ETF price'!G58-'ETF price'!G57</f>
        <v>-0.71000000000000085</v>
      </c>
      <c r="G56" s="3">
        <f ca="1">'ETF price'!H58-'ETF price'!H57</f>
        <v>-0.46000000000000085</v>
      </c>
      <c r="H56" s="3">
        <f ca="1">'ETF price'!I58-'ETF price'!I57</f>
        <v>-2.4500000000000171</v>
      </c>
      <c r="I56" s="3">
        <f ca="1">'ETF price'!J58-'ETF price'!J57</f>
        <v>-5.0799999999999841</v>
      </c>
      <c r="J56" s="3">
        <f ca="1">'ETF price'!K58-'ETF price'!K57</f>
        <v>-3.3199999999999932</v>
      </c>
      <c r="K56" s="3">
        <f ca="1">'ETF price'!L58-'ETF price'!L57</f>
        <v>-2.3499999999999943</v>
      </c>
      <c r="L56" s="3">
        <f ca="1">'ETF price'!M58-'ETF price'!M57</f>
        <v>-1.3200000000000003</v>
      </c>
      <c r="M56" s="3">
        <f ca="1">'ETF price'!N58-'ETF price'!N57</f>
        <v>-1.230000000000004</v>
      </c>
      <c r="N56" s="3">
        <f ca="1">'ETF price'!O58-'ETF price'!O57</f>
        <v>-1.5600000000000023</v>
      </c>
      <c r="O56" s="3">
        <f ca="1">'ETF price'!P58-'ETF price'!P57</f>
        <v>1.3000000000000114</v>
      </c>
      <c r="P56" s="3">
        <f ca="1">'ETF price'!Q58-'ETF price'!Q57</f>
        <v>1.8500000000000085</v>
      </c>
      <c r="Q56" s="3">
        <f ca="1">'ETF price'!R58-'ETF price'!R57</f>
        <v>-0.39999999999999147</v>
      </c>
      <c r="R56" s="3">
        <f ca="1">'ETF price'!S58-'ETF price'!S57</f>
        <v>1.0899999999999963</v>
      </c>
      <c r="S56" s="3">
        <f ca="1">'ETF price'!T58-'ETF price'!T57</f>
        <v>0.66000000000000014</v>
      </c>
      <c r="T56" s="3">
        <f ca="1">'ETF price'!U58-'ETF price'!U57</f>
        <v>3.3900000000000006</v>
      </c>
      <c r="U56" s="3">
        <f ca="1">'ETF price'!V58-'ETF price'!V57</f>
        <v>-0.56000000000000227</v>
      </c>
      <c r="V56" s="3">
        <f ca="1">'ETF price'!W58-'ETF price'!W57</f>
        <v>-0.72999999999999687</v>
      </c>
      <c r="W56" s="3">
        <f ca="1">'ETF price'!X58-'ETF price'!X57</f>
        <v>-1.9100000000000108</v>
      </c>
      <c r="X56" s="3">
        <f ca="1">'ETF price'!Y58-'ETF price'!Y57</f>
        <v>-1.6899999999999977</v>
      </c>
      <c r="Y56" s="3">
        <f ca="1">'ETF price'!Z58-'ETF price'!Z57</f>
        <v>-1.5999999999999943</v>
      </c>
      <c r="Z56" s="3">
        <f ca="1">'ETF price'!AA58-'ETF price'!AA57</f>
        <v>-0.53000000000000114</v>
      </c>
      <c r="AA56" s="3">
        <f ca="1">'ETF price'!AB58-'ETF price'!AB57</f>
        <v>-2.5699999999999932</v>
      </c>
      <c r="AB56" s="3">
        <f ca="1">'ETF price'!AC58-'ETF price'!AC57</f>
        <v>-1.4500000000000028</v>
      </c>
      <c r="AC56" s="3">
        <f ca="1">'ETF price'!AD58-'ETF price'!AD57</f>
        <v>-5.9999999999998721E-2</v>
      </c>
      <c r="AD56" s="3">
        <f ca="1">'ETF price'!AE58-'ETF price'!AE57</f>
        <v>-7.9999999999998295E-2</v>
      </c>
      <c r="AE56" s="3">
        <f ca="1">'ETF price'!AF58-'ETF price'!AF57</f>
        <v>0.1800000000000006</v>
      </c>
      <c r="AF56" s="3">
        <f ca="1">'ETF price'!AG58-'ETF price'!AG57</f>
        <v>-0.11999999999999034</v>
      </c>
    </row>
    <row r="57" spans="1:32" ht="12.75" x14ac:dyDescent="0.2">
      <c r="A57" s="3">
        <f ca="1">'ETF price'!B59-'ETF price'!B58</f>
        <v>4.0099999999999909</v>
      </c>
      <c r="B57" s="3">
        <f ca="1">'ETF price'!C59-'ETF price'!C58</f>
        <v>9.910000000000025</v>
      </c>
      <c r="C57" s="3">
        <f ca="1">'ETF price'!D59-'ETF price'!D58</f>
        <v>2.8400000000000034</v>
      </c>
      <c r="D57" s="3">
        <f ca="1">'ETF price'!E59-'ETF price'!E58</f>
        <v>7.5</v>
      </c>
      <c r="E57" s="3">
        <f ca="1">'ETF price'!F59-'ETF price'!F58</f>
        <v>0.79999999999999716</v>
      </c>
      <c r="F57" s="3">
        <f ca="1">'ETF price'!G59-'ETF price'!G58</f>
        <v>0.66000000000000014</v>
      </c>
      <c r="G57" s="3">
        <f ca="1">'ETF price'!H59-'ETF price'!H58</f>
        <v>0.47000000000000242</v>
      </c>
      <c r="H57" s="3">
        <f ca="1">'ETF price'!I59-'ETF price'!I58</f>
        <v>1.5999999999999943</v>
      </c>
      <c r="I57" s="3">
        <f ca="1">'ETF price'!J59-'ETF price'!J58</f>
        <v>2.6599999999999966</v>
      </c>
      <c r="J57" s="3">
        <f ca="1">'ETF price'!K59-'ETF price'!K58</f>
        <v>1.6599999999999966</v>
      </c>
      <c r="K57" s="3">
        <f ca="1">'ETF price'!L59-'ETF price'!L58</f>
        <v>1.9099999999999966</v>
      </c>
      <c r="L57" s="3">
        <f ca="1">'ETF price'!M59-'ETF price'!M58</f>
        <v>1.1099999999999994</v>
      </c>
      <c r="M57" s="3">
        <f ca="1">'ETF price'!N59-'ETF price'!N58</f>
        <v>0.77000000000001023</v>
      </c>
      <c r="N57" s="3">
        <f ca="1">'ETF price'!O59-'ETF price'!O58</f>
        <v>0.88000000000000256</v>
      </c>
      <c r="O57" s="3">
        <f ca="1">'ETF price'!P59-'ETF price'!P58</f>
        <v>0.18999999999999773</v>
      </c>
      <c r="P57" s="3">
        <f ca="1">'ETF price'!Q59-'ETF price'!Q58</f>
        <v>-0.44000000000001194</v>
      </c>
      <c r="Q57" s="3">
        <f ca="1">'ETF price'!R59-'ETF price'!R58</f>
        <v>1.7399999999999949</v>
      </c>
      <c r="R57" s="3">
        <f ca="1">'ETF price'!S59-'ETF price'!S58</f>
        <v>1.6900000000000048</v>
      </c>
      <c r="S57" s="3">
        <f ca="1">'ETF price'!T59-'ETF price'!T58</f>
        <v>-0.26999999999999957</v>
      </c>
      <c r="T57" s="3">
        <f ca="1">'ETF price'!U59-'ETF price'!U58</f>
        <v>-2.2000000000000028</v>
      </c>
      <c r="U57" s="3">
        <f ca="1">'ETF price'!V59-'ETF price'!V58</f>
        <v>1.0600000000000023</v>
      </c>
      <c r="V57" s="3">
        <f ca="1">'ETF price'!W59-'ETF price'!W58</f>
        <v>0.31000000000000227</v>
      </c>
      <c r="W57" s="3">
        <f ca="1">'ETF price'!X59-'ETF price'!X58</f>
        <v>0.32999999999999829</v>
      </c>
      <c r="X57" s="3">
        <f ca="1">'ETF price'!Y59-'ETF price'!Y58</f>
        <v>0.46999999999999886</v>
      </c>
      <c r="Y57" s="3">
        <f ca="1">'ETF price'!Z59-'ETF price'!Z58</f>
        <v>0.31999999999999318</v>
      </c>
      <c r="Z57" s="3">
        <f ca="1">'ETF price'!AA59-'ETF price'!AA58</f>
        <v>0.35999999999999943</v>
      </c>
      <c r="AA57" s="3">
        <f ca="1">'ETF price'!AB59-'ETF price'!AB58</f>
        <v>0.67999999999999261</v>
      </c>
      <c r="AB57" s="3">
        <f ca="1">'ETF price'!AC59-'ETF price'!AC58</f>
        <v>0.20000000000000284</v>
      </c>
      <c r="AC57" s="3">
        <f ca="1">'ETF price'!AD59-'ETF price'!AD58</f>
        <v>0.68999999999999773</v>
      </c>
      <c r="AD57" s="3">
        <f ca="1">'ETF price'!AE59-'ETF price'!AE58</f>
        <v>1.129999999999999</v>
      </c>
      <c r="AE57" s="3">
        <f ca="1">'ETF price'!AF59-'ETF price'!AF58</f>
        <v>1.9999999999999574E-2</v>
      </c>
      <c r="AF57" s="3">
        <f ca="1">'ETF price'!AG59-'ETF price'!AG58</f>
        <v>3.3599999999999994</v>
      </c>
    </row>
    <row r="58" spans="1:32" ht="12.75" x14ac:dyDescent="0.2">
      <c r="A58" s="3">
        <f ca="1">'ETF price'!B60-'ETF price'!B59</f>
        <v>-9.0000000000003411E-2</v>
      </c>
      <c r="B58" s="3">
        <f ca="1">'ETF price'!C60-'ETF price'!C59</f>
        <v>-0.97000000000002728</v>
      </c>
      <c r="C58" s="3">
        <f ca="1">'ETF price'!D60-'ETF price'!D59</f>
        <v>-0.20999999999999375</v>
      </c>
      <c r="D58" s="3">
        <f ca="1">'ETF price'!E60-'ETF price'!E59</f>
        <v>-0.36999999999997613</v>
      </c>
      <c r="E58" s="3">
        <f ca="1">'ETF price'!F60-'ETF price'!F59</f>
        <v>-0.19999999999999574</v>
      </c>
      <c r="F58" s="3">
        <f ca="1">'ETF price'!G60-'ETF price'!G59</f>
        <v>-0.41000000000000014</v>
      </c>
      <c r="G58" s="3">
        <f ca="1">'ETF price'!H60-'ETF price'!H59</f>
        <v>-0.26000000000000156</v>
      </c>
      <c r="H58" s="3">
        <f ca="1">'ETF price'!I60-'ETF price'!I59</f>
        <v>0.63000000000002387</v>
      </c>
      <c r="I58" s="3">
        <f ca="1">'ETF price'!J60-'ETF price'!J59</f>
        <v>0.56999999999999318</v>
      </c>
      <c r="J58" s="3">
        <f ca="1">'ETF price'!K60-'ETF price'!K59</f>
        <v>-1.8700000000000045</v>
      </c>
      <c r="K58" s="3">
        <f ca="1">'ETF price'!L60-'ETF price'!L59</f>
        <v>-2.1499999999999915</v>
      </c>
      <c r="L58" s="3">
        <f ca="1">'ETF price'!M60-'ETF price'!M59</f>
        <v>-0.47000000000000597</v>
      </c>
      <c r="M58" s="3">
        <f ca="1">'ETF price'!N60-'ETF price'!N59</f>
        <v>0.20999999999999375</v>
      </c>
      <c r="N58" s="3">
        <f ca="1">'ETF price'!O60-'ETF price'!O59</f>
        <v>-1.4400000000000048</v>
      </c>
      <c r="O58" s="3">
        <f ca="1">'ETF price'!P60-'ETF price'!P59</f>
        <v>1.6899999999999977</v>
      </c>
      <c r="P58" s="3">
        <f ca="1">'ETF price'!Q60-'ETF price'!Q59</f>
        <v>2.8400000000000034</v>
      </c>
      <c r="Q58" s="3">
        <f ca="1">'ETF price'!R60-'ETF price'!R59</f>
        <v>0.99000000000000909</v>
      </c>
      <c r="R58" s="3">
        <f ca="1">'ETF price'!S60-'ETF price'!S59</f>
        <v>1.9999999999996021E-2</v>
      </c>
      <c r="S58" s="3">
        <f ca="1">'ETF price'!T60-'ETF price'!T59</f>
        <v>0.19999999999999929</v>
      </c>
      <c r="T58" s="3">
        <f ca="1">'ETF price'!U60-'ETF price'!U59</f>
        <v>0.98999999999999488</v>
      </c>
      <c r="U58" s="3">
        <f ca="1">'ETF price'!V60-'ETF price'!V59</f>
        <v>-1.8900000000000006</v>
      </c>
      <c r="V58" s="3">
        <f ca="1">'ETF price'!W60-'ETF price'!W59</f>
        <v>0.5</v>
      </c>
      <c r="W58" s="3">
        <f ca="1">'ETF price'!X60-'ETF price'!X59</f>
        <v>1.1300000000000097</v>
      </c>
      <c r="X58" s="3">
        <f ca="1">'ETF price'!Y60-'ETF price'!Y59</f>
        <v>0.85000000000000142</v>
      </c>
      <c r="Y58" s="3">
        <f ca="1">'ETF price'!Z60-'ETF price'!Z59</f>
        <v>0.96000000000000796</v>
      </c>
      <c r="Z58" s="3">
        <f ca="1">'ETF price'!AA60-'ETF price'!AA59</f>
        <v>0.55000000000000426</v>
      </c>
      <c r="AA58" s="3">
        <f ca="1">'ETF price'!AB60-'ETF price'!AB59</f>
        <v>1.3300000000000125</v>
      </c>
      <c r="AB58" s="3">
        <f ca="1">'ETF price'!AC60-'ETF price'!AC59</f>
        <v>0.48999999999999488</v>
      </c>
      <c r="AC58" s="3">
        <f ca="1">'ETF price'!AD60-'ETF price'!AD59</f>
        <v>0.19999999999999929</v>
      </c>
      <c r="AD58" s="3">
        <f ca="1">'ETF price'!AE60-'ETF price'!AE59</f>
        <v>0.31000000000000227</v>
      </c>
      <c r="AE58" s="3">
        <f ca="1">'ETF price'!AF60-'ETF price'!AF59</f>
        <v>0.15000000000000036</v>
      </c>
      <c r="AF58" s="3">
        <f ca="1">'ETF price'!AG60-'ETF price'!AG59</f>
        <v>-2.4000000000000057</v>
      </c>
    </row>
    <row r="59" spans="1:32" ht="12.75" x14ac:dyDescent="0.2">
      <c r="A59" s="3">
        <f ca="1">'ETF price'!B61-'ETF price'!B60</f>
        <v>1.8799999999999955</v>
      </c>
      <c r="B59" s="3">
        <f ca="1">'ETF price'!C61-'ETF price'!C60</f>
        <v>5.1200000000000045</v>
      </c>
      <c r="C59" s="3">
        <f ca="1">'ETF price'!D61-'ETF price'!D60</f>
        <v>1.2800000000000011</v>
      </c>
      <c r="D59" s="3">
        <f ca="1">'ETF price'!E61-'ETF price'!E60</f>
        <v>1.2599999999999909</v>
      </c>
      <c r="E59" s="3">
        <f ca="1">'ETF price'!F61-'ETF price'!F60</f>
        <v>0.43999999999999773</v>
      </c>
      <c r="F59" s="3">
        <f ca="1">'ETF price'!G61-'ETF price'!G60</f>
        <v>7.9999999999998295E-2</v>
      </c>
      <c r="G59" s="3">
        <f ca="1">'ETF price'!H61-'ETF price'!H60</f>
        <v>0.19999999999999929</v>
      </c>
      <c r="H59" s="3">
        <f ca="1">'ETF price'!I61-'ETF price'!I60</f>
        <v>0.98999999999998067</v>
      </c>
      <c r="I59" s="3">
        <f ca="1">'ETF price'!J61-'ETF price'!J60</f>
        <v>1.9499999999999886</v>
      </c>
      <c r="J59" s="3">
        <f ca="1">'ETF price'!K61-'ETF price'!K60</f>
        <v>0.90999999999999659</v>
      </c>
      <c r="K59" s="3">
        <f ca="1">'ETF price'!L61-'ETF price'!L60</f>
        <v>8.99999999999892E-2</v>
      </c>
      <c r="L59" s="3">
        <f ca="1">'ETF price'!M61-'ETF price'!M60</f>
        <v>0.24000000000000199</v>
      </c>
      <c r="M59" s="3">
        <f ca="1">'ETF price'!N61-'ETF price'!N60</f>
        <v>0.45000000000000284</v>
      </c>
      <c r="N59" s="3">
        <f ca="1">'ETF price'!O61-'ETF price'!O60</f>
        <v>0.24000000000000199</v>
      </c>
      <c r="O59" s="3">
        <f ca="1">'ETF price'!P61-'ETF price'!P60</f>
        <v>-1.9500000000000028</v>
      </c>
      <c r="P59" s="3">
        <f ca="1">'ETF price'!Q61-'ETF price'!Q60</f>
        <v>-2.7800000000000011</v>
      </c>
      <c r="Q59" s="3">
        <f ca="1">'ETF price'!R61-'ETF price'!R60</f>
        <v>-0.40000000000000568</v>
      </c>
      <c r="R59" s="3">
        <f ca="1">'ETF price'!S61-'ETF price'!S60</f>
        <v>-1.4600000000000009</v>
      </c>
      <c r="S59" s="3">
        <f ca="1">'ETF price'!T61-'ETF price'!T60</f>
        <v>-1.1799999999999997</v>
      </c>
      <c r="T59" s="3">
        <f ca="1">'ETF price'!U61-'ETF price'!U60</f>
        <v>-6.2099999999999937</v>
      </c>
      <c r="U59" s="3">
        <f ca="1">'ETF price'!V61-'ETF price'!V60</f>
        <v>0.60999999999999943</v>
      </c>
      <c r="V59" s="3">
        <f ca="1">'ETF price'!W61-'ETF price'!W60</f>
        <v>-0.11000000000000654</v>
      </c>
      <c r="W59" s="3">
        <f ca="1">'ETF price'!X61-'ETF price'!X60</f>
        <v>-0.29000000000000625</v>
      </c>
      <c r="X59" s="3">
        <f ca="1">'ETF price'!Y61-'ETF price'!Y60</f>
        <v>-0.42999999999999972</v>
      </c>
      <c r="Y59" s="3">
        <f ca="1">'ETF price'!Z61-'ETF price'!Z60</f>
        <v>-0.20000000000000284</v>
      </c>
      <c r="Z59" s="3">
        <f ca="1">'ETF price'!AA61-'ETF price'!AA60</f>
        <v>0.59999999999999432</v>
      </c>
      <c r="AA59" s="3">
        <f ca="1">'ETF price'!AB61-'ETF price'!AB60</f>
        <v>-0.71000000000000796</v>
      </c>
      <c r="AB59" s="3">
        <f ca="1">'ETF price'!AC61-'ETF price'!AC60</f>
        <v>-0.15999999999999659</v>
      </c>
      <c r="AC59" s="3">
        <f ca="1">'ETF price'!AD61-'ETF price'!AD60</f>
        <v>1.3900000000000006</v>
      </c>
      <c r="AD59" s="3">
        <f ca="1">'ETF price'!AE61-'ETF price'!AE60</f>
        <v>2.1899999999999977</v>
      </c>
      <c r="AE59" s="3">
        <f ca="1">'ETF price'!AF61-'ETF price'!AF60</f>
        <v>1.9999999999999574E-2</v>
      </c>
      <c r="AF59" s="3">
        <f ca="1">'ETF price'!AG61-'ETF price'!AG60</f>
        <v>5.6800000000000068</v>
      </c>
    </row>
    <row r="60" spans="1:32" ht="12.75" x14ac:dyDescent="0.2">
      <c r="A60" s="3">
        <f ca="1">'ETF price'!B62-'ETF price'!B61</f>
        <v>3.4000000000000057</v>
      </c>
      <c r="B60" s="3">
        <f ca="1">'ETF price'!C62-'ETF price'!C61</f>
        <v>9.2800000000000296</v>
      </c>
      <c r="C60" s="3">
        <f ca="1">'ETF price'!D62-'ETF price'!D61</f>
        <v>2.019999999999996</v>
      </c>
      <c r="D60" s="3">
        <f ca="1">'ETF price'!E62-'ETF price'!E61</f>
        <v>3.7400000000000091</v>
      </c>
      <c r="E60" s="3">
        <f ca="1">'ETF price'!F62-'ETF price'!F61</f>
        <v>0.35000000000000142</v>
      </c>
      <c r="F60" s="3">
        <f ca="1">'ETF price'!G62-'ETF price'!G61</f>
        <v>0.88000000000000256</v>
      </c>
      <c r="G60" s="3">
        <f ca="1">'ETF price'!H62-'ETF price'!H61</f>
        <v>0.71000000000000085</v>
      </c>
      <c r="H60" s="3">
        <f ca="1">'ETF price'!I62-'ETF price'!I61</f>
        <v>0.81000000000000227</v>
      </c>
      <c r="I60" s="3">
        <f ca="1">'ETF price'!J62-'ETF price'!J61</f>
        <v>2.1999999999999886</v>
      </c>
      <c r="J60" s="3">
        <f ca="1">'ETF price'!K62-'ETF price'!K61</f>
        <v>3.6400000000000148</v>
      </c>
      <c r="K60" s="3">
        <f ca="1">'ETF price'!L62-'ETF price'!L61</f>
        <v>3.8400000000000034</v>
      </c>
      <c r="L60" s="3">
        <f ca="1">'ETF price'!M62-'ETF price'!M61</f>
        <v>1.4699999999999989</v>
      </c>
      <c r="M60" s="3">
        <f ca="1">'ETF price'!N62-'ETF price'!N61</f>
        <v>0.59999999999999432</v>
      </c>
      <c r="N60" s="3">
        <f ca="1">'ETF price'!O62-'ETF price'!O61</f>
        <v>2.5200000000000031</v>
      </c>
      <c r="O60" s="3">
        <f ca="1">'ETF price'!P62-'ETF price'!P61</f>
        <v>-0.20000000000000284</v>
      </c>
      <c r="P60" s="3">
        <f ca="1">'ETF price'!Q62-'ETF price'!Q61</f>
        <v>-0.36999999999999034</v>
      </c>
      <c r="Q60" s="3">
        <f ca="1">'ETF price'!R62-'ETF price'!R61</f>
        <v>0.75</v>
      </c>
      <c r="R60" s="3">
        <f ca="1">'ETF price'!S62-'ETF price'!S61</f>
        <v>-0.87999999999999545</v>
      </c>
      <c r="S60" s="3">
        <f ca="1">'ETF price'!T62-'ETF price'!T61</f>
        <v>9.9999999999997868E-2</v>
      </c>
      <c r="T60" s="3">
        <f ca="1">'ETF price'!U62-'ETF price'!U61</f>
        <v>1.6200000000000045</v>
      </c>
      <c r="U60" s="3">
        <f ca="1">'ETF price'!V62-'ETF price'!V61</f>
        <v>1.0900000000000034</v>
      </c>
      <c r="V60" s="3">
        <f ca="1">'ETF price'!W62-'ETF price'!W61</f>
        <v>9.0000000000003411E-2</v>
      </c>
      <c r="W60" s="3">
        <f ca="1">'ETF price'!X62-'ETF price'!X61</f>
        <v>0.64000000000000057</v>
      </c>
      <c r="X60" s="3">
        <f ca="1">'ETF price'!Y62-'ETF price'!Y61</f>
        <v>0.88000000000000256</v>
      </c>
      <c r="Y60" s="3">
        <f ca="1">'ETF price'!Z62-'ETF price'!Z61</f>
        <v>0.56000000000000227</v>
      </c>
      <c r="Z60" s="3">
        <f ca="1">'ETF price'!AA62-'ETF price'!AA61</f>
        <v>1.4000000000000057</v>
      </c>
      <c r="AA60" s="3">
        <f ca="1">'ETF price'!AB62-'ETF price'!AB61</f>
        <v>1.3400000000000034</v>
      </c>
      <c r="AB60" s="3">
        <f ca="1">'ETF price'!AC62-'ETF price'!AC61</f>
        <v>0.92999999999999972</v>
      </c>
      <c r="AC60" s="3">
        <f ca="1">'ETF price'!AD62-'ETF price'!AD61</f>
        <v>-0.12999999999999901</v>
      </c>
      <c r="AD60" s="3">
        <f ca="1">'ETF price'!AE62-'ETF price'!AE61</f>
        <v>-0.14999999999999858</v>
      </c>
      <c r="AE60" s="3">
        <f ca="1">'ETF price'!AF62-'ETF price'!AF61</f>
        <v>0.19000000000000039</v>
      </c>
      <c r="AF60" s="3">
        <f ca="1">'ETF price'!AG62-'ETF price'!AG61</f>
        <v>7.9999999999998295E-2</v>
      </c>
    </row>
    <row r="61" spans="1:32" ht="12.75" x14ac:dyDescent="0.2">
      <c r="A61" s="3">
        <f ca="1">'ETF price'!B63-'ETF price'!B62</f>
        <v>-2.1800000000000068</v>
      </c>
      <c r="B61" s="3">
        <f ca="1">'ETF price'!C63-'ETF price'!C62</f>
        <v>-6.5</v>
      </c>
      <c r="C61" s="3">
        <f ca="1">'ETF price'!D63-'ETF price'!D62</f>
        <v>-1.6500000000000057</v>
      </c>
      <c r="D61" s="3">
        <f ca="1">'ETF price'!E63-'ETF price'!E62</f>
        <v>-5.3400000000000034</v>
      </c>
      <c r="E61" s="3">
        <f ca="1">'ETF price'!F63-'ETF price'!F62</f>
        <v>-0.38000000000000256</v>
      </c>
      <c r="F61" s="3">
        <f ca="1">'ETF price'!G63-'ETF price'!G62</f>
        <v>-0.46000000000000085</v>
      </c>
      <c r="G61" s="3">
        <f ca="1">'ETF price'!H63-'ETF price'!H62</f>
        <v>-0.48999999999999844</v>
      </c>
      <c r="H61" s="3">
        <f ca="1">'ETF price'!I63-'ETF price'!I62</f>
        <v>0.27000000000001023</v>
      </c>
      <c r="I61" s="3">
        <f ca="1">'ETF price'!J63-'ETF price'!J62</f>
        <v>0.11000000000001364</v>
      </c>
      <c r="J61" s="3">
        <f ca="1">'ETF price'!K63-'ETF price'!K62</f>
        <v>-1.7400000000000091</v>
      </c>
      <c r="K61" s="3">
        <f ca="1">'ETF price'!L63-'ETF price'!L62</f>
        <v>-2.8699999999999903</v>
      </c>
      <c r="L61" s="3">
        <f ca="1">'ETF price'!M63-'ETF price'!M62</f>
        <v>-0.94999999999999574</v>
      </c>
      <c r="M61" s="3">
        <f ca="1">'ETF price'!N63-'ETF price'!N62</f>
        <v>1.0000000000005116E-2</v>
      </c>
      <c r="N61" s="3">
        <f ca="1">'ETF price'!O63-'ETF price'!O62</f>
        <v>-1.5200000000000031</v>
      </c>
      <c r="O61" s="3">
        <f ca="1">'ETF price'!P63-'ETF price'!P62</f>
        <v>0.89000000000000057</v>
      </c>
      <c r="P61" s="3">
        <f ca="1">'ETF price'!Q63-'ETF price'!Q62</f>
        <v>1.1199999999999903</v>
      </c>
      <c r="Q61" s="3">
        <f ca="1">'ETF price'!R63-'ETF price'!R62</f>
        <v>-0.29999999999999716</v>
      </c>
      <c r="R61" s="3">
        <f ca="1">'ETF price'!S63-'ETF price'!S62</f>
        <v>0.6699999999999946</v>
      </c>
      <c r="S61" s="3">
        <f ca="1">'ETF price'!T63-'ETF price'!T62</f>
        <v>0.47000000000000242</v>
      </c>
      <c r="T61" s="3">
        <f ca="1">'ETF price'!U63-'ETF price'!U62</f>
        <v>1.7599999999999909</v>
      </c>
      <c r="U61" s="3">
        <f ca="1">'ETF price'!V63-'ETF price'!V62</f>
        <v>-1.2800000000000011</v>
      </c>
      <c r="V61" s="3">
        <f ca="1">'ETF price'!W63-'ETF price'!W62</f>
        <v>-0.28000000000000114</v>
      </c>
      <c r="W61" s="3">
        <f ca="1">'ETF price'!X63-'ETF price'!X62</f>
        <v>-0.95999999999999375</v>
      </c>
      <c r="X61" s="3">
        <f ca="1">'ETF price'!Y63-'ETF price'!Y62</f>
        <v>-1.5100000000000051</v>
      </c>
      <c r="Y61" s="3">
        <f ca="1">'ETF price'!Z63-'ETF price'!Z62</f>
        <v>-0.87999999999999545</v>
      </c>
      <c r="Z61" s="3">
        <f ca="1">'ETF price'!AA63-'ETF price'!AA62</f>
        <v>-0.27000000000000313</v>
      </c>
      <c r="AA61" s="3">
        <f ca="1">'ETF price'!AB63-'ETF price'!AB62</f>
        <v>-2.230000000000004</v>
      </c>
      <c r="AB61" s="3">
        <f ca="1">'ETF price'!AC63-'ETF price'!AC62</f>
        <v>-0.96999999999999886</v>
      </c>
      <c r="AC61" s="3">
        <f ca="1">'ETF price'!AD63-'ETF price'!AD62</f>
        <v>-0.26999999999999957</v>
      </c>
      <c r="AD61" s="3">
        <f ca="1">'ETF price'!AE63-'ETF price'!AE62</f>
        <v>-0.48000000000000043</v>
      </c>
      <c r="AE61" s="3">
        <f ca="1">'ETF price'!AF63-'ETF price'!AF62</f>
        <v>1.9999999999999574E-2</v>
      </c>
      <c r="AF61" s="3">
        <f ca="1">'ETF price'!AG63-'ETF price'!AG62</f>
        <v>-3.6800000000000068</v>
      </c>
    </row>
    <row r="62" spans="1:32" ht="12.75" x14ac:dyDescent="0.2">
      <c r="A62" s="3">
        <f ca="1">'ETF price'!B64-'ETF price'!B63</f>
        <v>-2.3899999999999864</v>
      </c>
      <c r="B62" s="3">
        <f ca="1">'ETF price'!C64-'ETF price'!C63</f>
        <v>-5.9399999999999977</v>
      </c>
      <c r="C62" s="3">
        <f ca="1">'ETF price'!D64-'ETF price'!D63</f>
        <v>-1.7599999999999909</v>
      </c>
      <c r="D62" s="3">
        <f ca="1">'ETF price'!E64-'ETF price'!E63</f>
        <v>-3.6700000000000159</v>
      </c>
      <c r="E62" s="3">
        <f ca="1">'ETF price'!F64-'ETF price'!F63</f>
        <v>-0.17999999999999972</v>
      </c>
      <c r="F62" s="3">
        <f ca="1">'ETF price'!G64-'ETF price'!G63</f>
        <v>-0.48999999999999844</v>
      </c>
      <c r="G62" s="3">
        <f ca="1">'ETF price'!H64-'ETF price'!H63</f>
        <v>-0.42000000000000171</v>
      </c>
      <c r="H62" s="3">
        <f ca="1">'ETF price'!I64-'ETF price'!I63</f>
        <v>-1.3499999999999943</v>
      </c>
      <c r="I62" s="3">
        <f ca="1">'ETF price'!J64-'ETF price'!J63</f>
        <v>-2.8199999999999932</v>
      </c>
      <c r="J62" s="3">
        <f ca="1">'ETF price'!K64-'ETF price'!K63</f>
        <v>-0.66999999999998749</v>
      </c>
      <c r="K62" s="3">
        <f ca="1">'ETF price'!L64-'ETF price'!L63</f>
        <v>-0.80000000000001137</v>
      </c>
      <c r="L62" s="3">
        <f ca="1">'ETF price'!M64-'ETF price'!M63</f>
        <v>-0.14000000000000057</v>
      </c>
      <c r="M62" s="3">
        <f ca="1">'ETF price'!N64-'ETF price'!N63</f>
        <v>-0.59000000000000341</v>
      </c>
      <c r="N62" s="3">
        <f ca="1">'ETF price'!O64-'ETF price'!O63</f>
        <v>-0.56000000000000227</v>
      </c>
      <c r="O62" s="3">
        <f ca="1">'ETF price'!P64-'ETF price'!P63</f>
        <v>-1.0499999999999972</v>
      </c>
      <c r="P62" s="3">
        <f ca="1">'ETF price'!Q64-'ETF price'!Q63</f>
        <v>-1.4799999999999898</v>
      </c>
      <c r="Q62" s="3">
        <f ca="1">'ETF price'!R64-'ETF price'!R63</f>
        <v>-1.1899999999999977</v>
      </c>
      <c r="R62" s="3">
        <f ca="1">'ETF price'!S64-'ETF price'!S63</f>
        <v>-0.36999999999999744</v>
      </c>
      <c r="S62" s="3">
        <f ca="1">'ETF price'!T64-'ETF price'!T63</f>
        <v>-0.49000000000000199</v>
      </c>
      <c r="T62" s="3">
        <f ca="1">'ETF price'!U64-'ETF price'!U63</f>
        <v>-3.789999999999992</v>
      </c>
      <c r="U62" s="3">
        <f ca="1">'ETF price'!V64-'ETF price'!V63</f>
        <v>-0.32000000000000739</v>
      </c>
      <c r="V62" s="3">
        <f ca="1">'ETF price'!W64-'ETF price'!W63</f>
        <v>-0.89999999999999858</v>
      </c>
      <c r="W62" s="3">
        <f ca="1">'ETF price'!X64-'ETF price'!X63</f>
        <v>-2.0900000000000034</v>
      </c>
      <c r="X62" s="3">
        <f ca="1">'ETF price'!Y64-'ETF price'!Y63</f>
        <v>-1.0899999999999963</v>
      </c>
      <c r="Y62" s="3">
        <f ca="1">'ETF price'!Z64-'ETF price'!Z63</f>
        <v>-1.7600000000000051</v>
      </c>
      <c r="Z62" s="3">
        <f ca="1">'ETF price'!AA64-'ETF price'!AA63</f>
        <v>-0.53999999999999915</v>
      </c>
      <c r="AA62" s="3">
        <f ca="1">'ETF price'!AB64-'ETF price'!AB63</f>
        <v>-1.289999999999992</v>
      </c>
      <c r="AB62" s="3">
        <f ca="1">'ETF price'!AC64-'ETF price'!AC63</f>
        <v>-1.4200000000000017</v>
      </c>
      <c r="AC62" s="3">
        <f ca="1">'ETF price'!AD64-'ETF price'!AD63</f>
        <v>-0.60000000000000142</v>
      </c>
      <c r="AD62" s="3">
        <f ca="1">'ETF price'!AE64-'ETF price'!AE63</f>
        <v>-0.94000000000000128</v>
      </c>
      <c r="AE62" s="3">
        <f ca="1">'ETF price'!AF64-'ETF price'!AF63</f>
        <v>-0.20999999999999996</v>
      </c>
      <c r="AF62" s="3">
        <f ca="1">'ETF price'!AG64-'ETF price'!AG63</f>
        <v>-3.4399999999999977</v>
      </c>
    </row>
    <row r="63" spans="1:32" ht="12.75" x14ac:dyDescent="0.2">
      <c r="A63" s="3">
        <f ca="1">'ETF price'!B65-'ETF price'!B64</f>
        <v>-0.46999999999999886</v>
      </c>
      <c r="B63" s="3">
        <f ca="1">'ETF price'!C65-'ETF price'!C64</f>
        <v>-1.2200000000000273</v>
      </c>
      <c r="C63" s="3">
        <f ca="1">'ETF price'!D65-'ETF price'!D64</f>
        <v>-0.28000000000000114</v>
      </c>
      <c r="D63" s="3">
        <f ca="1">'ETF price'!E65-'ETF price'!E64</f>
        <v>-3.0600000000000023</v>
      </c>
      <c r="E63" s="3">
        <f ca="1">'ETF price'!F65-'ETF price'!F64</f>
        <v>0.20000000000000284</v>
      </c>
      <c r="F63" s="3">
        <f ca="1">'ETF price'!G65-'ETF price'!G64</f>
        <v>9.9999999999997868E-2</v>
      </c>
      <c r="G63" s="3">
        <f ca="1">'ETF price'!H65-'ETF price'!H64</f>
        <v>6.0000000000002274E-2</v>
      </c>
      <c r="H63" s="3">
        <f ca="1">'ETF price'!I65-'ETF price'!I64</f>
        <v>1.0799999999999841</v>
      </c>
      <c r="I63" s="3">
        <f ca="1">'ETF price'!J65-'ETF price'!J64</f>
        <v>3.2599999999999909</v>
      </c>
      <c r="J63" s="3">
        <f ca="1">'ETF price'!K65-'ETF price'!K64</f>
        <v>2.7599999999999909</v>
      </c>
      <c r="K63" s="3">
        <f ca="1">'ETF price'!L65-'ETF price'!L64</f>
        <v>3.3800000000000097</v>
      </c>
      <c r="L63" s="3">
        <f ca="1">'ETF price'!M65-'ETF price'!M64</f>
        <v>1.4099999999999966</v>
      </c>
      <c r="M63" s="3">
        <f ca="1">'ETF price'!N65-'ETF price'!N64</f>
        <v>0.68000000000000682</v>
      </c>
      <c r="N63" s="3">
        <f ca="1">'ETF price'!O65-'ETF price'!O64</f>
        <v>2.0800000000000054</v>
      </c>
      <c r="O63" s="3">
        <f ca="1">'ETF price'!P65-'ETF price'!P64</f>
        <v>0.62000000000000455</v>
      </c>
      <c r="P63" s="3">
        <f ca="1">'ETF price'!Q65-'ETF price'!Q64</f>
        <v>1.3299999999999983</v>
      </c>
      <c r="Q63" s="3">
        <f ca="1">'ETF price'!R65-'ETF price'!R64</f>
        <v>0.92999999999999261</v>
      </c>
      <c r="R63" s="3">
        <f ca="1">'ETF price'!S65-'ETF price'!S64</f>
        <v>1.1300000000000026</v>
      </c>
      <c r="S63" s="3">
        <f ca="1">'ETF price'!T65-'ETF price'!T64</f>
        <v>0.17000000000000171</v>
      </c>
      <c r="T63" s="3">
        <f ca="1">'ETF price'!U65-'ETF price'!U64</f>
        <v>4.9999999999997158E-2</v>
      </c>
      <c r="U63" s="3">
        <f ca="1">'ETF price'!V65-'ETF price'!V64</f>
        <v>0.75</v>
      </c>
      <c r="V63" s="3">
        <f ca="1">'ETF price'!W65-'ETF price'!W64</f>
        <v>-0.10000000000000142</v>
      </c>
      <c r="W63" s="3">
        <f ca="1">'ETF price'!X65-'ETF price'!X64</f>
        <v>-9.9999999999994316E-2</v>
      </c>
      <c r="X63" s="3">
        <f ca="1">'ETF price'!Y65-'ETF price'!Y64</f>
        <v>-0.46999999999999886</v>
      </c>
      <c r="Y63" s="3">
        <f ca="1">'ETF price'!Z65-'ETF price'!Z64</f>
        <v>-0.15999999999999659</v>
      </c>
      <c r="Z63" s="3">
        <f ca="1">'ETF price'!AA65-'ETF price'!AA64</f>
        <v>0.96000000000000085</v>
      </c>
      <c r="AA63" s="3">
        <f ca="1">'ETF price'!AB65-'ETF price'!AB64</f>
        <v>-0.6600000000000108</v>
      </c>
      <c r="AB63" s="3">
        <f ca="1">'ETF price'!AC65-'ETF price'!AC64</f>
        <v>0</v>
      </c>
      <c r="AC63" s="3">
        <f ca="1">'ETF price'!AD65-'ETF price'!AD64</f>
        <v>0.33000000000000185</v>
      </c>
      <c r="AD63" s="3">
        <f ca="1">'ETF price'!AE65-'ETF price'!AE64</f>
        <v>0.55000000000000071</v>
      </c>
      <c r="AE63" s="3">
        <f ca="1">'ETF price'!AF65-'ETF price'!AF64</f>
        <v>-0.33000000000000007</v>
      </c>
      <c r="AF63" s="3">
        <f ca="1">'ETF price'!AG65-'ETF price'!AG64</f>
        <v>0.24000000000000909</v>
      </c>
    </row>
    <row r="64" spans="1:32" ht="12.75" x14ac:dyDescent="0.2">
      <c r="A64" s="3">
        <f ca="1">'ETF price'!B66-'ETF price'!B65</f>
        <v>3.0099999999999909</v>
      </c>
      <c r="B64" s="3">
        <f ca="1">'ETF price'!C66-'ETF price'!C65</f>
        <v>8.1700000000000159</v>
      </c>
      <c r="C64" s="3">
        <f ca="1">'ETF price'!D66-'ETF price'!D65</f>
        <v>2.2800000000000011</v>
      </c>
      <c r="D64" s="3">
        <f ca="1">'ETF price'!E66-'ETF price'!E65</f>
        <v>2.5200000000000102</v>
      </c>
      <c r="E64" s="3">
        <f ca="1">'ETF price'!F66-'ETF price'!F65</f>
        <v>0.75</v>
      </c>
      <c r="F64" s="3">
        <f ca="1">'ETF price'!G66-'ETF price'!G65</f>
        <v>0.26000000000000156</v>
      </c>
      <c r="G64" s="3">
        <f ca="1">'ETF price'!H66-'ETF price'!H65</f>
        <v>0.46999999999999886</v>
      </c>
      <c r="H64" s="3">
        <f ca="1">'ETF price'!I66-'ETF price'!I65</f>
        <v>-1.1500000000000057</v>
      </c>
      <c r="I64" s="3">
        <f ca="1">'ETF price'!J66-'ETF price'!J65</f>
        <v>-1.6599999999999966</v>
      </c>
      <c r="J64" s="3">
        <f ca="1">'ETF price'!K66-'ETF price'!K65</f>
        <v>1.6999999999999886</v>
      </c>
      <c r="K64" s="3">
        <f ca="1">'ETF price'!L66-'ETF price'!L65</f>
        <v>2.8299999999999983</v>
      </c>
      <c r="L64" s="3">
        <f ca="1">'ETF price'!M66-'ETF price'!M65</f>
        <v>0.65000000000000568</v>
      </c>
      <c r="M64" s="3">
        <f ca="1">'ETF price'!N66-'ETF price'!N65</f>
        <v>-0.43999999999999773</v>
      </c>
      <c r="N64" s="3">
        <f ca="1">'ETF price'!O66-'ETF price'!O65</f>
        <v>1.3999999999999986</v>
      </c>
      <c r="O64" s="3">
        <f ca="1">'ETF price'!P66-'ETF price'!P65</f>
        <v>9.9999999999994316E-2</v>
      </c>
      <c r="P64" s="3">
        <f ca="1">'ETF price'!Q66-'ETF price'!Q65</f>
        <v>0</v>
      </c>
      <c r="Q64" s="3">
        <f ca="1">'ETF price'!R66-'ETF price'!R65</f>
        <v>1.9999999999996021E-2</v>
      </c>
      <c r="R64" s="3">
        <f ca="1">'ETF price'!S66-'ETF price'!S65</f>
        <v>-0.35000000000000142</v>
      </c>
      <c r="S64" s="3">
        <f ca="1">'ETF price'!T66-'ETF price'!T65</f>
        <v>0.5</v>
      </c>
      <c r="T64" s="3">
        <f ca="1">'ETF price'!U66-'ETF price'!U65</f>
        <v>2.6899999999999977</v>
      </c>
      <c r="U64" s="3">
        <f ca="1">'ETF price'!V66-'ETF price'!V65</f>
        <v>3.2000000000000028</v>
      </c>
      <c r="V64" s="3">
        <f ca="1">'ETF price'!W66-'ETF price'!W65</f>
        <v>-0.17000000000000171</v>
      </c>
      <c r="W64" s="3">
        <f ca="1">'ETF price'!X66-'ETF price'!X65</f>
        <v>-0.30000000000001137</v>
      </c>
      <c r="X64" s="3">
        <f ca="1">'ETF price'!Y66-'ETF price'!Y65</f>
        <v>-0.26000000000000512</v>
      </c>
      <c r="Y64" s="3">
        <f ca="1">'ETF price'!Z66-'ETF price'!Z65</f>
        <v>-0.37000000000000455</v>
      </c>
      <c r="Z64" s="3">
        <f ca="1">'ETF price'!AA66-'ETF price'!AA65</f>
        <v>-0.14999999999999858</v>
      </c>
      <c r="AA64" s="3">
        <f ca="1">'ETF price'!AB66-'ETF price'!AB65</f>
        <v>-0.35999999999999943</v>
      </c>
      <c r="AB64" s="3">
        <f ca="1">'ETF price'!AC66-'ETF price'!AC65</f>
        <v>0.11999999999999744</v>
      </c>
      <c r="AC64" s="3">
        <f ca="1">'ETF price'!AD66-'ETF price'!AD65</f>
        <v>-0.17999999999999972</v>
      </c>
      <c r="AD64" s="3">
        <f ca="1">'ETF price'!AE66-'ETF price'!AE65</f>
        <v>-0.32999999999999829</v>
      </c>
      <c r="AE64" s="3">
        <f ca="1">'ETF price'!AF66-'ETF price'!AF65</f>
        <v>2.0000000000000462E-2</v>
      </c>
      <c r="AF64" s="3">
        <f ca="1">'ETF price'!AG66-'ETF price'!AG65</f>
        <v>1.519999999999996</v>
      </c>
    </row>
    <row r="65" spans="1:32" ht="12.75" x14ac:dyDescent="0.2">
      <c r="A65" s="3">
        <f ca="1">'ETF price'!B67-'ETF price'!B66</f>
        <v>-3.4000000000000057</v>
      </c>
      <c r="B65" s="3">
        <f ca="1">'ETF price'!C67-'ETF price'!C66</f>
        <v>-10.009999999999991</v>
      </c>
      <c r="C65" s="3">
        <f ca="1">'ETF price'!D67-'ETF price'!D66</f>
        <v>-2.5600000000000023</v>
      </c>
      <c r="D65" s="3">
        <f ca="1">'ETF price'!E67-'ETF price'!E66</f>
        <v>-7.2400000000000091</v>
      </c>
      <c r="E65" s="3">
        <f ca="1">'ETF price'!F67-'ETF price'!F66</f>
        <v>-1.0200000000000031</v>
      </c>
      <c r="F65" s="3">
        <f ca="1">'ETF price'!G67-'ETF price'!G66</f>
        <v>-0.85999999999999943</v>
      </c>
      <c r="G65" s="3">
        <f ca="1">'ETF price'!H67-'ETF price'!H66</f>
        <v>-0.69000000000000128</v>
      </c>
      <c r="H65" s="3">
        <f ca="1">'ETF price'!I67-'ETF price'!I66</f>
        <v>0.29000000000002046</v>
      </c>
      <c r="I65" s="3">
        <f ca="1">'ETF price'!J67-'ETF price'!J66</f>
        <v>-0.1799999999999784</v>
      </c>
      <c r="J65" s="3">
        <f ca="1">'ETF price'!K67-'ETF price'!K66</f>
        <v>-2.0799999999999841</v>
      </c>
      <c r="K65" s="3">
        <f ca="1">'ETF price'!L67-'ETF price'!L66</f>
        <v>-2.8400000000000034</v>
      </c>
      <c r="L65" s="3">
        <f ca="1">'ETF price'!M67-'ETF price'!M66</f>
        <v>-1</v>
      </c>
      <c r="M65" s="3">
        <f ca="1">'ETF price'!N67-'ETF price'!N66</f>
        <v>-4.0000000000006253E-2</v>
      </c>
      <c r="N65" s="3">
        <f ca="1">'ETF price'!O67-'ETF price'!O66</f>
        <v>-1.8400000000000034</v>
      </c>
      <c r="O65" s="3">
        <f ca="1">'ETF price'!P67-'ETF price'!P66</f>
        <v>-1.2099999999999937</v>
      </c>
      <c r="P65" s="3">
        <f ca="1">'ETF price'!Q67-'ETF price'!Q66</f>
        <v>-1.7900000000000063</v>
      </c>
      <c r="Q65" s="3">
        <f ca="1">'ETF price'!R67-'ETF price'!R66</f>
        <v>-0.70999999999999375</v>
      </c>
      <c r="R65" s="3">
        <f ca="1">'ETF price'!S67-'ETF price'!S66</f>
        <v>-1.5</v>
      </c>
      <c r="S65" s="3">
        <f ca="1">'ETF price'!T67-'ETF price'!T66</f>
        <v>-0.21999999999999886</v>
      </c>
      <c r="T65" s="3">
        <f ca="1">'ETF price'!U67-'ETF price'!U66</f>
        <v>-2.0600000000000023</v>
      </c>
      <c r="U65" s="3">
        <f ca="1">'ETF price'!V67-'ETF price'!V66</f>
        <v>-2.0600000000000023</v>
      </c>
      <c r="V65" s="3">
        <f ca="1">'ETF price'!W67-'ETF price'!W66</f>
        <v>-0.23999999999999488</v>
      </c>
      <c r="W65" s="3">
        <f ca="1">'ETF price'!X67-'ETF price'!X66</f>
        <v>-0.86999999999999034</v>
      </c>
      <c r="X65" s="3">
        <f ca="1">'ETF price'!Y67-'ETF price'!Y66</f>
        <v>-0.64999999999999858</v>
      </c>
      <c r="Y65" s="3">
        <f ca="1">'ETF price'!Z67-'ETF price'!Z66</f>
        <v>-0.67000000000000171</v>
      </c>
      <c r="Z65" s="3">
        <f ca="1">'ETF price'!AA67-'ETF price'!AA66</f>
        <v>3.9999999999999147E-2</v>
      </c>
      <c r="AA65" s="3">
        <f ca="1">'ETF price'!AB67-'ETF price'!AB66</f>
        <v>-0.94999999999998863</v>
      </c>
      <c r="AB65" s="3">
        <f ca="1">'ETF price'!AC67-'ETF price'!AC66</f>
        <v>-0.69999999999999574</v>
      </c>
      <c r="AC65" s="3">
        <f ca="1">'ETF price'!AD67-'ETF price'!AD66</f>
        <v>1.9999999999999574E-2</v>
      </c>
      <c r="AD65" s="3">
        <f ca="1">'ETF price'!AE67-'ETF price'!AE66</f>
        <v>5.9999999999998721E-2</v>
      </c>
      <c r="AE65" s="3">
        <f ca="1">'ETF price'!AF67-'ETF price'!AF66</f>
        <v>0.12999999999999989</v>
      </c>
      <c r="AF65" s="3">
        <f ca="1">'ETF price'!AG67-'ETF price'!AG66</f>
        <v>-4.1599999999999966</v>
      </c>
    </row>
    <row r="66" spans="1:32" ht="12.75" x14ac:dyDescent="0.2">
      <c r="A66" s="3">
        <f ca="1">'ETF price'!B68-'ETF price'!B67</f>
        <v>-3.7399999999999807</v>
      </c>
      <c r="B66" s="3">
        <f ca="1">'ETF price'!C68-'ETF price'!C67</f>
        <v>-11.100000000000023</v>
      </c>
      <c r="C66" s="3">
        <f ca="1">'ETF price'!D68-'ETF price'!D67</f>
        <v>-2.8800000000000097</v>
      </c>
      <c r="D66" s="3">
        <f ca="1">'ETF price'!E68-'ETF price'!E67</f>
        <v>-3.7299999999999898</v>
      </c>
      <c r="E66" s="3">
        <f ca="1">'ETF price'!F68-'ETF price'!F67</f>
        <v>-1.3799999999999955</v>
      </c>
      <c r="F66" s="3">
        <f ca="1">'ETF price'!G68-'ETF price'!G67</f>
        <v>-0.85000000000000142</v>
      </c>
      <c r="G66" s="3">
        <f ca="1">'ETF price'!H68-'ETF price'!H67</f>
        <v>-0.55000000000000071</v>
      </c>
      <c r="H66" s="3">
        <f ca="1">'ETF price'!I68-'ETF price'!I67</f>
        <v>2.0900000000000034</v>
      </c>
      <c r="I66" s="3">
        <f ca="1">'ETF price'!J68-'ETF price'!J67</f>
        <v>3.2799999999999727</v>
      </c>
      <c r="J66" s="3">
        <f ca="1">'ETF price'!K68-'ETF price'!K67</f>
        <v>-0.20000000000001705</v>
      </c>
      <c r="K66" s="3">
        <f ca="1">'ETF price'!L68-'ETF price'!L67</f>
        <v>7.9999999999998295E-2</v>
      </c>
      <c r="L66" s="3">
        <f ca="1">'ETF price'!M68-'ETF price'!M67</f>
        <v>0.45999999999999375</v>
      </c>
      <c r="M66" s="3">
        <f ca="1">'ETF price'!N68-'ETF price'!N67</f>
        <v>0.87000000000000455</v>
      </c>
      <c r="N66" s="3">
        <f ca="1">'ETF price'!O68-'ETF price'!O67</f>
        <v>-0.71999999999999886</v>
      </c>
      <c r="O66" s="3">
        <f ca="1">'ETF price'!P68-'ETF price'!P67</f>
        <v>0.45000000000000284</v>
      </c>
      <c r="P66" s="3">
        <f ca="1">'ETF price'!Q68-'ETF price'!Q67</f>
        <v>0.54000000000000625</v>
      </c>
      <c r="Q66" s="3">
        <f ca="1">'ETF price'!R68-'ETF price'!R67</f>
        <v>-1.019999999999996</v>
      </c>
      <c r="R66" s="3">
        <f ca="1">'ETF price'!S68-'ETF price'!S67</f>
        <v>-0.42999999999999972</v>
      </c>
      <c r="S66" s="3">
        <f ca="1">'ETF price'!T68-'ETF price'!T67</f>
        <v>-0.21000000000000085</v>
      </c>
      <c r="T66" s="3">
        <f ca="1">'ETF price'!U68-'ETF price'!U67</f>
        <v>-1.75</v>
      </c>
      <c r="U66" s="3">
        <f ca="1">'ETF price'!V68-'ETF price'!V67</f>
        <v>-2.0099999999999909</v>
      </c>
      <c r="V66" s="3">
        <f ca="1">'ETF price'!W68-'ETF price'!W67</f>
        <v>-0.26000000000000512</v>
      </c>
      <c r="W66" s="3">
        <f ca="1">'ETF price'!X68-'ETF price'!X67</f>
        <v>-0.78000000000000114</v>
      </c>
      <c r="X66" s="3">
        <f ca="1">'ETF price'!Y68-'ETF price'!Y67</f>
        <v>-0.86999999999999744</v>
      </c>
      <c r="Y66" s="3">
        <f ca="1">'ETF price'!Z68-'ETF price'!Z67</f>
        <v>-0.67999999999999261</v>
      </c>
      <c r="Z66" s="3">
        <f ca="1">'ETF price'!AA68-'ETF price'!AA67</f>
        <v>0.72999999999999687</v>
      </c>
      <c r="AA66" s="3">
        <f ca="1">'ETF price'!AB68-'ETF price'!AB67</f>
        <v>-1</v>
      </c>
      <c r="AB66" s="3">
        <f ca="1">'ETF price'!AC68-'ETF price'!AC67</f>
        <v>-0.96000000000000085</v>
      </c>
      <c r="AC66" s="3">
        <f ca="1">'ETF price'!AD68-'ETF price'!AD67</f>
        <v>-0.90000000000000213</v>
      </c>
      <c r="AD66" s="3">
        <f ca="1">'ETF price'!AE68-'ETF price'!AE67</f>
        <v>-1.5</v>
      </c>
      <c r="AE66" s="3">
        <f ca="1">'ETF price'!AF68-'ETF price'!AF67</f>
        <v>-0.37999999999999989</v>
      </c>
      <c r="AF66" s="3">
        <f ca="1">'ETF price'!AG68-'ETF price'!AG67</f>
        <v>-3.8800000000000026</v>
      </c>
    </row>
    <row r="67" spans="1:32" ht="12.75" x14ac:dyDescent="0.2">
      <c r="A67" s="3">
        <f ca="1">'ETF price'!B69-'ETF price'!B68</f>
        <v>0.23999999999998067</v>
      </c>
      <c r="B67" s="3">
        <f ca="1">'ETF price'!C69-'ETF price'!C68</f>
        <v>1.25</v>
      </c>
      <c r="C67" s="3">
        <f ca="1">'ETF price'!D69-'ETF price'!D68</f>
        <v>0.34000000000000341</v>
      </c>
      <c r="D67" s="3">
        <f ca="1">'ETF price'!E69-'ETF price'!E68</f>
        <v>0.31999999999999318</v>
      </c>
      <c r="E67" s="3">
        <f ca="1">'ETF price'!F69-'ETF price'!F68</f>
        <v>0.42999999999999972</v>
      </c>
      <c r="F67" s="3">
        <f ca="1">'ETF price'!G69-'ETF price'!G68</f>
        <v>-3.9999999999999147E-2</v>
      </c>
      <c r="G67" s="3">
        <f ca="1">'ETF price'!H69-'ETF price'!H68</f>
        <v>0.13000000000000256</v>
      </c>
      <c r="H67" s="3">
        <f ca="1">'ETF price'!I69-'ETF price'!I68</f>
        <v>2.6799999999999784</v>
      </c>
      <c r="I67" s="3">
        <f ca="1">'ETF price'!J69-'ETF price'!J68</f>
        <v>4.410000000000025</v>
      </c>
      <c r="J67" s="3">
        <f ca="1">'ETF price'!K69-'ETF price'!K68</f>
        <v>1.4300000000000068</v>
      </c>
      <c r="K67" s="3">
        <f ca="1">'ETF price'!L69-'ETF price'!L68</f>
        <v>-0.89999999999999147</v>
      </c>
      <c r="L67" s="3">
        <f ca="1">'ETF price'!M69-'ETF price'!M68</f>
        <v>0.31000000000000227</v>
      </c>
      <c r="M67" s="3">
        <f ca="1">'ETF price'!N69-'ETF price'!N68</f>
        <v>1.0999999999999943</v>
      </c>
      <c r="N67" s="3">
        <f ca="1">'ETF price'!O69-'ETF price'!O68</f>
        <v>-3.9999999999999147E-2</v>
      </c>
      <c r="O67" s="3">
        <f ca="1">'ETF price'!P69-'ETF price'!P68</f>
        <v>1</v>
      </c>
      <c r="P67" s="3">
        <f ca="1">'ETF price'!Q69-'ETF price'!Q68</f>
        <v>1.3699999999999903</v>
      </c>
      <c r="Q67" s="3">
        <f ca="1">'ETF price'!R69-'ETF price'!R68</f>
        <v>0.56999999999999318</v>
      </c>
      <c r="R67" s="3">
        <f ca="1">'ETF price'!S69-'ETF price'!S68</f>
        <v>1.3500000000000014</v>
      </c>
      <c r="S67" s="3">
        <f ca="1">'ETF price'!T69-'ETF price'!T68</f>
        <v>8.9999999999999858E-2</v>
      </c>
      <c r="T67" s="3">
        <f ca="1">'ETF price'!U69-'ETF price'!U68</f>
        <v>6.0000000000002274E-2</v>
      </c>
      <c r="U67" s="3">
        <f ca="1">'ETF price'!V69-'ETF price'!V68</f>
        <v>-0.79000000000000625</v>
      </c>
      <c r="V67" s="3">
        <f ca="1">'ETF price'!W69-'ETF price'!W68</f>
        <v>-3.9999999999999147E-2</v>
      </c>
      <c r="W67" s="3">
        <f ca="1">'ETF price'!X69-'ETF price'!X68</f>
        <v>-0.35000000000000853</v>
      </c>
      <c r="X67" s="3">
        <f ca="1">'ETF price'!Y69-'ETF price'!Y68</f>
        <v>-0.62000000000000455</v>
      </c>
      <c r="Y67" s="3">
        <f ca="1">'ETF price'!Z69-'ETF price'!Z68</f>
        <v>-0.18000000000000682</v>
      </c>
      <c r="Z67" s="3">
        <f ca="1">'ETF price'!AA69-'ETF price'!AA68</f>
        <v>-0.40999999999999659</v>
      </c>
      <c r="AA67" s="3">
        <f ca="1">'ETF price'!AB69-'ETF price'!AB68</f>
        <v>-0.84000000000000341</v>
      </c>
      <c r="AB67" s="3">
        <f ca="1">'ETF price'!AC69-'ETF price'!AC68</f>
        <v>-0.34000000000000341</v>
      </c>
      <c r="AC67" s="3">
        <f ca="1">'ETF price'!AD69-'ETF price'!AD68</f>
        <v>-0.14999999999999858</v>
      </c>
      <c r="AD67" s="3">
        <f ca="1">'ETF price'!AE69-'ETF price'!AE68</f>
        <v>-0.26999999999999957</v>
      </c>
      <c r="AE67" s="3">
        <f ca="1">'ETF price'!AF69-'ETF price'!AF68</f>
        <v>-0.26000000000000068</v>
      </c>
      <c r="AF67" s="3">
        <f ca="1">'ETF price'!AG69-'ETF price'!AG68</f>
        <v>-1</v>
      </c>
    </row>
    <row r="68" spans="1:32" ht="12.75" x14ac:dyDescent="0.2">
      <c r="A68" s="3">
        <f ca="1">'ETF price'!B70-'ETF price'!B69</f>
        <v>-2.1599999999999966</v>
      </c>
      <c r="B68" s="3">
        <f ca="1">'ETF price'!C70-'ETF price'!C69</f>
        <v>-5.9200000000000159</v>
      </c>
      <c r="C68" s="3">
        <f ca="1">'ETF price'!D70-'ETF price'!D69</f>
        <v>-1.75</v>
      </c>
      <c r="D68" s="3">
        <f ca="1">'ETF price'!E70-'ETF price'!E69</f>
        <v>-3.6399999999999864</v>
      </c>
      <c r="E68" s="3">
        <f ca="1">'ETF price'!F70-'ETF price'!F69</f>
        <v>-0.67999999999999972</v>
      </c>
      <c r="F68" s="3">
        <f ca="1">'ETF price'!G70-'ETF price'!G69</f>
        <v>-0.39000000000000057</v>
      </c>
      <c r="G68" s="3">
        <f ca="1">'ETF price'!H70-'ETF price'!H69</f>
        <v>-0.26999999999999957</v>
      </c>
      <c r="H68" s="3">
        <f ca="1">'ETF price'!I70-'ETF price'!I69</f>
        <v>0.85000000000002274</v>
      </c>
      <c r="I68" s="3">
        <f ca="1">'ETF price'!J70-'ETF price'!J69</f>
        <v>0.98000000000001819</v>
      </c>
      <c r="J68" s="3">
        <f ca="1">'ETF price'!K70-'ETF price'!K69</f>
        <v>-0.56999999999999318</v>
      </c>
      <c r="K68" s="3">
        <f ca="1">'ETF price'!L70-'ETF price'!L69</f>
        <v>-2.0900000000000034</v>
      </c>
      <c r="L68" s="3">
        <f ca="1">'ETF price'!M70-'ETF price'!M69</f>
        <v>-0.45000000000000284</v>
      </c>
      <c r="M68" s="3">
        <f ca="1">'ETF price'!N70-'ETF price'!N69</f>
        <v>0.25</v>
      </c>
      <c r="N68" s="3">
        <f ca="1">'ETF price'!O70-'ETF price'!O69</f>
        <v>-0.67999999999999972</v>
      </c>
      <c r="O68" s="3">
        <f ca="1">'ETF price'!P70-'ETF price'!P69</f>
        <v>2.1299999999999955</v>
      </c>
      <c r="P68" s="3">
        <f ca="1">'ETF price'!Q70-'ETF price'!Q69</f>
        <v>2.9100000000000108</v>
      </c>
      <c r="Q68" s="3">
        <f ca="1">'ETF price'!R70-'ETF price'!R69</f>
        <v>0.54000000000000625</v>
      </c>
      <c r="R68" s="3">
        <f ca="1">'ETF price'!S70-'ETF price'!S69</f>
        <v>-0.12000000000000455</v>
      </c>
      <c r="S68" s="3">
        <f ca="1">'ETF price'!T70-'ETF price'!T69</f>
        <v>0.32999999999999829</v>
      </c>
      <c r="T68" s="3">
        <f ca="1">'ETF price'!U70-'ETF price'!U69</f>
        <v>1</v>
      </c>
      <c r="U68" s="3">
        <f ca="1">'ETF price'!V70-'ETF price'!V69</f>
        <v>-1.8400000000000034</v>
      </c>
      <c r="V68" s="3">
        <f ca="1">'ETF price'!W70-'ETF price'!W69</f>
        <v>0.38000000000000256</v>
      </c>
      <c r="W68" s="3">
        <f ca="1">'ETF price'!X70-'ETF price'!X69</f>
        <v>0.71000000000000796</v>
      </c>
      <c r="X68" s="3">
        <f ca="1">'ETF price'!Y70-'ETF price'!Y69</f>
        <v>4.0000000000006253E-2</v>
      </c>
      <c r="Y68" s="3">
        <f ca="1">'ETF price'!Z70-'ETF price'!Z69</f>
        <v>0.71000000000000796</v>
      </c>
      <c r="Z68" s="3">
        <f ca="1">'ETF price'!AA70-'ETF price'!AA69</f>
        <v>0.17999999999999972</v>
      </c>
      <c r="AA68" s="3">
        <f ca="1">'ETF price'!AB70-'ETF price'!AB69</f>
        <v>-0.10000000000000853</v>
      </c>
      <c r="AB68" s="3">
        <f ca="1">'ETF price'!AC70-'ETF price'!AC69</f>
        <v>0.42000000000000171</v>
      </c>
      <c r="AC68" s="3">
        <f ca="1">'ETF price'!AD70-'ETF price'!AD69</f>
        <v>-0.25</v>
      </c>
      <c r="AD68" s="3">
        <f ca="1">'ETF price'!AE70-'ETF price'!AE69</f>
        <v>-0.39000000000000057</v>
      </c>
      <c r="AE68" s="3">
        <f ca="1">'ETF price'!AF70-'ETF price'!AF69</f>
        <v>-4.0000000000000036E-2</v>
      </c>
      <c r="AF68" s="3">
        <f ca="1">'ETF price'!AG70-'ETF price'!AG69</f>
        <v>-2.4000000000000057</v>
      </c>
    </row>
    <row r="69" spans="1:32" ht="12.75" x14ac:dyDescent="0.2">
      <c r="A69" s="3">
        <f ca="1">'ETF price'!B71-'ETF price'!B70</f>
        <v>-3.8400000000000034</v>
      </c>
      <c r="B69" s="3">
        <f ca="1">'ETF price'!C71-'ETF price'!C70</f>
        <v>-9.4199999999999591</v>
      </c>
      <c r="C69" s="3">
        <f ca="1">'ETF price'!D71-'ETF price'!D70</f>
        <v>-2.3900000000000006</v>
      </c>
      <c r="D69" s="3">
        <f ca="1">'ETF price'!E71-'ETF price'!E70</f>
        <v>-2.9300000000000068</v>
      </c>
      <c r="E69" s="3">
        <f ca="1">'ETF price'!F71-'ETF price'!F70</f>
        <v>0.20999999999999375</v>
      </c>
      <c r="F69" s="3">
        <f ca="1">'ETF price'!G71-'ETF price'!G70</f>
        <v>-0.91000000000000014</v>
      </c>
      <c r="G69" s="3">
        <f ca="1">'ETF price'!H71-'ETF price'!H70</f>
        <v>-0.36000000000000298</v>
      </c>
      <c r="H69" s="3">
        <f ca="1">'ETF price'!I71-'ETF price'!I70</f>
        <v>-2.8400000000000034</v>
      </c>
      <c r="I69" s="3">
        <f ca="1">'ETF price'!J71-'ETF price'!J70</f>
        <v>-5.5100000000000477</v>
      </c>
      <c r="J69" s="3">
        <f ca="1">'ETF price'!K71-'ETF price'!K70</f>
        <v>-3.0699999999999932</v>
      </c>
      <c r="K69" s="3">
        <f ca="1">'ETF price'!L71-'ETF price'!L70</f>
        <v>-3.0200000000000102</v>
      </c>
      <c r="L69" s="3">
        <f ca="1">'ETF price'!M71-'ETF price'!M70</f>
        <v>-1.5699999999999932</v>
      </c>
      <c r="M69" s="3">
        <f ca="1">'ETF price'!N71-'ETF price'!N70</f>
        <v>-1.3499999999999943</v>
      </c>
      <c r="N69" s="3">
        <f ca="1">'ETF price'!O71-'ETF price'!O70</f>
        <v>-1.6000000000000014</v>
      </c>
      <c r="O69" s="3">
        <f ca="1">'ETF price'!P71-'ETF price'!P70</f>
        <v>-2.3900000000000006</v>
      </c>
      <c r="P69" s="3">
        <f ca="1">'ETF price'!Q71-'ETF price'!Q70</f>
        <v>-3.3000000000000114</v>
      </c>
      <c r="Q69" s="3">
        <f ca="1">'ETF price'!R71-'ETF price'!R70</f>
        <v>-0.43999999999999773</v>
      </c>
      <c r="R69" s="3">
        <f ca="1">'ETF price'!S71-'ETF price'!S70</f>
        <v>-0.57000000000000028</v>
      </c>
      <c r="S69" s="3">
        <f ca="1">'ETF price'!T71-'ETF price'!T70</f>
        <v>-0.21999999999999886</v>
      </c>
      <c r="T69" s="3">
        <f ca="1">'ETF price'!U71-'ETF price'!U70</f>
        <v>-1.8100000000000023</v>
      </c>
      <c r="U69" s="3">
        <f ca="1">'ETF price'!V71-'ETF price'!V70</f>
        <v>-0.48999999999999488</v>
      </c>
      <c r="V69" s="3">
        <f ca="1">'ETF price'!W71-'ETF price'!W70</f>
        <v>-0.17000000000000171</v>
      </c>
      <c r="W69" s="3">
        <f ca="1">'ETF price'!X71-'ETF price'!X70</f>
        <v>-0.43000000000000682</v>
      </c>
      <c r="X69" s="3">
        <f ca="1">'ETF price'!Y71-'ETF price'!Y70</f>
        <v>0.13999999999999346</v>
      </c>
      <c r="Y69" s="3">
        <f ca="1">'ETF price'!Z71-'ETF price'!Z70</f>
        <v>-0.39000000000000057</v>
      </c>
      <c r="Z69" s="3">
        <f ca="1">'ETF price'!AA71-'ETF price'!AA70</f>
        <v>-0.67999999999999972</v>
      </c>
      <c r="AA69" s="3">
        <f ca="1">'ETF price'!AB71-'ETF price'!AB70</f>
        <v>0.23000000000000398</v>
      </c>
      <c r="AB69" s="3">
        <f ca="1">'ETF price'!AC71-'ETF price'!AC70</f>
        <v>-0.39000000000000057</v>
      </c>
      <c r="AC69" s="3">
        <f ca="1">'ETF price'!AD71-'ETF price'!AD70</f>
        <v>-1.08</v>
      </c>
      <c r="AD69" s="3">
        <f ca="1">'ETF price'!AE71-'ETF price'!AE70</f>
        <v>-1.7699999999999996</v>
      </c>
      <c r="AE69" s="3">
        <f ca="1">'ETF price'!AF71-'ETF price'!AF70</f>
        <v>-0.19999999999999929</v>
      </c>
      <c r="AF69" s="3">
        <f ca="1">'ETF price'!AG71-'ETF price'!AG70</f>
        <v>-2.519999999999996</v>
      </c>
    </row>
    <row r="70" spans="1:32" ht="12.75" x14ac:dyDescent="0.2">
      <c r="A70" s="3">
        <f ca="1">'ETF price'!B72-'ETF price'!B71</f>
        <v>-0.65999999999999659</v>
      </c>
      <c r="B70" s="3">
        <f ca="1">'ETF price'!C72-'ETF price'!C71</f>
        <v>-1.0600000000000023</v>
      </c>
      <c r="C70" s="3">
        <f ca="1">'ETF price'!D72-'ETF price'!D71</f>
        <v>-0.42999999999999261</v>
      </c>
      <c r="D70" s="3">
        <f ca="1">'ETF price'!E72-'ETF price'!E71</f>
        <v>-0.43000000000000682</v>
      </c>
      <c r="E70" s="3">
        <f ca="1">'ETF price'!F72-'ETF price'!F71</f>
        <v>0.11000000000000654</v>
      </c>
      <c r="F70" s="3">
        <f ca="1">'ETF price'!G72-'ETF price'!G71</f>
        <v>-0.41000000000000014</v>
      </c>
      <c r="G70" s="3">
        <f ca="1">'ETF price'!H72-'ETF price'!H71</f>
        <v>-7.9999999999998295E-2</v>
      </c>
      <c r="H70" s="3">
        <f ca="1">'ETF price'!I72-'ETF price'!I71</f>
        <v>-1.3600000000000136</v>
      </c>
      <c r="I70" s="3">
        <f ca="1">'ETF price'!J72-'ETF price'!J71</f>
        <v>-2.1800000000000068</v>
      </c>
      <c r="J70" s="3">
        <f ca="1">'ETF price'!K72-'ETF price'!K71</f>
        <v>-1</v>
      </c>
      <c r="K70" s="3">
        <f ca="1">'ETF price'!L72-'ETF price'!L71</f>
        <v>-0.16999999999998749</v>
      </c>
      <c r="L70" s="3">
        <f ca="1">'ETF price'!M72-'ETF price'!M71</f>
        <v>-0.40000000000000568</v>
      </c>
      <c r="M70" s="3">
        <f ca="1">'ETF price'!N72-'ETF price'!N71</f>
        <v>-0.60999999999999943</v>
      </c>
      <c r="N70" s="3">
        <f ca="1">'ETF price'!O72-'ETF price'!O71</f>
        <v>7.9999999999998295E-2</v>
      </c>
      <c r="O70" s="3">
        <f ca="1">'ETF price'!P72-'ETF price'!P71</f>
        <v>1.2800000000000011</v>
      </c>
      <c r="P70" s="3">
        <f ca="1">'ETF price'!Q72-'ETF price'!Q71</f>
        <v>1.8200000000000074</v>
      </c>
      <c r="Q70" s="3">
        <f ca="1">'ETF price'!R72-'ETF price'!R71</f>
        <v>1.9999999999996021E-2</v>
      </c>
      <c r="R70" s="3">
        <f ca="1">'ETF price'!S72-'ETF price'!S71</f>
        <v>1.5300000000000011</v>
      </c>
      <c r="S70" s="3">
        <f ca="1">'ETF price'!T72-'ETF price'!T71</f>
        <v>0.78999999999999915</v>
      </c>
      <c r="T70" s="3">
        <f ca="1">'ETF price'!U72-'ETF price'!U71</f>
        <v>3.6800000000000068</v>
      </c>
      <c r="U70" s="3">
        <f ca="1">'ETF price'!V72-'ETF price'!V71</f>
        <v>-0.51000000000000512</v>
      </c>
      <c r="V70" s="3">
        <f ca="1">'ETF price'!W72-'ETF price'!W71</f>
        <v>-0.40999999999999659</v>
      </c>
      <c r="W70" s="3">
        <f ca="1">'ETF price'!X72-'ETF price'!X71</f>
        <v>-0.87999999999999545</v>
      </c>
      <c r="X70" s="3">
        <f ca="1">'ETF price'!Y72-'ETF price'!Y71</f>
        <v>-0.50999999999999801</v>
      </c>
      <c r="Y70" s="3">
        <f ca="1">'ETF price'!Z72-'ETF price'!Z71</f>
        <v>-0.85999999999999943</v>
      </c>
      <c r="Z70" s="3">
        <f ca="1">'ETF price'!AA72-'ETF price'!AA71</f>
        <v>-0.14999999999999858</v>
      </c>
      <c r="AA70" s="3">
        <f ca="1">'ETF price'!AB72-'ETF price'!AB71</f>
        <v>-0.59999999999999432</v>
      </c>
      <c r="AB70" s="3">
        <f ca="1">'ETF price'!AC72-'ETF price'!AC71</f>
        <v>-0.6699999999999946</v>
      </c>
      <c r="AC70" s="3">
        <f ca="1">'ETF price'!AD72-'ETF price'!AD71</f>
        <v>-0.29000000000000092</v>
      </c>
      <c r="AD70" s="3">
        <f ca="1">'ETF price'!AE72-'ETF price'!AE71</f>
        <v>-0.42000000000000171</v>
      </c>
      <c r="AE70" s="3">
        <f ca="1">'ETF price'!AF72-'ETF price'!AF71</f>
        <v>-0.14000000000000057</v>
      </c>
      <c r="AF70" s="3">
        <f ca="1">'ETF price'!AG72-'ETF price'!AG71</f>
        <v>-1.240000000000002</v>
      </c>
    </row>
    <row r="71" spans="1:32" ht="12.75" x14ac:dyDescent="0.2">
      <c r="A71" s="3">
        <f ca="1">'ETF price'!B73-'ETF price'!B72</f>
        <v>2.3799999999999955</v>
      </c>
      <c r="B71" s="3">
        <f ca="1">'ETF price'!C73-'ETF price'!C72</f>
        <v>6.75</v>
      </c>
      <c r="C71" s="3">
        <f ca="1">'ETF price'!D73-'ETF price'!D72</f>
        <v>1.75</v>
      </c>
      <c r="D71" s="3">
        <f ca="1">'ETF price'!E73-'ETF price'!E72</f>
        <v>3</v>
      </c>
      <c r="E71" s="3">
        <f ca="1">'ETF price'!F73-'ETF price'!F72</f>
        <v>1.6299999999999955</v>
      </c>
      <c r="F71" s="3">
        <f ca="1">'ETF price'!G73-'ETF price'!G72</f>
        <v>0.66000000000000014</v>
      </c>
      <c r="G71" s="3">
        <f ca="1">'ETF price'!H73-'ETF price'!H72</f>
        <v>0.57000000000000028</v>
      </c>
      <c r="H71" s="3">
        <f ca="1">'ETF price'!I73-'ETF price'!I72</f>
        <v>0.68000000000000682</v>
      </c>
      <c r="I71" s="3">
        <f ca="1">'ETF price'!J73-'ETF price'!J72</f>
        <v>1.8800000000000523</v>
      </c>
      <c r="J71" s="3">
        <f ca="1">'ETF price'!K73-'ETF price'!K72</f>
        <v>3.2299999999999898</v>
      </c>
      <c r="K71" s="3">
        <f ca="1">'ETF price'!L73-'ETF price'!L72</f>
        <v>3.2599999999999909</v>
      </c>
      <c r="L71" s="3">
        <f ca="1">'ETF price'!M73-'ETF price'!M72</f>
        <v>1.5600000000000023</v>
      </c>
      <c r="M71" s="3">
        <f ca="1">'ETF price'!N73-'ETF price'!N72</f>
        <v>0.46999999999999886</v>
      </c>
      <c r="N71" s="3">
        <f ca="1">'ETF price'!O73-'ETF price'!O72</f>
        <v>0.80000000000000426</v>
      </c>
      <c r="O71" s="3">
        <f ca="1">'ETF price'!P73-'ETF price'!P72</f>
        <v>1.1700000000000017</v>
      </c>
      <c r="P71" s="3">
        <f ca="1">'ETF price'!Q73-'ETF price'!Q72</f>
        <v>1.7399999999999949</v>
      </c>
      <c r="Q71" s="3">
        <f ca="1">'ETF price'!R73-'ETF price'!R72</f>
        <v>1.2999999999999972</v>
      </c>
      <c r="R71" s="3">
        <f ca="1">'ETF price'!S73-'ETF price'!S72</f>
        <v>2.8299999999999983</v>
      </c>
      <c r="S71" s="3">
        <f ca="1">'ETF price'!T73-'ETF price'!T72</f>
        <v>0.60000000000000142</v>
      </c>
      <c r="T71" s="3">
        <f ca="1">'ETF price'!U73-'ETF price'!U72</f>
        <v>2.4399999999999977</v>
      </c>
      <c r="U71" s="3">
        <f ca="1">'ETF price'!V73-'ETF price'!V72</f>
        <v>1.2900000000000063</v>
      </c>
      <c r="V71" s="3">
        <f ca="1">'ETF price'!W73-'ETF price'!W72</f>
        <v>0</v>
      </c>
      <c r="W71" s="3">
        <f ca="1">'ETF price'!X73-'ETF price'!X72</f>
        <v>0.28000000000000114</v>
      </c>
      <c r="X71" s="3">
        <f ca="1">'ETF price'!Y73-'ETF price'!Y72</f>
        <v>0.69000000000000483</v>
      </c>
      <c r="Y71" s="3">
        <f ca="1">'ETF price'!Z73-'ETF price'!Z72</f>
        <v>0.17999999999999261</v>
      </c>
      <c r="Z71" s="3">
        <f ca="1">'ETF price'!AA73-'ETF price'!AA72</f>
        <v>0.19999999999999574</v>
      </c>
      <c r="AA71" s="3">
        <f ca="1">'ETF price'!AB73-'ETF price'!AB72</f>
        <v>0.90999999999999659</v>
      </c>
      <c r="AB71" s="3">
        <f ca="1">'ETF price'!AC73-'ETF price'!AC72</f>
        <v>0.32999999999999829</v>
      </c>
      <c r="AC71" s="3">
        <f ca="1">'ETF price'!AD73-'ETF price'!AD72</f>
        <v>0.73000000000000043</v>
      </c>
      <c r="AD71" s="3">
        <f ca="1">'ETF price'!AE73-'ETF price'!AE72</f>
        <v>1.1800000000000033</v>
      </c>
      <c r="AE71" s="3">
        <f ca="1">'ETF price'!AF73-'ETF price'!AF72</f>
        <v>1.0000000000000675E-2</v>
      </c>
      <c r="AF71" s="3">
        <f ca="1">'ETF price'!AG73-'ETF price'!AG72</f>
        <v>1.9200000000000017</v>
      </c>
    </row>
    <row r="72" spans="1:32" ht="12.75" x14ac:dyDescent="0.2">
      <c r="A72" s="3">
        <f ca="1">'ETF price'!B74-'ETF price'!B73</f>
        <v>-3.6500000000000057</v>
      </c>
      <c r="B72" s="3">
        <f ca="1">'ETF price'!C74-'ETF price'!C73</f>
        <v>-9.7400000000000091</v>
      </c>
      <c r="C72" s="3">
        <f ca="1">'ETF price'!D74-'ETF price'!D73</f>
        <v>-2.6300000000000097</v>
      </c>
      <c r="D72" s="3">
        <f ca="1">'ETF price'!E74-'ETF price'!E73</f>
        <v>-3.9399999999999977</v>
      </c>
      <c r="E72" s="3">
        <f ca="1">'ETF price'!F74-'ETF price'!F73</f>
        <v>-1.0600000000000023</v>
      </c>
      <c r="F72" s="3">
        <f ca="1">'ETF price'!G74-'ETF price'!G73</f>
        <v>-0.5</v>
      </c>
      <c r="G72" s="3">
        <f ca="1">'ETF price'!H74-'ETF price'!H73</f>
        <v>-0.37000000000000099</v>
      </c>
      <c r="H72" s="3">
        <f ca="1">'ETF price'!I74-'ETF price'!I73</f>
        <v>-0.67000000000001592</v>
      </c>
      <c r="I72" s="3">
        <f ca="1">'ETF price'!J74-'ETF price'!J73</f>
        <v>-1.5500000000000114</v>
      </c>
      <c r="J72" s="3">
        <f ca="1">'ETF price'!K74-'ETF price'!K73</f>
        <v>-1.6399999999999864</v>
      </c>
      <c r="K72" s="3">
        <f ca="1">'ETF price'!L74-'ETF price'!L73</f>
        <v>-2.6400000000000006</v>
      </c>
      <c r="L72" s="3">
        <f ca="1">'ETF price'!M74-'ETF price'!M73</f>
        <v>-0.84000000000000341</v>
      </c>
      <c r="M72" s="3">
        <f ca="1">'ETF price'!N74-'ETF price'!N73</f>
        <v>-0.37000000000000455</v>
      </c>
      <c r="N72" s="3">
        <f ca="1">'ETF price'!O74-'ETF price'!O73</f>
        <v>-1.6000000000000014</v>
      </c>
      <c r="O72" s="3">
        <f ca="1">'ETF price'!P74-'ETF price'!P73</f>
        <v>0.25999999999999091</v>
      </c>
      <c r="P72" s="3">
        <f ca="1">'ETF price'!Q74-'ETF price'!Q73</f>
        <v>0.46000000000000796</v>
      </c>
      <c r="Q72" s="3">
        <f ca="1">'ETF price'!R74-'ETF price'!R73</f>
        <v>-0.29999999999999716</v>
      </c>
      <c r="R72" s="3">
        <f ca="1">'ETF price'!S74-'ETF price'!S73</f>
        <v>0.68999999999999773</v>
      </c>
      <c r="S72" s="3">
        <f ca="1">'ETF price'!T74-'ETF price'!T73</f>
        <v>0.21000000000000085</v>
      </c>
      <c r="T72" s="3">
        <f ca="1">'ETF price'!U74-'ETF price'!U73</f>
        <v>1.1499999999999915</v>
      </c>
      <c r="U72" s="3">
        <f ca="1">'ETF price'!V74-'ETF price'!V73</f>
        <v>-0.95999999999999375</v>
      </c>
      <c r="V72" s="3">
        <f ca="1">'ETF price'!W74-'ETF price'!W73</f>
        <v>-0.42000000000000171</v>
      </c>
      <c r="W72" s="3">
        <f ca="1">'ETF price'!X74-'ETF price'!X73</f>
        <v>-1.0300000000000011</v>
      </c>
      <c r="X72" s="3">
        <f ca="1">'ETF price'!Y74-'ETF price'!Y73</f>
        <v>-0.47000000000000597</v>
      </c>
      <c r="Y72" s="3">
        <f ca="1">'ETF price'!Z74-'ETF price'!Z73</f>
        <v>-0.87999999999999545</v>
      </c>
      <c r="Z72" s="3">
        <f ca="1">'ETF price'!AA74-'ETF price'!AA73</f>
        <v>-0.28000000000000114</v>
      </c>
      <c r="AA72" s="3">
        <f ca="1">'ETF price'!AB74-'ETF price'!AB73</f>
        <v>-0.84000000000000341</v>
      </c>
      <c r="AB72" s="3">
        <f ca="1">'ETF price'!AC74-'ETF price'!AC73</f>
        <v>-0.64000000000000057</v>
      </c>
      <c r="AC72" s="3">
        <f ca="1">'ETF price'!AD74-'ETF price'!AD73</f>
        <v>-0.5</v>
      </c>
      <c r="AD72" s="3">
        <f ca="1">'ETF price'!AE74-'ETF price'!AE73</f>
        <v>-0.7900000000000027</v>
      </c>
      <c r="AE72" s="3">
        <f ca="1">'ETF price'!AF74-'ETF price'!AF73</f>
        <v>9.9999999999999645E-2</v>
      </c>
      <c r="AF72" s="3">
        <f ca="1">'ETF price'!AG74-'ETF price'!AG73</f>
        <v>-2.3200000000000003</v>
      </c>
    </row>
    <row r="73" spans="1:32" ht="12.75" x14ac:dyDescent="0.2">
      <c r="A73" s="3">
        <f ca="1">'ETF price'!B75-'ETF price'!B74</f>
        <v>0.48000000000001819</v>
      </c>
      <c r="B73" s="3">
        <f ca="1">'ETF price'!C75-'ETF price'!C74</f>
        <v>0.44999999999998863</v>
      </c>
      <c r="C73" s="3">
        <f ca="1">'ETF price'!D75-'ETF price'!D74</f>
        <v>0.30000000000001137</v>
      </c>
      <c r="D73" s="3">
        <f ca="1">'ETF price'!E75-'ETF price'!E74</f>
        <v>2.4000000000000057</v>
      </c>
      <c r="E73" s="3">
        <f ca="1">'ETF price'!F75-'ETF price'!F74</f>
        <v>-0.84999999999999432</v>
      </c>
      <c r="F73" s="3">
        <f ca="1">'ETF price'!G75-'ETF price'!G74</f>
        <v>-0.26999999999999957</v>
      </c>
      <c r="G73" s="3">
        <f ca="1">'ETF price'!H75-'ETF price'!H74</f>
        <v>-0.32999999999999829</v>
      </c>
      <c r="H73" s="3">
        <f ca="1">'ETF price'!I75-'ETF price'!I74</f>
        <v>-1.5299999999999727</v>
      </c>
      <c r="I73" s="3">
        <f ca="1">'ETF price'!J75-'ETF price'!J74</f>
        <v>-3.5300000000000011</v>
      </c>
      <c r="J73" s="3">
        <f ca="1">'ETF price'!K75-'ETF price'!K74</f>
        <v>-3.7600000000000193</v>
      </c>
      <c r="K73" s="3">
        <f ca="1">'ETF price'!L75-'ETF price'!L74</f>
        <v>-4.1799999999999926</v>
      </c>
      <c r="L73" s="3">
        <f ca="1">'ETF price'!M75-'ETF price'!M74</f>
        <v>-1.5899999999999963</v>
      </c>
      <c r="M73" s="3">
        <f ca="1">'ETF price'!N75-'ETF price'!N74</f>
        <v>-0.90999999999999659</v>
      </c>
      <c r="N73" s="3">
        <f ca="1">'ETF price'!O75-'ETF price'!O74</f>
        <v>-2.4799999999999969</v>
      </c>
      <c r="O73" s="3">
        <f ca="1">'ETF price'!P75-'ETF price'!P74</f>
        <v>1.1700000000000017</v>
      </c>
      <c r="P73" s="3">
        <f ca="1">'ETF price'!Q75-'ETF price'!Q74</f>
        <v>1.7800000000000011</v>
      </c>
      <c r="Q73" s="3">
        <f ca="1">'ETF price'!R75-'ETF price'!R74</f>
        <v>7.9999999999998295E-2</v>
      </c>
      <c r="R73" s="3">
        <f ca="1">'ETF price'!S75-'ETF price'!S74</f>
        <v>-0.28999999999999204</v>
      </c>
      <c r="S73" s="3">
        <f ca="1">'ETF price'!T75-'ETF price'!T74</f>
        <v>0.32000000000000028</v>
      </c>
      <c r="T73" s="3">
        <f ca="1">'ETF price'!U75-'ETF price'!U74</f>
        <v>0.84000000000000341</v>
      </c>
      <c r="U73" s="3">
        <f ca="1">'ETF price'!V75-'ETF price'!V74</f>
        <v>-0.38000000000000966</v>
      </c>
      <c r="V73" s="3">
        <f ca="1">'ETF price'!W75-'ETF price'!W74</f>
        <v>0.21999999999999886</v>
      </c>
      <c r="W73" s="3">
        <f ca="1">'ETF price'!X75-'ETF price'!X74</f>
        <v>0.46999999999999886</v>
      </c>
      <c r="X73" s="3">
        <f ca="1">'ETF price'!Y75-'ETF price'!Y74</f>
        <v>0.19000000000000483</v>
      </c>
      <c r="Y73" s="3">
        <f ca="1">'ETF price'!Z75-'ETF price'!Z74</f>
        <v>0.23999999999999488</v>
      </c>
      <c r="Z73" s="3">
        <f ca="1">'ETF price'!AA75-'ETF price'!AA74</f>
        <v>-0.11999999999999744</v>
      </c>
      <c r="AA73" s="3">
        <f ca="1">'ETF price'!AB75-'ETF price'!AB74</f>
        <v>0.21999999999999886</v>
      </c>
      <c r="AB73" s="3">
        <f ca="1">'ETF price'!AC75-'ETF price'!AC74</f>
        <v>0.28000000000000114</v>
      </c>
      <c r="AC73" s="3">
        <f ca="1">'ETF price'!AD75-'ETF price'!AD74</f>
        <v>0.33000000000000007</v>
      </c>
      <c r="AD73" s="3">
        <f ca="1">'ETF price'!AE75-'ETF price'!AE74</f>
        <v>0.51000000000000156</v>
      </c>
      <c r="AE73" s="3">
        <f ca="1">'ETF price'!AF75-'ETF price'!AF74</f>
        <v>-0.20999999999999996</v>
      </c>
      <c r="AF73" s="3">
        <f ca="1">'ETF price'!AG75-'ETF price'!AG74</f>
        <v>-0.35999999999999943</v>
      </c>
    </row>
    <row r="74" spans="1:32" ht="12.75" x14ac:dyDescent="0.2">
      <c r="A74" s="3">
        <f ca="1">'ETF price'!B76-'ETF price'!B75</f>
        <v>2.7599999999999909</v>
      </c>
      <c r="B74" s="3">
        <f ca="1">'ETF price'!C76-'ETF price'!C75</f>
        <v>7.75</v>
      </c>
      <c r="C74" s="3">
        <f ca="1">'ETF price'!D76-'ETF price'!D75</f>
        <v>2.0099999999999909</v>
      </c>
      <c r="D74" s="3">
        <f ca="1">'ETF price'!E76-'ETF price'!E75</f>
        <v>3.0900000000000034</v>
      </c>
      <c r="E74" s="3">
        <f ca="1">'ETF price'!F76-'ETF price'!F75</f>
        <v>0.94999999999999574</v>
      </c>
      <c r="F74" s="3">
        <f ca="1">'ETF price'!G76-'ETF price'!G75</f>
        <v>0.52999999999999758</v>
      </c>
      <c r="G74" s="3">
        <f ca="1">'ETF price'!H76-'ETF price'!H75</f>
        <v>0.66000000000000014</v>
      </c>
      <c r="H74" s="3">
        <f ca="1">'ETF price'!I76-'ETF price'!I75</f>
        <v>1.3099999999999739</v>
      </c>
      <c r="I74" s="3">
        <f ca="1">'ETF price'!J76-'ETF price'!J75</f>
        <v>2.6899999999999693</v>
      </c>
      <c r="J74" s="3">
        <f ca="1">'ETF price'!K76-'ETF price'!K75</f>
        <v>1.2199999999999989</v>
      </c>
      <c r="K74" s="3">
        <f ca="1">'ETF price'!L76-'ETF price'!L75</f>
        <v>1.0099999999999909</v>
      </c>
      <c r="L74" s="3">
        <f ca="1">'ETF price'!M76-'ETF price'!M75</f>
        <v>0.67999999999999972</v>
      </c>
      <c r="M74" s="3">
        <f ca="1">'ETF price'!N76-'ETF price'!N75</f>
        <v>0.68999999999999773</v>
      </c>
      <c r="N74" s="3">
        <f ca="1">'ETF price'!O76-'ETF price'!O75</f>
        <v>0.75999999999999801</v>
      </c>
      <c r="O74" s="3">
        <f ca="1">'ETF price'!P76-'ETF price'!P75</f>
        <v>-0.65999999999999659</v>
      </c>
      <c r="P74" s="3">
        <f ca="1">'ETF price'!Q76-'ETF price'!Q75</f>
        <v>-1.1200000000000045</v>
      </c>
      <c r="Q74" s="3">
        <f ca="1">'ETF price'!R76-'ETF price'!R75</f>
        <v>0.84000000000000341</v>
      </c>
      <c r="R74" s="3">
        <f ca="1">'ETF price'!S76-'ETF price'!S75</f>
        <v>7.9999999999998295E-2</v>
      </c>
      <c r="S74" s="3">
        <f ca="1">'ETF price'!T76-'ETF price'!T75</f>
        <v>-0.73000000000000043</v>
      </c>
      <c r="T74" s="3">
        <f ca="1">'ETF price'!U76-'ETF price'!U75</f>
        <v>-3.5499999999999972</v>
      </c>
      <c r="U74" s="3">
        <f ca="1">'ETF price'!V76-'ETF price'!V75</f>
        <v>1.6000000000000085</v>
      </c>
      <c r="V74" s="3">
        <f ca="1">'ETF price'!W76-'ETF price'!W75</f>
        <v>0.50999999999999801</v>
      </c>
      <c r="W74" s="3">
        <f ca="1">'ETF price'!X76-'ETF price'!X75</f>
        <v>1.4000000000000057</v>
      </c>
      <c r="X74" s="3">
        <f ca="1">'ETF price'!Y76-'ETF price'!Y75</f>
        <v>1.509999999999998</v>
      </c>
      <c r="Y74" s="3">
        <f ca="1">'ETF price'!Z76-'ETF price'!Z75</f>
        <v>1.1899999999999977</v>
      </c>
      <c r="Z74" s="3">
        <f ca="1">'ETF price'!AA76-'ETF price'!AA75</f>
        <v>1.019999999999996</v>
      </c>
      <c r="AA74" s="3">
        <f ca="1">'ETF price'!AB76-'ETF price'!AB75</f>
        <v>2.3400000000000034</v>
      </c>
      <c r="AB74" s="3">
        <f ca="1">'ETF price'!AC76-'ETF price'!AC75</f>
        <v>1.1400000000000006</v>
      </c>
      <c r="AC74" s="3">
        <f ca="1">'ETF price'!AD76-'ETF price'!AD75</f>
        <v>0.3100000000000005</v>
      </c>
      <c r="AD74" s="3">
        <f ca="1">'ETF price'!AE76-'ETF price'!AE75</f>
        <v>0.53999999999999915</v>
      </c>
      <c r="AE74" s="3">
        <f ca="1">'ETF price'!AF76-'ETF price'!AF75</f>
        <v>9.9999999999999645E-2</v>
      </c>
      <c r="AF74" s="3">
        <f ca="1">'ETF price'!AG76-'ETF price'!AG75</f>
        <v>1.3599999999999994</v>
      </c>
    </row>
    <row r="75" spans="1:32" ht="12.75" x14ac:dyDescent="0.2">
      <c r="A75" s="3">
        <f ca="1">'ETF price'!B77-'ETF price'!B76</f>
        <v>-0.13999999999998636</v>
      </c>
      <c r="B75" s="3">
        <f ca="1">'ETF price'!C77-'ETF price'!C76</f>
        <v>-1.6200000000000045</v>
      </c>
      <c r="C75" s="3">
        <f ca="1">'ETF price'!D77-'ETF price'!D76</f>
        <v>-0.95000000000000284</v>
      </c>
      <c r="D75" s="3">
        <f ca="1">'ETF price'!E77-'ETF price'!E76</f>
        <v>-0.31999999999999318</v>
      </c>
      <c r="E75" s="3">
        <f ca="1">'ETF price'!F77-'ETF price'!F76</f>
        <v>-0.25999999999999801</v>
      </c>
      <c r="F75" s="3">
        <f ca="1">'ETF price'!G77-'ETF price'!G76</f>
        <v>-0.15999999999999659</v>
      </c>
      <c r="G75" s="3">
        <f ca="1">'ETF price'!H77-'ETF price'!H76</f>
        <v>-0.28000000000000114</v>
      </c>
      <c r="H75" s="3">
        <f ca="1">'ETF price'!I77-'ETF price'!I76</f>
        <v>1.8600000000000136</v>
      </c>
      <c r="I75" s="3">
        <f ca="1">'ETF price'!J77-'ETF price'!J76</f>
        <v>3.0800000000000409</v>
      </c>
      <c r="J75" s="3">
        <f ca="1">'ETF price'!K77-'ETF price'!K76</f>
        <v>0.68000000000000682</v>
      </c>
      <c r="K75" s="3">
        <f ca="1">'ETF price'!L77-'ETF price'!L76</f>
        <v>0.19000000000001194</v>
      </c>
      <c r="L75" s="3">
        <f ca="1">'ETF price'!M77-'ETF price'!M76</f>
        <v>0.53999999999999915</v>
      </c>
      <c r="M75" s="3">
        <f ca="1">'ETF price'!N77-'ETF price'!N76</f>
        <v>0.84999999999999432</v>
      </c>
      <c r="N75" s="3">
        <f ca="1">'ETF price'!O77-'ETF price'!O76</f>
        <v>-0.16000000000000369</v>
      </c>
      <c r="O75" s="3">
        <f ca="1">'ETF price'!P77-'ETF price'!P76</f>
        <v>0.31000000000000227</v>
      </c>
      <c r="P75" s="3">
        <f ca="1">'ETF price'!Q77-'ETF price'!Q76</f>
        <v>0.54999999999999716</v>
      </c>
      <c r="Q75" s="3">
        <f ca="1">'ETF price'!R77-'ETF price'!R76</f>
        <v>0.56999999999999318</v>
      </c>
      <c r="R75" s="3">
        <f ca="1">'ETF price'!S77-'ETF price'!S76</f>
        <v>-4.9999999999997158E-2</v>
      </c>
      <c r="S75" s="3">
        <f ca="1">'ETF price'!T77-'ETF price'!T76</f>
        <v>2.9999999999997584E-2</v>
      </c>
      <c r="T75" s="3">
        <f ca="1">'ETF price'!U77-'ETF price'!U76</f>
        <v>0.37999999999999545</v>
      </c>
      <c r="U75" s="3">
        <f ca="1">'ETF price'!V77-'ETF price'!V76</f>
        <v>-3.4300000000000068</v>
      </c>
      <c r="V75" s="3">
        <f ca="1">'ETF price'!W77-'ETF price'!W76</f>
        <v>0.26000000000000512</v>
      </c>
      <c r="W75" s="3">
        <f ca="1">'ETF price'!X77-'ETF price'!X76</f>
        <v>0.72999999999998977</v>
      </c>
      <c r="X75" s="3">
        <f ca="1">'ETF price'!Y77-'ETF price'!Y76</f>
        <v>0.39999999999999858</v>
      </c>
      <c r="Y75" s="3">
        <f ca="1">'ETF price'!Z77-'ETF price'!Z76</f>
        <v>0.65000000000000568</v>
      </c>
      <c r="Z75" s="3">
        <f ca="1">'ETF price'!AA77-'ETF price'!AA76</f>
        <v>0.94000000000000483</v>
      </c>
      <c r="AA75" s="3">
        <f ca="1">'ETF price'!AB77-'ETF price'!AB76</f>
        <v>0.42000000000000171</v>
      </c>
      <c r="AB75" s="3">
        <f ca="1">'ETF price'!AC77-'ETF price'!AC76</f>
        <v>0.40999999999999659</v>
      </c>
      <c r="AC75" s="3">
        <f ca="1">'ETF price'!AD77-'ETF price'!AD76</f>
        <v>-8.0000000000000071E-2</v>
      </c>
      <c r="AD75" s="3">
        <f ca="1">'ETF price'!AE77-'ETF price'!AE76</f>
        <v>-0.19000000000000128</v>
      </c>
      <c r="AE75" s="3">
        <f ca="1">'ETF price'!AF77-'ETF price'!AF76</f>
        <v>-8.0000000000000071E-2</v>
      </c>
      <c r="AF75" s="3">
        <f ca="1">'ETF price'!AG77-'ETF price'!AG76</f>
        <v>-2.240000000000002</v>
      </c>
    </row>
    <row r="76" spans="1:32" ht="12.75" x14ac:dyDescent="0.2">
      <c r="A76" s="3">
        <f ca="1">'ETF price'!B78-'ETF price'!B77</f>
        <v>-2.5400000000000205</v>
      </c>
      <c r="B76" s="3">
        <f ca="1">'ETF price'!C78-'ETF price'!C77</f>
        <v>-7.5199999999999818</v>
      </c>
      <c r="C76" s="3">
        <f ca="1">'ETF price'!D78-'ETF price'!D77</f>
        <v>-2.3199999999999932</v>
      </c>
      <c r="D76" s="3">
        <f ca="1">'ETF price'!E78-'ETF price'!E77</f>
        <v>-3.8400000000000034</v>
      </c>
      <c r="E76" s="3">
        <f ca="1">'ETF price'!F78-'ETF price'!F77</f>
        <v>-1.7800000000000011</v>
      </c>
      <c r="F76" s="3">
        <f ca="1">'ETF price'!G78-'ETF price'!G77</f>
        <v>-0.44000000000000128</v>
      </c>
      <c r="G76" s="3">
        <f ca="1">'ETF price'!H78-'ETF price'!H77</f>
        <v>-0.71000000000000085</v>
      </c>
      <c r="H76" s="3">
        <f ca="1">'ETF price'!I78-'ETF price'!I77</f>
        <v>-1.5500000000000114</v>
      </c>
      <c r="I76" s="3">
        <f ca="1">'ETF price'!J78-'ETF price'!J77</f>
        <v>-3.4900000000000091</v>
      </c>
      <c r="J76" s="3">
        <f ca="1">'ETF price'!K78-'ETF price'!K77</f>
        <v>-3.0400000000000063</v>
      </c>
      <c r="K76" s="3">
        <f ca="1">'ETF price'!L78-'ETF price'!L77</f>
        <v>-3.6300000000000097</v>
      </c>
      <c r="L76" s="3">
        <f ca="1">'ETF price'!M78-'ETF price'!M77</f>
        <v>-1.4399999999999977</v>
      </c>
      <c r="M76" s="3">
        <f ca="1">'ETF price'!N78-'ETF price'!N77</f>
        <v>-0.90999999999999659</v>
      </c>
      <c r="N76" s="3">
        <f ca="1">'ETF price'!O78-'ETF price'!O77</f>
        <v>-2</v>
      </c>
      <c r="O76" s="3">
        <f ca="1">'ETF price'!P78-'ETF price'!P77</f>
        <v>-2.5600000000000023</v>
      </c>
      <c r="P76" s="3">
        <f ca="1">'ETF price'!Q78-'ETF price'!Q77</f>
        <v>-3.7600000000000051</v>
      </c>
      <c r="Q76" s="3">
        <f ca="1">'ETF price'!R78-'ETF price'!R77</f>
        <v>-1.480000000000004</v>
      </c>
      <c r="R76" s="3">
        <f ca="1">'ETF price'!S78-'ETF price'!S77</f>
        <v>-4.0500000000000043</v>
      </c>
      <c r="S76" s="3">
        <f ca="1">'ETF price'!T78-'ETF price'!T77</f>
        <v>-3.9999999999999147E-2</v>
      </c>
      <c r="T76" s="3">
        <f ca="1">'ETF price'!U78-'ETF price'!U77</f>
        <v>0.88000000000000966</v>
      </c>
      <c r="U76" s="3">
        <f ca="1">'ETF price'!V78-'ETF price'!V77</f>
        <v>-4.8199999999999932</v>
      </c>
      <c r="V76" s="3">
        <f ca="1">'ETF price'!W78-'ETF price'!W77</f>
        <v>-0.60000000000000142</v>
      </c>
      <c r="W76" s="3">
        <f ca="1">'ETF price'!X78-'ETF price'!X77</f>
        <v>-1.5599999999999881</v>
      </c>
      <c r="X76" s="3">
        <f ca="1">'ETF price'!Y78-'ETF price'!Y77</f>
        <v>-0.89999999999999858</v>
      </c>
      <c r="Y76" s="3">
        <f ca="1">'ETF price'!Z78-'ETF price'!Z77</f>
        <v>-1.4200000000000017</v>
      </c>
      <c r="Z76" s="3">
        <f ca="1">'ETF price'!AA78-'ETF price'!AA77</f>
        <v>-0.32999999999999829</v>
      </c>
      <c r="AA76" s="3">
        <f ca="1">'ETF price'!AB78-'ETF price'!AB77</f>
        <v>-1.3900000000000006</v>
      </c>
      <c r="AB76" s="3">
        <f ca="1">'ETF price'!AC78-'ETF price'!AC77</f>
        <v>-1.1199999999999974</v>
      </c>
      <c r="AC76" s="3">
        <f ca="1">'ETF price'!AD78-'ETF price'!AD77</f>
        <v>-9.9999999999997868E-3</v>
      </c>
      <c r="AD76" s="3">
        <f ca="1">'ETF price'!AE78-'ETF price'!AE77</f>
        <v>0</v>
      </c>
      <c r="AE76" s="3">
        <f ca="1">'ETF price'!AF78-'ETF price'!AF77</f>
        <v>-0.26999999999999957</v>
      </c>
      <c r="AF76" s="3">
        <f ca="1">'ETF price'!AG78-'ETF price'!AG77</f>
        <v>-2.519999999999996</v>
      </c>
    </row>
    <row r="77" spans="1:32" ht="12.75" x14ac:dyDescent="0.2">
      <c r="A77" s="3">
        <f ca="1">'ETF price'!B79-'ETF price'!B78</f>
        <v>-4.1199999999999761</v>
      </c>
      <c r="B77" s="3">
        <f ca="1">'ETF price'!C79-'ETF price'!C78</f>
        <v>-10.590000000000032</v>
      </c>
      <c r="C77" s="3">
        <f ca="1">'ETF price'!D79-'ETF price'!D78</f>
        <v>-2.5300000000000011</v>
      </c>
      <c r="D77" s="3">
        <f ca="1">'ETF price'!E79-'ETF price'!E78</f>
        <v>-3.1100000000000136</v>
      </c>
      <c r="E77" s="3">
        <f ca="1">'ETF price'!F79-'ETF price'!F78</f>
        <v>-1.2199999999999989</v>
      </c>
      <c r="F77" s="3">
        <f ca="1">'ETF price'!G79-'ETF price'!G78</f>
        <v>-0.94000000000000128</v>
      </c>
      <c r="G77" s="3">
        <f ca="1">'ETF price'!H79-'ETF price'!H78</f>
        <v>-0.66000000000000014</v>
      </c>
      <c r="H77" s="3">
        <f ca="1">'ETF price'!I79-'ETF price'!I78</f>
        <v>-5.0600000000000023</v>
      </c>
      <c r="I77" s="3">
        <f ca="1">'ETF price'!J79-'ETF price'!J78</f>
        <v>-9.0600000000000023</v>
      </c>
      <c r="J77" s="3">
        <f ca="1">'ETF price'!K79-'ETF price'!K78</f>
        <v>-2.9199999999999875</v>
      </c>
      <c r="K77" s="3">
        <f ca="1">'ETF price'!L79-'ETF price'!L78</f>
        <v>-1.3199999999999932</v>
      </c>
      <c r="L77" s="3">
        <f ca="1">'ETF price'!M79-'ETF price'!M78</f>
        <v>-1.2899999999999991</v>
      </c>
      <c r="M77" s="3">
        <f ca="1">'ETF price'!N79-'ETF price'!N78</f>
        <v>-2.3599999999999994</v>
      </c>
      <c r="N77" s="3">
        <f ca="1">'ETF price'!O79-'ETF price'!O78</f>
        <v>-0.55999999999999517</v>
      </c>
      <c r="O77" s="3">
        <f ca="1">'ETF price'!P79-'ETF price'!P78</f>
        <v>-1.9099999999999966</v>
      </c>
      <c r="P77" s="3">
        <f ca="1">'ETF price'!Q79-'ETF price'!Q78</f>
        <v>-2.8399999999999892</v>
      </c>
      <c r="Q77" s="3">
        <f ca="1">'ETF price'!R79-'ETF price'!R78</f>
        <v>-3.3299999999999983</v>
      </c>
      <c r="R77" s="3">
        <f ca="1">'ETF price'!S79-'ETF price'!S78</f>
        <v>-3.1199999999999974</v>
      </c>
      <c r="S77" s="3">
        <f ca="1">'ETF price'!T79-'ETF price'!T78</f>
        <v>-0.53000000000000114</v>
      </c>
      <c r="T77" s="3">
        <f ca="1">'ETF price'!U79-'ETF price'!U78</f>
        <v>-1.8100000000000023</v>
      </c>
      <c r="U77" s="3">
        <f ca="1">'ETF price'!V79-'ETF price'!V78</f>
        <v>-0.51000000000000512</v>
      </c>
      <c r="V77" s="3">
        <f ca="1">'ETF price'!W79-'ETF price'!W78</f>
        <v>-1.1099999999999994</v>
      </c>
      <c r="W77" s="3">
        <f ca="1">'ETF price'!X79-'ETF price'!X78</f>
        <v>-2.6500000000000057</v>
      </c>
      <c r="X77" s="3">
        <f ca="1">'ETF price'!Y79-'ETF price'!Y78</f>
        <v>-1.2700000000000031</v>
      </c>
      <c r="Y77" s="3">
        <f ca="1">'ETF price'!Z79-'ETF price'!Z78</f>
        <v>-2.4300000000000068</v>
      </c>
      <c r="Z77" s="3">
        <f ca="1">'ETF price'!AA79-'ETF price'!AA78</f>
        <v>-0.90000000000000568</v>
      </c>
      <c r="AA77" s="3">
        <f ca="1">'ETF price'!AB79-'ETF price'!AB78</f>
        <v>-1.3900000000000006</v>
      </c>
      <c r="AB77" s="3">
        <f ca="1">'ETF price'!AC79-'ETF price'!AC78</f>
        <v>-1.7600000000000051</v>
      </c>
      <c r="AC77" s="3">
        <f ca="1">'ETF price'!AD79-'ETF price'!AD78</f>
        <v>-0.69000000000000128</v>
      </c>
      <c r="AD77" s="3">
        <f ca="1">'ETF price'!AE79-'ETF price'!AE78</f>
        <v>-1.1099999999999994</v>
      </c>
      <c r="AE77" s="3">
        <f ca="1">'ETF price'!AF79-'ETF price'!AF78</f>
        <v>5.9999999999999609E-2</v>
      </c>
      <c r="AF77" s="3">
        <f ca="1">'ETF price'!AG79-'ETF price'!AG78</f>
        <v>-2.3599999999999994</v>
      </c>
    </row>
    <row r="78" spans="1:32" ht="12.75" x14ac:dyDescent="0.2">
      <c r="A78" s="3">
        <f ca="1">'ETF price'!B80-'ETF price'!B79</f>
        <v>2.1499999999999773</v>
      </c>
      <c r="B78" s="3">
        <f ca="1">'ETF price'!C80-'ETF price'!C79</f>
        <v>6.0800000000000409</v>
      </c>
      <c r="C78" s="3">
        <f ca="1">'ETF price'!D80-'ETF price'!D79</f>
        <v>1.7000000000000028</v>
      </c>
      <c r="D78" s="3">
        <f ca="1">'ETF price'!E80-'ETF price'!E79</f>
        <v>2.3100000000000023</v>
      </c>
      <c r="E78" s="3">
        <f ca="1">'ETF price'!F80-'ETF price'!F79</f>
        <v>1.009999999999998</v>
      </c>
      <c r="F78" s="3">
        <f ca="1">'ETF price'!G80-'ETF price'!G79</f>
        <v>0.13000000000000256</v>
      </c>
      <c r="G78" s="3">
        <f ca="1">'ETF price'!H80-'ETF price'!H79</f>
        <v>0.35999999999999943</v>
      </c>
      <c r="H78" s="3">
        <f ca="1">'ETF price'!I80-'ETF price'!I79</f>
        <v>0.90000000000000568</v>
      </c>
      <c r="I78" s="3">
        <f ca="1">'ETF price'!J80-'ETF price'!J79</f>
        <v>1.7800000000000011</v>
      </c>
      <c r="J78" s="3">
        <f ca="1">'ETF price'!K80-'ETF price'!K79</f>
        <v>1.1400000000000006</v>
      </c>
      <c r="K78" s="3">
        <f ca="1">'ETF price'!L80-'ETF price'!L79</f>
        <v>1.7299999999999898</v>
      </c>
      <c r="L78" s="3">
        <f ca="1">'ETF price'!M80-'ETF price'!M79</f>
        <v>0.48999999999999488</v>
      </c>
      <c r="M78" s="3">
        <f ca="1">'ETF price'!N80-'ETF price'!N79</f>
        <v>0.46999999999999886</v>
      </c>
      <c r="N78" s="3">
        <f ca="1">'ETF price'!O80-'ETF price'!O79</f>
        <v>0.71999999999999886</v>
      </c>
      <c r="O78" s="3">
        <f ca="1">'ETF price'!P80-'ETF price'!P79</f>
        <v>-2.519999999999996</v>
      </c>
      <c r="P78" s="3">
        <f ca="1">'ETF price'!Q80-'ETF price'!Q79</f>
        <v>-3.460000000000008</v>
      </c>
      <c r="Q78" s="3">
        <f ca="1">'ETF price'!R80-'ETF price'!R79</f>
        <v>-0.23999999999999488</v>
      </c>
      <c r="R78" s="3">
        <f ca="1">'ETF price'!S80-'ETF price'!S79</f>
        <v>-1.1300000000000026</v>
      </c>
      <c r="S78" s="3">
        <f ca="1">'ETF price'!T80-'ETF price'!T79</f>
        <v>-0.19999999999999929</v>
      </c>
      <c r="T78" s="3">
        <f ca="1">'ETF price'!U80-'ETF price'!U79</f>
        <v>-1.6599999999999966</v>
      </c>
      <c r="U78" s="3">
        <f ca="1">'ETF price'!V80-'ETF price'!V79</f>
        <v>-0.53000000000000114</v>
      </c>
      <c r="V78" s="3">
        <f ca="1">'ETF price'!W80-'ETF price'!W79</f>
        <v>5.9999999999995168E-2</v>
      </c>
      <c r="W78" s="3">
        <f ca="1">'ETF price'!X80-'ETF price'!X79</f>
        <v>0.15999999999999659</v>
      </c>
      <c r="X78" s="3">
        <f ca="1">'ETF price'!Y80-'ETF price'!Y79</f>
        <v>8.00000000000054E-2</v>
      </c>
      <c r="Y78" s="3">
        <f ca="1">'ETF price'!Z80-'ETF price'!Z79</f>
        <v>0.12000000000000455</v>
      </c>
      <c r="Z78" s="3">
        <f ca="1">'ETF price'!AA80-'ETF price'!AA79</f>
        <v>-0.22999999999999687</v>
      </c>
      <c r="AA78" s="3">
        <f ca="1">'ETF price'!AB80-'ETF price'!AB79</f>
        <v>6.9999999999993179E-2</v>
      </c>
      <c r="AB78" s="3">
        <f ca="1">'ETF price'!AC80-'ETF price'!AC79</f>
        <v>0.19000000000000483</v>
      </c>
      <c r="AC78" s="3">
        <f ca="1">'ETF price'!AD80-'ETF price'!AD79</f>
        <v>0.30000000000000071</v>
      </c>
      <c r="AD78" s="3">
        <f ca="1">'ETF price'!AE80-'ETF price'!AE79</f>
        <v>0.47000000000000242</v>
      </c>
      <c r="AE78" s="3">
        <f ca="1">'ETF price'!AF80-'ETF price'!AF79</f>
        <v>-0.33000000000000007</v>
      </c>
      <c r="AF78" s="3">
        <f ca="1">'ETF price'!AG80-'ETF price'!AG79</f>
        <v>0.79999999999999716</v>
      </c>
    </row>
    <row r="79" spans="1:32" ht="12.75" x14ac:dyDescent="0.2">
      <c r="A79" s="3">
        <f ca="1">'ETF price'!B81-'ETF price'!B80</f>
        <v>-5.4099999999999966</v>
      </c>
      <c r="B79" s="3">
        <f ca="1">'ETF price'!C81-'ETF price'!C80</f>
        <v>-14.420000000000016</v>
      </c>
      <c r="C79" s="3">
        <f ca="1">'ETF price'!D81-'ETF price'!D80</f>
        <v>-3.5</v>
      </c>
      <c r="D79" s="3">
        <f ca="1">'ETF price'!E81-'ETF price'!E80</f>
        <v>-6.1699999999999875</v>
      </c>
      <c r="E79" s="3">
        <f ca="1">'ETF price'!F81-'ETF price'!F80</f>
        <v>-1.8099999999999952</v>
      </c>
      <c r="F79" s="3">
        <f ca="1">'ETF price'!G81-'ETF price'!G80</f>
        <v>-1.0900000000000034</v>
      </c>
      <c r="G79" s="3">
        <f ca="1">'ETF price'!H81-'ETF price'!H80</f>
        <v>-0.98999999999999844</v>
      </c>
      <c r="H79" s="3">
        <f ca="1">'ETF price'!I81-'ETF price'!I80</f>
        <v>-2.3700000000000045</v>
      </c>
      <c r="I79" s="3">
        <f ca="1">'ETF price'!J81-'ETF price'!J80</f>
        <v>-5.3700000000000045</v>
      </c>
      <c r="J79" s="3">
        <f ca="1">'ETF price'!K81-'ETF price'!K80</f>
        <v>-4.7900000000000063</v>
      </c>
      <c r="K79" s="3">
        <f ca="1">'ETF price'!L81-'ETF price'!L80</f>
        <v>-4.8799999999999955</v>
      </c>
      <c r="L79" s="3">
        <f ca="1">'ETF price'!M81-'ETF price'!M80</f>
        <v>-2.1699999999999946</v>
      </c>
      <c r="M79" s="3">
        <f ca="1">'ETF price'!N81-'ETF price'!N80</f>
        <v>-1.4099999999999966</v>
      </c>
      <c r="N79" s="3">
        <f ca="1">'ETF price'!O81-'ETF price'!O80</f>
        <v>-2.2000000000000028</v>
      </c>
      <c r="O79" s="3">
        <f ca="1">'ETF price'!P81-'ETF price'!P80</f>
        <v>9.9999999999994316E-2</v>
      </c>
      <c r="P79" s="3">
        <f ca="1">'ETF price'!Q81-'ETF price'!Q80</f>
        <v>1.0000000000005116E-2</v>
      </c>
      <c r="Q79" s="3">
        <f ca="1">'ETF price'!R81-'ETF price'!R80</f>
        <v>-1.3199999999999932</v>
      </c>
      <c r="R79" s="3">
        <f ca="1">'ETF price'!S81-'ETF price'!S80</f>
        <v>-1</v>
      </c>
      <c r="S79" s="3">
        <f ca="1">'ETF price'!T81-'ETF price'!T80</f>
        <v>0.37000000000000099</v>
      </c>
      <c r="T79" s="3">
        <f ca="1">'ETF price'!U81-'ETF price'!U80</f>
        <v>1.8099999999999881</v>
      </c>
      <c r="U79" s="3">
        <f ca="1">'ETF price'!V81-'ETF price'!V80</f>
        <v>-1.6099999999999994</v>
      </c>
      <c r="V79" s="3">
        <f ca="1">'ETF price'!W81-'ETF price'!W80</f>
        <v>-0.90999999999999659</v>
      </c>
      <c r="W79" s="3">
        <f ca="1">'ETF price'!X81-'ETF price'!X80</f>
        <v>-2.3199999999999932</v>
      </c>
      <c r="X79" s="3">
        <f ca="1">'ETF price'!Y81-'ETF price'!Y80</f>
        <v>-1.470000000000006</v>
      </c>
      <c r="Y79" s="3">
        <f ca="1">'ETF price'!Z81-'ETF price'!Z80</f>
        <v>-2.1400000000000006</v>
      </c>
      <c r="Z79" s="3">
        <f ca="1">'ETF price'!AA81-'ETF price'!AA80</f>
        <v>-0.77000000000000313</v>
      </c>
      <c r="AA79" s="3">
        <f ca="1">'ETF price'!AB81-'ETF price'!AB80</f>
        <v>-1.9999999999999929</v>
      </c>
      <c r="AB79" s="3">
        <f ca="1">'ETF price'!AC81-'ETF price'!AC80</f>
        <v>-1.6900000000000048</v>
      </c>
      <c r="AC79" s="3">
        <f ca="1">'ETF price'!AD81-'ETF price'!AD80</f>
        <v>-0.78999999999999915</v>
      </c>
      <c r="AD79" s="3">
        <f ca="1">'ETF price'!AE81-'ETF price'!AE80</f>
        <v>-1.240000000000002</v>
      </c>
      <c r="AE79" s="3">
        <f ca="1">'ETF price'!AF81-'ETF price'!AF80</f>
        <v>8.0000000000000071E-2</v>
      </c>
      <c r="AF79" s="3">
        <f ca="1">'ETF price'!AG81-'ETF price'!AG80</f>
        <v>-3.6400000000000006</v>
      </c>
    </row>
    <row r="80" spans="1:32" ht="12.75" x14ac:dyDescent="0.2">
      <c r="A80" s="3">
        <f ca="1">'ETF price'!B82-'ETF price'!B81</f>
        <v>2.0699999999999932</v>
      </c>
      <c r="B80" s="3">
        <f ca="1">'ETF price'!C82-'ETF price'!C81</f>
        <v>3.9200000000000159</v>
      </c>
      <c r="C80" s="3">
        <f ca="1">'ETF price'!D82-'ETF price'!D81</f>
        <v>9.9999999999994316E-2</v>
      </c>
      <c r="D80" s="3">
        <f ca="1">'ETF price'!E82-'ETF price'!E81</f>
        <v>-0.71999999999999886</v>
      </c>
      <c r="E80" s="3">
        <f ca="1">'ETF price'!F82-'ETF price'!F81</f>
        <v>-0.84000000000000341</v>
      </c>
      <c r="F80" s="3">
        <f ca="1">'ETF price'!G82-'ETF price'!G81</f>
        <v>-0.11999999999999744</v>
      </c>
      <c r="G80" s="3">
        <f ca="1">'ETF price'!H82-'ETF price'!H81</f>
        <v>1.0000000000001563E-2</v>
      </c>
      <c r="H80" s="3">
        <f ca="1">'ETF price'!I82-'ETF price'!I81</f>
        <v>-0.28999999999999204</v>
      </c>
      <c r="I80" s="3">
        <f ca="1">'ETF price'!J82-'ETF price'!J81</f>
        <v>-0.46000000000000796</v>
      </c>
      <c r="J80" s="3">
        <f ca="1">'ETF price'!K82-'ETF price'!K81</f>
        <v>-0.34000000000000341</v>
      </c>
      <c r="K80" s="3">
        <f ca="1">'ETF price'!L82-'ETF price'!L81</f>
        <v>-0.76999999999999602</v>
      </c>
      <c r="L80" s="3">
        <f ca="1">'ETF price'!M82-'ETF price'!M81</f>
        <v>0.10999999999999943</v>
      </c>
      <c r="M80" s="3">
        <f ca="1">'ETF price'!N82-'ETF price'!N81</f>
        <v>-0.14000000000000057</v>
      </c>
      <c r="N80" s="3">
        <f ca="1">'ETF price'!O82-'ETF price'!O81</f>
        <v>-0.32000000000000028</v>
      </c>
      <c r="O80" s="3">
        <f ca="1">'ETF price'!P82-'ETF price'!P81</f>
        <v>1.0799999999999983</v>
      </c>
      <c r="P80" s="3">
        <f ca="1">'ETF price'!Q82-'ETF price'!Q81</f>
        <v>1.539999999999992</v>
      </c>
      <c r="Q80" s="3">
        <f ca="1">'ETF price'!R82-'ETF price'!R81</f>
        <v>1.2399999999999949</v>
      </c>
      <c r="R80" s="3">
        <f ca="1">'ETF price'!S82-'ETF price'!S81</f>
        <v>1.009999999999998</v>
      </c>
      <c r="S80" s="3">
        <f ca="1">'ETF price'!T82-'ETF price'!T81</f>
        <v>0.19000000000000128</v>
      </c>
      <c r="T80" s="3">
        <f ca="1">'ETF price'!U82-'ETF price'!U81</f>
        <v>-8.99999999999892E-2</v>
      </c>
      <c r="U80" s="3">
        <f ca="1">'ETF price'!V82-'ETF price'!V81</f>
        <v>1.7999999999999972</v>
      </c>
      <c r="V80" s="3">
        <f ca="1">'ETF price'!W82-'ETF price'!W81</f>
        <v>-3.0000000000001137E-2</v>
      </c>
      <c r="W80" s="3">
        <f ca="1">'ETF price'!X82-'ETF price'!X81</f>
        <v>-0.15000000000000568</v>
      </c>
      <c r="X80" s="3">
        <f ca="1">'ETF price'!Y82-'ETF price'!Y81</f>
        <v>-9.9999999999980105E-3</v>
      </c>
      <c r="Y80" s="3">
        <f ca="1">'ETF price'!Z82-'ETF price'!Z81</f>
        <v>3.0000000000001137E-2</v>
      </c>
      <c r="Z80" s="3">
        <f ca="1">'ETF price'!AA82-'ETF price'!AA81</f>
        <v>-0.28999999999999915</v>
      </c>
      <c r="AA80" s="3">
        <f ca="1">'ETF price'!AB82-'ETF price'!AB81</f>
        <v>-3.9999999999999147E-2</v>
      </c>
      <c r="AB80" s="3">
        <f ca="1">'ETF price'!AC82-'ETF price'!AC81</f>
        <v>0.44000000000000483</v>
      </c>
      <c r="AC80" s="3">
        <f ca="1">'ETF price'!AD82-'ETF price'!AD81</f>
        <v>0.23999999999999844</v>
      </c>
      <c r="AD80" s="3">
        <f ca="1">'ETF price'!AE82-'ETF price'!AE81</f>
        <v>0.37000000000000099</v>
      </c>
      <c r="AE80" s="3">
        <f ca="1">'ETF price'!AF82-'ETF price'!AF81</f>
        <v>2.0000000000000462E-2</v>
      </c>
      <c r="AF80" s="3">
        <f ca="1">'ETF price'!AG82-'ETF price'!AG81</f>
        <v>-0.35999999999999943</v>
      </c>
    </row>
    <row r="81" spans="1:32" ht="12.75" x14ac:dyDescent="0.2">
      <c r="A81" s="3">
        <f ca="1">'ETF price'!B83-'ETF price'!B82</f>
        <v>5.6800000000000068</v>
      </c>
      <c r="B81" s="3">
        <f ca="1">'ETF price'!C83-'ETF price'!C82</f>
        <v>14.899999999999977</v>
      </c>
      <c r="C81" s="3">
        <f ca="1">'ETF price'!D83-'ETF price'!D82</f>
        <v>4.1500000000000057</v>
      </c>
      <c r="D81" s="3">
        <f ca="1">'ETF price'!E83-'ETF price'!E82</f>
        <v>7.289999999999992</v>
      </c>
      <c r="E81" s="3">
        <f ca="1">'ETF price'!F83-'ETF price'!F82</f>
        <v>1.0399999999999991</v>
      </c>
      <c r="F81" s="3">
        <f ca="1">'ETF price'!G83-'ETF price'!G82</f>
        <v>0.64000000000000057</v>
      </c>
      <c r="G81" s="3">
        <f ca="1">'ETF price'!H83-'ETF price'!H82</f>
        <v>0.62999999999999901</v>
      </c>
      <c r="H81" s="3">
        <f ca="1">'ETF price'!I83-'ETF price'!I82</f>
        <v>1.8199999999999932</v>
      </c>
      <c r="I81" s="3">
        <f ca="1">'ETF price'!J83-'ETF price'!J82</f>
        <v>2.6999999999999886</v>
      </c>
      <c r="J81" s="3">
        <f ca="1">'ETF price'!K83-'ETF price'!K82</f>
        <v>0</v>
      </c>
      <c r="K81" s="3">
        <f ca="1">'ETF price'!L83-'ETF price'!L82</f>
        <v>0.26999999999999602</v>
      </c>
      <c r="L81" s="3">
        <f ca="1">'ETF price'!M83-'ETF price'!M82</f>
        <v>0.21000000000000085</v>
      </c>
      <c r="M81" s="3">
        <f ca="1">'ETF price'!N83-'ETF price'!N82</f>
        <v>0.71000000000000085</v>
      </c>
      <c r="N81" s="3">
        <f ca="1">'ETF price'!O83-'ETF price'!O82</f>
        <v>0.32000000000000028</v>
      </c>
      <c r="O81" s="3">
        <f ca="1">'ETF price'!P83-'ETF price'!P82</f>
        <v>2.269999999999996</v>
      </c>
      <c r="P81" s="3">
        <f ca="1">'ETF price'!Q83-'ETF price'!Q82</f>
        <v>3.2600000000000051</v>
      </c>
      <c r="Q81" s="3">
        <f ca="1">'ETF price'!R83-'ETF price'!R82</f>
        <v>1.3499999999999943</v>
      </c>
      <c r="R81" s="3">
        <f ca="1">'ETF price'!S83-'ETF price'!S82</f>
        <v>1.0600000000000023</v>
      </c>
      <c r="S81" s="3">
        <f ca="1">'ETF price'!T83-'ETF price'!T82</f>
        <v>0.22999999999999687</v>
      </c>
      <c r="T81" s="3">
        <f ca="1">'ETF price'!U83-'ETF price'!U82</f>
        <v>1.7099999999999937</v>
      </c>
      <c r="U81" s="3">
        <f ca="1">'ETF price'!V83-'ETF price'!V82</f>
        <v>0.59000000000000341</v>
      </c>
      <c r="V81" s="3">
        <f ca="1">'ETF price'!W83-'ETF price'!W82</f>
        <v>0.45000000000000284</v>
      </c>
      <c r="W81" s="3">
        <f ca="1">'ETF price'!X83-'ETF price'!X82</f>
        <v>1.269999999999996</v>
      </c>
      <c r="X81" s="3">
        <f ca="1">'ETF price'!Y83-'ETF price'!Y82</f>
        <v>0.69000000000000483</v>
      </c>
      <c r="Y81" s="3">
        <f ca="1">'ETF price'!Z83-'ETF price'!Z82</f>
        <v>1.0700000000000074</v>
      </c>
      <c r="Z81" s="3">
        <f ca="1">'ETF price'!AA83-'ETF price'!AA82</f>
        <v>0.88000000000000256</v>
      </c>
      <c r="AA81" s="3">
        <f ca="1">'ETF price'!AB83-'ETF price'!AB82</f>
        <v>0.92999999999999972</v>
      </c>
      <c r="AB81" s="3">
        <f ca="1">'ETF price'!AC83-'ETF price'!AC82</f>
        <v>1.0899999999999963</v>
      </c>
      <c r="AC81" s="3">
        <f ca="1">'ETF price'!AD83-'ETF price'!AD82</f>
        <v>0.43000000000000149</v>
      </c>
      <c r="AD81" s="3">
        <f ca="1">'ETF price'!AE83-'ETF price'!AE82</f>
        <v>0.71000000000000085</v>
      </c>
      <c r="AE81" s="3">
        <f ca="1">'ETF price'!AF83-'ETF price'!AF82</f>
        <v>-0.16999999999999993</v>
      </c>
      <c r="AF81" s="3">
        <f ca="1">'ETF price'!AG83-'ETF price'!AG82</f>
        <v>1.2000000000000028</v>
      </c>
    </row>
    <row r="82" spans="1:32" ht="12.75" x14ac:dyDescent="0.2">
      <c r="A82" s="3">
        <f ca="1">'ETF price'!B84-'ETF price'!B83</f>
        <v>-6.1500000000000057</v>
      </c>
      <c r="B82" s="3">
        <f ca="1">'ETF price'!C84-'ETF price'!C83</f>
        <v>-15.930000000000007</v>
      </c>
      <c r="C82" s="3">
        <f ca="1">'ETF price'!D84-'ETF price'!D83</f>
        <v>-3.8599999999999994</v>
      </c>
      <c r="D82" s="3">
        <f ca="1">'ETF price'!E84-'ETF price'!E83</f>
        <v>-5.9699999999999989</v>
      </c>
      <c r="E82" s="3">
        <f ca="1">'ETF price'!F84-'ETF price'!F83</f>
        <v>-2.0599999999999952</v>
      </c>
      <c r="F82" s="3">
        <f ca="1">'ETF price'!G84-'ETF price'!G83</f>
        <v>-0.5</v>
      </c>
      <c r="G82" s="3">
        <f ca="1">'ETF price'!H84-'ETF price'!H83</f>
        <v>-0.74000000000000199</v>
      </c>
      <c r="H82" s="3">
        <f ca="1">'ETF price'!I84-'ETF price'!I83</f>
        <v>-3.4399999999999977</v>
      </c>
      <c r="I82" s="3">
        <f ca="1">'ETF price'!J84-'ETF price'!J83</f>
        <v>-5.9699999999999989</v>
      </c>
      <c r="J82" s="3">
        <f ca="1">'ETF price'!K84-'ETF price'!K83</f>
        <v>-2.3999999999999915</v>
      </c>
      <c r="K82" s="3">
        <f ca="1">'ETF price'!L84-'ETF price'!L83</f>
        <v>-2.3599999999999994</v>
      </c>
      <c r="L82" s="3">
        <f ca="1">'ETF price'!M84-'ETF price'!M83</f>
        <v>-1.4600000000000009</v>
      </c>
      <c r="M82" s="3">
        <f ca="1">'ETF price'!N84-'ETF price'!N83</f>
        <v>-1.5600000000000023</v>
      </c>
      <c r="N82" s="3">
        <f ca="1">'ETF price'!O84-'ETF price'!O83</f>
        <v>-1.1199999999999974</v>
      </c>
      <c r="O82" s="3">
        <f ca="1">'ETF price'!P84-'ETF price'!P83</f>
        <v>-1.9799999999999898</v>
      </c>
      <c r="P82" s="3">
        <f ca="1">'ETF price'!Q84-'ETF price'!Q83</f>
        <v>-2.8299999999999983</v>
      </c>
      <c r="Q82" s="3">
        <f ca="1">'ETF price'!R84-'ETF price'!R83</f>
        <v>-1.7399999999999949</v>
      </c>
      <c r="R82" s="3">
        <f ca="1">'ETF price'!S84-'ETF price'!S83</f>
        <v>-2.1499999999999986</v>
      </c>
      <c r="S82" s="3">
        <f ca="1">'ETF price'!T84-'ETF price'!T83</f>
        <v>-0.2099999999999973</v>
      </c>
      <c r="T82" s="3">
        <f ca="1">'ETF price'!U84-'ETF price'!U83</f>
        <v>-0.92000000000000171</v>
      </c>
      <c r="U82" s="3">
        <f ca="1">'ETF price'!V84-'ETF price'!V83</f>
        <v>-0.51999999999999602</v>
      </c>
      <c r="V82" s="3">
        <f ca="1">'ETF price'!W84-'ETF price'!W83</f>
        <v>-1.230000000000004</v>
      </c>
      <c r="W82" s="3">
        <f ca="1">'ETF price'!X84-'ETF price'!X83</f>
        <v>-3.0599999999999881</v>
      </c>
      <c r="X82" s="3">
        <f ca="1">'ETF price'!Y84-'ETF price'!Y83</f>
        <v>-1.5300000000000011</v>
      </c>
      <c r="Y82" s="3">
        <f ca="1">'ETF price'!Z84-'ETF price'!Z83</f>
        <v>-2.7700000000000102</v>
      </c>
      <c r="Z82" s="3">
        <f ca="1">'ETF price'!AA84-'ETF price'!AA83</f>
        <v>-2.3599999999999994</v>
      </c>
      <c r="AA82" s="3">
        <f ca="1">'ETF price'!AB84-'ETF price'!AB83</f>
        <v>-2.009999999999998</v>
      </c>
      <c r="AB82" s="3">
        <f ca="1">'ETF price'!AC84-'ETF price'!AC83</f>
        <v>-1.9399999999999977</v>
      </c>
      <c r="AC82" s="3">
        <f ca="1">'ETF price'!AD84-'ETF price'!AD83</f>
        <v>-0.66999999999999993</v>
      </c>
      <c r="AD82" s="3">
        <f ca="1">'ETF price'!AE84-'ETF price'!AE83</f>
        <v>-1.1000000000000014</v>
      </c>
      <c r="AE82" s="3">
        <f ca="1">'ETF price'!AF84-'ETF price'!AF83</f>
        <v>4.9999999999999822E-2</v>
      </c>
      <c r="AF82" s="3">
        <f ca="1">'ETF price'!AG84-'ETF price'!AG83</f>
        <v>-2.4400000000000048</v>
      </c>
    </row>
    <row r="83" spans="1:32" ht="12.75" x14ac:dyDescent="0.2">
      <c r="A83" s="3">
        <f ca="1">'ETF price'!B85-'ETF price'!B84</f>
        <v>2.1500000000000057</v>
      </c>
      <c r="B83" s="3">
        <f ca="1">'ETF price'!C85-'ETF price'!C84</f>
        <v>6.0699999999999932</v>
      </c>
      <c r="C83" s="3">
        <f ca="1">'ETF price'!D85-'ETF price'!D84</f>
        <v>1.9099999999999966</v>
      </c>
      <c r="D83" s="3">
        <f ca="1">'ETF price'!E85-'ETF price'!E84</f>
        <v>4.460000000000008</v>
      </c>
      <c r="E83" s="3">
        <f ca="1">'ETF price'!F85-'ETF price'!F84</f>
        <v>0.64999999999999858</v>
      </c>
      <c r="F83" s="3">
        <f ca="1">'ETF price'!G85-'ETF price'!G84</f>
        <v>0.26999999999999957</v>
      </c>
      <c r="G83" s="3">
        <f ca="1">'ETF price'!H85-'ETF price'!H84</f>
        <v>0.49000000000000199</v>
      </c>
      <c r="H83" s="3">
        <f ca="1">'ETF price'!I85-'ETF price'!I84</f>
        <v>-0.81000000000000227</v>
      </c>
      <c r="I83" s="3">
        <f ca="1">'ETF price'!J85-'ETF price'!J84</f>
        <v>-0.70999999999997954</v>
      </c>
      <c r="J83" s="3">
        <f ca="1">'ETF price'!K85-'ETF price'!K84</f>
        <v>1.7099999999999937</v>
      </c>
      <c r="K83" s="3">
        <f ca="1">'ETF price'!L85-'ETF price'!L84</f>
        <v>2.9500000000000028</v>
      </c>
      <c r="L83" s="3">
        <f ca="1">'ETF price'!M85-'ETF price'!M84</f>
        <v>0.69999999999999574</v>
      </c>
      <c r="M83" s="3">
        <f ca="1">'ETF price'!N85-'ETF price'!N84</f>
        <v>-0.18999999999999773</v>
      </c>
      <c r="N83" s="3">
        <f ca="1">'ETF price'!O85-'ETF price'!O84</f>
        <v>1.5600000000000023</v>
      </c>
      <c r="O83" s="3">
        <f ca="1">'ETF price'!P85-'ETF price'!P84</f>
        <v>1.1999999999999886</v>
      </c>
      <c r="P83" s="3">
        <f ca="1">'ETF price'!Q85-'ETF price'!Q84</f>
        <v>1.2000000000000028</v>
      </c>
      <c r="Q83" s="3">
        <f ca="1">'ETF price'!R85-'ETF price'!R84</f>
        <v>-0.26000000000000512</v>
      </c>
      <c r="R83" s="3">
        <f ca="1">'ETF price'!S85-'ETF price'!S84</f>
        <v>-0.71000000000000085</v>
      </c>
      <c r="S83" s="3">
        <f ca="1">'ETF price'!T85-'ETF price'!T84</f>
        <v>0.41999999999999815</v>
      </c>
      <c r="T83" s="3">
        <f ca="1">'ETF price'!U85-'ETF price'!U84</f>
        <v>1.2199999999999989</v>
      </c>
      <c r="U83" s="3">
        <f ca="1">'ETF price'!V85-'ETF price'!V84</f>
        <v>0.75</v>
      </c>
      <c r="V83" s="3">
        <f ca="1">'ETF price'!W85-'ETF price'!W84</f>
        <v>1.0000000000005116E-2</v>
      </c>
      <c r="W83" s="3">
        <f ca="1">'ETF price'!X85-'ETF price'!X84</f>
        <v>0.36999999999999034</v>
      </c>
      <c r="X83" s="3">
        <f ca="1">'ETF price'!Y85-'ETF price'!Y84</f>
        <v>0.65999999999999659</v>
      </c>
      <c r="Y83" s="3">
        <f ca="1">'ETF price'!Z85-'ETF price'!Z84</f>
        <v>0.32000000000000739</v>
      </c>
      <c r="Z83" s="3">
        <f ca="1">'ETF price'!AA85-'ETF price'!AA84</f>
        <v>-1.2100000000000009</v>
      </c>
      <c r="AA83" s="3">
        <f ca="1">'ETF price'!AB85-'ETF price'!AB84</f>
        <v>0.86999999999999744</v>
      </c>
      <c r="AB83" s="3">
        <f ca="1">'ETF price'!AC85-'ETF price'!AC84</f>
        <v>0.24000000000000199</v>
      </c>
      <c r="AC83" s="3">
        <f ca="1">'ETF price'!AD85-'ETF price'!AD84</f>
        <v>8.9999999999999858E-2</v>
      </c>
      <c r="AD83" s="3">
        <f ca="1">'ETF price'!AE85-'ETF price'!AE84</f>
        <v>0.16000000000000014</v>
      </c>
      <c r="AE83" s="3">
        <f ca="1">'ETF price'!AF85-'ETF price'!AF84</f>
        <v>0</v>
      </c>
      <c r="AF83" s="3">
        <f ca="1">'ETF price'!AG85-'ETF price'!AG84</f>
        <v>1.9600000000000009</v>
      </c>
    </row>
    <row r="84" spans="1:32" ht="12.75" x14ac:dyDescent="0.2">
      <c r="A84" s="3">
        <f ca="1">'ETF price'!B86-'ETF price'!B85</f>
        <v>0.25</v>
      </c>
      <c r="B84" s="3">
        <f ca="1">'ETF price'!C86-'ETF price'!C85</f>
        <v>0.24000000000000909</v>
      </c>
      <c r="C84" s="3">
        <f ca="1">'ETF price'!D86-'ETF price'!D85</f>
        <v>0.12000000000000455</v>
      </c>
      <c r="D84" s="3">
        <f ca="1">'ETF price'!E86-'ETF price'!E85</f>
        <v>1.1499999999999773</v>
      </c>
      <c r="E84" s="3">
        <f ca="1">'ETF price'!F86-'ETF price'!F85</f>
        <v>-0.38000000000000256</v>
      </c>
      <c r="F84" s="3">
        <f ca="1">'ETF price'!G86-'ETF price'!G85</f>
        <v>-1.9999999999999574E-2</v>
      </c>
      <c r="G84" s="3">
        <f ca="1">'ETF price'!H86-'ETF price'!H85</f>
        <v>0.10999999999999943</v>
      </c>
      <c r="H84" s="3">
        <f ca="1">'ETF price'!I86-'ETF price'!I85</f>
        <v>0.40999999999999659</v>
      </c>
      <c r="I84" s="3">
        <f ca="1">'ETF price'!J86-'ETF price'!J85</f>
        <v>0.60999999999998522</v>
      </c>
      <c r="J84" s="3">
        <f ca="1">'ETF price'!K86-'ETF price'!K85</f>
        <v>1.0799999999999983</v>
      </c>
      <c r="K84" s="3">
        <f ca="1">'ETF price'!L86-'ETF price'!L85</f>
        <v>6.9999999999993179E-2</v>
      </c>
      <c r="L84" s="3">
        <f ca="1">'ETF price'!M86-'ETF price'!M85</f>
        <v>0.53000000000000114</v>
      </c>
      <c r="M84" s="3">
        <f ca="1">'ETF price'!N86-'ETF price'!N85</f>
        <v>0.15999999999999659</v>
      </c>
      <c r="N84" s="3">
        <f ca="1">'ETF price'!O86-'ETF price'!O85</f>
        <v>0.23999999999999488</v>
      </c>
      <c r="O84" s="3">
        <f ca="1">'ETF price'!P86-'ETF price'!P85</f>
        <v>2.1400000000000006</v>
      </c>
      <c r="P84" s="3">
        <f ca="1">'ETF price'!Q86-'ETF price'!Q85</f>
        <v>3.2599999999999909</v>
      </c>
      <c r="Q84" s="3">
        <f ca="1">'ETF price'!R86-'ETF price'!R85</f>
        <v>0.95000000000000284</v>
      </c>
      <c r="R84" s="3">
        <f ca="1">'ETF price'!S86-'ETF price'!S85</f>
        <v>1.259999999999998</v>
      </c>
      <c r="S84" s="3">
        <f ca="1">'ETF price'!T86-'ETF price'!T85</f>
        <v>-0.39000000000000057</v>
      </c>
      <c r="T84" s="3">
        <f ca="1">'ETF price'!U86-'ETF price'!U85</f>
        <v>-1.6899999999999977</v>
      </c>
      <c r="U84" s="3">
        <f ca="1">'ETF price'!V86-'ETF price'!V85</f>
        <v>2.1099999999999994</v>
      </c>
      <c r="V84" s="3">
        <f ca="1">'ETF price'!W86-'ETF price'!W85</f>
        <v>0.44999999999999574</v>
      </c>
      <c r="W84" s="3">
        <f ca="1">'ETF price'!X86-'ETF price'!X85</f>
        <v>1.0799999999999983</v>
      </c>
      <c r="X84" s="3">
        <f ca="1">'ETF price'!Y86-'ETF price'!Y85</f>
        <v>0.78000000000000114</v>
      </c>
      <c r="Y84" s="3">
        <f ca="1">'ETF price'!Z86-'ETF price'!Z85</f>
        <v>1.0099999999999909</v>
      </c>
      <c r="Z84" s="3">
        <f ca="1">'ETF price'!AA86-'ETF price'!AA85</f>
        <v>0.54999999999999716</v>
      </c>
      <c r="AA84" s="3">
        <f ca="1">'ETF price'!AB86-'ETF price'!AB85</f>
        <v>0.86999999999999744</v>
      </c>
      <c r="AB84" s="3">
        <f ca="1">'ETF price'!AC86-'ETF price'!AC85</f>
        <v>0.60999999999999943</v>
      </c>
      <c r="AC84" s="3">
        <f ca="1">'ETF price'!AD86-'ETF price'!AD85</f>
        <v>-0.35000000000000142</v>
      </c>
      <c r="AD84" s="3">
        <f ca="1">'ETF price'!AE86-'ETF price'!AE85</f>
        <v>-0.57000000000000028</v>
      </c>
      <c r="AE84" s="3">
        <f ca="1">'ETF price'!AF86-'ETF price'!AF85</f>
        <v>9.9999999999999645E-2</v>
      </c>
      <c r="AF84" s="3">
        <f ca="1">'ETF price'!AG86-'ETF price'!AG85</f>
        <v>7.9999999999998295E-2</v>
      </c>
    </row>
    <row r="85" spans="1:32" ht="12.75" x14ac:dyDescent="0.2">
      <c r="A85" s="3">
        <f ca="1">'ETF price'!B87-'ETF price'!B86</f>
        <v>5.0500000000000114</v>
      </c>
      <c r="B85" s="3">
        <f ca="1">'ETF price'!C87-'ETF price'!C86</f>
        <v>12.949999999999989</v>
      </c>
      <c r="C85" s="3">
        <f ca="1">'ETF price'!D87-'ETF price'!D86</f>
        <v>3.3499999999999943</v>
      </c>
      <c r="D85" s="3">
        <f ca="1">'ETF price'!E87-'ETF price'!E86</f>
        <v>5.4000000000000057</v>
      </c>
      <c r="E85" s="3">
        <f ca="1">'ETF price'!F87-'ETF price'!F86</f>
        <v>0.41000000000000369</v>
      </c>
      <c r="F85" s="3">
        <f ca="1">'ETF price'!G87-'ETF price'!G86</f>
        <v>0.85999999999999943</v>
      </c>
      <c r="G85" s="3">
        <f ca="1">'ETF price'!H87-'ETF price'!H86</f>
        <v>0.60999999999999943</v>
      </c>
      <c r="H85" s="3">
        <f ca="1">'ETF price'!I87-'ETF price'!I86</f>
        <v>2.8800000000000239</v>
      </c>
      <c r="I85" s="3">
        <f ca="1">'ETF price'!J87-'ETF price'!J86</f>
        <v>5.1599999999999966</v>
      </c>
      <c r="J85" s="3">
        <f ca="1">'ETF price'!K87-'ETF price'!K86</f>
        <v>2.4200000000000017</v>
      </c>
      <c r="K85" s="3">
        <f ca="1">'ETF price'!L87-'ETF price'!L86</f>
        <v>1.730000000000004</v>
      </c>
      <c r="L85" s="3">
        <f ca="1">'ETF price'!M87-'ETF price'!M86</f>
        <v>0.96000000000000085</v>
      </c>
      <c r="M85" s="3">
        <f ca="1">'ETF price'!N87-'ETF price'!N86</f>
        <v>1.3700000000000045</v>
      </c>
      <c r="N85" s="3">
        <f ca="1">'ETF price'!O87-'ETF price'!O86</f>
        <v>1.2000000000000028</v>
      </c>
      <c r="O85" s="3">
        <f ca="1">'ETF price'!P87-'ETF price'!P86</f>
        <v>3.2600000000000051</v>
      </c>
      <c r="P85" s="3">
        <f ca="1">'ETF price'!Q87-'ETF price'!Q86</f>
        <v>4.5300000000000011</v>
      </c>
      <c r="Q85" s="3">
        <f ca="1">'ETF price'!R87-'ETF price'!R86</f>
        <v>2.7800000000000011</v>
      </c>
      <c r="R85" s="3">
        <f ca="1">'ETF price'!S87-'ETF price'!S86</f>
        <v>1.6700000000000017</v>
      </c>
      <c r="S85" s="3">
        <f ca="1">'ETF price'!T87-'ETF price'!T86</f>
        <v>0.86000000000000298</v>
      </c>
      <c r="T85" s="3">
        <f ca="1">'ETF price'!U87-'ETF price'!U86</f>
        <v>3.5300000000000011</v>
      </c>
      <c r="U85" s="3">
        <f ca="1">'ETF price'!V87-'ETF price'!V86</f>
        <v>3.4599999999999937</v>
      </c>
      <c r="V85" s="3">
        <f ca="1">'ETF price'!W87-'ETF price'!W86</f>
        <v>1.0700000000000003</v>
      </c>
      <c r="W85" s="3">
        <f ca="1">'ETF price'!X87-'ETF price'!X86</f>
        <v>2.6000000000000085</v>
      </c>
      <c r="X85" s="3">
        <f ca="1">'ETF price'!Y87-'ETF price'!Y86</f>
        <v>1.3100000000000023</v>
      </c>
      <c r="Y85" s="3">
        <f ca="1">'ETF price'!Z87-'ETF price'!Z86</f>
        <v>2.230000000000004</v>
      </c>
      <c r="Z85" s="3">
        <f ca="1">'ETF price'!AA87-'ETF price'!AA86</f>
        <v>0.53999999999999915</v>
      </c>
      <c r="AA85" s="3">
        <f ca="1">'ETF price'!AB87-'ETF price'!AB86</f>
        <v>1.7399999999999949</v>
      </c>
      <c r="AB85" s="3">
        <f ca="1">'ETF price'!AC87-'ETF price'!AC86</f>
        <v>1.6899999999999977</v>
      </c>
      <c r="AC85" s="3">
        <f ca="1">'ETF price'!AD87-'ETF price'!AD86</f>
        <v>0.88000000000000078</v>
      </c>
      <c r="AD85" s="3">
        <f ca="1">'ETF price'!AE87-'ETF price'!AE86</f>
        <v>1.4400000000000013</v>
      </c>
      <c r="AE85" s="3">
        <f ca="1">'ETF price'!AF87-'ETF price'!AF86</f>
        <v>-0.33999999999999986</v>
      </c>
      <c r="AF85" s="3">
        <f ca="1">'ETF price'!AG87-'ETF price'!AG86</f>
        <v>2.1200000000000045</v>
      </c>
    </row>
    <row r="86" spans="1:32" ht="12.75" x14ac:dyDescent="0.2">
      <c r="A86" s="3">
        <f ca="1">'ETF price'!B88-'ETF price'!B87</f>
        <v>-7.1599999999999966</v>
      </c>
      <c r="B86" s="3">
        <f ca="1">'ETF price'!C88-'ETF price'!C87</f>
        <v>-19.729999999999961</v>
      </c>
      <c r="C86" s="3">
        <f ca="1">'ETF price'!D88-'ETF price'!D87</f>
        <v>-4.8199999999999932</v>
      </c>
      <c r="D86" s="3">
        <f ca="1">'ETF price'!E88-'ETF price'!E87</f>
        <v>-7.0099999999999909</v>
      </c>
      <c r="E86" s="3">
        <f ca="1">'ETF price'!F88-'ETF price'!F87</f>
        <v>-2.6400000000000006</v>
      </c>
      <c r="F86" s="3">
        <f ca="1">'ETF price'!G88-'ETF price'!G87</f>
        <v>-1.1700000000000017</v>
      </c>
      <c r="G86" s="3">
        <f ca="1">'ETF price'!H88-'ETF price'!H87</f>
        <v>-1.3399999999999999</v>
      </c>
      <c r="H86" s="3">
        <f ca="1">'ETF price'!I88-'ETF price'!I87</f>
        <v>-2.5800000000000125</v>
      </c>
      <c r="I86" s="3">
        <f ca="1">'ETF price'!J88-'ETF price'!J87</f>
        <v>-5.539999999999992</v>
      </c>
      <c r="J86" s="3">
        <f ca="1">'ETF price'!K88-'ETF price'!K87</f>
        <v>-4.5</v>
      </c>
      <c r="K86" s="3">
        <f ca="1">'ETF price'!L88-'ETF price'!L87</f>
        <v>-4.730000000000004</v>
      </c>
      <c r="L86" s="3">
        <f ca="1">'ETF price'!M88-'ETF price'!M87</f>
        <v>-2.2199999999999989</v>
      </c>
      <c r="M86" s="3">
        <f ca="1">'ETF price'!N88-'ETF price'!N87</f>
        <v>-1.4500000000000028</v>
      </c>
      <c r="N86" s="3">
        <f ca="1">'ETF price'!O88-'ETF price'!O87</f>
        <v>-3.1600000000000037</v>
      </c>
      <c r="O86" s="3">
        <f ca="1">'ETF price'!P88-'ETF price'!P87</f>
        <v>-1.230000000000004</v>
      </c>
      <c r="P86" s="3">
        <f ca="1">'ETF price'!Q88-'ETF price'!Q87</f>
        <v>-1.8799999999999955</v>
      </c>
      <c r="Q86" s="3">
        <f ca="1">'ETF price'!R88-'ETF price'!R87</f>
        <v>-2.7399999999999949</v>
      </c>
      <c r="R86" s="3">
        <f ca="1">'ETF price'!S88-'ETF price'!S87</f>
        <v>-3.0899999999999963</v>
      </c>
      <c r="S86" s="3">
        <f ca="1">'ETF price'!T88-'ETF price'!T87</f>
        <v>-0.15000000000000213</v>
      </c>
      <c r="T86" s="3">
        <f ca="1">'ETF price'!U88-'ETF price'!U87</f>
        <v>0.26000000000000512</v>
      </c>
      <c r="U86" s="3">
        <f ca="1">'ETF price'!V88-'ETF price'!V87</f>
        <v>-3.1099999999999994</v>
      </c>
      <c r="V86" s="3">
        <f ca="1">'ETF price'!W88-'ETF price'!W87</f>
        <v>-1.0499999999999972</v>
      </c>
      <c r="W86" s="3">
        <f ca="1">'ETF price'!X88-'ETF price'!X87</f>
        <v>-2.5400000000000063</v>
      </c>
      <c r="X86" s="3">
        <f ca="1">'ETF price'!Y88-'ETF price'!Y87</f>
        <v>-1.5100000000000051</v>
      </c>
      <c r="Y86" s="3">
        <f ca="1">'ETF price'!Z88-'ETF price'!Z87</f>
        <v>-2.2999999999999972</v>
      </c>
      <c r="Z86" s="3">
        <f ca="1">'ETF price'!AA88-'ETF price'!AA87</f>
        <v>-1.1899999999999977</v>
      </c>
      <c r="AA86" s="3">
        <f ca="1">'ETF price'!AB88-'ETF price'!AB87</f>
        <v>-1.8899999999999935</v>
      </c>
      <c r="AB86" s="3">
        <f ca="1">'ETF price'!AC88-'ETF price'!AC87</f>
        <v>-1.8999999999999986</v>
      </c>
      <c r="AC86" s="3">
        <f ca="1">'ETF price'!AD88-'ETF price'!AD87</f>
        <v>-1.4100000000000001</v>
      </c>
      <c r="AD86" s="3">
        <f ca="1">'ETF price'!AE88-'ETF price'!AE87</f>
        <v>-2.2600000000000016</v>
      </c>
      <c r="AE86" s="3">
        <f ca="1">'ETF price'!AF88-'ETF price'!AF87</f>
        <v>-0.32999999999999963</v>
      </c>
      <c r="AF86" s="3">
        <f ca="1">'ETF price'!AG88-'ETF price'!AG87</f>
        <v>-4.5600000000000023</v>
      </c>
    </row>
    <row r="87" spans="1:32" ht="12.75" x14ac:dyDescent="0.2">
      <c r="A87" s="3">
        <f ca="1">'ETF price'!B89-'ETF price'!B88</f>
        <v>-1.1400000000000148</v>
      </c>
      <c r="B87" s="3">
        <f ca="1">'ETF price'!C89-'ETF price'!C88</f>
        <v>-3.9800000000000182</v>
      </c>
      <c r="C87" s="3">
        <f ca="1">'ETF price'!D89-'ETF price'!D88</f>
        <v>-1.0400000000000063</v>
      </c>
      <c r="D87" s="3">
        <f ca="1">'ETF price'!E89-'ETF price'!E88</f>
        <v>-1.2199999999999989</v>
      </c>
      <c r="E87" s="3">
        <f ca="1">'ETF price'!F89-'ETF price'!F88</f>
        <v>-2.0200000000000031</v>
      </c>
      <c r="F87" s="3">
        <f ca="1">'ETF price'!G89-'ETF price'!G88</f>
        <v>-0.57000000000000028</v>
      </c>
      <c r="G87" s="3">
        <f ca="1">'ETF price'!H89-'ETF price'!H88</f>
        <v>-0.82000000000000028</v>
      </c>
      <c r="H87" s="3">
        <f ca="1">'ETF price'!I89-'ETF price'!I88</f>
        <v>-0.40999999999999659</v>
      </c>
      <c r="I87" s="3">
        <f ca="1">'ETF price'!J89-'ETF price'!J88</f>
        <v>-1.6599999999999966</v>
      </c>
      <c r="J87" s="3">
        <f ca="1">'ETF price'!K89-'ETF price'!K88</f>
        <v>-4.1899999999999977</v>
      </c>
      <c r="K87" s="3">
        <f ca="1">'ETF price'!L89-'ETF price'!L88</f>
        <v>-3.7199999999999989</v>
      </c>
      <c r="L87" s="3">
        <f ca="1">'ETF price'!M89-'ETF price'!M88</f>
        <v>-1.1400000000000006</v>
      </c>
      <c r="M87" s="3">
        <f ca="1">'ETF price'!N89-'ETF price'!N88</f>
        <v>-0.39999999999999858</v>
      </c>
      <c r="N87" s="3">
        <f ca="1">'ETF price'!O89-'ETF price'!O88</f>
        <v>-2.279999999999994</v>
      </c>
      <c r="O87" s="3">
        <f ca="1">'ETF price'!P89-'ETF price'!P88</f>
        <v>2.4000000000000057</v>
      </c>
      <c r="P87" s="3">
        <f ca="1">'ETF price'!Q89-'ETF price'!Q88</f>
        <v>2.8299999999999983</v>
      </c>
      <c r="Q87" s="3">
        <f ca="1">'ETF price'!R89-'ETF price'!R88</f>
        <v>-1.230000000000004</v>
      </c>
      <c r="R87" s="3">
        <f ca="1">'ETF price'!S89-'ETF price'!S88</f>
        <v>-1.1800000000000068</v>
      </c>
      <c r="S87" s="3">
        <f ca="1">'ETF price'!T89-'ETF price'!T88</f>
        <v>3.0000000000001137E-2</v>
      </c>
      <c r="T87" s="3">
        <f ca="1">'ETF price'!U89-'ETF price'!U88</f>
        <v>1.6499999999999915</v>
      </c>
      <c r="U87" s="3">
        <f ca="1">'ETF price'!V89-'ETF price'!V88</f>
        <v>-2.6700000000000017</v>
      </c>
      <c r="V87" s="3">
        <f ca="1">'ETF price'!W89-'ETF price'!W88</f>
        <v>-0.25</v>
      </c>
      <c r="W87" s="3">
        <f ca="1">'ETF price'!X89-'ETF price'!X88</f>
        <v>-0.73999999999999488</v>
      </c>
      <c r="X87" s="3">
        <f ca="1">'ETF price'!Y89-'ETF price'!Y88</f>
        <v>-0.52999999999999403</v>
      </c>
      <c r="Y87" s="3">
        <f ca="1">'ETF price'!Z89-'ETF price'!Z88</f>
        <v>-0.57999999999999829</v>
      </c>
      <c r="Z87" s="3">
        <f ca="1">'ETF price'!AA89-'ETF price'!AA88</f>
        <v>-0.46000000000000085</v>
      </c>
      <c r="AA87" s="3">
        <f ca="1">'ETF price'!AB89-'ETF price'!AB88</f>
        <v>-0.79999999999999716</v>
      </c>
      <c r="AB87" s="3">
        <f ca="1">'ETF price'!AC89-'ETF price'!AC88</f>
        <v>-0.67999999999999972</v>
      </c>
      <c r="AC87" s="3">
        <f ca="1">'ETF price'!AD89-'ETF price'!AD88</f>
        <v>-0.11999999999999922</v>
      </c>
      <c r="AD87" s="3">
        <f ca="1">'ETF price'!AE89-'ETF price'!AE88</f>
        <v>-0.21999999999999886</v>
      </c>
      <c r="AE87" s="3">
        <f ca="1">'ETF price'!AF89-'ETF price'!AF88</f>
        <v>-0.40000000000000036</v>
      </c>
      <c r="AF87" s="3">
        <f ca="1">'ETF price'!AG89-'ETF price'!AG88</f>
        <v>-1.7999999999999972</v>
      </c>
    </row>
    <row r="88" spans="1:32" ht="12.75" x14ac:dyDescent="0.2">
      <c r="A88" s="3">
        <f ca="1">'ETF price'!B90-'ETF price'!B89</f>
        <v>-5.4399999999999977</v>
      </c>
      <c r="B88" s="3">
        <f ca="1">'ETF price'!C90-'ETF price'!C89</f>
        <v>-15.620000000000005</v>
      </c>
      <c r="C88" s="3">
        <f ca="1">'ETF price'!D90-'ETF price'!D89</f>
        <v>-3.7000000000000028</v>
      </c>
      <c r="D88" s="3">
        <f ca="1">'ETF price'!E90-'ETF price'!E89</f>
        <v>-6.9500000000000171</v>
      </c>
      <c r="E88" s="3">
        <f ca="1">'ETF price'!F90-'ETF price'!F89</f>
        <v>-2.7100000000000009</v>
      </c>
      <c r="F88" s="3">
        <f ca="1">'ETF price'!G90-'ETF price'!G89</f>
        <v>-1.25</v>
      </c>
      <c r="G88" s="3">
        <f ca="1">'ETF price'!H90-'ETF price'!H89</f>
        <v>-1.2199999999999989</v>
      </c>
      <c r="H88" s="3">
        <f ca="1">'ETF price'!I90-'ETF price'!I89</f>
        <v>-3.3599999999999994</v>
      </c>
      <c r="I88" s="3">
        <f ca="1">'ETF price'!J90-'ETF price'!J89</f>
        <v>-7.3000000000000114</v>
      </c>
      <c r="J88" s="3">
        <f ca="1">'ETF price'!K90-'ETF price'!K89</f>
        <v>-5.8900000000000006</v>
      </c>
      <c r="K88" s="3">
        <f ca="1">'ETF price'!L90-'ETF price'!L89</f>
        <v>-5.7599999999999909</v>
      </c>
      <c r="L88" s="3">
        <f ca="1">'ETF price'!M90-'ETF price'!M89</f>
        <v>-2.759999999999998</v>
      </c>
      <c r="M88" s="3">
        <f ca="1">'ETF price'!N90-'ETF price'!N89</f>
        <v>-1.8599999999999994</v>
      </c>
      <c r="N88" s="3">
        <f ca="1">'ETF price'!O90-'ETF price'!O89</f>
        <v>-4.1600000000000037</v>
      </c>
      <c r="O88" s="3">
        <f ca="1">'ETF price'!P90-'ETF price'!P89</f>
        <v>-6.8599999999999994</v>
      </c>
      <c r="P88" s="3">
        <f ca="1">'ETF price'!Q90-'ETF price'!Q89</f>
        <v>-9.7999999999999972</v>
      </c>
      <c r="Q88" s="3">
        <f ca="1">'ETF price'!R90-'ETF price'!R89</f>
        <v>-2.6700000000000017</v>
      </c>
      <c r="R88" s="3">
        <f ca="1">'ETF price'!S90-'ETF price'!S89</f>
        <v>-3.3899999999999935</v>
      </c>
      <c r="S88" s="3">
        <f ca="1">'ETF price'!T90-'ETF price'!T89</f>
        <v>-1.2800000000000011</v>
      </c>
      <c r="T88" s="3">
        <f ca="1">'ETF price'!U90-'ETF price'!U89</f>
        <v>-5.5600000000000023</v>
      </c>
      <c r="U88" s="3">
        <f ca="1">'ETF price'!V90-'ETF price'!V89</f>
        <v>-4.8599999999999994</v>
      </c>
      <c r="V88" s="3">
        <f ca="1">'ETF price'!W90-'ETF price'!W89</f>
        <v>-0.8300000000000054</v>
      </c>
      <c r="W88" s="3">
        <f ca="1">'ETF price'!X90-'ETF price'!X89</f>
        <v>-2.0600000000000023</v>
      </c>
      <c r="X88" s="3">
        <f ca="1">'ETF price'!Y90-'ETF price'!Y89</f>
        <v>-0.81000000000000227</v>
      </c>
      <c r="Y88" s="3">
        <f ca="1">'ETF price'!Z90-'ETF price'!Z89</f>
        <v>-1.9699999999999989</v>
      </c>
      <c r="Z88" s="3">
        <f ca="1">'ETF price'!AA90-'ETF price'!AA89</f>
        <v>-2.0899999999999963</v>
      </c>
      <c r="AA88" s="3">
        <f ca="1">'ETF price'!AB90-'ETF price'!AB89</f>
        <v>-0.85999999999999943</v>
      </c>
      <c r="AB88" s="3">
        <f ca="1">'ETF price'!AC90-'ETF price'!AC89</f>
        <v>-1.759999999999998</v>
      </c>
      <c r="AC88" s="3">
        <f ca="1">'ETF price'!AD90-'ETF price'!AD89</f>
        <v>-1.9600000000000009</v>
      </c>
      <c r="AD88" s="3">
        <f ca="1">'ETF price'!AE90-'ETF price'!AE89</f>
        <v>-3.16</v>
      </c>
      <c r="AE88" s="3">
        <f ca="1">'ETF price'!AF90-'ETF price'!AF89</f>
        <v>-0.14999999999999991</v>
      </c>
      <c r="AF88" s="3">
        <f ca="1">'ETF price'!AG90-'ETF price'!AG89</f>
        <v>-7</v>
      </c>
    </row>
    <row r="89" spans="1:32" ht="12.75" x14ac:dyDescent="0.2">
      <c r="A89" s="3">
        <f ca="1">'ETF price'!B91-'ETF price'!B90</f>
        <v>2.0600000000000023</v>
      </c>
      <c r="B89" s="3">
        <f ca="1">'ETF price'!C91-'ETF price'!C90</f>
        <v>5.0400000000000205</v>
      </c>
      <c r="C89" s="3">
        <f ca="1">'ETF price'!D91-'ETF price'!D90</f>
        <v>1.3400000000000034</v>
      </c>
      <c r="D89" s="3">
        <f ca="1">'ETF price'!E91-'ETF price'!E90</f>
        <v>2.9500000000000171</v>
      </c>
      <c r="E89" s="3">
        <f ca="1">'ETF price'!F91-'ETF price'!F90</f>
        <v>0.70000000000000284</v>
      </c>
      <c r="F89" s="3">
        <f ca="1">'ETF price'!G91-'ETF price'!G90</f>
        <v>-0.27999999999999758</v>
      </c>
      <c r="G89" s="3">
        <f ca="1">'ETF price'!H91-'ETF price'!H90</f>
        <v>0.16000000000000014</v>
      </c>
      <c r="H89" s="3">
        <f ca="1">'ETF price'!I91-'ETF price'!I90</f>
        <v>0.45000000000000284</v>
      </c>
      <c r="I89" s="3">
        <f ca="1">'ETF price'!J91-'ETF price'!J90</f>
        <v>1.5400000000000205</v>
      </c>
      <c r="J89" s="3">
        <f ca="1">'ETF price'!K91-'ETF price'!K90</f>
        <v>2.8599999999999994</v>
      </c>
      <c r="K89" s="3">
        <f ca="1">'ETF price'!L91-'ETF price'!L90</f>
        <v>3.3299999999999983</v>
      </c>
      <c r="L89" s="3">
        <f ca="1">'ETF price'!M91-'ETF price'!M90</f>
        <v>1.7899999999999991</v>
      </c>
      <c r="M89" s="3">
        <f ca="1">'ETF price'!N91-'ETF price'!N90</f>
        <v>0.29999999999999716</v>
      </c>
      <c r="N89" s="3">
        <f ca="1">'ETF price'!O91-'ETF price'!O90</f>
        <v>1.480000000000004</v>
      </c>
      <c r="O89" s="3">
        <f ca="1">'ETF price'!P91-'ETF price'!P90</f>
        <v>0.68999999999999773</v>
      </c>
      <c r="P89" s="3">
        <f ca="1">'ETF price'!Q91-'ETF price'!Q90</f>
        <v>0.78000000000000114</v>
      </c>
      <c r="Q89" s="3">
        <f ca="1">'ETF price'!R91-'ETF price'!R90</f>
        <v>-0.51000000000000512</v>
      </c>
      <c r="R89" s="3">
        <f ca="1">'ETF price'!S91-'ETF price'!S90</f>
        <v>-0.54000000000000625</v>
      </c>
      <c r="S89" s="3">
        <f ca="1">'ETF price'!T91-'ETF price'!T90</f>
        <v>-0.16000000000000014</v>
      </c>
      <c r="T89" s="3">
        <f ca="1">'ETF price'!U91-'ETF price'!U90</f>
        <v>-2.039999999999992</v>
      </c>
      <c r="U89" s="3">
        <f ca="1">'ETF price'!V91-'ETF price'!V90</f>
        <v>0.41000000000000369</v>
      </c>
      <c r="V89" s="3">
        <f ca="1">'ETF price'!W91-'ETF price'!W90</f>
        <v>-0.29999999999999716</v>
      </c>
      <c r="W89" s="3">
        <f ca="1">'ETF price'!X91-'ETF price'!X90</f>
        <v>-0.73000000000000398</v>
      </c>
      <c r="X89" s="3">
        <f ca="1">'ETF price'!Y91-'ETF price'!Y90</f>
        <v>-0.61999999999999744</v>
      </c>
      <c r="Y89" s="3">
        <f ca="1">'ETF price'!Z91-'ETF price'!Z90</f>
        <v>-0.52000000000001023</v>
      </c>
      <c r="Z89" s="3">
        <f ca="1">'ETF price'!AA91-'ETF price'!AA90</f>
        <v>-0.95000000000000284</v>
      </c>
      <c r="AA89" s="3">
        <f ca="1">'ETF price'!AB91-'ETF price'!AB90</f>
        <v>-0.73000000000000398</v>
      </c>
      <c r="AB89" s="3">
        <f ca="1">'ETF price'!AC91-'ETF price'!AC90</f>
        <v>-0.5</v>
      </c>
      <c r="AC89" s="3">
        <f ca="1">'ETF price'!AD91-'ETF price'!AD90</f>
        <v>0.16999999999999993</v>
      </c>
      <c r="AD89" s="3">
        <f ca="1">'ETF price'!AE91-'ETF price'!AE90</f>
        <v>0.21000000000000085</v>
      </c>
      <c r="AE89" s="3">
        <f ca="1">'ETF price'!AF91-'ETF price'!AF90</f>
        <v>-0.64000000000000012</v>
      </c>
      <c r="AF89" s="3">
        <f ca="1">'ETF price'!AG91-'ETF price'!AG90</f>
        <v>-0.56000000000000227</v>
      </c>
    </row>
    <row r="90" spans="1:32" ht="12.75" x14ac:dyDescent="0.2">
      <c r="A90" s="3">
        <f ca="1">'ETF price'!B92-'ETF price'!B91</f>
        <v>-4.3299999999999841</v>
      </c>
      <c r="B90" s="3">
        <f ca="1">'ETF price'!C92-'ETF price'!C91</f>
        <v>-12.060000000000002</v>
      </c>
      <c r="C90" s="3">
        <f ca="1">'ETF price'!D92-'ETF price'!D91</f>
        <v>-2.9099999999999966</v>
      </c>
      <c r="D90" s="3">
        <f ca="1">'ETF price'!E92-'ETF price'!E91</f>
        <v>-3.9099999999999966</v>
      </c>
      <c r="E90" s="3">
        <f ca="1">'ETF price'!F92-'ETF price'!F91</f>
        <v>-1.259999999999998</v>
      </c>
      <c r="F90" s="3">
        <f ca="1">'ETF price'!G92-'ETF price'!G91</f>
        <v>-0.47000000000000242</v>
      </c>
      <c r="G90" s="3">
        <f ca="1">'ETF price'!H92-'ETF price'!H91</f>
        <v>-0.74000000000000199</v>
      </c>
      <c r="H90" s="3">
        <f ca="1">'ETF price'!I92-'ETF price'!I91</f>
        <v>-0.84000000000000341</v>
      </c>
      <c r="I90" s="3">
        <f ca="1">'ETF price'!J92-'ETF price'!J91</f>
        <v>-2.4900000000000091</v>
      </c>
      <c r="J90" s="3">
        <f ca="1">'ETF price'!K92-'ETF price'!K91</f>
        <v>-3.6800000000000068</v>
      </c>
      <c r="K90" s="3">
        <f ca="1">'ETF price'!L92-'ETF price'!L91</f>
        <v>-4.8900000000000006</v>
      </c>
      <c r="L90" s="3">
        <f ca="1">'ETF price'!M92-'ETF price'!M91</f>
        <v>-1.8800000000000026</v>
      </c>
      <c r="M90" s="3">
        <f ca="1">'ETF price'!N92-'ETF price'!N91</f>
        <v>-0.57999999999999829</v>
      </c>
      <c r="N90" s="3">
        <f ca="1">'ETF price'!O92-'ETF price'!O91</f>
        <v>-2.5200000000000031</v>
      </c>
      <c r="O90" s="3">
        <f ca="1">'ETF price'!P92-'ETF price'!P91</f>
        <v>1.0300000000000011</v>
      </c>
      <c r="P90" s="3">
        <f ca="1">'ETF price'!Q92-'ETF price'!Q91</f>
        <v>1.2800000000000011</v>
      </c>
      <c r="Q90" s="3">
        <f ca="1">'ETF price'!R92-'ETF price'!R91</f>
        <v>4.0000000000006253E-2</v>
      </c>
      <c r="R90" s="3">
        <f ca="1">'ETF price'!S92-'ETF price'!S91</f>
        <v>-0.36999999999999744</v>
      </c>
      <c r="S90" s="3">
        <f ca="1">'ETF price'!T92-'ETF price'!T91</f>
        <v>0.66000000000000014</v>
      </c>
      <c r="T90" s="3">
        <f ca="1">'ETF price'!U92-'ETF price'!U91</f>
        <v>3.6500000000000057</v>
      </c>
      <c r="U90" s="3">
        <f ca="1">'ETF price'!V92-'ETF price'!V91</f>
        <v>-2.5300000000000011</v>
      </c>
      <c r="V90" s="3">
        <f ca="1">'ETF price'!W92-'ETF price'!W91</f>
        <v>-0.31000000000000227</v>
      </c>
      <c r="W90" s="3">
        <f ca="1">'ETF price'!X92-'ETF price'!X91</f>
        <v>-0.90999999999999659</v>
      </c>
      <c r="X90" s="3">
        <f ca="1">'ETF price'!Y92-'ETF price'!Y91</f>
        <v>-0.84000000000000341</v>
      </c>
      <c r="Y90" s="3">
        <f ca="1">'ETF price'!Z92-'ETF price'!Z91</f>
        <v>-0.8399999999999892</v>
      </c>
      <c r="Z90" s="3">
        <f ca="1">'ETF price'!AA92-'ETF price'!AA91</f>
        <v>-6.0000000000002274E-2</v>
      </c>
      <c r="AA90" s="3">
        <f ca="1">'ETF price'!AB92-'ETF price'!AB91</f>
        <v>-1.019999999999996</v>
      </c>
      <c r="AB90" s="3">
        <f ca="1">'ETF price'!AC92-'ETF price'!AC91</f>
        <v>-0.48000000000000398</v>
      </c>
      <c r="AC90" s="3">
        <f ca="1">'ETF price'!AD92-'ETF price'!AD91</f>
        <v>-0.79999999999999893</v>
      </c>
      <c r="AD90" s="3">
        <f ca="1">'ETF price'!AE92-'ETF price'!AE91</f>
        <v>-1.2600000000000016</v>
      </c>
      <c r="AE90" s="3">
        <f ca="1">'ETF price'!AF92-'ETF price'!AF91</f>
        <v>0.35000000000000009</v>
      </c>
      <c r="AF90" s="3">
        <f ca="1">'ETF price'!AG92-'ETF price'!AG91</f>
        <v>-4.2800000000000011</v>
      </c>
    </row>
    <row r="91" spans="1:32" ht="12.75" x14ac:dyDescent="0.2">
      <c r="A91" s="3">
        <f ca="1">'ETF price'!B93-'ETF price'!B92</f>
        <v>-1.3700000000000045</v>
      </c>
      <c r="B91" s="3">
        <f ca="1">'ETF price'!C93-'ETF price'!C92</f>
        <v>-2.5</v>
      </c>
      <c r="C91" s="3">
        <f ca="1">'ETF price'!D93-'ETF price'!D92</f>
        <v>-0.40000000000000568</v>
      </c>
      <c r="D91" s="3">
        <f ca="1">'ETF price'!E93-'ETF price'!E92</f>
        <v>0.78000000000000114</v>
      </c>
      <c r="E91" s="3">
        <f ca="1">'ETF price'!F93-'ETF price'!F92</f>
        <v>0.34999999999999432</v>
      </c>
      <c r="F91" s="3">
        <f ca="1">'ETF price'!G93-'ETF price'!G92</f>
        <v>7.0000000000000284E-2</v>
      </c>
      <c r="G91" s="3">
        <f ca="1">'ETF price'!H93-'ETF price'!H92</f>
        <v>0.45000000000000284</v>
      </c>
      <c r="H91" s="3">
        <f ca="1">'ETF price'!I93-'ETF price'!I92</f>
        <v>1.2199999999999989</v>
      </c>
      <c r="I91" s="3">
        <f ca="1">'ETF price'!J93-'ETF price'!J92</f>
        <v>2.4699999999999989</v>
      </c>
      <c r="J91" s="3">
        <f ca="1">'ETF price'!K93-'ETF price'!K92</f>
        <v>2.9900000000000091</v>
      </c>
      <c r="K91" s="3">
        <f ca="1">'ETF price'!L93-'ETF price'!L92</f>
        <v>2.0999999999999943</v>
      </c>
      <c r="L91" s="3">
        <f ca="1">'ETF price'!M93-'ETF price'!M92</f>
        <v>1.25</v>
      </c>
      <c r="M91" s="3">
        <f ca="1">'ETF price'!N93-'ETF price'!N92</f>
        <v>0.67999999999999972</v>
      </c>
      <c r="N91" s="3">
        <f ca="1">'ETF price'!O93-'ETF price'!O92</f>
        <v>1.3599999999999994</v>
      </c>
      <c r="O91" s="3">
        <f ca="1">'ETF price'!P93-'ETF price'!P92</f>
        <v>0.32999999999999829</v>
      </c>
      <c r="P91" s="3">
        <f ca="1">'ETF price'!Q93-'ETF price'!Q92</f>
        <v>0.34000000000000341</v>
      </c>
      <c r="Q91" s="3">
        <f ca="1">'ETF price'!R93-'ETF price'!R92</f>
        <v>-0.15000000000000568</v>
      </c>
      <c r="R91" s="3">
        <f ca="1">'ETF price'!S93-'ETF price'!S92</f>
        <v>-1.0700000000000003</v>
      </c>
      <c r="S91" s="3">
        <f ca="1">'ETF price'!T93-'ETF price'!T92</f>
        <v>0.12999999999999901</v>
      </c>
      <c r="T91" s="3">
        <f ca="1">'ETF price'!U93-'ETF price'!U92</f>
        <v>1.0499999999999972</v>
      </c>
      <c r="U91" s="3">
        <f ca="1">'ETF price'!V93-'ETF price'!V92</f>
        <v>-0.19999999999999574</v>
      </c>
      <c r="V91" s="3">
        <f ca="1">'ETF price'!W93-'ETF price'!W92</f>
        <v>-0.25</v>
      </c>
      <c r="W91" s="3">
        <f ca="1">'ETF price'!X93-'ETF price'!X92</f>
        <v>-0.40000000000000568</v>
      </c>
      <c r="X91" s="3">
        <f ca="1">'ETF price'!Y93-'ETF price'!Y92</f>
        <v>0</v>
      </c>
      <c r="Y91" s="3">
        <f ca="1">'ETF price'!Z93-'ETF price'!Z92</f>
        <v>-0.24000000000000909</v>
      </c>
      <c r="Z91" s="3">
        <f ca="1">'ETF price'!AA93-'ETF price'!AA92</f>
        <v>0.31000000000000227</v>
      </c>
      <c r="AA91" s="3">
        <f ca="1">'ETF price'!AB93-'ETF price'!AB92</f>
        <v>0</v>
      </c>
      <c r="AB91" s="3">
        <f ca="1">'ETF price'!AC93-'ETF price'!AC92</f>
        <v>-0.32999999999999829</v>
      </c>
      <c r="AC91" s="3">
        <f ca="1">'ETF price'!AD93-'ETF price'!AD92</f>
        <v>-0.26000000000000156</v>
      </c>
      <c r="AD91" s="3">
        <f ca="1">'ETF price'!AE93-'ETF price'!AE92</f>
        <v>-0.46999999999999886</v>
      </c>
      <c r="AE91" s="3">
        <f ca="1">'ETF price'!AF93-'ETF price'!AF92</f>
        <v>0.12000000000000011</v>
      </c>
      <c r="AF91" s="3">
        <f ca="1">'ETF price'!AG93-'ETF price'!AG92</f>
        <v>-0.48000000000000043</v>
      </c>
    </row>
    <row r="92" spans="1:32" ht="12.75" x14ac:dyDescent="0.2">
      <c r="A92" s="3">
        <f ca="1">'ETF price'!B94-'ETF price'!B93</f>
        <v>4.3700000000000045</v>
      </c>
      <c r="B92" s="3">
        <f ca="1">'ETF price'!C94-'ETF price'!C93</f>
        <v>12.769999999999982</v>
      </c>
      <c r="C92" s="3">
        <f ca="1">'ETF price'!D94-'ETF price'!D93</f>
        <v>3.1800000000000068</v>
      </c>
      <c r="D92" s="3">
        <f ca="1">'ETF price'!E94-'ETF price'!E93</f>
        <v>6.5900000000000034</v>
      </c>
      <c r="E92" s="3">
        <f ca="1">'ETF price'!F94-'ETF price'!F93</f>
        <v>1.9000000000000057</v>
      </c>
      <c r="F92" s="3">
        <f ca="1">'ETF price'!G94-'ETF price'!G93</f>
        <v>1.1700000000000017</v>
      </c>
      <c r="G92" s="3">
        <f ca="1">'ETF price'!H94-'ETF price'!H93</f>
        <v>1.0999999999999979</v>
      </c>
      <c r="H92" s="3">
        <f ca="1">'ETF price'!I94-'ETF price'!I93</f>
        <v>1.3499999999999943</v>
      </c>
      <c r="I92" s="3">
        <f ca="1">'ETF price'!J94-'ETF price'!J93</f>
        <v>3.5200000000000102</v>
      </c>
      <c r="J92" s="3">
        <f ca="1">'ETF price'!K94-'ETF price'!K93</f>
        <v>3.6899999999999977</v>
      </c>
      <c r="K92" s="3">
        <f ca="1">'ETF price'!L94-'ETF price'!L93</f>
        <v>3.6899999999999977</v>
      </c>
      <c r="L92" s="3">
        <f ca="1">'ETF price'!M94-'ETF price'!M93</f>
        <v>1.5799999999999983</v>
      </c>
      <c r="M92" s="3">
        <f ca="1">'ETF price'!N94-'ETF price'!N93</f>
        <v>0.85999999999999943</v>
      </c>
      <c r="N92" s="3">
        <f ca="1">'ETF price'!O94-'ETF price'!O93</f>
        <v>2.5600000000000023</v>
      </c>
      <c r="O92" s="3">
        <f ca="1">'ETF price'!P94-'ETF price'!P93</f>
        <v>2.6700000000000017</v>
      </c>
      <c r="P92" s="3">
        <f ca="1">'ETF price'!Q94-'ETF price'!Q93</f>
        <v>3.6599999999999966</v>
      </c>
      <c r="Q92" s="3">
        <f ca="1">'ETF price'!R94-'ETF price'!R93</f>
        <v>1.25</v>
      </c>
      <c r="R92" s="3">
        <f ca="1">'ETF price'!S94-'ETF price'!S93</f>
        <v>1.480000000000004</v>
      </c>
      <c r="S92" s="3">
        <f ca="1">'ETF price'!T94-'ETF price'!T93</f>
        <v>0.38000000000000256</v>
      </c>
      <c r="T92" s="3">
        <f ca="1">'ETF price'!U94-'ETF price'!U93</f>
        <v>2.0499999999999972</v>
      </c>
      <c r="U92" s="3">
        <f ca="1">'ETF price'!V94-'ETF price'!V93</f>
        <v>4.1199999999999974</v>
      </c>
      <c r="V92" s="3">
        <f ca="1">'ETF price'!W94-'ETF price'!W93</f>
        <v>0.48000000000000398</v>
      </c>
      <c r="W92" s="3">
        <f ca="1">'ETF price'!X94-'ETF price'!X93</f>
        <v>1.3300000000000125</v>
      </c>
      <c r="X92" s="3">
        <f ca="1">'ETF price'!Y94-'ETF price'!Y93</f>
        <v>0.57999999999999829</v>
      </c>
      <c r="Y92" s="3">
        <f ca="1">'ETF price'!Z94-'ETF price'!Z93</f>
        <v>1.2400000000000091</v>
      </c>
      <c r="Z92" s="3">
        <f ca="1">'ETF price'!AA94-'ETF price'!AA93</f>
        <v>1.0500000000000043</v>
      </c>
      <c r="AA92" s="3">
        <f ca="1">'ETF price'!AB94-'ETF price'!AB93</f>
        <v>0.54999999999999716</v>
      </c>
      <c r="AB92" s="3">
        <f ca="1">'ETF price'!AC94-'ETF price'!AC93</f>
        <v>1.1300000000000026</v>
      </c>
      <c r="AC92" s="3">
        <f ca="1">'ETF price'!AD94-'ETF price'!AD93</f>
        <v>0.57000000000000028</v>
      </c>
      <c r="AD92" s="3">
        <f ca="1">'ETF price'!AE94-'ETF price'!AE93</f>
        <v>0.96999999999999886</v>
      </c>
      <c r="AE92" s="3">
        <f ca="1">'ETF price'!AF94-'ETF price'!AF93</f>
        <v>-0.16999999999999993</v>
      </c>
      <c r="AF92" s="3">
        <f ca="1">'ETF price'!AG94-'ETF price'!AG93</f>
        <v>2.7200000000000024</v>
      </c>
    </row>
    <row r="93" spans="1:32" ht="12.75" x14ac:dyDescent="0.2">
      <c r="A93" s="3">
        <f ca="1">'ETF price'!B95-'ETF price'!B94</f>
        <v>-1.2000000000000171</v>
      </c>
      <c r="B93" s="3">
        <f ca="1">'ETF price'!C95-'ETF price'!C94</f>
        <v>-4.1800000000000068</v>
      </c>
      <c r="C93" s="3">
        <f ca="1">'ETF price'!D95-'ETF price'!D94</f>
        <v>-1.1500000000000057</v>
      </c>
      <c r="D93" s="3">
        <f ca="1">'ETF price'!E95-'ETF price'!E94</f>
        <v>-2.0600000000000023</v>
      </c>
      <c r="E93" s="3">
        <f ca="1">'ETF price'!F95-'ETF price'!F94</f>
        <v>-0.85000000000000142</v>
      </c>
      <c r="F93" s="3">
        <f ca="1">'ETF price'!G95-'ETF price'!G94</f>
        <v>-0.17000000000000171</v>
      </c>
      <c r="G93" s="3">
        <f ca="1">'ETF price'!H95-'ETF price'!H94</f>
        <v>-0.32000000000000028</v>
      </c>
      <c r="H93" s="3">
        <f ca="1">'ETF price'!I95-'ETF price'!I94</f>
        <v>0.95000000000001705</v>
      </c>
      <c r="I93" s="3">
        <f ca="1">'ETF price'!J95-'ETF price'!J94</f>
        <v>1.4799999999999898</v>
      </c>
      <c r="J93" s="3">
        <f ca="1">'ETF price'!K95-'ETF price'!K94</f>
        <v>0.15000000000000568</v>
      </c>
      <c r="K93" s="3">
        <f ca="1">'ETF price'!L95-'ETF price'!L94</f>
        <v>-0.14000000000000057</v>
      </c>
      <c r="L93" s="3">
        <f ca="1">'ETF price'!M95-'ETF price'!M94</f>
        <v>0.20000000000000284</v>
      </c>
      <c r="M93" s="3">
        <f ca="1">'ETF price'!N95-'ETF price'!N94</f>
        <v>0.39000000000000057</v>
      </c>
      <c r="N93" s="3">
        <f ca="1">'ETF price'!O95-'ETF price'!O94</f>
        <v>-0.84000000000000341</v>
      </c>
      <c r="O93" s="3">
        <f ca="1">'ETF price'!P95-'ETF price'!P94</f>
        <v>2.1299999999999955</v>
      </c>
      <c r="P93" s="3">
        <f ca="1">'ETF price'!Q95-'ETF price'!Q94</f>
        <v>2.8299999999999983</v>
      </c>
      <c r="Q93" s="3">
        <f ca="1">'ETF price'!R95-'ETF price'!R94</f>
        <v>-0.14999999999999147</v>
      </c>
      <c r="R93" s="3">
        <f ca="1">'ETF price'!S95-'ETF price'!S94</f>
        <v>0.11999999999999744</v>
      </c>
      <c r="S93" s="3">
        <f ca="1">'ETF price'!T95-'ETF price'!T94</f>
        <v>0.4599999999999973</v>
      </c>
      <c r="T93" s="3">
        <f ca="1">'ETF price'!U95-'ETF price'!U94</f>
        <v>1.8299999999999983</v>
      </c>
      <c r="U93" s="3">
        <f ca="1">'ETF price'!V95-'ETF price'!V94</f>
        <v>-0.96999999999999886</v>
      </c>
      <c r="V93" s="3">
        <f ca="1">'ETF price'!W95-'ETF price'!W94</f>
        <v>-0.28000000000000114</v>
      </c>
      <c r="W93" s="3">
        <f ca="1">'ETF price'!X95-'ETF price'!X94</f>
        <v>-0.57000000000000739</v>
      </c>
      <c r="X93" s="3">
        <f ca="1">'ETF price'!Y95-'ETF price'!Y94</f>
        <v>-0.43999999999999773</v>
      </c>
      <c r="Y93" s="3">
        <f ca="1">'ETF price'!Z95-'ETF price'!Z94</f>
        <v>-0.57999999999999829</v>
      </c>
      <c r="Z93" s="3">
        <f ca="1">'ETF price'!AA95-'ETF price'!AA94</f>
        <v>-0.35000000000000142</v>
      </c>
      <c r="AA93" s="3">
        <f ca="1">'ETF price'!AB95-'ETF price'!AB94</f>
        <v>-0.68999999999999773</v>
      </c>
      <c r="AB93" s="3">
        <f ca="1">'ETF price'!AC95-'ETF price'!AC94</f>
        <v>-0.5800000000000054</v>
      </c>
      <c r="AC93" s="3">
        <f ca="1">'ETF price'!AD95-'ETF price'!AD94</f>
        <v>-0.21999999999999886</v>
      </c>
      <c r="AD93" s="3">
        <f ca="1">'ETF price'!AE95-'ETF price'!AE94</f>
        <v>-0.35999999999999943</v>
      </c>
      <c r="AE93" s="3">
        <f ca="1">'ETF price'!AF95-'ETF price'!AF94</f>
        <v>0.12000000000000011</v>
      </c>
      <c r="AF93" s="3">
        <f ca="1">'ETF price'!AG95-'ETF price'!AG94</f>
        <v>-2.2800000000000011</v>
      </c>
    </row>
    <row r="94" spans="1:32" ht="12.75" x14ac:dyDescent="0.2">
      <c r="A94" s="3">
        <f ca="1">'ETF price'!B96-'ETF price'!B95</f>
        <v>3.9000000000000057</v>
      </c>
      <c r="B94" s="3">
        <f ca="1">'ETF price'!C96-'ETF price'!C95</f>
        <v>9.8000000000000114</v>
      </c>
      <c r="C94" s="3">
        <f ca="1">'ETF price'!D96-'ETF price'!D95</f>
        <v>2.2800000000000011</v>
      </c>
      <c r="D94" s="3">
        <f ca="1">'ETF price'!E96-'ETF price'!E95</f>
        <v>6.4899999999999807</v>
      </c>
      <c r="E94" s="3">
        <f ca="1">'ETF price'!F96-'ETF price'!F95</f>
        <v>0.61999999999999744</v>
      </c>
      <c r="F94" s="3">
        <f ca="1">'ETF price'!G96-'ETF price'!G95</f>
        <v>0.71000000000000085</v>
      </c>
      <c r="G94" s="3">
        <f ca="1">'ETF price'!H96-'ETF price'!H95</f>
        <v>0.76000000000000156</v>
      </c>
      <c r="H94" s="3">
        <f ca="1">'ETF price'!I96-'ETF price'!I95</f>
        <v>1.7800000000000011</v>
      </c>
      <c r="I94" s="3">
        <f ca="1">'ETF price'!J96-'ETF price'!J95</f>
        <v>3.8899999999999864</v>
      </c>
      <c r="J94" s="3">
        <f ca="1">'ETF price'!K96-'ETF price'!K95</f>
        <v>3.2299999999999898</v>
      </c>
      <c r="K94" s="3">
        <f ca="1">'ETF price'!L96-'ETF price'!L95</f>
        <v>3</v>
      </c>
      <c r="L94" s="3">
        <f ca="1">'ETF price'!M96-'ETF price'!M95</f>
        <v>1.4799999999999969</v>
      </c>
      <c r="M94" s="3">
        <f ca="1">'ETF price'!N96-'ETF price'!N95</f>
        <v>0.97999999999999687</v>
      </c>
      <c r="N94" s="3">
        <f ca="1">'ETF price'!O96-'ETF price'!O95</f>
        <v>1.7199999999999989</v>
      </c>
      <c r="O94" s="3">
        <f ca="1">'ETF price'!P96-'ETF price'!P95</f>
        <v>0.96000000000000796</v>
      </c>
      <c r="P94" s="3">
        <f ca="1">'ETF price'!Q96-'ETF price'!Q95</f>
        <v>1.6400000000000006</v>
      </c>
      <c r="Q94" s="3">
        <f ca="1">'ETF price'!R96-'ETF price'!R95</f>
        <v>2.3299999999999983</v>
      </c>
      <c r="R94" s="3">
        <f ca="1">'ETF price'!S96-'ETF price'!S95</f>
        <v>2.1400000000000006</v>
      </c>
      <c r="S94" s="3">
        <f ca="1">'ETF price'!T96-'ETF price'!T95</f>
        <v>-0.30999999999999872</v>
      </c>
      <c r="T94" s="3">
        <f ca="1">'ETF price'!U96-'ETF price'!U95</f>
        <v>-2</v>
      </c>
      <c r="U94" s="3">
        <f ca="1">'ETF price'!V96-'ETF price'!V95</f>
        <v>3.25</v>
      </c>
      <c r="V94" s="3">
        <f ca="1">'ETF price'!W96-'ETF price'!W95</f>
        <v>0.89000000000000057</v>
      </c>
      <c r="W94" s="3">
        <f ca="1">'ETF price'!X96-'ETF price'!X95</f>
        <v>2.2800000000000011</v>
      </c>
      <c r="X94" s="3">
        <f ca="1">'ETF price'!Y96-'ETF price'!Y95</f>
        <v>1.769999999999996</v>
      </c>
      <c r="Y94" s="3">
        <f ca="1">'ETF price'!Z96-'ETF price'!Z95</f>
        <v>2.0299999999999869</v>
      </c>
      <c r="Z94" s="3">
        <f ca="1">'ETF price'!AA96-'ETF price'!AA95</f>
        <v>0.46000000000000085</v>
      </c>
      <c r="AA94" s="3">
        <f ca="1">'ETF price'!AB96-'ETF price'!AB95</f>
        <v>2.1899999999999977</v>
      </c>
      <c r="AB94" s="3">
        <f ca="1">'ETF price'!AC96-'ETF price'!AC95</f>
        <v>1.6700000000000017</v>
      </c>
      <c r="AC94" s="3">
        <f ca="1">'ETF price'!AD96-'ETF price'!AD95</f>
        <v>0.21999999999999886</v>
      </c>
      <c r="AD94" s="3">
        <f ca="1">'ETF price'!AE96-'ETF price'!AE95</f>
        <v>0.35000000000000142</v>
      </c>
      <c r="AE94" s="3">
        <f ca="1">'ETF price'!AF96-'ETF price'!AF95</f>
        <v>-0.20000000000000018</v>
      </c>
      <c r="AF94" s="3">
        <f ca="1">'ETF price'!AG96-'ETF price'!AG95</f>
        <v>1.8399999999999963</v>
      </c>
    </row>
    <row r="95" spans="1:32" ht="12.75" x14ac:dyDescent="0.2">
      <c r="A95" s="3">
        <f ca="1">'ETF price'!B97-'ETF price'!B96</f>
        <v>-6.3400000000000034</v>
      </c>
      <c r="B95" s="3">
        <f ca="1">'ETF price'!C97-'ETF price'!C96</f>
        <v>-16.410000000000025</v>
      </c>
      <c r="C95" s="3">
        <f ca="1">'ETF price'!D97-'ETF price'!D96</f>
        <v>-4.230000000000004</v>
      </c>
      <c r="D95" s="3">
        <f ca="1">'ETF price'!E97-'ETF price'!E96</f>
        <v>-7.0699999999999932</v>
      </c>
      <c r="E95" s="3">
        <f ca="1">'ETF price'!F97-'ETF price'!F96</f>
        <v>-1.6199999999999974</v>
      </c>
      <c r="F95" s="3">
        <f ca="1">'ETF price'!G97-'ETF price'!G96</f>
        <v>-0.62999999999999901</v>
      </c>
      <c r="G95" s="3">
        <f ca="1">'ETF price'!H97-'ETF price'!H96</f>
        <v>-0.96999999999999886</v>
      </c>
      <c r="H95" s="3">
        <f ca="1">'ETF price'!I97-'ETF price'!I96</f>
        <v>-3.3900000000000148</v>
      </c>
      <c r="I95" s="3">
        <f ca="1">'ETF price'!J97-'ETF price'!J96</f>
        <v>-6.5499999999999829</v>
      </c>
      <c r="J95" s="3">
        <f ca="1">'ETF price'!K97-'ETF price'!K96</f>
        <v>-2.9599999999999937</v>
      </c>
      <c r="K95" s="3">
        <f ca="1">'ETF price'!L97-'ETF price'!L96</f>
        <v>-3.5899999999999892</v>
      </c>
      <c r="L95" s="3">
        <f ca="1">'ETF price'!M97-'ETF price'!M96</f>
        <v>-1.9599999999999937</v>
      </c>
      <c r="M95" s="3">
        <f ca="1">'ETF price'!N97-'ETF price'!N96</f>
        <v>-1.6299999999999955</v>
      </c>
      <c r="N95" s="3">
        <f ca="1">'ETF price'!O97-'ETF price'!O96</f>
        <v>-1.9199999999999946</v>
      </c>
      <c r="O95" s="3">
        <f ca="1">'ETF price'!P97-'ETF price'!P96</f>
        <v>-2.1500000000000057</v>
      </c>
      <c r="P95" s="3">
        <f ca="1">'ETF price'!Q97-'ETF price'!Q96</f>
        <v>-3.0300000000000011</v>
      </c>
      <c r="Q95" s="3">
        <f ca="1">'ETF price'!R97-'ETF price'!R96</f>
        <v>-2.6299999999999955</v>
      </c>
      <c r="R95" s="3">
        <f ca="1">'ETF price'!S97-'ETF price'!S96</f>
        <v>-2.1799999999999997</v>
      </c>
      <c r="S95" s="3">
        <f ca="1">'ETF price'!T97-'ETF price'!T96</f>
        <v>-0.60999999999999943</v>
      </c>
      <c r="T95" s="3">
        <f ca="1">'ETF price'!U97-'ETF price'!U96</f>
        <v>-1.8199999999999932</v>
      </c>
      <c r="U95" s="3">
        <f ca="1">'ETF price'!V97-'ETF price'!V96</f>
        <v>-0.14999999999999858</v>
      </c>
      <c r="V95" s="3">
        <f ca="1">'ETF price'!W97-'ETF price'!W96</f>
        <v>-0.93999999999999773</v>
      </c>
      <c r="W95" s="3">
        <f ca="1">'ETF price'!X97-'ETF price'!X96</f>
        <v>-2.25</v>
      </c>
      <c r="X95" s="3">
        <f ca="1">'ETF price'!Y97-'ETF price'!Y96</f>
        <v>-1.1299999999999955</v>
      </c>
      <c r="Y95" s="3">
        <f ca="1">'ETF price'!Z97-'ETF price'!Z96</f>
        <v>-2.1399999999999864</v>
      </c>
      <c r="Z95" s="3">
        <f ca="1">'ETF price'!AA97-'ETF price'!AA96</f>
        <v>-1.2600000000000051</v>
      </c>
      <c r="AA95" s="3">
        <f ca="1">'ETF price'!AB97-'ETF price'!AB96</f>
        <v>-1.5200000000000031</v>
      </c>
      <c r="AB95" s="3">
        <f ca="1">'ETF price'!AC97-'ETF price'!AC96</f>
        <v>-1.4399999999999977</v>
      </c>
      <c r="AC95" s="3">
        <f ca="1">'ETF price'!AD97-'ETF price'!AD96</f>
        <v>-0.33000000000000007</v>
      </c>
      <c r="AD95" s="3">
        <f ca="1">'ETF price'!AE97-'ETF price'!AE96</f>
        <v>-0.5400000000000027</v>
      </c>
      <c r="AE95" s="3">
        <f ca="1">'ETF price'!AF97-'ETF price'!AF96</f>
        <v>0.12000000000000011</v>
      </c>
      <c r="AF95" s="3">
        <f ca="1">'ETF price'!AG97-'ETF price'!AG96</f>
        <v>-2.2799999999999976</v>
      </c>
    </row>
    <row r="96" spans="1:32" ht="12.75" x14ac:dyDescent="0.2">
      <c r="A96" s="3">
        <f ca="1">'ETF price'!B98-'ETF price'!B97</f>
        <v>-1.4499999999999886</v>
      </c>
      <c r="B96" s="3">
        <f ca="1">'ETF price'!C98-'ETF price'!C97</f>
        <v>-2.3699999999999477</v>
      </c>
      <c r="C96" s="3">
        <f ca="1">'ETF price'!D98-'ETF price'!D97</f>
        <v>-0.43999999999999773</v>
      </c>
      <c r="D96" s="3">
        <f ca="1">'ETF price'!E98-'ETF price'!E97</f>
        <v>-0.80000000000001137</v>
      </c>
      <c r="E96" s="3">
        <f ca="1">'ETF price'!F98-'ETF price'!F97</f>
        <v>0.14000000000000057</v>
      </c>
      <c r="F96" s="3">
        <f ca="1">'ETF price'!G98-'ETF price'!G97</f>
        <v>0.42999999999999972</v>
      </c>
      <c r="G96" s="3">
        <f ca="1">'ETF price'!H98-'ETF price'!H97</f>
        <v>0.25999999999999801</v>
      </c>
      <c r="H96" s="3">
        <f ca="1">'ETF price'!I98-'ETF price'!I97</f>
        <v>0.28000000000000114</v>
      </c>
      <c r="I96" s="3">
        <f ca="1">'ETF price'!J98-'ETF price'!J97</f>
        <v>0.73999999999998067</v>
      </c>
      <c r="J96" s="3">
        <f ca="1">'ETF price'!K98-'ETF price'!K97</f>
        <v>1.4699999999999989</v>
      </c>
      <c r="K96" s="3">
        <f ca="1">'ETF price'!L98-'ETF price'!L97</f>
        <v>1.5300000000000011</v>
      </c>
      <c r="L96" s="3">
        <f ca="1">'ETF price'!M98-'ETF price'!M97</f>
        <v>0.80999999999999517</v>
      </c>
      <c r="M96" s="3">
        <f ca="1">'ETF price'!N98-'ETF price'!N97</f>
        <v>0.17999999999999972</v>
      </c>
      <c r="N96" s="3">
        <f ca="1">'ETF price'!O98-'ETF price'!O97</f>
        <v>1.5599999999999952</v>
      </c>
      <c r="O96" s="3">
        <f ca="1">'ETF price'!P98-'ETF price'!P97</f>
        <v>-0.29999999999999716</v>
      </c>
      <c r="P96" s="3">
        <f ca="1">'ETF price'!Q98-'ETF price'!Q97</f>
        <v>-0.34999999999999432</v>
      </c>
      <c r="Q96" s="3">
        <f ca="1">'ETF price'!R98-'ETF price'!R97</f>
        <v>0.57999999999999829</v>
      </c>
      <c r="R96" s="3">
        <f ca="1">'ETF price'!S98-'ETF price'!S97</f>
        <v>0.80999999999999517</v>
      </c>
      <c r="S96" s="3">
        <f ca="1">'ETF price'!T98-'ETF price'!T97</f>
        <v>0.35000000000000142</v>
      </c>
      <c r="T96" s="3">
        <f ca="1">'ETF price'!U98-'ETF price'!U97</f>
        <v>1.289999999999992</v>
      </c>
      <c r="U96" s="3">
        <f ca="1">'ETF price'!V98-'ETF price'!V97</f>
        <v>2.8799999999999955</v>
      </c>
      <c r="V96" s="3">
        <f ca="1">'ETF price'!W98-'ETF price'!W97</f>
        <v>-0.22000000000000597</v>
      </c>
      <c r="W96" s="3">
        <f ca="1">'ETF price'!X98-'ETF price'!X97</f>
        <v>-0.59000000000000341</v>
      </c>
      <c r="X96" s="3">
        <f ca="1">'ETF price'!Y98-'ETF price'!Y97</f>
        <v>-0.35999999999999943</v>
      </c>
      <c r="Y96" s="3">
        <f ca="1">'ETF price'!Z98-'ETF price'!Z97</f>
        <v>-0.5</v>
      </c>
      <c r="Z96" s="3">
        <f ca="1">'ETF price'!AA98-'ETF price'!AA97</f>
        <v>-7.9999999999998295E-2</v>
      </c>
      <c r="AA96" s="3">
        <f ca="1">'ETF price'!AB98-'ETF price'!AB97</f>
        <v>-0.72999999999999687</v>
      </c>
      <c r="AB96" s="3">
        <f ca="1">'ETF price'!AC98-'ETF price'!AC97</f>
        <v>-0.28000000000000114</v>
      </c>
      <c r="AC96" s="3">
        <f ca="1">'ETF price'!AD98-'ETF price'!AD97</f>
        <v>0.29000000000000092</v>
      </c>
      <c r="AD96" s="3">
        <f ca="1">'ETF price'!AE98-'ETF price'!AE97</f>
        <v>0.49000000000000199</v>
      </c>
      <c r="AE96" s="3">
        <f ca="1">'ETF price'!AF98-'ETF price'!AF97</f>
        <v>-6.0000000000000053E-2</v>
      </c>
      <c r="AF96" s="3">
        <f ca="1">'ETF price'!AG98-'ETF price'!AG97</f>
        <v>1.360000000000003</v>
      </c>
    </row>
    <row r="97" spans="1:32" ht="12.75" x14ac:dyDescent="0.2">
      <c r="A97" s="3">
        <f ca="1">'ETF price'!B99-'ETF price'!B98</f>
        <v>0.28999999999999204</v>
      </c>
      <c r="B97" s="3">
        <f ca="1">'ETF price'!C99-'ETF price'!C98</f>
        <v>0.54999999999995453</v>
      </c>
      <c r="C97" s="3">
        <f ca="1">'ETF price'!D99-'ETF price'!D98</f>
        <v>-4.9999999999997158E-2</v>
      </c>
      <c r="D97" s="3">
        <f ca="1">'ETF price'!E99-'ETF price'!E98</f>
        <v>-6.9999999999993179E-2</v>
      </c>
      <c r="E97" s="3">
        <f ca="1">'ETF price'!F99-'ETF price'!F98</f>
        <v>0.68999999999999773</v>
      </c>
      <c r="F97" s="3">
        <f ca="1">'ETF price'!G99-'ETF price'!G98</f>
        <v>-0.22000000000000242</v>
      </c>
      <c r="G97" s="3">
        <f ca="1">'ETF price'!H99-'ETF price'!H98</f>
        <v>5.0000000000000711E-2</v>
      </c>
      <c r="H97" s="3">
        <f ca="1">'ETF price'!I99-'ETF price'!I98</f>
        <v>1.5600000000000023</v>
      </c>
      <c r="I97" s="3">
        <f ca="1">'ETF price'!J99-'ETF price'!J98</f>
        <v>2.8300000000000125</v>
      </c>
      <c r="J97" s="3">
        <f ca="1">'ETF price'!K99-'ETF price'!K98</f>
        <v>0.57999999999999829</v>
      </c>
      <c r="K97" s="3">
        <f ca="1">'ETF price'!L99-'ETF price'!L98</f>
        <v>0.92999999999999261</v>
      </c>
      <c r="L97" s="3">
        <f ca="1">'ETF price'!M99-'ETF price'!M98</f>
        <v>0.70000000000000284</v>
      </c>
      <c r="M97" s="3">
        <f ca="1">'ETF price'!N99-'ETF price'!N98</f>
        <v>0.67999999999999972</v>
      </c>
      <c r="N97" s="3">
        <f ca="1">'ETF price'!O99-'ETF price'!O98</f>
        <v>0.60000000000000142</v>
      </c>
      <c r="O97" s="3">
        <f ca="1">'ETF price'!P99-'ETF price'!P98</f>
        <v>0.34999999999999432</v>
      </c>
      <c r="P97" s="3">
        <f ca="1">'ETF price'!Q99-'ETF price'!Q98</f>
        <v>0.5</v>
      </c>
      <c r="Q97" s="3">
        <f ca="1">'ETF price'!R99-'ETF price'!R98</f>
        <v>-0.20000000000000284</v>
      </c>
      <c r="R97" s="3">
        <f ca="1">'ETF price'!S99-'ETF price'!S98</f>
        <v>-0.59999999999999432</v>
      </c>
      <c r="S97" s="3">
        <f ca="1">'ETF price'!T99-'ETF price'!T98</f>
        <v>3.9999999999999147E-2</v>
      </c>
      <c r="T97" s="3">
        <f ca="1">'ETF price'!U99-'ETF price'!U98</f>
        <v>1.0700000000000074</v>
      </c>
      <c r="U97" s="3">
        <f ca="1">'ETF price'!V99-'ETF price'!V98</f>
        <v>0.46999999999999886</v>
      </c>
      <c r="V97" s="3">
        <f ca="1">'ETF price'!W99-'ETF price'!W98</f>
        <v>-5.9999999999995168E-2</v>
      </c>
      <c r="W97" s="3">
        <f ca="1">'ETF price'!X99-'ETF price'!X98</f>
        <v>-6.0000000000002274E-2</v>
      </c>
      <c r="X97" s="3">
        <f ca="1">'ETF price'!Y99-'ETF price'!Y98</f>
        <v>0</v>
      </c>
      <c r="Y97" s="3">
        <f ca="1">'ETF price'!Z99-'ETF price'!Z98</f>
        <v>1.9999999999996021E-2</v>
      </c>
      <c r="Z97" s="3">
        <f ca="1">'ETF price'!AA99-'ETF price'!AA98</f>
        <v>0.49000000000000199</v>
      </c>
      <c r="AA97" s="3">
        <f ca="1">'ETF price'!AB99-'ETF price'!AB98</f>
        <v>0.15999999999999659</v>
      </c>
      <c r="AB97" s="3">
        <f ca="1">'ETF price'!AC99-'ETF price'!AC98</f>
        <v>0.14000000000000057</v>
      </c>
      <c r="AC97" s="3">
        <f ca="1">'ETF price'!AD99-'ETF price'!AD98</f>
        <v>-0.25999999999999979</v>
      </c>
      <c r="AD97" s="3">
        <f ca="1">'ETF price'!AE99-'ETF price'!AE98</f>
        <v>-0.42999999999999972</v>
      </c>
      <c r="AE97" s="3">
        <f ca="1">'ETF price'!AF99-'ETF price'!AF98</f>
        <v>-0.10000000000000009</v>
      </c>
      <c r="AF97" s="3">
        <f ca="1">'ETF price'!AG99-'ETF price'!AG98</f>
        <v>-1.4800000000000004</v>
      </c>
    </row>
    <row r="98" spans="1:32" ht="12.75" x14ac:dyDescent="0.2">
      <c r="A98" s="3">
        <f ca="1">'ETF price'!B100-'ETF price'!B99</f>
        <v>3.0099999999999909</v>
      </c>
      <c r="B98" s="3">
        <f ca="1">'ETF price'!C100-'ETF price'!C99</f>
        <v>7.1500000000000341</v>
      </c>
      <c r="C98" s="3">
        <f ca="1">'ETF price'!D100-'ETF price'!D99</f>
        <v>1.5699999999999932</v>
      </c>
      <c r="D98" s="3">
        <f ca="1">'ETF price'!E100-'ETF price'!E99</f>
        <v>0.56999999999999318</v>
      </c>
      <c r="E98" s="3">
        <f ca="1">'ETF price'!F100-'ETF price'!F99</f>
        <v>0.63000000000000256</v>
      </c>
      <c r="F98" s="3">
        <f ca="1">'ETF price'!G100-'ETF price'!G99</f>
        <v>0.27000000000000313</v>
      </c>
      <c r="G98" s="3">
        <f ca="1">'ETF price'!H100-'ETF price'!H99</f>
        <v>0.14000000000000057</v>
      </c>
      <c r="H98" s="3">
        <f ca="1">'ETF price'!I100-'ETF price'!I99</f>
        <v>1.1399999999999864</v>
      </c>
      <c r="I98" s="3">
        <f ca="1">'ETF price'!J100-'ETF price'!J99</f>
        <v>1.8700000000000045</v>
      </c>
      <c r="J98" s="3">
        <f ca="1">'ETF price'!K100-'ETF price'!K99</f>
        <v>0.82999999999999829</v>
      </c>
      <c r="K98" s="3">
        <f ca="1">'ETF price'!L100-'ETF price'!L99</f>
        <v>-0.18999999999999773</v>
      </c>
      <c r="L98" s="3">
        <f ca="1">'ETF price'!M100-'ETF price'!M99</f>
        <v>0.35000000000000142</v>
      </c>
      <c r="M98" s="3">
        <f ca="1">'ETF price'!N100-'ETF price'!N99</f>
        <v>0.46999999999999886</v>
      </c>
      <c r="N98" s="3">
        <f ca="1">'ETF price'!O100-'ETF price'!O99</f>
        <v>-0.20000000000000284</v>
      </c>
      <c r="O98" s="3">
        <f ca="1">'ETF price'!P100-'ETF price'!P99</f>
        <v>2.1600000000000108</v>
      </c>
      <c r="P98" s="3">
        <f ca="1">'ETF price'!Q100-'ETF price'!Q99</f>
        <v>3.2199999999999989</v>
      </c>
      <c r="Q98" s="3">
        <f ca="1">'ETF price'!R100-'ETF price'!R99</f>
        <v>1.5100000000000051</v>
      </c>
      <c r="R98" s="3">
        <f ca="1">'ETF price'!S100-'ETF price'!S99</f>
        <v>2.019999999999996</v>
      </c>
      <c r="S98" s="3">
        <f ca="1">'ETF price'!T100-'ETF price'!T99</f>
        <v>0.21000000000000085</v>
      </c>
      <c r="T98" s="3">
        <f ca="1">'ETF price'!U100-'ETF price'!U99</f>
        <v>0.31999999999999318</v>
      </c>
      <c r="U98" s="3">
        <f ca="1">'ETF price'!V100-'ETF price'!V99</f>
        <v>0.57999999999999829</v>
      </c>
      <c r="V98" s="3">
        <f ca="1">'ETF price'!W100-'ETF price'!W99</f>
        <v>1.0700000000000003</v>
      </c>
      <c r="W98" s="3">
        <f ca="1">'ETF price'!X100-'ETF price'!X99</f>
        <v>2.3800000000000097</v>
      </c>
      <c r="X98" s="3">
        <f ca="1">'ETF price'!Y100-'ETF price'!Y99</f>
        <v>1.1599999999999966</v>
      </c>
      <c r="Y98" s="3">
        <f ca="1">'ETF price'!Z100-'ETF price'!Z99</f>
        <v>2.1899999999999977</v>
      </c>
      <c r="Z98" s="3">
        <f ca="1">'ETF price'!AA100-'ETF price'!AA99</f>
        <v>0.54999999999999716</v>
      </c>
      <c r="AA98" s="3">
        <f ca="1">'ETF price'!AB100-'ETF price'!AB99</f>
        <v>1.470000000000006</v>
      </c>
      <c r="AB98" s="3">
        <f ca="1">'ETF price'!AC100-'ETF price'!AC99</f>
        <v>1.8799999999999955</v>
      </c>
      <c r="AC98" s="3">
        <f ca="1">'ETF price'!AD100-'ETF price'!AD99</f>
        <v>-8.9999999999999858E-2</v>
      </c>
      <c r="AD98" s="3">
        <f ca="1">'ETF price'!AE100-'ETF price'!AE99</f>
        <v>-0.15000000000000213</v>
      </c>
      <c r="AE98" s="3">
        <f ca="1">'ETF price'!AF100-'ETF price'!AF99</f>
        <v>-0.12000000000000011</v>
      </c>
      <c r="AF98" s="3">
        <f ca="1">'ETF price'!AG100-'ETF price'!AG99</f>
        <v>6.9999999999996732E-2</v>
      </c>
    </row>
    <row r="99" spans="1:32" ht="12.75" x14ac:dyDescent="0.2">
      <c r="A99" s="3">
        <f ca="1">'ETF price'!B101-'ETF price'!B100</f>
        <v>-1.9899999999999807</v>
      </c>
      <c r="B99" s="3">
        <f ca="1">'ETF price'!C101-'ETF price'!C100</f>
        <v>-6.6700000000000159</v>
      </c>
      <c r="C99" s="3">
        <f ca="1">'ETF price'!D101-'ETF price'!D100</f>
        <v>-2.1599999999999966</v>
      </c>
      <c r="D99" s="3">
        <f ca="1">'ETF price'!E101-'ETF price'!E100</f>
        <v>-3.2399999999999807</v>
      </c>
      <c r="E99" s="3">
        <f ca="1">'ETF price'!F101-'ETF price'!F100</f>
        <v>-0.91000000000000369</v>
      </c>
      <c r="F99" s="3">
        <f ca="1">'ETF price'!G101-'ETF price'!G100</f>
        <v>-0.40000000000000213</v>
      </c>
      <c r="G99" s="3">
        <f ca="1">'ETF price'!H101-'ETF price'!H100</f>
        <v>-0.81000000000000227</v>
      </c>
      <c r="H99" s="3">
        <f ca="1">'ETF price'!I101-'ETF price'!I100</f>
        <v>0.39000000000001478</v>
      </c>
      <c r="I99" s="3">
        <f ca="1">'ETF price'!J101-'ETF price'!J100</f>
        <v>-2.0000000000010232E-2</v>
      </c>
      <c r="J99" s="3">
        <f ca="1">'ETF price'!K101-'ETF price'!K100</f>
        <v>-1.8599999999999994</v>
      </c>
      <c r="K99" s="3">
        <f ca="1">'ETF price'!L101-'ETF price'!L100</f>
        <v>-2.7399999999999949</v>
      </c>
      <c r="L99" s="3">
        <f ca="1">'ETF price'!M101-'ETF price'!M100</f>
        <v>-0.77000000000000313</v>
      </c>
      <c r="M99" s="3">
        <f ca="1">'ETF price'!N101-'ETF price'!N100</f>
        <v>0</v>
      </c>
      <c r="N99" s="3">
        <f ca="1">'ETF price'!O101-'ETF price'!O100</f>
        <v>-1.9599999999999937</v>
      </c>
      <c r="O99" s="3">
        <f ca="1">'ETF price'!P101-'ETF price'!P100</f>
        <v>0.31999999999999318</v>
      </c>
      <c r="P99" s="3">
        <f ca="1">'ETF price'!Q101-'ETF price'!Q100</f>
        <v>0.36999999999999034</v>
      </c>
      <c r="Q99" s="3">
        <f ca="1">'ETF price'!R101-'ETF price'!R100</f>
        <v>-0.48000000000000398</v>
      </c>
      <c r="R99" s="3">
        <f ca="1">'ETF price'!S101-'ETF price'!S100</f>
        <v>-0.53000000000000114</v>
      </c>
      <c r="S99" s="3">
        <f ca="1">'ETF price'!T101-'ETF price'!T100</f>
        <v>-2.0000000000003126E-2</v>
      </c>
      <c r="T99" s="3">
        <f ca="1">'ETF price'!U101-'ETF price'!U100</f>
        <v>3.0000000000001137E-2</v>
      </c>
      <c r="U99" s="3">
        <f ca="1">'ETF price'!V101-'ETF price'!V100</f>
        <v>-1.4599999999999937</v>
      </c>
      <c r="V99" s="3">
        <f ca="1">'ETF price'!W101-'ETF price'!W100</f>
        <v>-7.0000000000000284E-2</v>
      </c>
      <c r="W99" s="3">
        <f ca="1">'ETF price'!X101-'ETF price'!X100</f>
        <v>-0.26000000000000512</v>
      </c>
      <c r="X99" s="3">
        <f ca="1">'ETF price'!Y101-'ETF price'!Y100</f>
        <v>-0.35000000000000142</v>
      </c>
      <c r="Y99" s="3">
        <f ca="1">'ETF price'!Z101-'ETF price'!Z100</f>
        <v>-0.25</v>
      </c>
      <c r="Z99" s="3">
        <f ca="1">'ETF price'!AA101-'ETF price'!AA100</f>
        <v>0.5</v>
      </c>
      <c r="AA99" s="3">
        <f ca="1">'ETF price'!AB101-'ETF price'!AB100</f>
        <v>-0.46000000000000085</v>
      </c>
      <c r="AB99" s="3">
        <f ca="1">'ETF price'!AC101-'ETF price'!AC100</f>
        <v>-0.43999999999999773</v>
      </c>
      <c r="AC99" s="3">
        <f ca="1">'ETF price'!AD101-'ETF price'!AD100</f>
        <v>0.12999999999999901</v>
      </c>
      <c r="AD99" s="3">
        <f ca="1">'ETF price'!AE101-'ETF price'!AE100</f>
        <v>0.17999999999999972</v>
      </c>
      <c r="AE99" s="3">
        <f ca="1">'ETF price'!AF101-'ETF price'!AF100</f>
        <v>6.0000000000000053E-2</v>
      </c>
      <c r="AF99" s="3">
        <f ca="1">'ETF price'!AG101-'ETF price'!AG100</f>
        <v>-1.8699999999999974</v>
      </c>
    </row>
    <row r="100" spans="1:32" ht="12.75" x14ac:dyDescent="0.2">
      <c r="A100" s="3">
        <f ca="1">'ETF price'!B102-'ETF price'!B101</f>
        <v>1.539999999999992</v>
      </c>
      <c r="B100" s="3">
        <f ca="1">'ETF price'!C102-'ETF price'!C101</f>
        <v>4.8500000000000227</v>
      </c>
      <c r="C100" s="3">
        <f ca="1">'ETF price'!D102-'ETF price'!D101</f>
        <v>1.1800000000000068</v>
      </c>
      <c r="D100" s="3">
        <f ca="1">'ETF price'!E102-'ETF price'!E101</f>
        <v>2.3299999999999841</v>
      </c>
      <c r="E100" s="3">
        <f ca="1">'ETF price'!F102-'ETF price'!F101</f>
        <v>0.77000000000000313</v>
      </c>
      <c r="F100" s="3">
        <f ca="1">'ETF price'!G102-'ETF price'!G101</f>
        <v>0.28000000000000114</v>
      </c>
      <c r="G100" s="3">
        <f ca="1">'ETF price'!H102-'ETF price'!H101</f>
        <v>0.44000000000000128</v>
      </c>
      <c r="H100" s="3">
        <f ca="1">'ETF price'!I102-'ETF price'!I101</f>
        <v>-3.9999999999992042E-2</v>
      </c>
      <c r="I100" s="3">
        <f ca="1">'ETF price'!J102-'ETF price'!J101</f>
        <v>0.21999999999999886</v>
      </c>
      <c r="J100" s="3">
        <f ca="1">'ETF price'!K102-'ETF price'!K101</f>
        <v>0.18999999999999773</v>
      </c>
      <c r="K100" s="3">
        <f ca="1">'ETF price'!L102-'ETF price'!L101</f>
        <v>0.32999999999999829</v>
      </c>
      <c r="L100" s="3">
        <f ca="1">'ETF price'!M102-'ETF price'!M101</f>
        <v>0.5</v>
      </c>
      <c r="M100" s="3">
        <f ca="1">'ETF price'!N102-'ETF price'!N101</f>
        <v>9.0000000000003411E-2</v>
      </c>
      <c r="N100" s="3">
        <f ca="1">'ETF price'!O102-'ETF price'!O101</f>
        <v>-8.00000000000054E-2</v>
      </c>
      <c r="O100" s="3">
        <f ca="1">'ETF price'!P102-'ETF price'!P101</f>
        <v>1.7399999999999949</v>
      </c>
      <c r="P100" s="3">
        <f ca="1">'ETF price'!Q102-'ETF price'!Q101</f>
        <v>2.6300000000000097</v>
      </c>
      <c r="Q100" s="3">
        <f ca="1">'ETF price'!R102-'ETF price'!R101</f>
        <v>0.36999999999999034</v>
      </c>
      <c r="R100" s="3">
        <f ca="1">'ETF price'!S102-'ETF price'!S101</f>
        <v>0.79000000000000625</v>
      </c>
      <c r="S100" s="3">
        <f ca="1">'ETF price'!T102-'ETF price'!T101</f>
        <v>0.20000000000000284</v>
      </c>
      <c r="T100" s="3">
        <f ca="1">'ETF price'!U102-'ETF price'!U101</f>
        <v>0.48000000000000398</v>
      </c>
      <c r="U100" s="3">
        <f ca="1">'ETF price'!V102-'ETF price'!V101</f>
        <v>1.0999999999999943</v>
      </c>
      <c r="V100" s="3">
        <f ca="1">'ETF price'!W102-'ETF price'!W101</f>
        <v>0.26999999999999602</v>
      </c>
      <c r="W100" s="3">
        <f ca="1">'ETF price'!X102-'ETF price'!X101</f>
        <v>0.78000000000000114</v>
      </c>
      <c r="X100" s="3">
        <f ca="1">'ETF price'!Y102-'ETF price'!Y101</f>
        <v>0.67999999999999972</v>
      </c>
      <c r="Y100" s="3">
        <f ca="1">'ETF price'!Z102-'ETF price'!Z101</f>
        <v>0.67000000000000171</v>
      </c>
      <c r="Z100" s="3">
        <f ca="1">'ETF price'!AA102-'ETF price'!AA101</f>
        <v>0.24000000000000199</v>
      </c>
      <c r="AA100" s="3">
        <f ca="1">'ETF price'!AB102-'ETF price'!AB101</f>
        <v>0.96000000000000085</v>
      </c>
      <c r="AB100" s="3">
        <f ca="1">'ETF price'!AC102-'ETF price'!AC101</f>
        <v>0.63000000000000256</v>
      </c>
      <c r="AC100" s="3">
        <f ca="1">'ETF price'!AD102-'ETF price'!AD101</f>
        <v>7.0000000000000284E-2</v>
      </c>
      <c r="AD100" s="3">
        <f ca="1">'ETF price'!AE102-'ETF price'!AE101</f>
        <v>0.13000000000000256</v>
      </c>
      <c r="AE100" s="3">
        <f ca="1">'ETF price'!AF102-'ETF price'!AF101</f>
        <v>5.0000000000000266E-2</v>
      </c>
      <c r="AF100" s="3">
        <f ca="1">'ETF price'!AG102-'ETF price'!AG101</f>
        <v>1.0500000000000007</v>
      </c>
    </row>
    <row r="101" spans="1:32" ht="12.75" x14ac:dyDescent="0.2">
      <c r="A101" s="3">
        <f ca="1">'ETF price'!B103-'ETF price'!B102</f>
        <v>3.210000000000008</v>
      </c>
      <c r="B101" s="3">
        <f ca="1">'ETF price'!C103-'ETF price'!C102</f>
        <v>8.6999999999999886</v>
      </c>
      <c r="C101" s="3">
        <f ca="1">'ETF price'!D103-'ETF price'!D102</f>
        <v>2.1700000000000017</v>
      </c>
      <c r="D101" s="3">
        <f ca="1">'ETF price'!E103-'ETF price'!E102</f>
        <v>5.1599999999999966</v>
      </c>
      <c r="E101" s="3">
        <f ca="1">'ETF price'!F103-'ETF price'!F102</f>
        <v>1.0599999999999952</v>
      </c>
      <c r="F101" s="3">
        <f ca="1">'ETF price'!G103-'ETF price'!G102</f>
        <v>0.44999999999999929</v>
      </c>
      <c r="G101" s="3">
        <f ca="1">'ETF price'!H103-'ETF price'!H102</f>
        <v>0.76999999999999957</v>
      </c>
      <c r="H101" s="3">
        <f ca="1">'ETF price'!I103-'ETF price'!I102</f>
        <v>0.56000000000000227</v>
      </c>
      <c r="I101" s="3">
        <f ca="1">'ETF price'!J103-'ETF price'!J102</f>
        <v>1.3400000000000034</v>
      </c>
      <c r="J101" s="3">
        <f ca="1">'ETF price'!K103-'ETF price'!K102</f>
        <v>1.0300000000000011</v>
      </c>
      <c r="K101" s="3">
        <f ca="1">'ETF price'!L103-'ETF price'!L102</f>
        <v>0.73999999999999488</v>
      </c>
      <c r="L101" s="3">
        <f ca="1">'ETF price'!M103-'ETF price'!M102</f>
        <v>0.39000000000000057</v>
      </c>
      <c r="M101" s="3">
        <f ca="1">'ETF price'!N103-'ETF price'!N102</f>
        <v>0.27999999999999403</v>
      </c>
      <c r="N101" s="3">
        <f ca="1">'ETF price'!O103-'ETF price'!O102</f>
        <v>0.80000000000000426</v>
      </c>
      <c r="O101" s="3">
        <f ca="1">'ETF price'!P103-'ETF price'!P102</f>
        <v>0.95000000000000284</v>
      </c>
      <c r="P101" s="3">
        <f ca="1">'ETF price'!Q103-'ETF price'!Q102</f>
        <v>1.5799999999999983</v>
      </c>
      <c r="Q101" s="3">
        <f ca="1">'ETF price'!R103-'ETF price'!R102</f>
        <v>1.5400000000000063</v>
      </c>
      <c r="R101" s="3">
        <f ca="1">'ETF price'!S103-'ETF price'!S102</f>
        <v>1.779999999999994</v>
      </c>
      <c r="S101" s="3">
        <f ca="1">'ETF price'!T103-'ETF price'!T102</f>
        <v>0.30999999999999872</v>
      </c>
      <c r="T101" s="3">
        <f ca="1">'ETF price'!U103-'ETF price'!U102</f>
        <v>2.1099999999999994</v>
      </c>
      <c r="U101" s="3">
        <f ca="1">'ETF price'!V103-'ETF price'!V102</f>
        <v>2.3100000000000023</v>
      </c>
      <c r="V101" s="3">
        <f ca="1">'ETF price'!W103-'ETF price'!W102</f>
        <v>0.78999999999999915</v>
      </c>
      <c r="W101" s="3">
        <f ca="1">'ETF price'!X103-'ETF price'!X102</f>
        <v>2.019999999999996</v>
      </c>
      <c r="X101" s="3">
        <f ca="1">'ETF price'!Y103-'ETF price'!Y102</f>
        <v>1.1200000000000045</v>
      </c>
      <c r="Y101" s="3">
        <f ca="1">'ETF price'!Z103-'ETF price'!Z102</f>
        <v>1.8299999999999983</v>
      </c>
      <c r="Z101" s="3">
        <f ca="1">'ETF price'!AA103-'ETF price'!AA102</f>
        <v>-4.9999999999997158E-2</v>
      </c>
      <c r="AA101" s="3">
        <f ca="1">'ETF price'!AB103-'ETF price'!AB102</f>
        <v>1.3599999999999994</v>
      </c>
      <c r="AB101" s="3">
        <f ca="1">'ETF price'!AC103-'ETF price'!AC102</f>
        <v>1.4200000000000017</v>
      </c>
      <c r="AC101" s="3">
        <f ca="1">'ETF price'!AD103-'ETF price'!AD102</f>
        <v>-8.0000000000000071E-2</v>
      </c>
      <c r="AD101" s="3">
        <f ca="1">'ETF price'!AE103-'ETF price'!AE102</f>
        <v>-0.12000000000000099</v>
      </c>
      <c r="AE101" s="3">
        <f ca="1">'ETF price'!AF103-'ETF price'!AF102</f>
        <v>0.25999999999999979</v>
      </c>
      <c r="AF101" s="3">
        <f ca="1">'ETF price'!AG103-'ETF price'!AG102</f>
        <v>1.1499999999999986</v>
      </c>
    </row>
    <row r="102" spans="1:32" ht="12.75" x14ac:dyDescent="0.2">
      <c r="A102" s="3">
        <f ca="1">'ETF price'!B104-'ETF price'!B103</f>
        <v>4.6299999999999955</v>
      </c>
      <c r="B102" s="3">
        <f ca="1">'ETF price'!C104-'ETF price'!C103</f>
        <v>12.259999999999991</v>
      </c>
      <c r="C102" s="3">
        <f ca="1">'ETF price'!D104-'ETF price'!D103</f>
        <v>3.1299999999999955</v>
      </c>
      <c r="D102" s="3">
        <f ca="1">'ETF price'!E104-'ETF price'!E103</f>
        <v>5.6400000000000148</v>
      </c>
      <c r="E102" s="3">
        <f ca="1">'ETF price'!F104-'ETF price'!F103</f>
        <v>1.4000000000000057</v>
      </c>
      <c r="F102" s="3">
        <f ca="1">'ETF price'!G104-'ETF price'!G103</f>
        <v>0.60000000000000142</v>
      </c>
      <c r="G102" s="3">
        <f ca="1">'ETF price'!H104-'ETF price'!H103</f>
        <v>0.92000000000000171</v>
      </c>
      <c r="H102" s="3">
        <f ca="1">'ETF price'!I104-'ETF price'!I103</f>
        <v>2.1899999999999977</v>
      </c>
      <c r="I102" s="3">
        <f ca="1">'ETF price'!J104-'ETF price'!J103</f>
        <v>4.4099999999999966</v>
      </c>
      <c r="J102" s="3">
        <f ca="1">'ETF price'!K104-'ETF price'!K103</f>
        <v>3.7000000000000028</v>
      </c>
      <c r="K102" s="3">
        <f ca="1">'ETF price'!L104-'ETF price'!L103</f>
        <v>2.6200000000000045</v>
      </c>
      <c r="L102" s="3">
        <f ca="1">'ETF price'!M104-'ETF price'!M103</f>
        <v>1.9699999999999989</v>
      </c>
      <c r="M102" s="3">
        <f ca="1">'ETF price'!N104-'ETF price'!N103</f>
        <v>1.1700000000000017</v>
      </c>
      <c r="N102" s="3">
        <f ca="1">'ETF price'!O104-'ETF price'!O103</f>
        <v>2.6799999999999997</v>
      </c>
      <c r="O102" s="3">
        <f ca="1">'ETF price'!P104-'ETF price'!P103</f>
        <v>1.5900000000000034</v>
      </c>
      <c r="P102" s="3">
        <f ca="1">'ETF price'!Q104-'ETF price'!Q103</f>
        <v>2.3699999999999903</v>
      </c>
      <c r="Q102" s="3">
        <f ca="1">'ETF price'!R104-'ETF price'!R103</f>
        <v>2</v>
      </c>
      <c r="R102" s="3">
        <f ca="1">'ETF price'!S104-'ETF price'!S103</f>
        <v>0.97000000000000597</v>
      </c>
      <c r="S102" s="3">
        <f ca="1">'ETF price'!T104-'ETF price'!T103</f>
        <v>0.33999999999999986</v>
      </c>
      <c r="T102" s="3">
        <f ca="1">'ETF price'!U104-'ETF price'!U103</f>
        <v>0.86999999999999034</v>
      </c>
      <c r="U102" s="3">
        <f ca="1">'ETF price'!V104-'ETF price'!V103</f>
        <v>1.5600000000000023</v>
      </c>
      <c r="V102" s="3">
        <f ca="1">'ETF price'!W104-'ETF price'!W103</f>
        <v>0.59000000000000341</v>
      </c>
      <c r="W102" s="3">
        <f ca="1">'ETF price'!X104-'ETF price'!X103</f>
        <v>1.5499999999999972</v>
      </c>
      <c r="X102" s="3">
        <f ca="1">'ETF price'!Y104-'ETF price'!Y103</f>
        <v>0.74000000000000199</v>
      </c>
      <c r="Y102" s="3">
        <f ca="1">'ETF price'!Z104-'ETF price'!Z103</f>
        <v>1.3499999999999943</v>
      </c>
      <c r="Z102" s="3">
        <f ca="1">'ETF price'!AA104-'ETF price'!AA103</f>
        <v>1.2299999999999969</v>
      </c>
      <c r="AA102" s="3">
        <f ca="1">'ETF price'!AB104-'ETF price'!AB103</f>
        <v>0.98999999999999488</v>
      </c>
      <c r="AB102" s="3">
        <f ca="1">'ETF price'!AC104-'ETF price'!AC103</f>
        <v>0.94999999999999574</v>
      </c>
      <c r="AC102" s="3">
        <f ca="1">'ETF price'!AD104-'ETF price'!AD103</f>
        <v>-0.22000000000000064</v>
      </c>
      <c r="AD102" s="3">
        <f ca="1">'ETF price'!AE104-'ETF price'!AE103</f>
        <v>-0.33999999999999986</v>
      </c>
      <c r="AE102" s="3">
        <f ca="1">'ETF price'!AF104-'ETF price'!AF103</f>
        <v>0.14000000000000012</v>
      </c>
      <c r="AF102" s="3">
        <f ca="1">'ETF price'!AG104-'ETF price'!AG103</f>
        <v>1.360000000000003</v>
      </c>
    </row>
    <row r="103" spans="1:32" ht="12.75" x14ac:dyDescent="0.2">
      <c r="A103" s="3">
        <f ca="1">'ETF price'!B105-'ETF price'!B104</f>
        <v>-1.0100000000000193</v>
      </c>
      <c r="B103" s="3">
        <f ca="1">'ETF price'!C105-'ETF price'!C104</f>
        <v>-2.9599999999999795</v>
      </c>
      <c r="C103" s="3">
        <f ca="1">'ETF price'!D105-'ETF price'!D104</f>
        <v>-0.60999999999999943</v>
      </c>
      <c r="D103" s="3">
        <f ca="1">'ETF price'!E105-'ETF price'!E104</f>
        <v>-0.72999999999998977</v>
      </c>
      <c r="E103" s="3">
        <f ca="1">'ETF price'!F105-'ETF price'!F104</f>
        <v>-1.2000000000000028</v>
      </c>
      <c r="F103" s="3">
        <f ca="1">'ETF price'!G105-'ETF price'!G104</f>
        <v>7.0000000000000284E-2</v>
      </c>
      <c r="G103" s="3">
        <f ca="1">'ETF price'!H105-'ETF price'!H104</f>
        <v>-0.40000000000000213</v>
      </c>
      <c r="H103" s="3">
        <f ca="1">'ETF price'!I105-'ETF price'!I104</f>
        <v>-1.7900000000000205</v>
      </c>
      <c r="I103" s="3">
        <f ca="1">'ETF price'!J105-'ETF price'!J104</f>
        <v>-3.5099999999999909</v>
      </c>
      <c r="J103" s="3">
        <f ca="1">'ETF price'!K105-'ETF price'!K104</f>
        <v>-2.8299999999999983</v>
      </c>
      <c r="K103" s="3">
        <f ca="1">'ETF price'!L105-'ETF price'!L104</f>
        <v>-2.3100000000000023</v>
      </c>
      <c r="L103" s="3">
        <f ca="1">'ETF price'!M105-'ETF price'!M104</f>
        <v>-1.769999999999996</v>
      </c>
      <c r="M103" s="3">
        <f ca="1">'ETF price'!N105-'ETF price'!N104</f>
        <v>-0.92000000000000171</v>
      </c>
      <c r="N103" s="3">
        <f ca="1">'ETF price'!O105-'ETF price'!O104</f>
        <v>-1.6000000000000014</v>
      </c>
      <c r="O103" s="3">
        <f ca="1">'ETF price'!P105-'ETF price'!P104</f>
        <v>-1.3299999999999983</v>
      </c>
      <c r="P103" s="3">
        <f ca="1">'ETF price'!Q105-'ETF price'!Q104</f>
        <v>-1.9699999999999989</v>
      </c>
      <c r="Q103" s="3">
        <f ca="1">'ETF price'!R105-'ETF price'!R104</f>
        <v>-1.3299999999999983</v>
      </c>
      <c r="R103" s="3">
        <f ca="1">'ETF price'!S105-'ETF price'!S104</f>
        <v>-1.9600000000000009</v>
      </c>
      <c r="S103" s="3">
        <f ca="1">'ETF price'!T105-'ETF price'!T104</f>
        <v>-0.19999999999999929</v>
      </c>
      <c r="T103" s="3">
        <f ca="1">'ETF price'!U105-'ETF price'!U104</f>
        <v>1.0000000000005116E-2</v>
      </c>
      <c r="U103" s="3">
        <f ca="1">'ETF price'!V105-'ETF price'!V104</f>
        <v>-0.18000000000000682</v>
      </c>
      <c r="V103" s="3">
        <f ca="1">'ETF price'!W105-'ETF price'!W104</f>
        <v>-0.10000000000000142</v>
      </c>
      <c r="W103" s="3">
        <f ca="1">'ETF price'!X105-'ETF price'!X104</f>
        <v>-0.32999999999999829</v>
      </c>
      <c r="X103" s="3">
        <f ca="1">'ETF price'!Y105-'ETF price'!Y104</f>
        <v>-7.0000000000000284E-2</v>
      </c>
      <c r="Y103" s="3">
        <f ca="1">'ETF price'!Z105-'ETF price'!Z104</f>
        <v>-0.30999999999998806</v>
      </c>
      <c r="Z103" s="3">
        <f ca="1">'ETF price'!AA105-'ETF price'!AA104</f>
        <v>-0.60000000000000142</v>
      </c>
      <c r="AA103" s="3">
        <f ca="1">'ETF price'!AB105-'ETF price'!AB104</f>
        <v>-3.0000000000001137E-2</v>
      </c>
      <c r="AB103" s="3">
        <f ca="1">'ETF price'!AC105-'ETF price'!AC104</f>
        <v>-4.9999999999997158E-2</v>
      </c>
      <c r="AC103" s="3">
        <f ca="1">'ETF price'!AD105-'ETF price'!AD104</f>
        <v>1.1000000000000014</v>
      </c>
      <c r="AD103" s="3">
        <f ca="1">'ETF price'!AE105-'ETF price'!AE104</f>
        <v>1.7399999999999984</v>
      </c>
      <c r="AE103" s="3">
        <f ca="1">'ETF price'!AF105-'ETF price'!AF104</f>
        <v>-0.16000000000000014</v>
      </c>
      <c r="AF103" s="3">
        <f ca="1">'ETF price'!AG105-'ETF price'!AG104</f>
        <v>1.4799999999999969</v>
      </c>
    </row>
    <row r="104" spans="1:32" ht="12.75" x14ac:dyDescent="0.2">
      <c r="A104" s="3">
        <f ca="1">'ETF price'!B106-'ETF price'!B105</f>
        <v>-0.41999999999998749</v>
      </c>
      <c r="B104" s="3">
        <f ca="1">'ETF price'!C106-'ETF price'!C105</f>
        <v>-1.3900000000000432</v>
      </c>
      <c r="C104" s="3">
        <f ca="1">'ETF price'!D106-'ETF price'!D105</f>
        <v>-0.26999999999999602</v>
      </c>
      <c r="D104" s="3">
        <f ca="1">'ETF price'!E106-'ETF price'!E105</f>
        <v>-2.2600000000000193</v>
      </c>
      <c r="E104" s="3">
        <f ca="1">'ETF price'!F106-'ETF price'!F105</f>
        <v>-6.0000000000002274E-2</v>
      </c>
      <c r="F104" s="3">
        <f ca="1">'ETF price'!G106-'ETF price'!G105</f>
        <v>-0.41000000000000014</v>
      </c>
      <c r="G104" s="3">
        <f ca="1">'ETF price'!H106-'ETF price'!H105</f>
        <v>-0.30000000000000071</v>
      </c>
      <c r="H104" s="3">
        <f ca="1">'ETF price'!I106-'ETF price'!I105</f>
        <v>-1.8999999999999773</v>
      </c>
      <c r="I104" s="3">
        <f ca="1">'ETF price'!J106-'ETF price'!J105</f>
        <v>-3.7800000000000011</v>
      </c>
      <c r="J104" s="3">
        <f ca="1">'ETF price'!K106-'ETF price'!K105</f>
        <v>-1.230000000000004</v>
      </c>
      <c r="K104" s="3">
        <f ca="1">'ETF price'!L106-'ETF price'!L105</f>
        <v>-1.25</v>
      </c>
      <c r="L104" s="3">
        <f ca="1">'ETF price'!M106-'ETF price'!M105</f>
        <v>-0.32000000000000028</v>
      </c>
      <c r="M104" s="3">
        <f ca="1">'ETF price'!N106-'ETF price'!N105</f>
        <v>-0.87999999999999545</v>
      </c>
      <c r="N104" s="3">
        <f ca="1">'ETF price'!O106-'ETF price'!O105</f>
        <v>-1.2000000000000028</v>
      </c>
      <c r="O104" s="3">
        <f ca="1">'ETF price'!P106-'ETF price'!P105</f>
        <v>1.4200000000000017</v>
      </c>
      <c r="P104" s="3">
        <f ca="1">'ETF price'!Q106-'ETF price'!Q105</f>
        <v>2.3100000000000023</v>
      </c>
      <c r="Q104" s="3">
        <f ca="1">'ETF price'!R106-'ETF price'!R105</f>
        <v>-0.85999999999999943</v>
      </c>
      <c r="R104" s="3">
        <f ca="1">'ETF price'!S106-'ETF price'!S105</f>
        <v>-0.10000000000000142</v>
      </c>
      <c r="S104" s="3">
        <f ca="1">'ETF price'!T106-'ETF price'!T105</f>
        <v>0.14000000000000057</v>
      </c>
      <c r="T104" s="3">
        <f ca="1">'ETF price'!U106-'ETF price'!U105</f>
        <v>7.000000000000739E-2</v>
      </c>
      <c r="U104" s="3">
        <f ca="1">'ETF price'!V106-'ETF price'!V105</f>
        <v>-0.87999999999999545</v>
      </c>
      <c r="V104" s="3">
        <f ca="1">'ETF price'!W106-'ETF price'!W105</f>
        <v>-0.57000000000000028</v>
      </c>
      <c r="W104" s="3">
        <f ca="1">'ETF price'!X106-'ETF price'!X105</f>
        <v>-1.4200000000000017</v>
      </c>
      <c r="X104" s="3">
        <f ca="1">'ETF price'!Y106-'ETF price'!Y105</f>
        <v>-0.65000000000000568</v>
      </c>
      <c r="Y104" s="3">
        <f ca="1">'ETF price'!Z106-'ETF price'!Z105</f>
        <v>-1.3000000000000114</v>
      </c>
      <c r="Z104" s="3">
        <f ca="1">'ETF price'!AA106-'ETF price'!AA105</f>
        <v>-0.47999999999999687</v>
      </c>
      <c r="AA104" s="3">
        <f ca="1">'ETF price'!AB106-'ETF price'!AB105</f>
        <v>-0.82999999999999829</v>
      </c>
      <c r="AB104" s="3">
        <f ca="1">'ETF price'!AC106-'ETF price'!AC105</f>
        <v>-0.92000000000000171</v>
      </c>
      <c r="AC104" s="3">
        <f ca="1">'ETF price'!AD106-'ETF price'!AD105</f>
        <v>-0.62000000000000099</v>
      </c>
      <c r="AD104" s="3">
        <f ca="1">'ETF price'!AE106-'ETF price'!AE105</f>
        <v>-0.98000000000000043</v>
      </c>
      <c r="AE104" s="3">
        <f ca="1">'ETF price'!AF106-'ETF price'!AF105</f>
        <v>-0.22999999999999998</v>
      </c>
      <c r="AF104" s="3">
        <f ca="1">'ETF price'!AG106-'ETF price'!AG105</f>
        <v>-2.6799999999999997</v>
      </c>
    </row>
    <row r="105" spans="1:32" ht="12.75" x14ac:dyDescent="0.2">
      <c r="A105" s="3">
        <f ca="1">'ETF price'!B107-'ETF price'!B106</f>
        <v>3.3899999999999864</v>
      </c>
      <c r="B105" s="3">
        <f ca="1">'ETF price'!C107-'ETF price'!C106</f>
        <v>9.8900000000000432</v>
      </c>
      <c r="C105" s="3">
        <f ca="1">'ETF price'!D107-'ETF price'!D106</f>
        <v>2.6799999999999926</v>
      </c>
      <c r="D105" s="3">
        <f ca="1">'ETF price'!E107-'ETF price'!E106</f>
        <v>4.8700000000000045</v>
      </c>
      <c r="E105" s="3">
        <f ca="1">'ETF price'!F107-'ETF price'!F106</f>
        <v>1.6099999999999994</v>
      </c>
      <c r="F105" s="3">
        <f ca="1">'ETF price'!G107-'ETF price'!G106</f>
        <v>0.96999999999999886</v>
      </c>
      <c r="G105" s="3">
        <f ca="1">'ETF price'!H107-'ETF price'!H106</f>
        <v>0.82000000000000028</v>
      </c>
      <c r="H105" s="3">
        <f ca="1">'ETF price'!I107-'ETF price'!I106</f>
        <v>1.0300000000000011</v>
      </c>
      <c r="I105" s="3">
        <f ca="1">'ETF price'!J107-'ETF price'!J106</f>
        <v>2.75</v>
      </c>
      <c r="J105" s="3">
        <f ca="1">'ETF price'!K107-'ETF price'!K106</f>
        <v>0.92000000000000171</v>
      </c>
      <c r="K105" s="3">
        <f ca="1">'ETF price'!L107-'ETF price'!L106</f>
        <v>1.2399999999999949</v>
      </c>
      <c r="L105" s="3">
        <f ca="1">'ETF price'!M107-'ETF price'!M106</f>
        <v>0.27999999999999403</v>
      </c>
      <c r="M105" s="3">
        <f ca="1">'ETF price'!N107-'ETF price'!N106</f>
        <v>0.65999999999999659</v>
      </c>
      <c r="N105" s="3">
        <f ca="1">'ETF price'!O107-'ETF price'!O106</f>
        <v>1.6000000000000014</v>
      </c>
      <c r="O105" s="3">
        <f ca="1">'ETF price'!P107-'ETF price'!P106</f>
        <v>-0.28000000000000114</v>
      </c>
      <c r="P105" s="3">
        <f ca="1">'ETF price'!Q107-'ETF price'!Q106</f>
        <v>-0.25999999999999091</v>
      </c>
      <c r="Q105" s="3">
        <f ca="1">'ETF price'!R107-'ETF price'!R106</f>
        <v>2.3499999999999943</v>
      </c>
      <c r="R105" s="3">
        <f ca="1">'ETF price'!S107-'ETF price'!S106</f>
        <v>2.009999999999998</v>
      </c>
      <c r="S105" s="3">
        <f ca="1">'ETF price'!T107-'ETF price'!T106</f>
        <v>0.66000000000000014</v>
      </c>
      <c r="T105" s="3">
        <f ca="1">'ETF price'!U107-'ETF price'!U106</f>
        <v>1.7099999999999937</v>
      </c>
      <c r="U105" s="3">
        <f ca="1">'ETF price'!V107-'ETF price'!V106</f>
        <v>3.8499999999999943</v>
      </c>
      <c r="V105" s="3">
        <f ca="1">'ETF price'!W107-'ETF price'!W106</f>
        <v>0.48000000000000398</v>
      </c>
      <c r="W105" s="3">
        <f ca="1">'ETF price'!X107-'ETF price'!X106</f>
        <v>1.3800000000000097</v>
      </c>
      <c r="X105" s="3">
        <f ca="1">'ETF price'!Y107-'ETF price'!Y106</f>
        <v>0.92999999999999972</v>
      </c>
      <c r="Y105" s="3">
        <f ca="1">'ETF price'!Z107-'ETF price'!Z106</f>
        <v>1.2800000000000011</v>
      </c>
      <c r="Z105" s="3">
        <f ca="1">'ETF price'!AA107-'ETF price'!AA106</f>
        <v>0.65999999999999659</v>
      </c>
      <c r="AA105" s="3">
        <f ca="1">'ETF price'!AB107-'ETF price'!AB106</f>
        <v>1.2999999999999972</v>
      </c>
      <c r="AB105" s="3">
        <f ca="1">'ETF price'!AC107-'ETF price'!AC106</f>
        <v>1</v>
      </c>
      <c r="AC105" s="3">
        <f ca="1">'ETF price'!AD107-'ETF price'!AD106</f>
        <v>9.9999999999999645E-2</v>
      </c>
      <c r="AD105" s="3">
        <f ca="1">'ETF price'!AE107-'ETF price'!AE106</f>
        <v>0.16000000000000014</v>
      </c>
      <c r="AE105" s="3">
        <f ca="1">'ETF price'!AF107-'ETF price'!AF106</f>
        <v>0.12999999999999989</v>
      </c>
      <c r="AF105" s="3">
        <f ca="1">'ETF price'!AG107-'ETF price'!AG106</f>
        <v>1.3599999999999994</v>
      </c>
    </row>
    <row r="106" spans="1:32" ht="12.75" x14ac:dyDescent="0.2">
      <c r="A106" s="3">
        <f ca="1">'ETF price'!B108-'ETF price'!B107</f>
        <v>-3.4299999999999784</v>
      </c>
      <c r="B106" s="3">
        <f ca="1">'ETF price'!C108-'ETF price'!C107</f>
        <v>-9.3900000000000432</v>
      </c>
      <c r="C106" s="3">
        <f ca="1">'ETF price'!D108-'ETF price'!D107</f>
        <v>-2.4299999999999926</v>
      </c>
      <c r="D106" s="3">
        <f ca="1">'ETF price'!E108-'ETF price'!E107</f>
        <v>-4.3199999999999932</v>
      </c>
      <c r="E106" s="3">
        <f ca="1">'ETF price'!F108-'ETF price'!F107</f>
        <v>-0.71000000000000085</v>
      </c>
      <c r="F106" s="3">
        <f ca="1">'ETF price'!G108-'ETF price'!G107</f>
        <v>-0.67000000000000171</v>
      </c>
      <c r="G106" s="3">
        <f ca="1">'ETF price'!H108-'ETF price'!H107</f>
        <v>-0.5</v>
      </c>
      <c r="H106" s="3">
        <f ca="1">'ETF price'!I108-'ETF price'!I107</f>
        <v>-1.5400000000000205</v>
      </c>
      <c r="I106" s="3">
        <f ca="1">'ETF price'!J108-'ETF price'!J107</f>
        <v>-2.4799999999999898</v>
      </c>
      <c r="J106" s="3">
        <f ca="1">'ETF price'!K108-'ETF price'!K107</f>
        <v>0.14000000000000057</v>
      </c>
      <c r="K106" s="3">
        <f ca="1">'ETF price'!L108-'ETF price'!L107</f>
        <v>2.4399999999999977</v>
      </c>
      <c r="L106" s="3">
        <f ca="1">'ETF price'!M108-'ETF price'!M107</f>
        <v>0.40000000000000568</v>
      </c>
      <c r="M106" s="3">
        <f ca="1">'ETF price'!N108-'ETF price'!N107</f>
        <v>-0.62999999999999545</v>
      </c>
      <c r="N106" s="3">
        <f ca="1">'ETF price'!O108-'ETF price'!O107</f>
        <v>-0.24000000000000199</v>
      </c>
      <c r="O106" s="3">
        <f ca="1">'ETF price'!P108-'ETF price'!P107</f>
        <v>1.1700000000000017</v>
      </c>
      <c r="P106" s="3">
        <f ca="1">'ETF price'!Q108-'ETF price'!Q107</f>
        <v>1.5699999999999932</v>
      </c>
      <c r="Q106" s="3">
        <f ca="1">'ETF price'!R108-'ETF price'!R107</f>
        <v>-0.84999999999999432</v>
      </c>
      <c r="R106" s="3">
        <f ca="1">'ETF price'!S108-'ETF price'!S107</f>
        <v>-1.1899999999999977</v>
      </c>
      <c r="S106" s="3">
        <f ca="1">'ETF price'!T108-'ETF price'!T107</f>
        <v>0.27999999999999758</v>
      </c>
      <c r="T106" s="3">
        <f ca="1">'ETF price'!U108-'ETF price'!U107</f>
        <v>2.2199999999999989</v>
      </c>
      <c r="U106" s="3">
        <f ca="1">'ETF price'!V108-'ETF price'!V107</f>
        <v>-0.41999999999998749</v>
      </c>
      <c r="V106" s="3">
        <f ca="1">'ETF price'!W108-'ETF price'!W107</f>
        <v>-0.51000000000000512</v>
      </c>
      <c r="W106" s="3">
        <f ca="1">'ETF price'!X108-'ETF price'!X107</f>
        <v>-1.230000000000004</v>
      </c>
      <c r="X106" s="3">
        <f ca="1">'ETF price'!Y108-'ETF price'!Y107</f>
        <v>-0.6699999999999946</v>
      </c>
      <c r="Y106" s="3">
        <f ca="1">'ETF price'!Z108-'ETF price'!Z107</f>
        <v>-1.2099999999999937</v>
      </c>
      <c r="Z106" s="3">
        <f ca="1">'ETF price'!AA108-'ETF price'!AA107</f>
        <v>-0.55999999999999517</v>
      </c>
      <c r="AA106" s="3">
        <f ca="1">'ETF price'!AB108-'ETF price'!AB107</f>
        <v>-0.78999999999999204</v>
      </c>
      <c r="AB106" s="3">
        <f ca="1">'ETF price'!AC108-'ETF price'!AC107</f>
        <v>-0.85000000000000142</v>
      </c>
      <c r="AC106" s="3">
        <f ca="1">'ETF price'!AD108-'ETF price'!AD107</f>
        <v>-0.29999999999999893</v>
      </c>
      <c r="AD106" s="3">
        <f ca="1">'ETF price'!AE108-'ETF price'!AE107</f>
        <v>-0.46999999999999886</v>
      </c>
      <c r="AE106" s="3">
        <f ca="1">'ETF price'!AF108-'ETF price'!AF107</f>
        <v>-2.0000000000000018E-2</v>
      </c>
      <c r="AF106" s="3">
        <f ca="1">'ETF price'!AG108-'ETF price'!AG107</f>
        <v>-1.3999999999999986</v>
      </c>
    </row>
    <row r="107" spans="1:32" ht="12.75" x14ac:dyDescent="0.2">
      <c r="A107" s="3">
        <f ca="1">'ETF price'!B109-'ETF price'!B108</f>
        <v>9.9999999999909051E-3</v>
      </c>
      <c r="B107" s="3">
        <f ca="1">'ETF price'!C109-'ETF price'!C108</f>
        <v>0.21000000000003638</v>
      </c>
      <c r="C107" s="3">
        <f ca="1">'ETF price'!D109-'ETF price'!D108</f>
        <v>0.17999999999999261</v>
      </c>
      <c r="D107" s="3">
        <f ca="1">'ETF price'!E109-'ETF price'!E108</f>
        <v>0.24000000000000909</v>
      </c>
      <c r="E107" s="3">
        <f ca="1">'ETF price'!F109-'ETF price'!F108</f>
        <v>0.13000000000000256</v>
      </c>
      <c r="F107" s="3">
        <f ca="1">'ETF price'!G109-'ETF price'!G108</f>
        <v>5.0000000000000711E-2</v>
      </c>
      <c r="G107" s="3">
        <f ca="1">'ETF price'!H109-'ETF price'!H108</f>
        <v>0.20000000000000284</v>
      </c>
      <c r="H107" s="3">
        <f ca="1">'ETF price'!I109-'ETF price'!I108</f>
        <v>2.0000000000010232E-2</v>
      </c>
      <c r="I107" s="3">
        <f ca="1">'ETF price'!J109-'ETF price'!J108</f>
        <v>-0.30000000000001137</v>
      </c>
      <c r="J107" s="3">
        <f ca="1">'ETF price'!K109-'ETF price'!K108</f>
        <v>-1.2600000000000051</v>
      </c>
      <c r="K107" s="3">
        <f ca="1">'ETF price'!L109-'ETF price'!L108</f>
        <v>-2.0299999999999869</v>
      </c>
      <c r="L107" s="3">
        <f ca="1">'ETF price'!M109-'ETF price'!M108</f>
        <v>-1.1799999999999997</v>
      </c>
      <c r="M107" s="3">
        <f ca="1">'ETF price'!N109-'ETF price'!N108</f>
        <v>-0.13000000000000256</v>
      </c>
      <c r="N107" s="3">
        <f ca="1">'ETF price'!O109-'ETF price'!O108</f>
        <v>-0.59999999999999432</v>
      </c>
      <c r="O107" s="3">
        <f ca="1">'ETF price'!P109-'ETF price'!P108</f>
        <v>-0.10000000000000853</v>
      </c>
      <c r="P107" s="3">
        <f ca="1">'ETF price'!Q109-'ETF price'!Q108</f>
        <v>7.9999999999998295E-2</v>
      </c>
      <c r="Q107" s="3">
        <f ca="1">'ETF price'!R109-'ETF price'!R108</f>
        <v>0.81999999999999318</v>
      </c>
      <c r="R107" s="3">
        <f ca="1">'ETF price'!S109-'ETF price'!S108</f>
        <v>0.82000000000000028</v>
      </c>
      <c r="S107" s="3">
        <f ca="1">'ETF price'!T109-'ETF price'!T108</f>
        <v>0.13000000000000256</v>
      </c>
      <c r="T107" s="3">
        <f ca="1">'ETF price'!U109-'ETF price'!U108</f>
        <v>-1.0799999999999983</v>
      </c>
      <c r="U107" s="3">
        <f ca="1">'ETF price'!V109-'ETF price'!V108</f>
        <v>3.1400000000000006</v>
      </c>
      <c r="V107" s="3">
        <f ca="1">'ETF price'!W109-'ETF price'!W108</f>
        <v>0.10000000000000142</v>
      </c>
      <c r="W107" s="3">
        <f ca="1">'ETF price'!X109-'ETF price'!X108</f>
        <v>0.29999999999999716</v>
      </c>
      <c r="X107" s="3">
        <f ca="1">'ETF price'!Y109-'ETF price'!Y108</f>
        <v>0.21000000000000085</v>
      </c>
      <c r="Y107" s="3">
        <f ca="1">'ETF price'!Z109-'ETF price'!Z108</f>
        <v>0.34999999999999432</v>
      </c>
      <c r="Z107" s="3">
        <f ca="1">'ETF price'!AA109-'ETF price'!AA108</f>
        <v>-0.13000000000000256</v>
      </c>
      <c r="AA107" s="3">
        <f ca="1">'ETF price'!AB109-'ETF price'!AB108</f>
        <v>0.29999999999999716</v>
      </c>
      <c r="AB107" s="3">
        <f ca="1">'ETF price'!AC109-'ETF price'!AC108</f>
        <v>0.10999999999999943</v>
      </c>
      <c r="AC107" s="3">
        <f ca="1">'ETF price'!AD109-'ETF price'!AD108</f>
        <v>0.75</v>
      </c>
      <c r="AD107" s="3">
        <f ca="1">'ETF price'!AE109-'ETF price'!AE108</f>
        <v>1.2199999999999989</v>
      </c>
      <c r="AE107" s="3">
        <f ca="1">'ETF price'!AF109-'ETF price'!AF108</f>
        <v>-0.18999999999999995</v>
      </c>
      <c r="AF107" s="3">
        <f ca="1">'ETF price'!AG109-'ETF price'!AG108</f>
        <v>0.55999999999999872</v>
      </c>
    </row>
    <row r="108" spans="1:32" ht="12.75" x14ac:dyDescent="0.2">
      <c r="A108" s="3">
        <f ca="1">'ETF price'!B110-'ETF price'!B109</f>
        <v>1.6699999999999875</v>
      </c>
      <c r="B108" s="3">
        <f ca="1">'ETF price'!C110-'ETF price'!C109</f>
        <v>4.7899999999999636</v>
      </c>
      <c r="C108" s="3">
        <f ca="1">'ETF price'!D110-'ETF price'!D109</f>
        <v>1.0799999999999983</v>
      </c>
      <c r="D108" s="3">
        <f ca="1">'ETF price'!E110-'ETF price'!E109</f>
        <v>1.1199999999999761</v>
      </c>
      <c r="E108" s="3">
        <f ca="1">'ETF price'!F110-'ETF price'!F109</f>
        <v>0.74000000000000199</v>
      </c>
      <c r="F108" s="3">
        <f ca="1">'ETF price'!G110-'ETF price'!G109</f>
        <v>0.19000000000000128</v>
      </c>
      <c r="G108" s="3">
        <f ca="1">'ETF price'!H110-'ETF price'!H109</f>
        <v>0.27999999999999758</v>
      </c>
      <c r="H108" s="3">
        <f ca="1">'ETF price'!I110-'ETF price'!I109</f>
        <v>1.6899999999999977</v>
      </c>
      <c r="I108" s="3">
        <f ca="1">'ETF price'!J110-'ETF price'!J109</f>
        <v>3.3499999999999943</v>
      </c>
      <c r="J108" s="3">
        <f ca="1">'ETF price'!K110-'ETF price'!K109</f>
        <v>2.5900000000000034</v>
      </c>
      <c r="K108" s="3">
        <f ca="1">'ETF price'!L110-'ETF price'!L109</f>
        <v>3.4199999999999875</v>
      </c>
      <c r="L108" s="3">
        <f ca="1">'ETF price'!M110-'ETF price'!M109</f>
        <v>1.6599999999999966</v>
      </c>
      <c r="M108" s="3">
        <f ca="1">'ETF price'!N110-'ETF price'!N109</f>
        <v>0.93999999999999773</v>
      </c>
      <c r="N108" s="3">
        <f ca="1">'ETF price'!O110-'ETF price'!O109</f>
        <v>1.8399999999999963</v>
      </c>
      <c r="O108" s="3">
        <f ca="1">'ETF price'!P110-'ETF price'!P109</f>
        <v>2.6700000000000017</v>
      </c>
      <c r="P108" s="3">
        <f ca="1">'ETF price'!Q110-'ETF price'!Q109</f>
        <v>4.0500000000000114</v>
      </c>
      <c r="Q108" s="3">
        <f ca="1">'ETF price'!R110-'ETF price'!R109</f>
        <v>0.63000000000000966</v>
      </c>
      <c r="R108" s="3">
        <f ca="1">'ETF price'!S110-'ETF price'!S109</f>
        <v>1.9200000000000017</v>
      </c>
      <c r="S108" s="3">
        <f ca="1">'ETF price'!T110-'ETF price'!T109</f>
        <v>0.19999999999999929</v>
      </c>
      <c r="T108" s="3">
        <f ca="1">'ETF price'!U110-'ETF price'!U109</f>
        <v>1.6500000000000057</v>
      </c>
      <c r="U108" s="3">
        <f ca="1">'ETF price'!V110-'ETF price'!V109</f>
        <v>0.76999999999999602</v>
      </c>
      <c r="V108" s="3">
        <f ca="1">'ETF price'!W110-'ETF price'!W109</f>
        <v>0.27000000000000313</v>
      </c>
      <c r="W108" s="3">
        <f ca="1">'ETF price'!X110-'ETF price'!X109</f>
        <v>0.65999999999999659</v>
      </c>
      <c r="X108" s="3">
        <f ca="1">'ETF price'!Y110-'ETF price'!Y109</f>
        <v>0.44999999999999574</v>
      </c>
      <c r="Y108" s="3">
        <f ca="1">'ETF price'!Z110-'ETF price'!Z109</f>
        <v>0.54999999999999716</v>
      </c>
      <c r="Z108" s="3">
        <f ca="1">'ETF price'!AA110-'ETF price'!AA109</f>
        <v>0.50999999999999801</v>
      </c>
      <c r="AA108" s="3">
        <f ca="1">'ETF price'!AB110-'ETF price'!AB109</f>
        <v>0.53000000000000114</v>
      </c>
      <c r="AB108" s="3">
        <f ca="1">'ETF price'!AC110-'ETF price'!AC109</f>
        <v>0.44000000000000483</v>
      </c>
      <c r="AC108" s="3">
        <f ca="1">'ETF price'!AD110-'ETF price'!AD109</f>
        <v>-0.14000000000000057</v>
      </c>
      <c r="AD108" s="3">
        <f ca="1">'ETF price'!AE110-'ETF price'!AE109</f>
        <v>-0.26999999999999957</v>
      </c>
      <c r="AE108" s="3">
        <f ca="1">'ETF price'!AF110-'ETF price'!AF109</f>
        <v>8.0000000000000071E-2</v>
      </c>
      <c r="AF108" s="3">
        <f ca="1">'ETF price'!AG110-'ETF price'!AG109</f>
        <v>-0.55999999999999872</v>
      </c>
    </row>
    <row r="109" spans="1:32" ht="12.75" x14ac:dyDescent="0.2">
      <c r="A109" s="3">
        <f ca="1">'ETF price'!B111-'ETF price'!B110</f>
        <v>-1.5999999999999943</v>
      </c>
      <c r="B109" s="3">
        <f ca="1">'ETF price'!C111-'ETF price'!C110</f>
        <v>-3.9300000000000068</v>
      </c>
      <c r="C109" s="3">
        <f ca="1">'ETF price'!D111-'ETF price'!D110</f>
        <v>-0.81999999999999318</v>
      </c>
      <c r="D109" s="3">
        <f ca="1">'ETF price'!E111-'ETF price'!E110</f>
        <v>-3.0099999999999909</v>
      </c>
      <c r="E109" s="3">
        <f ca="1">'ETF price'!F111-'ETF price'!F110</f>
        <v>-0.39000000000000057</v>
      </c>
      <c r="F109" s="3">
        <f ca="1">'ETF price'!G111-'ETF price'!G110</f>
        <v>-0.28000000000000114</v>
      </c>
      <c r="G109" s="3">
        <f ca="1">'ETF price'!H111-'ETF price'!H110</f>
        <v>-0.16999999999999815</v>
      </c>
      <c r="H109" s="3">
        <f ca="1">'ETF price'!I111-'ETF price'!I110</f>
        <v>-1.039999999999992</v>
      </c>
      <c r="I109" s="3">
        <f ca="1">'ETF price'!J111-'ETF price'!J110</f>
        <v>-1.6999999999999886</v>
      </c>
      <c r="J109" s="3">
        <f ca="1">'ETF price'!K111-'ETF price'!K110</f>
        <v>0.29999999999999716</v>
      </c>
      <c r="K109" s="3">
        <f ca="1">'ETF price'!L111-'ETF price'!L110</f>
        <v>0.60999999999999943</v>
      </c>
      <c r="L109" s="3">
        <f ca="1">'ETF price'!M111-'ETF price'!M110</f>
        <v>-0.14999999999999858</v>
      </c>
      <c r="M109" s="3">
        <f ca="1">'ETF price'!N111-'ETF price'!N110</f>
        <v>-0.4199999999999946</v>
      </c>
      <c r="N109" s="3">
        <f ca="1">'ETF price'!O111-'ETF price'!O110</f>
        <v>0.88000000000000256</v>
      </c>
      <c r="O109" s="3">
        <f ca="1">'ETF price'!P111-'ETF price'!P110</f>
        <v>0.20000000000000284</v>
      </c>
      <c r="P109" s="3">
        <f ca="1">'ETF price'!Q111-'ETF price'!Q110</f>
        <v>-0.14000000000001478</v>
      </c>
      <c r="Q109" s="3">
        <f ca="1">'ETF price'!R111-'ETF price'!R110</f>
        <v>-1.8299999999999983</v>
      </c>
      <c r="R109" s="3">
        <f ca="1">'ETF price'!S111-'ETF price'!S110</f>
        <v>-2.1700000000000017</v>
      </c>
      <c r="S109" s="3">
        <f ca="1">'ETF price'!T111-'ETF price'!T110</f>
        <v>0.26999999999999957</v>
      </c>
      <c r="T109" s="3">
        <f ca="1">'ETF price'!U111-'ETF price'!U110</f>
        <v>1.9499999999999886</v>
      </c>
      <c r="U109" s="3">
        <f ca="1">'ETF price'!V111-'ETF price'!V110</f>
        <v>-1.0499999999999972</v>
      </c>
      <c r="V109" s="3">
        <f ca="1">'ETF price'!W111-'ETF price'!W110</f>
        <v>-0.62000000000000455</v>
      </c>
      <c r="W109" s="3">
        <f ca="1">'ETF price'!X111-'ETF price'!X110</f>
        <v>-1.5099999999999909</v>
      </c>
      <c r="X109" s="3">
        <f ca="1">'ETF price'!Y111-'ETF price'!Y110</f>
        <v>-0.82000000000000028</v>
      </c>
      <c r="Y109" s="3">
        <f ca="1">'ETF price'!Z111-'ETF price'!Z110</f>
        <v>-1.3699999999999903</v>
      </c>
      <c r="Z109" s="3">
        <f ca="1">'ETF price'!AA111-'ETF price'!AA110</f>
        <v>-1.0600000000000023</v>
      </c>
      <c r="AA109" s="3">
        <f ca="1">'ETF price'!AB111-'ETF price'!AB110</f>
        <v>-1.1000000000000014</v>
      </c>
      <c r="AB109" s="3">
        <f ca="1">'ETF price'!AC111-'ETF price'!AC110</f>
        <v>-0.90000000000000568</v>
      </c>
      <c r="AC109" s="3">
        <f ca="1">'ETF price'!AD111-'ETF price'!AD110</f>
        <v>-0.39000000000000057</v>
      </c>
      <c r="AD109" s="3">
        <f ca="1">'ETF price'!AE111-'ETF price'!AE110</f>
        <v>-0.60999999999999943</v>
      </c>
      <c r="AE109" s="3">
        <f ca="1">'ETF price'!AF111-'ETF price'!AF110</f>
        <v>4.0000000000000036E-2</v>
      </c>
      <c r="AF109" s="3">
        <f ca="1">'ETF price'!AG111-'ETF price'!AG110</f>
        <v>-0.32000000000000028</v>
      </c>
    </row>
    <row r="110" spans="1:32" ht="12.75" x14ac:dyDescent="0.2">
      <c r="A110" s="3">
        <f ca="1">'ETF price'!B112-'ETF price'!B111</f>
        <v>-3.7399999999999807</v>
      </c>
      <c r="B110" s="3">
        <f ca="1">'ETF price'!C112-'ETF price'!C111</f>
        <v>-10.159999999999968</v>
      </c>
      <c r="C110" s="3">
        <f ca="1">'ETF price'!D112-'ETF price'!D111</f>
        <v>-2.5300000000000011</v>
      </c>
      <c r="D110" s="3">
        <f ca="1">'ETF price'!E112-'ETF price'!E111</f>
        <v>-4.1399999999999864</v>
      </c>
      <c r="E110" s="3">
        <f ca="1">'ETF price'!F112-'ETF price'!F111</f>
        <v>-1.0499999999999972</v>
      </c>
      <c r="F110" s="3">
        <f ca="1">'ETF price'!G112-'ETF price'!G111</f>
        <v>-0.58999999999999986</v>
      </c>
      <c r="G110" s="3">
        <f ca="1">'ETF price'!H112-'ETF price'!H111</f>
        <v>-0.75</v>
      </c>
      <c r="H110" s="3">
        <f ca="1">'ETF price'!I112-'ETF price'!I111</f>
        <v>-2.9500000000000028</v>
      </c>
      <c r="I110" s="3">
        <f ca="1">'ETF price'!J112-'ETF price'!J111</f>
        <v>-5.6700000000000159</v>
      </c>
      <c r="J110" s="3">
        <f ca="1">'ETF price'!K112-'ETF price'!K111</f>
        <v>-4.1499999999999915</v>
      </c>
      <c r="K110" s="3">
        <f ca="1">'ETF price'!L112-'ETF price'!L111</f>
        <v>-2.9499999999999886</v>
      </c>
      <c r="L110" s="3">
        <f ca="1">'ETF price'!M112-'ETF price'!M111</f>
        <v>-1.4699999999999989</v>
      </c>
      <c r="M110" s="3">
        <f ca="1">'ETF price'!N112-'ETF price'!N111</f>
        <v>-1.480000000000004</v>
      </c>
      <c r="N110" s="3">
        <f ca="1">'ETF price'!O112-'ETF price'!O111</f>
        <v>-2.0399999999999991</v>
      </c>
      <c r="O110" s="3">
        <f ca="1">'ETF price'!P112-'ETF price'!P111</f>
        <v>-2.0400000000000063</v>
      </c>
      <c r="P110" s="3">
        <f ca="1">'ETF price'!Q112-'ETF price'!Q111</f>
        <v>-2.9299999999999926</v>
      </c>
      <c r="Q110" s="3">
        <f ca="1">'ETF price'!R112-'ETF price'!R111</f>
        <v>-2.0400000000000063</v>
      </c>
      <c r="R110" s="3">
        <f ca="1">'ETF price'!S112-'ETF price'!S111</f>
        <v>-2.6300000000000026</v>
      </c>
      <c r="S110" s="3">
        <f ca="1">'ETF price'!T112-'ETF price'!T111</f>
        <v>5.0000000000000711E-2</v>
      </c>
      <c r="T110" s="3">
        <f ca="1">'ETF price'!U112-'ETF price'!U111</f>
        <v>-0.90999999999999659</v>
      </c>
      <c r="U110" s="3">
        <f ca="1">'ETF price'!V112-'ETF price'!V111</f>
        <v>-1.8800000000000097</v>
      </c>
      <c r="V110" s="3">
        <f ca="1">'ETF price'!W112-'ETF price'!W111</f>
        <v>-0.86999999999999744</v>
      </c>
      <c r="W110" s="3">
        <f ca="1">'ETF price'!X112-'ETF price'!X111</f>
        <v>-2.1500000000000057</v>
      </c>
      <c r="X110" s="3">
        <f ca="1">'ETF price'!Y112-'ETF price'!Y111</f>
        <v>-1.4600000000000009</v>
      </c>
      <c r="Y110" s="3">
        <f ca="1">'ETF price'!Z112-'ETF price'!Z111</f>
        <v>-2.210000000000008</v>
      </c>
      <c r="Z110" s="3">
        <f ca="1">'ETF price'!AA112-'ETF price'!AA111</f>
        <v>-0.98999999999999488</v>
      </c>
      <c r="AA110" s="3">
        <f ca="1">'ETF price'!AB112-'ETF price'!AB111</f>
        <v>-2.0499999999999972</v>
      </c>
      <c r="AB110" s="3">
        <f ca="1">'ETF price'!AC112-'ETF price'!AC111</f>
        <v>-1.759999999999998</v>
      </c>
      <c r="AC110" s="3">
        <f ca="1">'ETF price'!AD112-'ETF price'!AD111</f>
        <v>-4.9999999999998934E-2</v>
      </c>
      <c r="AD110" s="3">
        <f ca="1">'ETF price'!AE112-'ETF price'!AE111</f>
        <v>-8.9999999999999858E-2</v>
      </c>
      <c r="AE110" s="3">
        <f ca="1">'ETF price'!AF112-'ETF price'!AF111</f>
        <v>-0.12999999999999989</v>
      </c>
      <c r="AF110" s="3">
        <f ca="1">'ETF price'!AG112-'ETF price'!AG111</f>
        <v>-1.7200000000000024</v>
      </c>
    </row>
    <row r="111" spans="1:32" ht="12.75" x14ac:dyDescent="0.2">
      <c r="A111" s="3">
        <f ca="1">'ETF price'!B113-'ETF price'!B112</f>
        <v>-5.2400000000000091</v>
      </c>
      <c r="B111" s="3">
        <f ca="1">'ETF price'!C113-'ETF price'!C112</f>
        <v>-13.78000000000003</v>
      </c>
      <c r="C111" s="3">
        <f ca="1">'ETF price'!D113-'ETF price'!D112</f>
        <v>-3.460000000000008</v>
      </c>
      <c r="D111" s="3">
        <f ca="1">'ETF price'!E113-'ETF price'!E112</f>
        <v>-4.7800000000000011</v>
      </c>
      <c r="E111" s="3">
        <f ca="1">'ETF price'!F113-'ETF price'!F112</f>
        <v>-1.6000000000000014</v>
      </c>
      <c r="F111" s="3">
        <f ca="1">'ETF price'!G113-'ETF price'!G112</f>
        <v>-0.80000000000000071</v>
      </c>
      <c r="G111" s="3">
        <f ca="1">'ETF price'!H113-'ETF price'!H112</f>
        <v>-0.85000000000000142</v>
      </c>
      <c r="H111" s="3">
        <f ca="1">'ETF price'!I113-'ETF price'!I112</f>
        <v>-2.0500000000000114</v>
      </c>
      <c r="I111" s="3">
        <f ca="1">'ETF price'!J113-'ETF price'!J112</f>
        <v>-4.0199999999999818</v>
      </c>
      <c r="J111" s="3">
        <f ca="1">'ETF price'!K113-'ETF price'!K112</f>
        <v>-3.5</v>
      </c>
      <c r="K111" s="3">
        <f ca="1">'ETF price'!L113-'ETF price'!L112</f>
        <v>-3.230000000000004</v>
      </c>
      <c r="L111" s="3">
        <f ca="1">'ETF price'!M113-'ETF price'!M112</f>
        <v>-2.0600000000000023</v>
      </c>
      <c r="M111" s="3">
        <f ca="1">'ETF price'!N113-'ETF price'!N112</f>
        <v>-1.0499999999999972</v>
      </c>
      <c r="N111" s="3">
        <f ca="1">'ETF price'!O113-'ETF price'!O112</f>
        <v>-2.7600000000000051</v>
      </c>
      <c r="O111" s="3">
        <f ca="1">'ETF price'!P113-'ETF price'!P112</f>
        <v>-1.5300000000000011</v>
      </c>
      <c r="P111" s="3">
        <f ca="1">'ETF price'!Q113-'ETF price'!Q112</f>
        <v>-2.0600000000000023</v>
      </c>
      <c r="Q111" s="3">
        <f ca="1">'ETF price'!R113-'ETF price'!R112</f>
        <v>-2.5799999999999983</v>
      </c>
      <c r="R111" s="3">
        <f ca="1">'ETF price'!S113-'ETF price'!S112</f>
        <v>-0.35999999999999943</v>
      </c>
      <c r="S111" s="3">
        <f ca="1">'ETF price'!T113-'ETF price'!T112</f>
        <v>-0.30000000000000071</v>
      </c>
      <c r="T111" s="3">
        <f ca="1">'ETF price'!U113-'ETF price'!U112</f>
        <v>-0.95000000000000284</v>
      </c>
      <c r="U111" s="3">
        <f ca="1">'ETF price'!V113-'ETF price'!V112</f>
        <v>-1.1899999999999977</v>
      </c>
      <c r="V111" s="3">
        <f ca="1">'ETF price'!W113-'ETF price'!W112</f>
        <v>-1.2199999999999989</v>
      </c>
      <c r="W111" s="3">
        <f ca="1">'ETF price'!X113-'ETF price'!X112</f>
        <v>-2.9799999999999898</v>
      </c>
      <c r="X111" s="3">
        <f ca="1">'ETF price'!Y113-'ETF price'!Y112</f>
        <v>-1.6299999999999955</v>
      </c>
      <c r="Y111" s="3">
        <f ca="1">'ETF price'!Z113-'ETF price'!Z112</f>
        <v>-2.6199999999999903</v>
      </c>
      <c r="Z111" s="3">
        <f ca="1">'ETF price'!AA113-'ETF price'!AA112</f>
        <v>-1</v>
      </c>
      <c r="AA111" s="3">
        <f ca="1">'ETF price'!AB113-'ETF price'!AB112</f>
        <v>-1.8800000000000026</v>
      </c>
      <c r="AB111" s="3">
        <f ca="1">'ETF price'!AC113-'ETF price'!AC112</f>
        <v>-2.1499999999999986</v>
      </c>
      <c r="AC111" s="3">
        <f ca="1">'ETF price'!AD113-'ETF price'!AD112</f>
        <v>-0.40000000000000036</v>
      </c>
      <c r="AD111" s="3">
        <f ca="1">'ETF price'!AE113-'ETF price'!AE112</f>
        <v>-0.64000000000000057</v>
      </c>
      <c r="AE111" s="3">
        <f ca="1">'ETF price'!AF113-'ETF price'!AF112</f>
        <v>-0.49000000000000021</v>
      </c>
      <c r="AF111" s="3">
        <f ca="1">'ETF price'!AG113-'ETF price'!AG112</f>
        <v>-1.3999999999999986</v>
      </c>
    </row>
    <row r="112" spans="1:32" ht="12.75" x14ac:dyDescent="0.2">
      <c r="A112" s="3">
        <f ca="1">'ETF price'!B114-'ETF price'!B113</f>
        <v>-5.8100000000000023</v>
      </c>
      <c r="B112" s="3">
        <f ca="1">'ETF price'!C114-'ETF price'!C113</f>
        <v>-15.869999999999948</v>
      </c>
      <c r="C112" s="3">
        <f ca="1">'ETF price'!D114-'ETF price'!D113</f>
        <v>-4.039999999999992</v>
      </c>
      <c r="D112" s="3">
        <f ca="1">'ETF price'!E114-'ETF price'!E113</f>
        <v>-7.4900000000000091</v>
      </c>
      <c r="E112" s="3">
        <f ca="1">'ETF price'!F114-'ETF price'!F113</f>
        <v>-2.2199999999999989</v>
      </c>
      <c r="F112" s="3">
        <f ca="1">'ETF price'!G114-'ETF price'!G113</f>
        <v>-1.2799999999999976</v>
      </c>
      <c r="G112" s="3">
        <f ca="1">'ETF price'!H114-'ETF price'!H113</f>
        <v>-1.3599999999999994</v>
      </c>
      <c r="H112" s="3">
        <f ca="1">'ETF price'!I114-'ETF price'!I113</f>
        <v>-3.7999999999999972</v>
      </c>
      <c r="I112" s="3">
        <f ca="1">'ETF price'!J114-'ETF price'!J113</f>
        <v>-7.3499999999999943</v>
      </c>
      <c r="J112" s="3">
        <f ca="1">'ETF price'!K114-'ETF price'!K113</f>
        <v>-4.5100000000000051</v>
      </c>
      <c r="K112" s="3">
        <f ca="1">'ETF price'!L114-'ETF price'!L113</f>
        <v>-3.7100000000000009</v>
      </c>
      <c r="L112" s="3">
        <f ca="1">'ETF price'!M114-'ETF price'!M113</f>
        <v>-1.9500000000000028</v>
      </c>
      <c r="M112" s="3">
        <f ca="1">'ETF price'!N114-'ETF price'!N113</f>
        <v>-1.9299999999999997</v>
      </c>
      <c r="N112" s="3">
        <f ca="1">'ETF price'!O114-'ETF price'!O113</f>
        <v>-2.8399999999999963</v>
      </c>
      <c r="O112" s="3">
        <f ca="1">'ETF price'!P114-'ETF price'!P113</f>
        <v>-4.6299999999999955</v>
      </c>
      <c r="P112" s="3">
        <f ca="1">'ETF price'!Q114-'ETF price'!Q113</f>
        <v>-6.7099999999999937</v>
      </c>
      <c r="Q112" s="3">
        <f ca="1">'ETF price'!R114-'ETF price'!R113</f>
        <v>-3.1899999999999977</v>
      </c>
      <c r="R112" s="3">
        <f ca="1">'ETF price'!S114-'ETF price'!S113</f>
        <v>-3.6499999999999986</v>
      </c>
      <c r="S112" s="3">
        <f ca="1">'ETF price'!T114-'ETF price'!T113</f>
        <v>-0.33999999999999986</v>
      </c>
      <c r="T112" s="3">
        <f ca="1">'ETF price'!U114-'ETF price'!U113</f>
        <v>0.23000000000000398</v>
      </c>
      <c r="U112" s="3">
        <f ca="1">'ETF price'!V114-'ETF price'!V113</f>
        <v>-4.6099999999999994</v>
      </c>
      <c r="V112" s="3">
        <f ca="1">'ETF price'!W114-'ETF price'!W113</f>
        <v>-0.97000000000000242</v>
      </c>
      <c r="W112" s="3">
        <f ca="1">'ETF price'!X114-'ETF price'!X113</f>
        <v>-2.6200000000000045</v>
      </c>
      <c r="X112" s="3">
        <f ca="1">'ETF price'!Y114-'ETF price'!Y113</f>
        <v>-1.5</v>
      </c>
      <c r="Y112" s="3">
        <f ca="1">'ETF price'!Z114-'ETF price'!Z113</f>
        <v>-2.2900000000000063</v>
      </c>
      <c r="Z112" s="3">
        <f ca="1">'ETF price'!AA114-'ETF price'!AA113</f>
        <v>-1.980000000000004</v>
      </c>
      <c r="AA112" s="3">
        <f ca="1">'ETF price'!AB114-'ETF price'!AB113</f>
        <v>-1.6799999999999997</v>
      </c>
      <c r="AB112" s="3">
        <f ca="1">'ETF price'!AC114-'ETF price'!AC113</f>
        <v>-1.8599999999999994</v>
      </c>
      <c r="AC112" s="3">
        <f ca="1">'ETF price'!AD114-'ETF price'!AD113</f>
        <v>-2.25</v>
      </c>
      <c r="AD112" s="3">
        <f ca="1">'ETF price'!AE114-'ETF price'!AE113</f>
        <v>-3.629999999999999</v>
      </c>
      <c r="AE112" s="3">
        <f ca="1">'ETF price'!AF114-'ETF price'!AF113</f>
        <v>-2.0000000000000018E-2</v>
      </c>
      <c r="AF112" s="3">
        <f ca="1">'ETF price'!AG114-'ETF price'!AG113</f>
        <v>-3.84</v>
      </c>
    </row>
    <row r="113" spans="1:32" ht="12.75" x14ac:dyDescent="0.2">
      <c r="A113" s="3">
        <f ca="1">'ETF price'!B115-'ETF price'!B114</f>
        <v>0.78999999999999204</v>
      </c>
      <c r="B113" s="3">
        <f ca="1">'ETF price'!C115-'ETF price'!C114</f>
        <v>1.7899999999999636</v>
      </c>
      <c r="C113" s="3">
        <f ca="1">'ETF price'!D115-'ETF price'!D114</f>
        <v>0.42999999999999261</v>
      </c>
      <c r="D113" s="3">
        <f ca="1">'ETF price'!E115-'ETF price'!E114</f>
        <v>0.67999999999999261</v>
      </c>
      <c r="E113" s="3">
        <f ca="1">'ETF price'!F115-'ETF price'!F114</f>
        <v>-0.16000000000000369</v>
      </c>
      <c r="F113" s="3">
        <f ca="1">'ETF price'!G115-'ETF price'!G114</f>
        <v>-0.13000000000000256</v>
      </c>
      <c r="G113" s="3">
        <f ca="1">'ETF price'!H115-'ETF price'!H114</f>
        <v>5.0000000000000711E-2</v>
      </c>
      <c r="H113" s="3">
        <f ca="1">'ETF price'!I115-'ETF price'!I114</f>
        <v>-1.1599999999999966</v>
      </c>
      <c r="I113" s="3">
        <f ca="1">'ETF price'!J115-'ETF price'!J114</f>
        <v>-1.8900000000000148</v>
      </c>
      <c r="J113" s="3">
        <f ca="1">'ETF price'!K115-'ETF price'!K114</f>
        <v>0.26000000000000512</v>
      </c>
      <c r="K113" s="3">
        <f ca="1">'ETF price'!L115-'ETF price'!L114</f>
        <v>0.10000000000000142</v>
      </c>
      <c r="L113" s="3">
        <f ca="1">'ETF price'!M115-'ETF price'!M114</f>
        <v>-5.9999999999995168E-2</v>
      </c>
      <c r="M113" s="3">
        <f ca="1">'ETF price'!N115-'ETF price'!N114</f>
        <v>-0.48000000000000398</v>
      </c>
      <c r="N113" s="3">
        <f ca="1">'ETF price'!O115-'ETF price'!O114</f>
        <v>0.20000000000000284</v>
      </c>
      <c r="O113" s="3">
        <f ca="1">'ETF price'!P115-'ETF price'!P114</f>
        <v>0.15999999999999659</v>
      </c>
      <c r="P113" s="3">
        <f ca="1">'ETF price'!Q115-'ETF price'!Q114</f>
        <v>-9.0000000000003411E-2</v>
      </c>
      <c r="Q113" s="3">
        <f ca="1">'ETF price'!R115-'ETF price'!R114</f>
        <v>-0.60000000000000853</v>
      </c>
      <c r="R113" s="3">
        <f ca="1">'ETF price'!S115-'ETF price'!S114</f>
        <v>-0.63000000000000256</v>
      </c>
      <c r="S113" s="3">
        <f ca="1">'ETF price'!T115-'ETF price'!T114</f>
        <v>-0.33000000000000185</v>
      </c>
      <c r="T113" s="3">
        <f ca="1">'ETF price'!U115-'ETF price'!U114</f>
        <v>-1.9099999999999966</v>
      </c>
      <c r="U113" s="3">
        <f ca="1">'ETF price'!V115-'ETF price'!V114</f>
        <v>-0.68999999999999773</v>
      </c>
      <c r="V113" s="3">
        <f ca="1">'ETF price'!W115-'ETF price'!W114</f>
        <v>-0.26999999999999957</v>
      </c>
      <c r="W113" s="3">
        <f ca="1">'ETF price'!X115-'ETF price'!X114</f>
        <v>-0.49000000000000909</v>
      </c>
      <c r="X113" s="3">
        <f ca="1">'ETF price'!Y115-'ETF price'!Y114</f>
        <v>0.18999999999999773</v>
      </c>
      <c r="Y113" s="3">
        <f ca="1">'ETF price'!Z115-'ETF price'!Z114</f>
        <v>-0.51000000000000512</v>
      </c>
      <c r="Z113" s="3">
        <f ca="1">'ETF price'!AA115-'ETF price'!AA114</f>
        <v>-0.28000000000000114</v>
      </c>
      <c r="AA113" s="3">
        <f ca="1">'ETF price'!AB115-'ETF price'!AB114</f>
        <v>0.42999999999999972</v>
      </c>
      <c r="AB113" s="3">
        <f ca="1">'ETF price'!AC115-'ETF price'!AC114</f>
        <v>-0.27000000000000313</v>
      </c>
      <c r="AC113" s="3">
        <f ca="1">'ETF price'!AD115-'ETF price'!AD114</f>
        <v>-0.38000000000000078</v>
      </c>
      <c r="AD113" s="3">
        <f ca="1">'ETF price'!AE115-'ETF price'!AE114</f>
        <v>-0.58999999999999986</v>
      </c>
      <c r="AE113" s="3">
        <f ca="1">'ETF price'!AF115-'ETF price'!AF114</f>
        <v>0.12000000000000011</v>
      </c>
      <c r="AF113" s="3">
        <f ca="1">'ETF price'!AG115-'ETF price'!AG114</f>
        <v>-0.12000000000000099</v>
      </c>
    </row>
    <row r="114" spans="1:32" ht="12.75" x14ac:dyDescent="0.2">
      <c r="A114" s="3">
        <f ca="1">'ETF price'!B116-'ETF price'!B115</f>
        <v>2.6599999999999966</v>
      </c>
      <c r="B114" s="3">
        <f ca="1">'ETF price'!C116-'ETF price'!C115</f>
        <v>7.1500000000000341</v>
      </c>
      <c r="C114" s="3">
        <f ca="1">'ETF price'!D116-'ETF price'!D115</f>
        <v>1.8900000000000006</v>
      </c>
      <c r="D114" s="3">
        <f ca="1">'ETF price'!E116-'ETF price'!E115</f>
        <v>2.1099999999999994</v>
      </c>
      <c r="E114" s="3">
        <f ca="1">'ETF price'!F116-'ETF price'!F115</f>
        <v>0.96000000000000085</v>
      </c>
      <c r="F114" s="3">
        <f ca="1">'ETF price'!G116-'ETF price'!G115</f>
        <v>0.39000000000000057</v>
      </c>
      <c r="G114" s="3">
        <f ca="1">'ETF price'!H116-'ETF price'!H115</f>
        <v>0.48000000000000043</v>
      </c>
      <c r="H114" s="3">
        <f ca="1">'ETF price'!I116-'ETF price'!I115</f>
        <v>1.2199999999999989</v>
      </c>
      <c r="I114" s="3">
        <f ca="1">'ETF price'!J116-'ETF price'!J115</f>
        <v>2.460000000000008</v>
      </c>
      <c r="J114" s="3">
        <f ca="1">'ETF price'!K116-'ETF price'!K115</f>
        <v>2.4299999999999926</v>
      </c>
      <c r="K114" s="3">
        <f ca="1">'ETF price'!L116-'ETF price'!L115</f>
        <v>2.2600000000000051</v>
      </c>
      <c r="L114" s="3">
        <f ca="1">'ETF price'!M116-'ETF price'!M115</f>
        <v>1.3999999999999986</v>
      </c>
      <c r="M114" s="3">
        <f ca="1">'ETF price'!N116-'ETF price'!N115</f>
        <v>0.64000000000000057</v>
      </c>
      <c r="N114" s="3">
        <f ca="1">'ETF price'!O116-'ETF price'!O115</f>
        <v>1.6399999999999935</v>
      </c>
      <c r="O114" s="3">
        <f ca="1">'ETF price'!P116-'ETF price'!P115</f>
        <v>-1.8599999999999994</v>
      </c>
      <c r="P114" s="3">
        <f ca="1">'ETF price'!Q116-'ETF price'!Q115</f>
        <v>-2.2000000000000028</v>
      </c>
      <c r="Q114" s="3">
        <f ca="1">'ETF price'!R116-'ETF price'!R115</f>
        <v>-1.9999999999996021E-2</v>
      </c>
      <c r="R114" s="3">
        <f ca="1">'ETF price'!S116-'ETF price'!S115</f>
        <v>1</v>
      </c>
      <c r="S114" s="3">
        <f ca="1">'ETF price'!T116-'ETF price'!T115</f>
        <v>1.9999999999999574E-2</v>
      </c>
      <c r="T114" s="3">
        <f ca="1">'ETF price'!U116-'ETF price'!U115</f>
        <v>-1.519999999999996</v>
      </c>
      <c r="U114" s="3">
        <f ca="1">'ETF price'!V116-'ETF price'!V115</f>
        <v>2.0499999999999972</v>
      </c>
      <c r="V114" s="3">
        <f ca="1">'ETF price'!W116-'ETF price'!W115</f>
        <v>0.35000000000000142</v>
      </c>
      <c r="W114" s="3">
        <f ca="1">'ETF price'!X116-'ETF price'!X115</f>
        <v>0.82000000000000739</v>
      </c>
      <c r="X114" s="3">
        <f ca="1">'ETF price'!Y116-'ETF price'!Y115</f>
        <v>0.28000000000000114</v>
      </c>
      <c r="Y114" s="3">
        <f ca="1">'ETF price'!Z116-'ETF price'!Z115</f>
        <v>0.81000000000000227</v>
      </c>
      <c r="Z114" s="3">
        <f ca="1">'ETF price'!AA116-'ETF price'!AA115</f>
        <v>0.89000000000000057</v>
      </c>
      <c r="AA114" s="3">
        <f ca="1">'ETF price'!AB116-'ETF price'!AB115</f>
        <v>0.46999999999999886</v>
      </c>
      <c r="AB114" s="3">
        <f ca="1">'ETF price'!AC116-'ETF price'!AC115</f>
        <v>0.67999999999999972</v>
      </c>
      <c r="AC114" s="3">
        <f ca="1">'ETF price'!AD116-'ETF price'!AD115</f>
        <v>-0.21999999999999886</v>
      </c>
      <c r="AD114" s="3">
        <f ca="1">'ETF price'!AE116-'ETF price'!AE115</f>
        <v>-0.33000000000000007</v>
      </c>
      <c r="AE114" s="3">
        <f ca="1">'ETF price'!AF116-'ETF price'!AF115</f>
        <v>-0.16000000000000014</v>
      </c>
      <c r="AF114" s="3">
        <f ca="1">'ETF price'!AG116-'ETF price'!AG115</f>
        <v>0.44000000000000128</v>
      </c>
    </row>
    <row r="115" spans="1:32" ht="12.75" x14ac:dyDescent="0.2">
      <c r="A115" s="3">
        <f ca="1">'ETF price'!B117-'ETF price'!B116</f>
        <v>-5.2399999999999949</v>
      </c>
      <c r="B115" s="3">
        <f ca="1">'ETF price'!C117-'ETF price'!C116</f>
        <v>-14.439999999999998</v>
      </c>
      <c r="C115" s="3">
        <f ca="1">'ETF price'!D117-'ETF price'!D116</f>
        <v>-3.4899999999999949</v>
      </c>
      <c r="D115" s="3">
        <f ca="1">'ETF price'!E117-'ETF price'!E116</f>
        <v>-7.5299999999999869</v>
      </c>
      <c r="E115" s="3">
        <f ca="1">'ETF price'!F117-'ETF price'!F116</f>
        <v>-1.6000000000000014</v>
      </c>
      <c r="F115" s="3">
        <f ca="1">'ETF price'!G117-'ETF price'!G116</f>
        <v>-0.75</v>
      </c>
      <c r="G115" s="3">
        <f ca="1">'ETF price'!H117-'ETF price'!H116</f>
        <v>-1.1600000000000001</v>
      </c>
      <c r="H115" s="3">
        <f ca="1">'ETF price'!I117-'ETF price'!I116</f>
        <v>-1.7900000000000063</v>
      </c>
      <c r="I115" s="3">
        <f ca="1">'ETF price'!J117-'ETF price'!J116</f>
        <v>-3.6400000000000148</v>
      </c>
      <c r="J115" s="3">
        <f ca="1">'ETF price'!K117-'ETF price'!K116</f>
        <v>-2.8400000000000034</v>
      </c>
      <c r="K115" s="3">
        <f ca="1">'ETF price'!L117-'ETF price'!L116</f>
        <v>-1.710000000000008</v>
      </c>
      <c r="L115" s="3">
        <f ca="1">'ETF price'!M117-'ETF price'!M116</f>
        <v>-1.240000000000002</v>
      </c>
      <c r="M115" s="3">
        <f ca="1">'ETF price'!N117-'ETF price'!N116</f>
        <v>-0.90999999999999659</v>
      </c>
      <c r="N115" s="3">
        <f ca="1">'ETF price'!O117-'ETF price'!O116</f>
        <v>-1.2399999999999949</v>
      </c>
      <c r="O115" s="3">
        <f ca="1">'ETF price'!P117-'ETF price'!P116</f>
        <v>-4.6400000000000006</v>
      </c>
      <c r="P115" s="3">
        <f ca="1">'ETF price'!Q117-'ETF price'!Q116</f>
        <v>-6.4599999999999937</v>
      </c>
      <c r="Q115" s="3">
        <f ca="1">'ETF price'!R117-'ETF price'!R116</f>
        <v>-2.8100000000000023</v>
      </c>
      <c r="R115" s="3">
        <f ca="1">'ETF price'!S117-'ETF price'!S116</f>
        <v>-2.1000000000000014</v>
      </c>
      <c r="S115" s="3">
        <f ca="1">'ETF price'!T117-'ETF price'!T116</f>
        <v>0.13000000000000256</v>
      </c>
      <c r="T115" s="3">
        <f ca="1">'ETF price'!U117-'ETF price'!U116</f>
        <v>0.72999999999998977</v>
      </c>
      <c r="U115" s="3">
        <f ca="1">'ETF price'!V117-'ETF price'!V116</f>
        <v>-3.980000000000004</v>
      </c>
      <c r="V115" s="3">
        <f ca="1">'ETF price'!W117-'ETF price'!W116</f>
        <v>-0.80000000000000071</v>
      </c>
      <c r="W115" s="3">
        <f ca="1">'ETF price'!X117-'ETF price'!X116</f>
        <v>-2.2199999999999989</v>
      </c>
      <c r="X115" s="3">
        <f ca="1">'ETF price'!Y117-'ETF price'!Y116</f>
        <v>-1.7100000000000009</v>
      </c>
      <c r="Y115" s="3">
        <f ca="1">'ETF price'!Z117-'ETF price'!Z116</f>
        <v>-1.9500000000000028</v>
      </c>
      <c r="Z115" s="3">
        <f ca="1">'ETF price'!AA117-'ETF price'!AA116</f>
        <v>-0.94999999999999574</v>
      </c>
      <c r="AA115" s="3">
        <f ca="1">'ETF price'!AB117-'ETF price'!AB116</f>
        <v>-2.1199999999999974</v>
      </c>
      <c r="AB115" s="3">
        <f ca="1">'ETF price'!AC117-'ETF price'!AC116</f>
        <v>-1.4799999999999969</v>
      </c>
      <c r="AC115" s="3">
        <f ca="1">'ETF price'!AD117-'ETF price'!AD116</f>
        <v>-0.29000000000000092</v>
      </c>
      <c r="AD115" s="3">
        <f ca="1">'ETF price'!AE117-'ETF price'!AE116</f>
        <v>-0.48000000000000043</v>
      </c>
      <c r="AE115" s="3">
        <f ca="1">'ETF price'!AF117-'ETF price'!AF116</f>
        <v>0</v>
      </c>
      <c r="AF115" s="3">
        <f ca="1">'ETF price'!AG117-'ETF price'!AG116</f>
        <v>-1.6000000000000014</v>
      </c>
    </row>
    <row r="116" spans="1:32" ht="12.75" x14ac:dyDescent="0.2">
      <c r="A116" s="3">
        <f ca="1">'ETF price'!B118-'ETF price'!B117</f>
        <v>1.1300000000000097</v>
      </c>
      <c r="B116" s="3">
        <f ca="1">'ETF price'!C118-'ETF price'!C117</f>
        <v>3.839999999999975</v>
      </c>
      <c r="C116" s="3">
        <f ca="1">'ETF price'!D118-'ETF price'!D117</f>
        <v>0.82999999999999829</v>
      </c>
      <c r="D116" s="3">
        <f ca="1">'ETF price'!E118-'ETF price'!E117</f>
        <v>0.46999999999999886</v>
      </c>
      <c r="E116" s="3">
        <f ca="1">'ETF price'!F118-'ETF price'!F117</f>
        <v>0.74000000000000199</v>
      </c>
      <c r="F116" s="3">
        <f ca="1">'ETF price'!G118-'ETF price'!G117</f>
        <v>0.17999999999999972</v>
      </c>
      <c r="G116" s="3">
        <f ca="1">'ETF price'!H118-'ETF price'!H117</f>
        <v>0.46999999999999886</v>
      </c>
      <c r="H116" s="3">
        <f ca="1">'ETF price'!I118-'ETF price'!I117</f>
        <v>-6.9999999999993179E-2</v>
      </c>
      <c r="I116" s="3">
        <f ca="1">'ETF price'!J118-'ETF price'!J117</f>
        <v>0.70000000000001705</v>
      </c>
      <c r="J116" s="3">
        <f ca="1">'ETF price'!K118-'ETF price'!K117</f>
        <v>3.7400000000000091</v>
      </c>
      <c r="K116" s="3">
        <f ca="1">'ETF price'!L118-'ETF price'!L117</f>
        <v>3.6400000000000006</v>
      </c>
      <c r="L116" s="3">
        <f ca="1">'ETF price'!M118-'ETF price'!M117</f>
        <v>1.8900000000000006</v>
      </c>
      <c r="M116" s="3">
        <f ca="1">'ETF price'!N118-'ETF price'!N117</f>
        <v>9.9999999999980105E-3</v>
      </c>
      <c r="N116" s="3">
        <f ca="1">'ETF price'!O118-'ETF price'!O117</f>
        <v>1.759999999999998</v>
      </c>
      <c r="O116" s="3">
        <f ca="1">'ETF price'!P118-'ETF price'!P117</f>
        <v>-4.25</v>
      </c>
      <c r="P116" s="3">
        <f ca="1">'ETF price'!Q118-'ETF price'!Q117</f>
        <v>-6.0500000000000114</v>
      </c>
      <c r="Q116" s="3">
        <f ca="1">'ETF price'!R118-'ETF price'!R117</f>
        <v>-0.12999999999999545</v>
      </c>
      <c r="R116" s="3">
        <f ca="1">'ETF price'!S118-'ETF price'!S117</f>
        <v>-9.9999999999980105E-3</v>
      </c>
      <c r="S116" s="3">
        <f ca="1">'ETF price'!T118-'ETF price'!T117</f>
        <v>-1.0600000000000023</v>
      </c>
      <c r="T116" s="3">
        <f ca="1">'ETF price'!U118-'ETF price'!U117</f>
        <v>-4.3199999999999932</v>
      </c>
      <c r="U116" s="3">
        <f ca="1">'ETF price'!V118-'ETF price'!V117</f>
        <v>3.9200000000000017</v>
      </c>
      <c r="V116" s="3">
        <f ca="1">'ETF price'!W118-'ETF price'!W117</f>
        <v>8.9999999999999858E-2</v>
      </c>
      <c r="W116" s="3">
        <f ca="1">'ETF price'!X118-'ETF price'!X117</f>
        <v>0.42999999999999261</v>
      </c>
      <c r="X116" s="3">
        <f ca="1">'ETF price'!Y118-'ETF price'!Y117</f>
        <v>0.58999999999999631</v>
      </c>
      <c r="Y116" s="3">
        <f ca="1">'ETF price'!Z118-'ETF price'!Z117</f>
        <v>0.26000000000000512</v>
      </c>
      <c r="Z116" s="3">
        <f ca="1">'ETF price'!AA118-'ETF price'!AA117</f>
        <v>0.22999999999999687</v>
      </c>
      <c r="AA116" s="3">
        <f ca="1">'ETF price'!AB118-'ETF price'!AB117</f>
        <v>0.86999999999999744</v>
      </c>
      <c r="AB116" s="3">
        <f ca="1">'ETF price'!AC118-'ETF price'!AC117</f>
        <v>0.25999999999999801</v>
      </c>
      <c r="AC116" s="3">
        <f ca="1">'ETF price'!AD118-'ETF price'!AD117</f>
        <v>-0.13999999999999968</v>
      </c>
      <c r="AD116" s="3">
        <f ca="1">'ETF price'!AE118-'ETF price'!AE117</f>
        <v>-0.19999999999999929</v>
      </c>
      <c r="AE116" s="3">
        <f ca="1">'ETF price'!AF118-'ETF price'!AF117</f>
        <v>0.14000000000000012</v>
      </c>
      <c r="AF116" s="3">
        <f ca="1">'ETF price'!AG118-'ETF price'!AG117</f>
        <v>0.15000000000000213</v>
      </c>
    </row>
    <row r="117" spans="1:32" ht="12.75" x14ac:dyDescent="0.2">
      <c r="A117" s="3">
        <f ca="1">'ETF price'!B119-'ETF price'!B118</f>
        <v>2.8399999999999892</v>
      </c>
      <c r="B117" s="3">
        <f ca="1">'ETF price'!C119-'ETF price'!C118</f>
        <v>8.0799999999999841</v>
      </c>
      <c r="C117" s="3">
        <f ca="1">'ETF price'!D119-'ETF price'!D118</f>
        <v>1.9399999999999977</v>
      </c>
      <c r="D117" s="3">
        <f ca="1">'ETF price'!E119-'ETF price'!E118</f>
        <v>3.0899999999999892</v>
      </c>
      <c r="E117" s="3">
        <f ca="1">'ETF price'!F119-'ETF price'!F118</f>
        <v>1.0700000000000003</v>
      </c>
      <c r="F117" s="3">
        <f ca="1">'ETF price'!G119-'ETF price'!G118</f>
        <v>0.24000000000000199</v>
      </c>
      <c r="G117" s="3">
        <f ca="1">'ETF price'!H119-'ETF price'!H118</f>
        <v>0.42000000000000171</v>
      </c>
      <c r="H117" s="3">
        <f ca="1">'ETF price'!I119-'ETF price'!I118</f>
        <v>2.7099999999999937</v>
      </c>
      <c r="I117" s="3">
        <f ca="1">'ETF price'!J119-'ETF price'!J118</f>
        <v>5.6999999999999886</v>
      </c>
      <c r="J117" s="3">
        <f ca="1">'ETF price'!K119-'ETF price'!K118</f>
        <v>2.3100000000000023</v>
      </c>
      <c r="K117" s="3">
        <f ca="1">'ETF price'!L119-'ETF price'!L118</f>
        <v>2.4200000000000017</v>
      </c>
      <c r="L117" s="3">
        <f ca="1">'ETF price'!M119-'ETF price'!M118</f>
        <v>0.82999999999999829</v>
      </c>
      <c r="M117" s="3">
        <f ca="1">'ETF price'!N119-'ETF price'!N118</f>
        <v>1.4299999999999997</v>
      </c>
      <c r="N117" s="3">
        <f ca="1">'ETF price'!O119-'ETF price'!O118</f>
        <v>1.2000000000000028</v>
      </c>
      <c r="O117" s="3">
        <f ca="1">'ETF price'!P119-'ETF price'!P118</f>
        <v>2.9500000000000028</v>
      </c>
      <c r="P117" s="3">
        <f ca="1">'ETF price'!Q119-'ETF price'!Q118</f>
        <v>5.1800000000000068</v>
      </c>
      <c r="Q117" s="3">
        <f ca="1">'ETF price'!R119-'ETF price'!R118</f>
        <v>0.60999999999999943</v>
      </c>
      <c r="R117" s="3">
        <f ca="1">'ETF price'!S119-'ETF price'!S118</f>
        <v>0.71999999999999886</v>
      </c>
      <c r="S117" s="3">
        <f ca="1">'ETF price'!T119-'ETF price'!T118</f>
        <v>-7.0000000000000284E-2</v>
      </c>
      <c r="T117" s="3">
        <f ca="1">'ETF price'!U119-'ETF price'!U118</f>
        <v>0.70999999999999375</v>
      </c>
      <c r="U117" s="3">
        <f ca="1">'ETF price'!V119-'ETF price'!V118</f>
        <v>1.3200000000000074</v>
      </c>
      <c r="V117" s="3">
        <f ca="1">'ETF price'!W119-'ETF price'!W118</f>
        <v>0.44999999999999929</v>
      </c>
      <c r="W117" s="3">
        <f ca="1">'ETF price'!X119-'ETF price'!X118</f>
        <v>1.4699999999999989</v>
      </c>
      <c r="X117" s="3">
        <f ca="1">'ETF price'!Y119-'ETF price'!Y118</f>
        <v>0.44000000000000483</v>
      </c>
      <c r="Y117" s="3">
        <f ca="1">'ETF price'!Z119-'ETF price'!Z118</f>
        <v>1.4300000000000068</v>
      </c>
      <c r="Z117" s="3">
        <f ca="1">'ETF price'!AA119-'ETF price'!AA118</f>
        <v>0.41000000000000369</v>
      </c>
      <c r="AA117" s="3">
        <f ca="1">'ETF price'!AB119-'ETF price'!AB118</f>
        <v>0.57000000000000028</v>
      </c>
      <c r="AB117" s="3">
        <f ca="1">'ETF price'!AC119-'ETF price'!AC118</f>
        <v>1.0600000000000023</v>
      </c>
      <c r="AC117" s="3">
        <f ca="1">'ETF price'!AD119-'ETF price'!AD118</f>
        <v>0.16000000000000103</v>
      </c>
      <c r="AD117" s="3">
        <f ca="1">'ETF price'!AE119-'ETF price'!AE118</f>
        <v>0.22999999999999865</v>
      </c>
      <c r="AE117" s="3">
        <f ca="1">'ETF price'!AF119-'ETF price'!AF118</f>
        <v>-2.9999999999999805E-2</v>
      </c>
      <c r="AF117" s="3">
        <f ca="1">'ETF price'!AG119-'ETF price'!AG118</f>
        <v>1.8900000000000006</v>
      </c>
    </row>
    <row r="118" spans="1:32" ht="12.75" x14ac:dyDescent="0.2">
      <c r="A118" s="3">
        <f ca="1">'ETF price'!B120-'ETF price'!B119</f>
        <v>-0.53999999999999204</v>
      </c>
      <c r="B118" s="3">
        <f ca="1">'ETF price'!C120-'ETF price'!C119</f>
        <v>-1.1299999999999955</v>
      </c>
      <c r="C118" s="3">
        <f ca="1">'ETF price'!D120-'ETF price'!D119</f>
        <v>-0.31000000000000227</v>
      </c>
      <c r="D118" s="3">
        <f ca="1">'ETF price'!E120-'ETF price'!E119</f>
        <v>-1.2599999999999909</v>
      </c>
      <c r="E118" s="3">
        <f ca="1">'ETF price'!F120-'ETF price'!F119</f>
        <v>-5.0000000000004263E-2</v>
      </c>
      <c r="F118" s="3">
        <f ca="1">'ETF price'!G120-'ETF price'!G119</f>
        <v>-5.0000000000000711E-2</v>
      </c>
      <c r="G118" s="3">
        <f ca="1">'ETF price'!H120-'ETF price'!H119</f>
        <v>-2.0000000000003126E-2</v>
      </c>
      <c r="H118" s="3">
        <f ca="1">'ETF price'!I120-'ETF price'!I119</f>
        <v>1.7000000000000028</v>
      </c>
      <c r="I118" s="3">
        <f ca="1">'ETF price'!J120-'ETF price'!J119</f>
        <v>3.3000000000000114</v>
      </c>
      <c r="J118" s="3">
        <f ca="1">'ETF price'!K120-'ETF price'!K119</f>
        <v>1.3799999999999955</v>
      </c>
      <c r="K118" s="3">
        <f ca="1">'ETF price'!L120-'ETF price'!L119</f>
        <v>1.7600000000000051</v>
      </c>
      <c r="L118" s="3">
        <f ca="1">'ETF price'!M120-'ETF price'!M119</f>
        <v>0.91000000000000369</v>
      </c>
      <c r="M118" s="3">
        <f ca="1">'ETF price'!N120-'ETF price'!N119</f>
        <v>0.85000000000000142</v>
      </c>
      <c r="N118" s="3">
        <f ca="1">'ETF price'!O120-'ETF price'!O119</f>
        <v>0.95999999999999375</v>
      </c>
      <c r="O118" s="3">
        <f ca="1">'ETF price'!P120-'ETF price'!P119</f>
        <v>-3.0600000000000023</v>
      </c>
      <c r="P118" s="3">
        <f ca="1">'ETF price'!Q120-'ETF price'!Q119</f>
        <v>-4.7800000000000011</v>
      </c>
      <c r="Q118" s="3">
        <f ca="1">'ETF price'!R120-'ETF price'!R119</f>
        <v>-0.96999999999999886</v>
      </c>
      <c r="R118" s="3">
        <f ca="1">'ETF price'!S120-'ETF price'!S119</f>
        <v>-1.8099999999999952</v>
      </c>
      <c r="S118" s="3">
        <f ca="1">'ETF price'!T120-'ETF price'!T119</f>
        <v>-0.50999999999999801</v>
      </c>
      <c r="T118" s="3">
        <f ca="1">'ETF price'!U120-'ETF price'!U119</f>
        <v>-3.1700000000000017</v>
      </c>
      <c r="U118" s="3">
        <f ca="1">'ETF price'!V120-'ETF price'!V119</f>
        <v>-0.34000000000000341</v>
      </c>
      <c r="V118" s="3">
        <f ca="1">'ETF price'!W120-'ETF price'!W119</f>
        <v>-7.0000000000000284E-2</v>
      </c>
      <c r="W118" s="3">
        <f ca="1">'ETF price'!X120-'ETF price'!X119</f>
        <v>-0.10999999999999943</v>
      </c>
      <c r="X118" s="3">
        <f ca="1">'ETF price'!Y120-'ETF price'!Y119</f>
        <v>3.0000000000001137E-2</v>
      </c>
      <c r="Y118" s="3">
        <f ca="1">'ETF price'!Z120-'ETF price'!Z119</f>
        <v>-0.17000000000000171</v>
      </c>
      <c r="Z118" s="3">
        <f ca="1">'ETF price'!AA120-'ETF price'!AA119</f>
        <v>0.64000000000000057</v>
      </c>
      <c r="AA118" s="3">
        <f ca="1">'ETF price'!AB120-'ETF price'!AB119</f>
        <v>5.0000000000004263E-2</v>
      </c>
      <c r="AB118" s="3">
        <f ca="1">'ETF price'!AC120-'ETF price'!AC119</f>
        <v>-0.13000000000000256</v>
      </c>
      <c r="AC118" s="3">
        <f ca="1">'ETF price'!AD120-'ETF price'!AD119</f>
        <v>-0.30000000000000071</v>
      </c>
      <c r="AD118" s="3">
        <f ca="1">'ETF price'!AE120-'ETF price'!AE119</f>
        <v>-0.47999999999999865</v>
      </c>
      <c r="AE118" s="3">
        <f ca="1">'ETF price'!AF120-'ETF price'!AF119</f>
        <v>-4.0000000000000036E-2</v>
      </c>
      <c r="AF118" s="3">
        <f ca="1">'ETF price'!AG120-'ETF price'!AG119</f>
        <v>-1.7600000000000016</v>
      </c>
    </row>
    <row r="119" spans="1:32" ht="12.75" x14ac:dyDescent="0.2">
      <c r="A119" s="3">
        <f ca="1">'ETF price'!B121-'ETF price'!B120</f>
        <v>1.8999999999999915</v>
      </c>
      <c r="B119" s="3">
        <f ca="1">'ETF price'!C121-'ETF price'!C120</f>
        <v>5.0400000000000205</v>
      </c>
      <c r="C119" s="3">
        <f ca="1">'ETF price'!D121-'ETF price'!D120</f>
        <v>1.4200000000000017</v>
      </c>
      <c r="D119" s="3">
        <f ca="1">'ETF price'!E121-'ETF price'!E120</f>
        <v>-0.81000000000000227</v>
      </c>
      <c r="E119" s="3">
        <f ca="1">'ETF price'!F121-'ETF price'!F120</f>
        <v>1.2000000000000028</v>
      </c>
      <c r="F119" s="3">
        <f ca="1">'ETF price'!G121-'ETF price'!G120</f>
        <v>-1.0000000000001563E-2</v>
      </c>
      <c r="G119" s="3">
        <f ca="1">'ETF price'!H121-'ETF price'!H120</f>
        <v>0.5</v>
      </c>
      <c r="H119" s="3">
        <f ca="1">'ETF price'!I121-'ETF price'!I120</f>
        <v>2.7900000000000063</v>
      </c>
      <c r="I119" s="3">
        <f ca="1">'ETF price'!J121-'ETF price'!J120</f>
        <v>5</v>
      </c>
      <c r="J119" s="3">
        <f ca="1">'ETF price'!K121-'ETF price'!K120</f>
        <v>4.7600000000000051</v>
      </c>
      <c r="K119" s="3">
        <f ca="1">'ETF price'!L121-'ETF price'!L120</f>
        <v>4.4399999999999977</v>
      </c>
      <c r="L119" s="3">
        <f ca="1">'ETF price'!M121-'ETF price'!M120</f>
        <v>2.6799999999999997</v>
      </c>
      <c r="M119" s="3">
        <f ca="1">'ETF price'!N121-'ETF price'!N120</f>
        <v>1.490000000000002</v>
      </c>
      <c r="N119" s="3">
        <f ca="1">'ETF price'!O121-'ETF price'!O120</f>
        <v>3.2000000000000028</v>
      </c>
      <c r="O119" s="3">
        <f ca="1">'ETF price'!P121-'ETF price'!P120</f>
        <v>-2.7199999999999989</v>
      </c>
      <c r="P119" s="3">
        <f ca="1">'ETF price'!Q121-'ETF price'!Q120</f>
        <v>-4.8100000000000023</v>
      </c>
      <c r="Q119" s="3">
        <f ca="1">'ETF price'!R121-'ETF price'!R120</f>
        <v>-1.019999999999996</v>
      </c>
      <c r="R119" s="3">
        <f ca="1">'ETF price'!S121-'ETF price'!S120</f>
        <v>-1.6900000000000048</v>
      </c>
      <c r="S119" s="3">
        <f ca="1">'ETF price'!T121-'ETF price'!T120</f>
        <v>-0.62999999999999901</v>
      </c>
      <c r="T119" s="3">
        <f ca="1">'ETF price'!U121-'ETF price'!U120</f>
        <v>-1.8999999999999915</v>
      </c>
      <c r="U119" s="3">
        <f ca="1">'ETF price'!V121-'ETF price'!V120</f>
        <v>1.9200000000000017</v>
      </c>
      <c r="V119" s="3">
        <f ca="1">'ETF price'!W121-'ETF price'!W120</f>
        <v>-0.11999999999999744</v>
      </c>
      <c r="W119" s="3">
        <f ca="1">'ETF price'!X121-'ETF price'!X120</f>
        <v>-0.62999999999999545</v>
      </c>
      <c r="X119" s="3">
        <f ca="1">'ETF price'!Y121-'ETF price'!Y120</f>
        <v>-0.44000000000000483</v>
      </c>
      <c r="Y119" s="3">
        <f ca="1">'ETF price'!Z121-'ETF price'!Z120</f>
        <v>-0.13000000000000966</v>
      </c>
      <c r="Z119" s="3">
        <f ca="1">'ETF price'!AA121-'ETF price'!AA120</f>
        <v>0.78999999999999915</v>
      </c>
      <c r="AA119" s="3">
        <f ca="1">'ETF price'!AB121-'ETF price'!AB120</f>
        <v>-0.80000000000000426</v>
      </c>
      <c r="AB119" s="3">
        <f ca="1">'ETF price'!AC121-'ETF price'!AC120</f>
        <v>-3.0000000000001137E-2</v>
      </c>
      <c r="AC119" s="3">
        <f ca="1">'ETF price'!AD121-'ETF price'!AD120</f>
        <v>0.30000000000000071</v>
      </c>
      <c r="AD119" s="3">
        <f ca="1">'ETF price'!AE121-'ETF price'!AE120</f>
        <v>0.47999999999999865</v>
      </c>
      <c r="AE119" s="3">
        <f ca="1">'ETF price'!AF121-'ETF price'!AF120</f>
        <v>0.13999999999999968</v>
      </c>
      <c r="AF119" s="3">
        <f ca="1">'ETF price'!AG121-'ETF price'!AG120</f>
        <v>0.96000000000000085</v>
      </c>
    </row>
    <row r="120" spans="1:32" ht="12.75" x14ac:dyDescent="0.2">
      <c r="A120" s="3">
        <f ca="1">'ETF price'!B122-'ETF price'!B121</f>
        <v>4.6299999999999955</v>
      </c>
      <c r="B120" s="3">
        <f ca="1">'ETF price'!C122-'ETF price'!C121</f>
        <v>12.229999999999961</v>
      </c>
      <c r="C120" s="3">
        <f ca="1">'ETF price'!D122-'ETF price'!D121</f>
        <v>3.2800000000000011</v>
      </c>
      <c r="D120" s="3">
        <f ca="1">'ETF price'!E122-'ETF price'!E121</f>
        <v>5.269999999999996</v>
      </c>
      <c r="E120" s="3">
        <f ca="1">'ETF price'!F122-'ETF price'!F121</f>
        <v>1.7000000000000028</v>
      </c>
      <c r="F120" s="3">
        <f ca="1">'ETF price'!G122-'ETF price'!G121</f>
        <v>0.69000000000000128</v>
      </c>
      <c r="G120" s="3">
        <f ca="1">'ETF price'!H122-'ETF price'!H121</f>
        <v>0.83999999999999986</v>
      </c>
      <c r="H120" s="3">
        <f ca="1">'ETF price'!I122-'ETF price'!I121</f>
        <v>2.1099999999999852</v>
      </c>
      <c r="I120" s="3">
        <f ca="1">'ETF price'!J122-'ETF price'!J121</f>
        <v>3.9799999999999898</v>
      </c>
      <c r="J120" s="3">
        <f ca="1">'ETF price'!K122-'ETF price'!K121</f>
        <v>2.0300000000000011</v>
      </c>
      <c r="K120" s="3">
        <f ca="1">'ETF price'!L122-'ETF price'!L121</f>
        <v>0.82999999999999829</v>
      </c>
      <c r="L120" s="3">
        <f ca="1">'ETF price'!M122-'ETF price'!M121</f>
        <v>0.81000000000000227</v>
      </c>
      <c r="M120" s="3">
        <f ca="1">'ETF price'!N122-'ETF price'!N121</f>
        <v>0.97999999999999687</v>
      </c>
      <c r="N120" s="3">
        <f ca="1">'ETF price'!O122-'ETF price'!O121</f>
        <v>1.1199999999999974</v>
      </c>
      <c r="O120" s="3">
        <f ca="1">'ETF price'!P122-'ETF price'!P121</f>
        <v>0.93000000000000682</v>
      </c>
      <c r="P120" s="3">
        <f ca="1">'ETF price'!Q122-'ETF price'!Q121</f>
        <v>1.6599999999999966</v>
      </c>
      <c r="Q120" s="3">
        <f ca="1">'ETF price'!R122-'ETF price'!R121</f>
        <v>2.9199999999999875</v>
      </c>
      <c r="R120" s="3">
        <f ca="1">'ETF price'!S122-'ETF price'!S121</f>
        <v>2.3300000000000054</v>
      </c>
      <c r="S120" s="3">
        <f ca="1">'ETF price'!T122-'ETF price'!T121</f>
        <v>0.25999999999999801</v>
      </c>
      <c r="T120" s="3">
        <f ca="1">'ETF price'!U122-'ETF price'!U121</f>
        <v>2.289999999999992</v>
      </c>
      <c r="U120" s="3">
        <f ca="1">'ETF price'!V122-'ETF price'!V121</f>
        <v>0.73999999999999488</v>
      </c>
      <c r="V120" s="3">
        <f ca="1">'ETF price'!W122-'ETF price'!W121</f>
        <v>1.1500000000000021</v>
      </c>
      <c r="W120" s="3">
        <f ca="1">'ETF price'!X122-'ETF price'!X121</f>
        <v>2.8299999999999983</v>
      </c>
      <c r="X120" s="3">
        <f ca="1">'ETF price'!Y122-'ETF price'!Y121</f>
        <v>1.5600000000000023</v>
      </c>
      <c r="Y120" s="3">
        <f ca="1">'ETF price'!Z122-'ETF price'!Z121</f>
        <v>2.6600000000000108</v>
      </c>
      <c r="Z120" s="3">
        <f ca="1">'ETF price'!AA122-'ETF price'!AA121</f>
        <v>0.89000000000000057</v>
      </c>
      <c r="AA120" s="3">
        <f ca="1">'ETF price'!AB122-'ETF price'!AB121</f>
        <v>2.009999999999998</v>
      </c>
      <c r="AB120" s="3">
        <f ca="1">'ETF price'!AC122-'ETF price'!AC121</f>
        <v>1.8800000000000026</v>
      </c>
      <c r="AC120" s="3">
        <f ca="1">'ETF price'!AD122-'ETF price'!AD121</f>
        <v>0.13999999999999879</v>
      </c>
      <c r="AD120" s="3">
        <f ca="1">'ETF price'!AE122-'ETF price'!AE121</f>
        <v>0.21000000000000085</v>
      </c>
      <c r="AE120" s="3">
        <f ca="1">'ETF price'!AF122-'ETF price'!AF121</f>
        <v>7.0000000000000284E-2</v>
      </c>
      <c r="AF120" s="3">
        <f ca="1">'ETF price'!AG122-'ETF price'!AG121</f>
        <v>1.3200000000000003</v>
      </c>
    </row>
    <row r="121" spans="1:32" ht="12.75" x14ac:dyDescent="0.2">
      <c r="A121" s="3">
        <f ca="1">'ETF price'!B123-'ETF price'!B122</f>
        <v>-0.89999999999997726</v>
      </c>
      <c r="B121" s="3">
        <f ca="1">'ETF price'!C123-'ETF price'!C122</f>
        <v>-2.4899999999999523</v>
      </c>
      <c r="C121" s="3">
        <f ca="1">'ETF price'!D123-'ETF price'!D122</f>
        <v>-0.73000000000000398</v>
      </c>
      <c r="D121" s="3">
        <f ca="1">'ETF price'!E123-'ETF price'!E122</f>
        <v>-0.34000000000000341</v>
      </c>
      <c r="E121" s="3">
        <f ca="1">'ETF price'!F123-'ETF price'!F122</f>
        <v>-0.51000000000000512</v>
      </c>
      <c r="F121" s="3">
        <f ca="1">'ETF price'!G123-'ETF price'!G122</f>
        <v>-0.12000000000000099</v>
      </c>
      <c r="G121" s="3">
        <f ca="1">'ETF price'!H123-'ETF price'!H122</f>
        <v>-3.9999999999999147E-2</v>
      </c>
      <c r="H121" s="3">
        <f ca="1">'ETF price'!I123-'ETF price'!I122</f>
        <v>0.48000000000001819</v>
      </c>
      <c r="I121" s="3">
        <f ca="1">'ETF price'!J123-'ETF price'!J122</f>
        <v>0.75999999999999091</v>
      </c>
      <c r="J121" s="3">
        <f ca="1">'ETF price'!K123-'ETF price'!K122</f>
        <v>7.9999999999998295E-2</v>
      </c>
      <c r="K121" s="3">
        <f ca="1">'ETF price'!L123-'ETF price'!L122</f>
        <v>-0.26000000000000512</v>
      </c>
      <c r="L121" s="3">
        <f ca="1">'ETF price'!M123-'ETF price'!M122</f>
        <v>5.9999999999995168E-2</v>
      </c>
      <c r="M121" s="3">
        <f ca="1">'ETF price'!N123-'ETF price'!N122</f>
        <v>0.25999999999999801</v>
      </c>
      <c r="N121" s="3">
        <f ca="1">'ETF price'!O123-'ETF price'!O122</f>
        <v>-0.63999999999999346</v>
      </c>
      <c r="O121" s="3">
        <f ca="1">'ETF price'!P123-'ETF price'!P122</f>
        <v>2.0999999999999943</v>
      </c>
      <c r="P121" s="3">
        <f ca="1">'ETF price'!Q123-'ETF price'!Q122</f>
        <v>3.0600000000000023</v>
      </c>
      <c r="Q121" s="3">
        <f ca="1">'ETF price'!R123-'ETF price'!R122</f>
        <v>-0.62999999999999545</v>
      </c>
      <c r="R121" s="3">
        <f ca="1">'ETF price'!S123-'ETF price'!S122</f>
        <v>0.72999999999999687</v>
      </c>
      <c r="S121" s="3">
        <f ca="1">'ETF price'!T123-'ETF price'!T122</f>
        <v>-5.9999999999998721E-2</v>
      </c>
      <c r="T121" s="3">
        <f ca="1">'ETF price'!U123-'ETF price'!U122</f>
        <v>1.6600000000000108</v>
      </c>
      <c r="U121" s="3">
        <f ca="1">'ETF price'!V123-'ETF price'!V122</f>
        <v>1.2700000000000102</v>
      </c>
      <c r="V121" s="3">
        <f ca="1">'ETF price'!W123-'ETF price'!W122</f>
        <v>-0.11000000000000654</v>
      </c>
      <c r="W121" s="3">
        <f ca="1">'ETF price'!X123-'ETF price'!X122</f>
        <v>-0.23999999999999488</v>
      </c>
      <c r="X121" s="3">
        <f ca="1">'ETF price'!Y123-'ETF price'!Y122</f>
        <v>-6.0000000000002274E-2</v>
      </c>
      <c r="Y121" s="3">
        <f ca="1">'ETF price'!Z123-'ETF price'!Z122</f>
        <v>-0.28000000000000114</v>
      </c>
      <c r="Z121" s="3">
        <f ca="1">'ETF price'!AA123-'ETF price'!AA122</f>
        <v>-0.15000000000000568</v>
      </c>
      <c r="AA121" s="3">
        <f ca="1">'ETF price'!AB123-'ETF price'!AB122</f>
        <v>-8.9999999999996305E-2</v>
      </c>
      <c r="AB121" s="3">
        <f ca="1">'ETF price'!AC123-'ETF price'!AC122</f>
        <v>-0.29999999999999716</v>
      </c>
      <c r="AC121" s="3">
        <f ca="1">'ETF price'!AD123-'ETF price'!AD122</f>
        <v>-0.16000000000000014</v>
      </c>
      <c r="AD121" s="3">
        <f ca="1">'ETF price'!AE123-'ETF price'!AE122</f>
        <v>-0.29000000000000092</v>
      </c>
      <c r="AE121" s="3">
        <f ca="1">'ETF price'!AF123-'ETF price'!AF122</f>
        <v>-0.10000000000000009</v>
      </c>
      <c r="AF121" s="3">
        <f ca="1">'ETF price'!AG123-'ETF price'!AG122</f>
        <v>-1.4800000000000004</v>
      </c>
    </row>
    <row r="122" spans="1:32" ht="12.75" x14ac:dyDescent="0.2">
      <c r="A122" s="3">
        <f ca="1">'ETF price'!B124-'ETF price'!B123</f>
        <v>-3.9699999999999989</v>
      </c>
      <c r="B122" s="3">
        <f ca="1">'ETF price'!C124-'ETF price'!C123</f>
        <v>-10.560000000000002</v>
      </c>
      <c r="C122" s="3">
        <f ca="1">'ETF price'!D124-'ETF price'!D123</f>
        <v>-2.75</v>
      </c>
      <c r="D122" s="3">
        <f ca="1">'ETF price'!E124-'ETF price'!E123</f>
        <v>-3.019999999999996</v>
      </c>
      <c r="E122" s="3">
        <f ca="1">'ETF price'!F124-'ETF price'!F123</f>
        <v>-1.2299999999999969</v>
      </c>
      <c r="F122" s="3">
        <f ca="1">'ETF price'!G124-'ETF price'!G123</f>
        <v>-0.48000000000000043</v>
      </c>
      <c r="G122" s="3">
        <f ca="1">'ETF price'!H124-'ETF price'!H123</f>
        <v>-0.66999999999999815</v>
      </c>
      <c r="H122" s="3">
        <f ca="1">'ETF price'!I124-'ETF price'!I123</f>
        <v>-2.2600000000000051</v>
      </c>
      <c r="I122" s="3">
        <f ca="1">'ETF price'!J124-'ETF price'!J123</f>
        <v>-4.3100000000000023</v>
      </c>
      <c r="J122" s="3">
        <f ca="1">'ETF price'!K124-'ETF price'!K123</f>
        <v>-2.7600000000000051</v>
      </c>
      <c r="K122" s="3">
        <f ca="1">'ETF price'!L124-'ETF price'!L123</f>
        <v>-2.7399999999999949</v>
      </c>
      <c r="L122" s="3">
        <f ca="1">'ETF price'!M124-'ETF price'!M123</f>
        <v>-1.5899999999999963</v>
      </c>
      <c r="M122" s="3">
        <f ca="1">'ETF price'!N124-'ETF price'!N123</f>
        <v>-1.1899999999999977</v>
      </c>
      <c r="N122" s="3">
        <f ca="1">'ETF price'!O124-'ETF price'!O123</f>
        <v>-1.6800000000000068</v>
      </c>
      <c r="O122" s="3">
        <f ca="1">'ETF price'!P124-'ETF price'!P123</f>
        <v>1.9900000000000091</v>
      </c>
      <c r="P122" s="3">
        <f ca="1">'ETF price'!Q124-'ETF price'!Q123</f>
        <v>2.730000000000004</v>
      </c>
      <c r="Q122" s="3">
        <f ca="1">'ETF price'!R124-'ETF price'!R123</f>
        <v>-0.81000000000000227</v>
      </c>
      <c r="R122" s="3">
        <f ca="1">'ETF price'!S124-'ETF price'!S123</f>
        <v>-0.78000000000000114</v>
      </c>
      <c r="S122" s="3">
        <f ca="1">'ETF price'!T124-'ETF price'!T123</f>
        <v>0.32999999999999829</v>
      </c>
      <c r="T122" s="3">
        <f ca="1">'ETF price'!U124-'ETF price'!U123</f>
        <v>1.789999999999992</v>
      </c>
      <c r="U122" s="3">
        <f ca="1">'ETF price'!V124-'ETF price'!V123</f>
        <v>-2.8300000000000125</v>
      </c>
      <c r="V122" s="3">
        <f ca="1">'ETF price'!W124-'ETF price'!W123</f>
        <v>-0.31999999999999673</v>
      </c>
      <c r="W122" s="3">
        <f ca="1">'ETF price'!X124-'ETF price'!X123</f>
        <v>-0.75</v>
      </c>
      <c r="X122" s="3">
        <f ca="1">'ETF price'!Y124-'ETF price'!Y123</f>
        <v>-0.28000000000000114</v>
      </c>
      <c r="Y122" s="3">
        <f ca="1">'ETF price'!Z124-'ETF price'!Z123</f>
        <v>-0.6600000000000108</v>
      </c>
      <c r="Z122" s="3">
        <f ca="1">'ETF price'!AA124-'ETF price'!AA123</f>
        <v>-0.56999999999999318</v>
      </c>
      <c r="AA122" s="3">
        <f ca="1">'ETF price'!AB124-'ETF price'!AB123</f>
        <v>-0.35000000000000142</v>
      </c>
      <c r="AB122" s="3">
        <f ca="1">'ETF price'!AC124-'ETF price'!AC123</f>
        <v>-0.63000000000000256</v>
      </c>
      <c r="AC122" s="3">
        <f ca="1">'ETF price'!AD124-'ETF price'!AD123</f>
        <v>-0.25999999999999979</v>
      </c>
      <c r="AD122" s="3">
        <f ca="1">'ETF price'!AE124-'ETF price'!AE123</f>
        <v>-0.39999999999999858</v>
      </c>
      <c r="AE122" s="3">
        <f ca="1">'ETF price'!AF124-'ETF price'!AF123</f>
        <v>-0.16000000000000014</v>
      </c>
      <c r="AF122" s="3">
        <f ca="1">'ETF price'!AG124-'ETF price'!AG123</f>
        <v>-1.4000000000000021</v>
      </c>
    </row>
    <row r="123" spans="1:32" ht="12.75" x14ac:dyDescent="0.2">
      <c r="A123" s="3">
        <f ca="1">'ETF price'!B125-'ETF price'!B124</f>
        <v>0.25999999999999091</v>
      </c>
      <c r="B123" s="3">
        <f ca="1">'ETF price'!C125-'ETF price'!C124</f>
        <v>0.25999999999999091</v>
      </c>
      <c r="C123" s="3">
        <f ca="1">'ETF price'!D125-'ETF price'!D124</f>
        <v>-9.9999999999909051E-3</v>
      </c>
      <c r="D123" s="3">
        <f ca="1">'ETF price'!E125-'ETF price'!E124</f>
        <v>-2.8599999999999994</v>
      </c>
      <c r="E123" s="3">
        <f ca="1">'ETF price'!F125-'ETF price'!F124</f>
        <v>-3.0000000000001137E-2</v>
      </c>
      <c r="F123" s="3">
        <f ca="1">'ETF price'!G125-'ETF price'!G124</f>
        <v>-0.38999999999999702</v>
      </c>
      <c r="G123" s="3">
        <f ca="1">'ETF price'!H125-'ETF price'!H124</f>
        <v>-0.22000000000000242</v>
      </c>
      <c r="H123" s="3">
        <f ca="1">'ETF price'!I125-'ETF price'!I124</f>
        <v>1.1099999999999994</v>
      </c>
      <c r="I123" s="3">
        <f ca="1">'ETF price'!J125-'ETF price'!J124</f>
        <v>1.8300000000000125</v>
      </c>
      <c r="J123" s="3">
        <f ca="1">'ETF price'!K125-'ETF price'!K124</f>
        <v>0.62999999999999545</v>
      </c>
      <c r="K123" s="3">
        <f ca="1">'ETF price'!L125-'ETF price'!L124</f>
        <v>0.73999999999999488</v>
      </c>
      <c r="L123" s="3">
        <f ca="1">'ETF price'!M125-'ETF price'!M124</f>
        <v>0.39000000000000057</v>
      </c>
      <c r="M123" s="3">
        <f ca="1">'ETF price'!N125-'ETF price'!N124</f>
        <v>0.5</v>
      </c>
      <c r="N123" s="3">
        <f ca="1">'ETF price'!O125-'ETF price'!O124</f>
        <v>0.24000000000000199</v>
      </c>
      <c r="O123" s="3">
        <f ca="1">'ETF price'!P125-'ETF price'!P124</f>
        <v>-2.6300000000000097</v>
      </c>
      <c r="P123" s="3">
        <f ca="1">'ETF price'!Q125-'ETF price'!Q124</f>
        <v>-3.5799999999999983</v>
      </c>
      <c r="Q123" s="3">
        <f ca="1">'ETF price'!R125-'ETF price'!R124</f>
        <v>-0.53999999999999204</v>
      </c>
      <c r="R123" s="3">
        <f ca="1">'ETF price'!S125-'ETF price'!S124</f>
        <v>-1.2899999999999991</v>
      </c>
      <c r="S123" s="3">
        <f ca="1">'ETF price'!T125-'ETF price'!T124</f>
        <v>-0.48000000000000043</v>
      </c>
      <c r="T123" s="3">
        <f ca="1">'ETF price'!U125-'ETF price'!U124</f>
        <v>-1.769999999999996</v>
      </c>
      <c r="U123" s="3">
        <f ca="1">'ETF price'!V125-'ETF price'!V124</f>
        <v>-2.8900000000000006</v>
      </c>
      <c r="V123" s="3">
        <f ca="1">'ETF price'!W125-'ETF price'!W124</f>
        <v>-0.17999999999999972</v>
      </c>
      <c r="W123" s="3">
        <f ca="1">'ETF price'!X125-'ETF price'!X124</f>
        <v>-0.62999999999999545</v>
      </c>
      <c r="X123" s="3">
        <f ca="1">'ETF price'!Y125-'ETF price'!Y124</f>
        <v>-0.36999999999999744</v>
      </c>
      <c r="Y123" s="3">
        <f ca="1">'ETF price'!Z125-'ETF price'!Z124</f>
        <v>-0.53999999999999204</v>
      </c>
      <c r="Z123" s="3">
        <f ca="1">'ETF price'!AA125-'ETF price'!AA124</f>
        <v>-0.26000000000000512</v>
      </c>
      <c r="AA123" s="3">
        <f ca="1">'ETF price'!AB125-'ETF price'!AB124</f>
        <v>-0.5</v>
      </c>
      <c r="AB123" s="3">
        <f ca="1">'ETF price'!AC125-'ETF price'!AC124</f>
        <v>-0.28999999999999915</v>
      </c>
      <c r="AC123" s="3">
        <f ca="1">'ETF price'!AD125-'ETF price'!AD124</f>
        <v>0</v>
      </c>
      <c r="AD123" s="3">
        <f ca="1">'ETF price'!AE125-'ETF price'!AE124</f>
        <v>9.9999999999997868E-3</v>
      </c>
      <c r="AE123" s="3">
        <f ca="1">'ETF price'!AF125-'ETF price'!AF124</f>
        <v>-0.10999999999999988</v>
      </c>
      <c r="AF123" s="3">
        <f ca="1">'ETF price'!AG125-'ETF price'!AG124</f>
        <v>-1</v>
      </c>
    </row>
    <row r="124" spans="1:32" ht="12.75" x14ac:dyDescent="0.2">
      <c r="A124" s="3">
        <f ca="1">'ETF price'!B126-'ETF price'!B125</f>
        <v>-1.7199999999999989</v>
      </c>
      <c r="B124" s="3">
        <f ca="1">'ETF price'!C126-'ETF price'!C125</f>
        <v>-4.6899999999999977</v>
      </c>
      <c r="C124" s="3">
        <f ca="1">'ETF price'!D126-'ETF price'!D125</f>
        <v>-1.25</v>
      </c>
      <c r="D124" s="3">
        <f ca="1">'ETF price'!E126-'ETF price'!E125</f>
        <v>-1.539999999999992</v>
      </c>
      <c r="E124" s="3">
        <f ca="1">'ETF price'!F126-'ETF price'!F125</f>
        <v>-0.56000000000000227</v>
      </c>
      <c r="F124" s="3">
        <f ca="1">'ETF price'!G126-'ETF price'!G125</f>
        <v>-0.28000000000000114</v>
      </c>
      <c r="G124" s="3">
        <f ca="1">'ETF price'!H126-'ETF price'!H125</f>
        <v>-0.27999999999999758</v>
      </c>
      <c r="H124" s="3">
        <f ca="1">'ETF price'!I126-'ETF price'!I125</f>
        <v>-0.28999999999999204</v>
      </c>
      <c r="I124" s="3">
        <f ca="1">'ETF price'!J126-'ETF price'!J125</f>
        <v>-0.96999999999999886</v>
      </c>
      <c r="J124" s="3">
        <f ca="1">'ETF price'!K126-'ETF price'!K125</f>
        <v>-0.35999999999999943</v>
      </c>
      <c r="K124" s="3">
        <f ca="1">'ETF price'!L126-'ETF price'!L125</f>
        <v>-0.53000000000000114</v>
      </c>
      <c r="L124" s="3">
        <f ca="1">'ETF price'!M126-'ETF price'!M125</f>
        <v>-0.5</v>
      </c>
      <c r="M124" s="3">
        <f ca="1">'ETF price'!N126-'ETF price'!N125</f>
        <v>-0.21999999999999886</v>
      </c>
      <c r="N124" s="3">
        <f ca="1">'ETF price'!O126-'ETF price'!O125</f>
        <v>-0.51999999999999602</v>
      </c>
      <c r="O124" s="3">
        <f ca="1">'ETF price'!P126-'ETF price'!P125</f>
        <v>-1.539999999999992</v>
      </c>
      <c r="P124" s="3">
        <f ca="1">'ETF price'!Q126-'ETF price'!Q125</f>
        <v>-2.3400000000000034</v>
      </c>
      <c r="Q124" s="3">
        <f ca="1">'ETF price'!R126-'ETF price'!R125</f>
        <v>-0.88000000000000966</v>
      </c>
      <c r="R124" s="3">
        <f ca="1">'ETF price'!S126-'ETF price'!S125</f>
        <v>-1.3500000000000014</v>
      </c>
      <c r="S124" s="3">
        <f ca="1">'ETF price'!T126-'ETF price'!T125</f>
        <v>-0.84999999999999787</v>
      </c>
      <c r="T124" s="3">
        <f ca="1">'ETF price'!U126-'ETF price'!U125</f>
        <v>-2.6000000000000085</v>
      </c>
      <c r="U124" s="3">
        <f ca="1">'ETF price'!V126-'ETF price'!V125</f>
        <v>2.0700000000000074</v>
      </c>
      <c r="V124" s="3">
        <f ca="1">'ETF price'!W126-'ETF price'!W125</f>
        <v>-0.28000000000000114</v>
      </c>
      <c r="W124" s="3">
        <f ca="1">'ETF price'!X126-'ETF price'!X125</f>
        <v>-0.60000000000000853</v>
      </c>
      <c r="X124" s="3">
        <f ca="1">'ETF price'!Y126-'ETF price'!Y125</f>
        <v>-0.40999999999999659</v>
      </c>
      <c r="Y124" s="3">
        <f ca="1">'ETF price'!Z126-'ETF price'!Z125</f>
        <v>-0.54999999999999716</v>
      </c>
      <c r="Z124" s="3">
        <f ca="1">'ETF price'!AA126-'ETF price'!AA125</f>
        <v>3.0000000000001137E-2</v>
      </c>
      <c r="AA124" s="3">
        <f ca="1">'ETF price'!AB126-'ETF price'!AB125</f>
        <v>-0.51999999999999602</v>
      </c>
      <c r="AB124" s="3">
        <f ca="1">'ETF price'!AC126-'ETF price'!AC125</f>
        <v>-0.69000000000000483</v>
      </c>
      <c r="AC124" s="3">
        <f ca="1">'ETF price'!AD126-'ETF price'!AD125</f>
        <v>-0.52999999999999936</v>
      </c>
      <c r="AD124" s="3">
        <f ca="1">'ETF price'!AE126-'ETF price'!AE125</f>
        <v>-0.87000000000000099</v>
      </c>
      <c r="AE124" s="3">
        <f ca="1">'ETF price'!AF126-'ETF price'!AF125</f>
        <v>-4.9999999999999822E-2</v>
      </c>
      <c r="AF124" s="3">
        <f ca="1">'ETF price'!AG126-'ETF price'!AG125</f>
        <v>-1.1999999999999993</v>
      </c>
    </row>
    <row r="125" spans="1:32" ht="12.75" x14ac:dyDescent="0.2">
      <c r="A125" s="3">
        <f ca="1">'ETF price'!B127-'ETF price'!B126</f>
        <v>0.28999999999999204</v>
      </c>
      <c r="B125" s="3">
        <f ca="1">'ETF price'!C127-'ETF price'!C126</f>
        <v>0.97999999999996135</v>
      </c>
      <c r="C125" s="3">
        <f ca="1">'ETF price'!D127-'ETF price'!D126</f>
        <v>-1.9999999999996021E-2</v>
      </c>
      <c r="D125" s="3">
        <f ca="1">'ETF price'!E127-'ETF price'!E126</f>
        <v>-4.1300000000000097</v>
      </c>
      <c r="E125" s="3">
        <f ca="1">'ETF price'!F127-'ETF price'!F126</f>
        <v>0.94000000000000483</v>
      </c>
      <c r="F125" s="3">
        <f ca="1">'ETF price'!G127-'ETF price'!G126</f>
        <v>0.25</v>
      </c>
      <c r="G125" s="3">
        <f ca="1">'ETF price'!H127-'ETF price'!H126</f>
        <v>0.21999999999999886</v>
      </c>
      <c r="H125" s="3">
        <f ca="1">'ETF price'!I127-'ETF price'!I126</f>
        <v>1.4399999999999977</v>
      </c>
      <c r="I125" s="3">
        <f ca="1">'ETF price'!J127-'ETF price'!J126</f>
        <v>3</v>
      </c>
      <c r="J125" s="3">
        <f ca="1">'ETF price'!K127-'ETF price'!K126</f>
        <v>2.5400000000000063</v>
      </c>
      <c r="K125" s="3">
        <f ca="1">'ETF price'!L127-'ETF price'!L126</f>
        <v>2.2700000000000102</v>
      </c>
      <c r="L125" s="3">
        <f ca="1">'ETF price'!M127-'ETF price'!M126</f>
        <v>1.3699999999999974</v>
      </c>
      <c r="M125" s="3">
        <f ca="1">'ETF price'!N127-'ETF price'!N126</f>
        <v>0.78000000000000114</v>
      </c>
      <c r="N125" s="3">
        <f ca="1">'ETF price'!O127-'ETF price'!O126</f>
        <v>1.5599999999999952</v>
      </c>
      <c r="O125" s="3">
        <f ca="1">'ETF price'!P127-'ETF price'!P126</f>
        <v>1.0699999999999932</v>
      </c>
      <c r="P125" s="3">
        <f ca="1">'ETF price'!Q127-'ETF price'!Q126</f>
        <v>1.2199999999999989</v>
      </c>
      <c r="Q125" s="3">
        <f ca="1">'ETF price'!R127-'ETF price'!R126</f>
        <v>0.52000000000001023</v>
      </c>
      <c r="R125" s="3">
        <f ca="1">'ETF price'!S127-'ETF price'!S126</f>
        <v>0.21000000000000085</v>
      </c>
      <c r="S125" s="3">
        <f ca="1">'ETF price'!T127-'ETF price'!T126</f>
        <v>0.12999999999999901</v>
      </c>
      <c r="T125" s="3">
        <f ca="1">'ETF price'!U127-'ETF price'!U126</f>
        <v>1.3200000000000074</v>
      </c>
      <c r="U125" s="3">
        <f ca="1">'ETF price'!V127-'ETF price'!V126</f>
        <v>0.60999999999999943</v>
      </c>
      <c r="V125" s="3">
        <f ca="1">'ETF price'!W127-'ETF price'!W126</f>
        <v>0.42999999999999972</v>
      </c>
      <c r="W125" s="3">
        <f ca="1">'ETF price'!X127-'ETF price'!X126</f>
        <v>1.0499999999999972</v>
      </c>
      <c r="X125" s="3">
        <f ca="1">'ETF price'!Y127-'ETF price'!Y126</f>
        <v>0.73999999999999488</v>
      </c>
      <c r="Y125" s="3">
        <f ca="1">'ETF price'!Z127-'ETF price'!Z126</f>
        <v>0.92999999999999261</v>
      </c>
      <c r="Z125" s="3">
        <f ca="1">'ETF price'!AA127-'ETF price'!AA126</f>
        <v>0.73000000000000398</v>
      </c>
      <c r="AA125" s="3">
        <f ca="1">'ETF price'!AB127-'ETF price'!AB126</f>
        <v>0.96999999999999886</v>
      </c>
      <c r="AB125" s="3">
        <f ca="1">'ETF price'!AC127-'ETF price'!AC126</f>
        <v>0.60000000000000142</v>
      </c>
      <c r="AC125" s="3">
        <f ca="1">'ETF price'!AD127-'ETF price'!AD126</f>
        <v>0.20000000000000018</v>
      </c>
      <c r="AD125" s="3">
        <f ca="1">'ETF price'!AE127-'ETF price'!AE126</f>
        <v>0.35000000000000142</v>
      </c>
      <c r="AE125" s="3">
        <f ca="1">'ETF price'!AF127-'ETF price'!AF126</f>
        <v>0</v>
      </c>
      <c r="AF125" s="3">
        <f ca="1">'ETF price'!AG127-'ETF price'!AG126</f>
        <v>0.35999999999999943</v>
      </c>
    </row>
    <row r="126" spans="1:32" ht="12.75" x14ac:dyDescent="0.2">
      <c r="A126" s="3">
        <f ca="1">'ETF price'!B128-'ETF price'!B127</f>
        <v>1.5999999999999943</v>
      </c>
      <c r="B126" s="3">
        <f ca="1">'ETF price'!C128-'ETF price'!C127</f>
        <v>5.0100000000000477</v>
      </c>
      <c r="C126" s="3">
        <f ca="1">'ETF price'!D128-'ETF price'!D127</f>
        <v>1.789999999999992</v>
      </c>
      <c r="D126" s="3">
        <f ca="1">'ETF price'!E128-'ETF price'!E127</f>
        <v>0.89000000000000057</v>
      </c>
      <c r="E126" s="3">
        <f ca="1">'ETF price'!F128-'ETF price'!F127</f>
        <v>0.75</v>
      </c>
      <c r="F126" s="3">
        <f ca="1">'ETF price'!G128-'ETF price'!G127</f>
        <v>0.14000000000000057</v>
      </c>
      <c r="G126" s="3">
        <f ca="1">'ETF price'!H128-'ETF price'!H127</f>
        <v>0.41000000000000014</v>
      </c>
      <c r="H126" s="3">
        <f ca="1">'ETF price'!I128-'ETF price'!I127</f>
        <v>-0.75</v>
      </c>
      <c r="I126" s="3">
        <f ca="1">'ETF price'!J128-'ETF price'!J127</f>
        <v>-0.34999999999999432</v>
      </c>
      <c r="J126" s="3">
        <f ca="1">'ETF price'!K128-'ETF price'!K127</f>
        <v>2.6400000000000006</v>
      </c>
      <c r="K126" s="3">
        <f ca="1">'ETF price'!L128-'ETF price'!L127</f>
        <v>4.4499999999999886</v>
      </c>
      <c r="L126" s="3">
        <f ca="1">'ETF price'!M128-'ETF price'!M127</f>
        <v>1.3800000000000026</v>
      </c>
      <c r="M126" s="3">
        <f ca="1">'ETF price'!N128-'ETF price'!N127</f>
        <v>-7.0000000000000284E-2</v>
      </c>
      <c r="N126" s="3">
        <f ca="1">'ETF price'!O128-'ETF price'!O127</f>
        <v>3.3599999999999994</v>
      </c>
      <c r="O126" s="3">
        <f ca="1">'ETF price'!P128-'ETF price'!P127</f>
        <v>-2.8799999999999955</v>
      </c>
      <c r="P126" s="3">
        <f ca="1">'ETF price'!Q128-'ETF price'!Q127</f>
        <v>-4.1899999999999977</v>
      </c>
      <c r="Q126" s="3">
        <f ca="1">'ETF price'!R128-'ETF price'!R127</f>
        <v>-1.4900000000000091</v>
      </c>
      <c r="R126" s="3">
        <f ca="1">'ETF price'!S128-'ETF price'!S127</f>
        <v>-2.1400000000000006</v>
      </c>
      <c r="S126" s="3">
        <f ca="1">'ETF price'!T128-'ETF price'!T127</f>
        <v>-1.8000000000000007</v>
      </c>
      <c r="T126" s="3">
        <f ca="1">'ETF price'!U128-'ETF price'!U127</f>
        <v>-6.8900000000000006</v>
      </c>
      <c r="U126" s="3">
        <f ca="1">'ETF price'!V128-'ETF price'!V127</f>
        <v>-0.37999999999999545</v>
      </c>
      <c r="V126" s="3">
        <f ca="1">'ETF price'!W128-'ETF price'!W127</f>
        <v>-0.10999999999999943</v>
      </c>
      <c r="W126" s="3">
        <f ca="1">'ETF price'!X128-'ETF price'!X127</f>
        <v>-8.99999999999892E-2</v>
      </c>
      <c r="X126" s="3">
        <f ca="1">'ETF price'!Y128-'ETF price'!Y127</f>
        <v>0.16000000000000369</v>
      </c>
      <c r="Y126" s="3">
        <f ca="1">'ETF price'!Z128-'ETF price'!Z127</f>
        <v>-0.12999999999999545</v>
      </c>
      <c r="Z126" s="3">
        <f ca="1">'ETF price'!AA128-'ETF price'!AA127</f>
        <v>-0.17000000000000171</v>
      </c>
      <c r="AA126" s="3">
        <f ca="1">'ETF price'!AB128-'ETF price'!AB127</f>
        <v>0.19999999999999574</v>
      </c>
      <c r="AB126" s="3">
        <f ca="1">'ETF price'!AC128-'ETF price'!AC127</f>
        <v>0.10999999999999943</v>
      </c>
      <c r="AC126" s="3">
        <f ca="1">'ETF price'!AD128-'ETF price'!AD127</f>
        <v>0.42999999999999972</v>
      </c>
      <c r="AD126" s="3">
        <f ca="1">'ETF price'!AE128-'ETF price'!AE127</f>
        <v>0.66999999999999993</v>
      </c>
      <c r="AE126" s="3">
        <f ca="1">'ETF price'!AF128-'ETF price'!AF127</f>
        <v>6.999999999999984E-2</v>
      </c>
      <c r="AF126" s="3">
        <f ca="1">'ETF price'!AG128-'ETF price'!AG127</f>
        <v>1.4000000000000021</v>
      </c>
    </row>
    <row r="127" spans="1:32" ht="12.75" x14ac:dyDescent="0.2">
      <c r="A127" s="3">
        <f ca="1">'ETF price'!B129-'ETF price'!B128</f>
        <v>1.1100000000000136</v>
      </c>
      <c r="B127" s="3">
        <f ca="1">'ETF price'!C129-'ETF price'!C128</f>
        <v>2.3100000000000023</v>
      </c>
      <c r="C127" s="3">
        <f ca="1">'ETF price'!D129-'ETF price'!D128</f>
        <v>0.57999999999999829</v>
      </c>
      <c r="D127" s="3">
        <f ca="1">'ETF price'!E129-'ETF price'!E128</f>
        <v>0.54999999999999716</v>
      </c>
      <c r="E127" s="3">
        <f ca="1">'ETF price'!F129-'ETF price'!F128</f>
        <v>0.21000000000000085</v>
      </c>
      <c r="F127" s="3">
        <f ca="1">'ETF price'!G129-'ETF price'!G128</f>
        <v>-1.9999999999999574E-2</v>
      </c>
      <c r="G127" s="3">
        <f ca="1">'ETF price'!H129-'ETF price'!H128</f>
        <v>-0.16000000000000014</v>
      </c>
      <c r="H127" s="3">
        <f ca="1">'ETF price'!I129-'ETF price'!I128</f>
        <v>0.87000000000000455</v>
      </c>
      <c r="I127" s="3">
        <f ca="1">'ETF price'!J129-'ETF price'!J128</f>
        <v>1.2699999999999818</v>
      </c>
      <c r="J127" s="3">
        <f ca="1">'ETF price'!K129-'ETF price'!K128</f>
        <v>-1.9999999999996021E-2</v>
      </c>
      <c r="K127" s="3">
        <f ca="1">'ETF price'!L129-'ETF price'!L128</f>
        <v>2.0000000000010232E-2</v>
      </c>
      <c r="L127" s="3">
        <f ca="1">'ETF price'!M129-'ETF price'!M128</f>
        <v>7.9999999999998295E-2</v>
      </c>
      <c r="M127" s="3">
        <f ca="1">'ETF price'!N129-'ETF price'!N128</f>
        <v>0.27999999999999403</v>
      </c>
      <c r="N127" s="3">
        <f ca="1">'ETF price'!O129-'ETF price'!O128</f>
        <v>0.12000000000000455</v>
      </c>
      <c r="O127" s="3">
        <f ca="1">'ETF price'!P129-'ETF price'!P128</f>
        <v>-1.1899999999999977</v>
      </c>
      <c r="P127" s="3">
        <f ca="1">'ETF price'!Q129-'ETF price'!Q128</f>
        <v>-1.8700000000000045</v>
      </c>
      <c r="Q127" s="3">
        <f ca="1">'ETF price'!R129-'ETF price'!R128</f>
        <v>0.46000000000000796</v>
      </c>
      <c r="R127" s="3">
        <f ca="1">'ETF price'!S129-'ETF price'!S128</f>
        <v>-0.28999999999999915</v>
      </c>
      <c r="S127" s="3">
        <f ca="1">'ETF price'!T129-'ETF price'!T128</f>
        <v>-0.36999999999999744</v>
      </c>
      <c r="T127" s="3">
        <f ca="1">'ETF price'!U129-'ETF price'!U128</f>
        <v>-1.1099999999999994</v>
      </c>
      <c r="U127" s="3">
        <f ca="1">'ETF price'!V129-'ETF price'!V128</f>
        <v>-0.56000000000000227</v>
      </c>
      <c r="V127" s="3">
        <f ca="1">'ETF price'!W129-'ETF price'!W128</f>
        <v>-7.9999999999998295E-2</v>
      </c>
      <c r="W127" s="3">
        <f ca="1">'ETF price'!X129-'ETF price'!X128</f>
        <v>-0.35000000000000853</v>
      </c>
      <c r="X127" s="3">
        <f ca="1">'ETF price'!Y129-'ETF price'!Y128</f>
        <v>-0.34000000000000341</v>
      </c>
      <c r="Y127" s="3">
        <f ca="1">'ETF price'!Z129-'ETF price'!Z128</f>
        <v>-0.25</v>
      </c>
      <c r="Z127" s="3">
        <f ca="1">'ETF price'!AA129-'ETF price'!AA128</f>
        <v>-3.0000000000001137E-2</v>
      </c>
      <c r="AA127" s="3">
        <f ca="1">'ETF price'!AB129-'ETF price'!AB128</f>
        <v>-0.43999999999999773</v>
      </c>
      <c r="AB127" s="3">
        <f ca="1">'ETF price'!AC129-'ETF price'!AC128</f>
        <v>-0.26999999999999602</v>
      </c>
      <c r="AC127" s="3">
        <f ca="1">'ETF price'!AD129-'ETF price'!AD128</f>
        <v>-6.0000000000000497E-2</v>
      </c>
      <c r="AD127" s="3">
        <f ca="1">'ETF price'!AE129-'ETF price'!AE128</f>
        <v>-7.0000000000000284E-2</v>
      </c>
      <c r="AE127" s="3">
        <f ca="1">'ETF price'!AF129-'ETF price'!AF128</f>
        <v>8.9999999999999858E-2</v>
      </c>
      <c r="AF127" s="3">
        <f ca="1">'ETF price'!AG129-'ETF price'!AG128</f>
        <v>-0.88000000000000256</v>
      </c>
    </row>
    <row r="128" spans="1:32" ht="12.75" x14ac:dyDescent="0.2">
      <c r="A128" s="3">
        <f ca="1">'ETF price'!B130-'ETF price'!B129</f>
        <v>2.6899999999999977</v>
      </c>
      <c r="B128" s="3">
        <f ca="1">'ETF price'!C130-'ETF price'!C129</f>
        <v>7.4499999999999886</v>
      </c>
      <c r="C128" s="3">
        <f ca="1">'ETF price'!D130-'ETF price'!D129</f>
        <v>2.0799999999999983</v>
      </c>
      <c r="D128" s="3">
        <f ca="1">'ETF price'!E130-'ETF price'!E129</f>
        <v>5.1000000000000085</v>
      </c>
      <c r="E128" s="3">
        <f ca="1">'ETF price'!F130-'ETF price'!F129</f>
        <v>0.90999999999999659</v>
      </c>
      <c r="F128" s="3">
        <f ca="1">'ETF price'!G130-'ETF price'!G129</f>
        <v>0.62999999999999901</v>
      </c>
      <c r="G128" s="3">
        <f ca="1">'ETF price'!H130-'ETF price'!H129</f>
        <v>0.66000000000000014</v>
      </c>
      <c r="H128" s="3">
        <f ca="1">'ETF price'!I130-'ETF price'!I129</f>
        <v>0.54999999999998295</v>
      </c>
      <c r="I128" s="3">
        <f ca="1">'ETF price'!J130-'ETF price'!J129</f>
        <v>1.7900000000000205</v>
      </c>
      <c r="J128" s="3">
        <f ca="1">'ETF price'!K130-'ETF price'!K129</f>
        <v>3.0299999999999869</v>
      </c>
      <c r="K128" s="3">
        <f ca="1">'ETF price'!L130-'ETF price'!L129</f>
        <v>2.4499999999999886</v>
      </c>
      <c r="L128" s="3">
        <f ca="1">'ETF price'!M130-'ETF price'!M129</f>
        <v>1.0399999999999991</v>
      </c>
      <c r="M128" s="3">
        <f ca="1">'ETF price'!N130-'ETF price'!N129</f>
        <v>0.48000000000000398</v>
      </c>
      <c r="N128" s="3">
        <f ca="1">'ETF price'!O130-'ETF price'!O129</f>
        <v>2.4399999999999977</v>
      </c>
      <c r="O128" s="3">
        <f ca="1">'ETF price'!P130-'ETF price'!P129</f>
        <v>2.4699999999999989</v>
      </c>
      <c r="P128" s="3">
        <f ca="1">'ETF price'!Q130-'ETF price'!Q129</f>
        <v>3.8100000000000023</v>
      </c>
      <c r="Q128" s="3">
        <f ca="1">'ETF price'!R130-'ETF price'!R129</f>
        <v>0.64999999999999147</v>
      </c>
      <c r="R128" s="3">
        <f ca="1">'ETF price'!S130-'ETF price'!S129</f>
        <v>2.1499999999999986</v>
      </c>
      <c r="S128" s="3">
        <f ca="1">'ETF price'!T130-'ETF price'!T129</f>
        <v>1.0199999999999996</v>
      </c>
      <c r="T128" s="3">
        <f ca="1">'ETF price'!U130-'ETF price'!U129</f>
        <v>2.8799999999999955</v>
      </c>
      <c r="U128" s="3">
        <f ca="1">'ETF price'!V130-'ETF price'!V129</f>
        <v>3.9599999999999937</v>
      </c>
      <c r="V128" s="3">
        <f ca="1">'ETF price'!W130-'ETF price'!W129</f>
        <v>0.4599999999999973</v>
      </c>
      <c r="W128" s="3">
        <f ca="1">'ETF price'!X130-'ETF price'!X129</f>
        <v>1.1800000000000068</v>
      </c>
      <c r="X128" s="3">
        <f ca="1">'ETF price'!Y130-'ETF price'!Y129</f>
        <v>0.53999999999999915</v>
      </c>
      <c r="Y128" s="3">
        <f ca="1">'ETF price'!Z130-'ETF price'!Z129</f>
        <v>1.039999999999992</v>
      </c>
      <c r="Z128" s="3">
        <f ca="1">'ETF price'!AA130-'ETF price'!AA129</f>
        <v>3.0000000000001137E-2</v>
      </c>
      <c r="AA128" s="3">
        <f ca="1">'ETF price'!AB130-'ETF price'!AB129</f>
        <v>0.63000000000000256</v>
      </c>
      <c r="AB128" s="3">
        <f ca="1">'ETF price'!AC130-'ETF price'!AC129</f>
        <v>0.89999999999999858</v>
      </c>
      <c r="AC128" s="3">
        <f ca="1">'ETF price'!AD130-'ETF price'!AD129</f>
        <v>0.60000000000000053</v>
      </c>
      <c r="AD128" s="3">
        <f ca="1">'ETF price'!AE130-'ETF price'!AE129</f>
        <v>0.96999999999999886</v>
      </c>
      <c r="AE128" s="3">
        <f ca="1">'ETF price'!AF130-'ETF price'!AF129</f>
        <v>-2.0000000000000018E-2</v>
      </c>
      <c r="AF128" s="3">
        <f ca="1">'ETF price'!AG130-'ETF price'!AG129</f>
        <v>2.2000000000000028</v>
      </c>
    </row>
    <row r="129" spans="1:32" ht="12.75" x14ac:dyDescent="0.2">
      <c r="A129" s="3">
        <f ca="1">'ETF price'!B131-'ETF price'!B130</f>
        <v>6.0000000000002274E-2</v>
      </c>
      <c r="B129" s="3">
        <f ca="1">'ETF price'!C131-'ETF price'!C130</f>
        <v>0.24000000000000909</v>
      </c>
      <c r="C129" s="3">
        <f ca="1">'ETF price'!D131-'ETF price'!D130</f>
        <v>7.9999999999998295E-2</v>
      </c>
      <c r="D129" s="3">
        <f ca="1">'ETF price'!E131-'ETF price'!E130</f>
        <v>0.56999999999999318</v>
      </c>
      <c r="E129" s="3">
        <f ca="1">'ETF price'!F131-'ETF price'!F130</f>
        <v>2.0000000000003126E-2</v>
      </c>
      <c r="F129" s="3">
        <f ca="1">'ETF price'!G131-'ETF price'!G130</f>
        <v>-7.0000000000000284E-2</v>
      </c>
      <c r="G129" s="3">
        <f ca="1">'ETF price'!H131-'ETF price'!H130</f>
        <v>-3.9999999999999147E-2</v>
      </c>
      <c r="H129" s="3">
        <f ca="1">'ETF price'!I131-'ETF price'!I130</f>
        <v>0.39000000000001478</v>
      </c>
      <c r="I129" s="3">
        <f ca="1">'ETF price'!J131-'ETF price'!J130</f>
        <v>0.78999999999999204</v>
      </c>
      <c r="J129" s="3">
        <f ca="1">'ETF price'!K131-'ETF price'!K130</f>
        <v>0.84000000000000341</v>
      </c>
      <c r="K129" s="3">
        <f ca="1">'ETF price'!L131-'ETF price'!L130</f>
        <v>0.97000000000001307</v>
      </c>
      <c r="L129" s="3">
        <f ca="1">'ETF price'!M131-'ETF price'!M130</f>
        <v>0.34000000000000341</v>
      </c>
      <c r="M129" s="3">
        <f ca="1">'ETF price'!N131-'ETF price'!N130</f>
        <v>0.20000000000000284</v>
      </c>
      <c r="N129" s="3">
        <f ca="1">'ETF price'!O131-'ETF price'!O130</f>
        <v>0</v>
      </c>
      <c r="O129" s="3">
        <f ca="1">'ETF price'!P131-'ETF price'!P130</f>
        <v>-3.0000000000001137E-2</v>
      </c>
      <c r="P129" s="3">
        <f ca="1">'ETF price'!Q131-'ETF price'!Q130</f>
        <v>-3.9999999999992042E-2</v>
      </c>
      <c r="Q129" s="3">
        <f ca="1">'ETF price'!R131-'ETF price'!R130</f>
        <v>-0.71999999999999886</v>
      </c>
      <c r="R129" s="3">
        <f ca="1">'ETF price'!S131-'ETF price'!S130</f>
        <v>-0.36999999999999744</v>
      </c>
      <c r="S129" s="3">
        <f ca="1">'ETF price'!T131-'ETF price'!T130</f>
        <v>0.44999999999999929</v>
      </c>
      <c r="T129" s="3">
        <f ca="1">'ETF price'!U131-'ETF price'!U130</f>
        <v>1.9900000000000091</v>
      </c>
      <c r="U129" s="3">
        <f ca="1">'ETF price'!V131-'ETF price'!V130</f>
        <v>1.6600000000000108</v>
      </c>
      <c r="V129" s="3">
        <f ca="1">'ETF price'!W131-'ETF price'!W130</f>
        <v>-7.0000000000000284E-2</v>
      </c>
      <c r="W129" s="3">
        <f ca="1">'ETF price'!X131-'ETF price'!X130</f>
        <v>-0.23000000000000398</v>
      </c>
      <c r="X129" s="3">
        <f ca="1">'ETF price'!Y131-'ETF price'!Y130</f>
        <v>-0.12999999999999545</v>
      </c>
      <c r="Y129" s="3">
        <f ca="1">'ETF price'!Z131-'ETF price'!Z130</f>
        <v>-0.21999999999999886</v>
      </c>
      <c r="Z129" s="3">
        <f ca="1">'ETF price'!AA131-'ETF price'!AA130</f>
        <v>-0.19000000000000483</v>
      </c>
      <c r="AA129" s="3">
        <f ca="1">'ETF price'!AB131-'ETF price'!AB130</f>
        <v>-0.17999999999999972</v>
      </c>
      <c r="AB129" s="3">
        <f ca="1">'ETF price'!AC131-'ETF price'!AC130</f>
        <v>-0.13000000000000256</v>
      </c>
      <c r="AC129" s="3">
        <f ca="1">'ETF price'!AD131-'ETF price'!AD130</f>
        <v>-1.9999999999999574E-2</v>
      </c>
      <c r="AD129" s="3">
        <f ca="1">'ETF price'!AE131-'ETF price'!AE130</f>
        <v>-4.9999999999998934E-2</v>
      </c>
      <c r="AE129" s="3">
        <f ca="1">'ETF price'!AF131-'ETF price'!AF130</f>
        <v>0.20000000000000018</v>
      </c>
      <c r="AF129" s="3">
        <f ca="1">'ETF price'!AG131-'ETF price'!AG130</f>
        <v>1</v>
      </c>
    </row>
    <row r="130" spans="1:32" ht="12.75" x14ac:dyDescent="0.2">
      <c r="A130" s="3">
        <f ca="1">'ETF price'!B132-'ETF price'!B131</f>
        <v>-1.8300000000000125</v>
      </c>
      <c r="B130" s="3">
        <f ca="1">'ETF price'!C132-'ETF price'!C131</f>
        <v>-5.4800000000000182</v>
      </c>
      <c r="C130" s="3">
        <f ca="1">'ETF price'!D132-'ETF price'!D131</f>
        <v>-1.8099999999999881</v>
      </c>
      <c r="D130" s="3">
        <f ca="1">'ETF price'!E132-'ETF price'!E131</f>
        <v>-2.7599999999999909</v>
      </c>
      <c r="E130" s="3">
        <f ca="1">'ETF price'!F132-'ETF price'!F131</f>
        <v>-0.80000000000000426</v>
      </c>
      <c r="F130" s="3">
        <f ca="1">'ETF price'!G132-'ETF price'!G131</f>
        <v>-0.58999999999999986</v>
      </c>
      <c r="G130" s="3">
        <f ca="1">'ETF price'!H132-'ETF price'!H131</f>
        <v>-0.55000000000000071</v>
      </c>
      <c r="H130" s="3">
        <f ca="1">'ETF price'!I132-'ETF price'!I131</f>
        <v>-0.33000000000001251</v>
      </c>
      <c r="I130" s="3">
        <f ca="1">'ETF price'!J132-'ETF price'!J131</f>
        <v>-1.460000000000008</v>
      </c>
      <c r="J130" s="3">
        <f ca="1">'ETF price'!K132-'ETF price'!K131</f>
        <v>-2.3499999999999943</v>
      </c>
      <c r="K130" s="3">
        <f ca="1">'ETF price'!L132-'ETF price'!L131</f>
        <v>-3.7400000000000091</v>
      </c>
      <c r="L130" s="3">
        <f ca="1">'ETF price'!M132-'ETF price'!M131</f>
        <v>-1.3500000000000014</v>
      </c>
      <c r="M130" s="3">
        <f ca="1">'ETF price'!N132-'ETF price'!N131</f>
        <v>-0.35000000000000142</v>
      </c>
      <c r="N130" s="3">
        <f ca="1">'ETF price'!O132-'ETF price'!O131</f>
        <v>-2.0799999999999983</v>
      </c>
      <c r="O130" s="3">
        <f ca="1">'ETF price'!P132-'ETF price'!P131</f>
        <v>-0.68000000000000682</v>
      </c>
      <c r="P130" s="3">
        <f ca="1">'ETF price'!Q132-'ETF price'!Q131</f>
        <v>-0.98000000000000398</v>
      </c>
      <c r="Q130" s="3">
        <f ca="1">'ETF price'!R132-'ETF price'!R131</f>
        <v>-0.20000000000000284</v>
      </c>
      <c r="R130" s="3">
        <f ca="1">'ETF price'!S132-'ETF price'!S131</f>
        <v>-0.71000000000000085</v>
      </c>
      <c r="S130" s="3">
        <f ca="1">'ETF price'!T132-'ETF price'!T131</f>
        <v>-5.0000000000000711E-2</v>
      </c>
      <c r="T130" s="3">
        <f ca="1">'ETF price'!U132-'ETF price'!U131</f>
        <v>-0.31000000000000227</v>
      </c>
      <c r="U130" s="3">
        <f ca="1">'ETF price'!V132-'ETF price'!V131</f>
        <v>-3.6300000000000097</v>
      </c>
      <c r="V130" s="3">
        <f ca="1">'ETF price'!W132-'ETF price'!W131</f>
        <v>-0.25999999999999801</v>
      </c>
      <c r="W130" s="3">
        <f ca="1">'ETF price'!X132-'ETF price'!X131</f>
        <v>-0.71999999999999886</v>
      </c>
      <c r="X130" s="3">
        <f ca="1">'ETF price'!Y132-'ETF price'!Y131</f>
        <v>-0.46000000000000085</v>
      </c>
      <c r="Y130" s="3">
        <f ca="1">'ETF price'!Z132-'ETF price'!Z131</f>
        <v>-0.57999999999999829</v>
      </c>
      <c r="Z130" s="3">
        <f ca="1">'ETF price'!AA132-'ETF price'!AA131</f>
        <v>0</v>
      </c>
      <c r="AA130" s="3">
        <f ca="1">'ETF price'!AB132-'ETF price'!AB131</f>
        <v>-0.59000000000000341</v>
      </c>
      <c r="AB130" s="3">
        <f ca="1">'ETF price'!AC132-'ETF price'!AC131</f>
        <v>-0.39999999999999858</v>
      </c>
      <c r="AC130" s="3">
        <f ca="1">'ETF price'!AD132-'ETF price'!AD131</f>
        <v>-0.51000000000000068</v>
      </c>
      <c r="AD130" s="3">
        <f ca="1">'ETF price'!AE132-'ETF price'!AE131</f>
        <v>-0.82000000000000028</v>
      </c>
      <c r="AE130" s="3">
        <f ca="1">'ETF price'!AF132-'ETF price'!AF131</f>
        <v>-4.9999999999999822E-2</v>
      </c>
      <c r="AF130" s="3">
        <f ca="1">'ETF price'!AG132-'ETF price'!AG131</f>
        <v>-1.6799999999999997</v>
      </c>
    </row>
    <row r="131" spans="1:32" ht="12.75" x14ac:dyDescent="0.2">
      <c r="A131" s="3">
        <f ca="1">'ETF price'!B133-'ETF price'!B132</f>
        <v>-1.789999999999992</v>
      </c>
      <c r="B131" s="3">
        <f ca="1">'ETF price'!C133-'ETF price'!C132</f>
        <v>-4.6200000000000045</v>
      </c>
      <c r="C131" s="3">
        <f ca="1">'ETF price'!D133-'ETF price'!D132</f>
        <v>-1.2700000000000102</v>
      </c>
      <c r="D131" s="3">
        <f ca="1">'ETF price'!E133-'ETF price'!E132</f>
        <v>0.32999999999999829</v>
      </c>
      <c r="E131" s="3">
        <f ca="1">'ETF price'!F133-'ETF price'!F132</f>
        <v>-1.3999999999999986</v>
      </c>
      <c r="F131" s="3">
        <f ca="1">'ETF price'!G133-'ETF price'!G132</f>
        <v>-0.42999999999999972</v>
      </c>
      <c r="G131" s="3">
        <f ca="1">'ETF price'!H133-'ETF price'!H132</f>
        <v>-0.21000000000000085</v>
      </c>
      <c r="H131" s="3">
        <f ca="1">'ETF price'!I133-'ETF price'!I132</f>
        <v>-1.6599999999999966</v>
      </c>
      <c r="I131" s="3">
        <f ca="1">'ETF price'!J133-'ETF price'!J132</f>
        <v>-2.8899999999999864</v>
      </c>
      <c r="J131" s="3">
        <f ca="1">'ETF price'!K133-'ETF price'!K132</f>
        <v>-0.81000000000000227</v>
      </c>
      <c r="K131" s="3">
        <f ca="1">'ETF price'!L133-'ETF price'!L132</f>
        <v>1.1800000000000068</v>
      </c>
      <c r="L131" s="3">
        <f ca="1">'ETF price'!M133-'ETF price'!M132</f>
        <v>-0.20000000000000284</v>
      </c>
      <c r="M131" s="3">
        <f ca="1">'ETF price'!N133-'ETF price'!N132</f>
        <v>-0.78000000000000114</v>
      </c>
      <c r="N131" s="3">
        <f ca="1">'ETF price'!O133-'ETF price'!O132</f>
        <v>0.79999999999999716</v>
      </c>
      <c r="O131" s="3">
        <f ca="1">'ETF price'!P133-'ETF price'!P132</f>
        <v>-1.3699999999999903</v>
      </c>
      <c r="P131" s="3">
        <f ca="1">'ETF price'!Q133-'ETF price'!Q132</f>
        <v>-1.9300000000000068</v>
      </c>
      <c r="Q131" s="3">
        <f ca="1">'ETF price'!R133-'ETF price'!R132</f>
        <v>-0.13999999999998636</v>
      </c>
      <c r="R131" s="3">
        <f ca="1">'ETF price'!S133-'ETF price'!S132</f>
        <v>0.20000000000000284</v>
      </c>
      <c r="S131" s="3">
        <f ca="1">'ETF price'!T133-'ETF price'!T132</f>
        <v>-1.1799999999999997</v>
      </c>
      <c r="T131" s="3">
        <f ca="1">'ETF price'!U133-'ETF price'!U132</f>
        <v>-5.4200000000000017</v>
      </c>
      <c r="U131" s="3">
        <f ca="1">'ETF price'!V133-'ETF price'!V132</f>
        <v>-2.4399999999999977</v>
      </c>
      <c r="V131" s="3">
        <f ca="1">'ETF price'!W133-'ETF price'!W132</f>
        <v>-0.19999999999999929</v>
      </c>
      <c r="W131" s="3">
        <f ca="1">'ETF price'!X133-'ETF price'!X132</f>
        <v>-0.42000000000000171</v>
      </c>
      <c r="X131" s="3">
        <f ca="1">'ETF price'!Y133-'ETF price'!Y132</f>
        <v>7.0000000000000284E-2</v>
      </c>
      <c r="Y131" s="3">
        <f ca="1">'ETF price'!Z133-'ETF price'!Z132</f>
        <v>-0.45000000000000284</v>
      </c>
      <c r="Z131" s="3">
        <f ca="1">'ETF price'!AA133-'ETF price'!AA132</f>
        <v>-0.25999999999999801</v>
      </c>
      <c r="AA131" s="3">
        <f ca="1">'ETF price'!AB133-'ETF price'!AB132</f>
        <v>-2.0000000000003126E-2</v>
      </c>
      <c r="AB131" s="3">
        <f ca="1">'ETF price'!AC133-'ETF price'!AC132</f>
        <v>-0.21000000000000085</v>
      </c>
      <c r="AC131" s="3">
        <f ca="1">'ETF price'!AD133-'ETF price'!AD132</f>
        <v>-0.4399999999999995</v>
      </c>
      <c r="AD131" s="3">
        <f ca="1">'ETF price'!AE133-'ETF price'!AE132</f>
        <v>-0.71000000000000085</v>
      </c>
      <c r="AE131" s="3">
        <f ca="1">'ETF price'!AF133-'ETF price'!AF132</f>
        <v>-9.0000000000000302E-2</v>
      </c>
      <c r="AF131" s="3">
        <f ca="1">'ETF price'!AG133-'ETF price'!AG132</f>
        <v>-0.32000000000000028</v>
      </c>
    </row>
    <row r="132" spans="1:32" ht="12.75" x14ac:dyDescent="0.2">
      <c r="A132" s="3">
        <f ca="1">'ETF price'!B134-'ETF price'!B133</f>
        <v>-0.34000000000000341</v>
      </c>
      <c r="B132" s="3">
        <f ca="1">'ETF price'!C134-'ETF price'!C133</f>
        <v>-0.76999999999998181</v>
      </c>
      <c r="C132" s="3">
        <f ca="1">'ETF price'!D134-'ETF price'!D133</f>
        <v>-0.39000000000000057</v>
      </c>
      <c r="D132" s="3">
        <f ca="1">'ETF price'!E134-'ETF price'!E133</f>
        <v>0.65999999999999659</v>
      </c>
      <c r="E132" s="3">
        <f ca="1">'ETF price'!F134-'ETF price'!F133</f>
        <v>-0.18999999999999773</v>
      </c>
      <c r="F132" s="3">
        <f ca="1">'ETF price'!G134-'ETF price'!G133</f>
        <v>-8.9999999999999858E-2</v>
      </c>
      <c r="G132" s="3">
        <f ca="1">'ETF price'!H134-'ETF price'!H133</f>
        <v>-7.9999999999998295E-2</v>
      </c>
      <c r="H132" s="3">
        <f ca="1">'ETF price'!I134-'ETF price'!I133</f>
        <v>-1.25</v>
      </c>
      <c r="I132" s="3">
        <f ca="1">'ETF price'!J134-'ETF price'!J133</f>
        <v>-1.8300000000000125</v>
      </c>
      <c r="J132" s="3">
        <f ca="1">'ETF price'!K134-'ETF price'!K133</f>
        <v>4.9999999999997158E-2</v>
      </c>
      <c r="K132" s="3">
        <f ca="1">'ETF price'!L134-'ETF price'!L133</f>
        <v>1.3699999999999903</v>
      </c>
      <c r="L132" s="3">
        <f ca="1">'ETF price'!M134-'ETF price'!M133</f>
        <v>0.27000000000000313</v>
      </c>
      <c r="M132" s="3">
        <f ca="1">'ETF price'!N134-'ETF price'!N133</f>
        <v>-0.46000000000000085</v>
      </c>
      <c r="N132" s="3">
        <f ca="1">'ETF price'!O134-'ETF price'!O133</f>
        <v>1.1600000000000037</v>
      </c>
      <c r="O132" s="3">
        <f ca="1">'ETF price'!P134-'ETF price'!P133</f>
        <v>-0.10999999999999943</v>
      </c>
      <c r="P132" s="3">
        <f ca="1">'ETF price'!Q134-'ETF price'!Q133</f>
        <v>0</v>
      </c>
      <c r="Q132" s="3">
        <f ca="1">'ETF price'!R134-'ETF price'!R133</f>
        <v>-0.42000000000000171</v>
      </c>
      <c r="R132" s="3">
        <f ca="1">'ETF price'!S134-'ETF price'!S133</f>
        <v>0.9199999999999946</v>
      </c>
      <c r="S132" s="3">
        <f ca="1">'ETF price'!T134-'ETF price'!T133</f>
        <v>0.14000000000000057</v>
      </c>
      <c r="T132" s="3">
        <f ca="1">'ETF price'!U134-'ETF price'!U133</f>
        <v>0.37999999999999545</v>
      </c>
      <c r="U132" s="3">
        <f ca="1">'ETF price'!V134-'ETF price'!V133</f>
        <v>0.51000000000000512</v>
      </c>
      <c r="V132" s="3">
        <f ca="1">'ETF price'!W134-'ETF price'!W133</f>
        <v>-0.28000000000000114</v>
      </c>
      <c r="W132" s="3">
        <f ca="1">'ETF price'!X134-'ETF price'!X133</f>
        <v>-0.82999999999999829</v>
      </c>
      <c r="X132" s="3">
        <f ca="1">'ETF price'!Y134-'ETF price'!Y133</f>
        <v>-0.67000000000000171</v>
      </c>
      <c r="Y132" s="3">
        <f ca="1">'ETF price'!Z134-'ETF price'!Z133</f>
        <v>-0.69999999999998863</v>
      </c>
      <c r="Z132" s="3">
        <f ca="1">'ETF price'!AA134-'ETF price'!AA133</f>
        <v>-0.21999999999999886</v>
      </c>
      <c r="AA132" s="3">
        <f ca="1">'ETF price'!AB134-'ETF price'!AB133</f>
        <v>-0.98999999999999488</v>
      </c>
      <c r="AB132" s="3">
        <f ca="1">'ETF price'!AC134-'ETF price'!AC133</f>
        <v>-0.48999999999999488</v>
      </c>
      <c r="AC132" s="3">
        <f ca="1">'ETF price'!AD134-'ETF price'!AD133</f>
        <v>0.11999999999999922</v>
      </c>
      <c r="AD132" s="3">
        <f ca="1">'ETF price'!AE134-'ETF price'!AE133</f>
        <v>0.16999999999999993</v>
      </c>
      <c r="AE132" s="3">
        <f ca="1">'ETF price'!AF134-'ETF price'!AF133</f>
        <v>3.0000000000000249E-2</v>
      </c>
      <c r="AF132" s="3">
        <f ca="1">'ETF price'!AG134-'ETF price'!AG133</f>
        <v>-0.16000000000000014</v>
      </c>
    </row>
    <row r="133" spans="1:32" ht="12.75" x14ac:dyDescent="0.2">
      <c r="A133" s="3">
        <f ca="1">'ETF price'!B135-'ETF price'!B134</f>
        <v>1.1800000000000068</v>
      </c>
      <c r="B133" s="3">
        <f ca="1">'ETF price'!C135-'ETF price'!C134</f>
        <v>2.2299999999999613</v>
      </c>
      <c r="C133" s="3">
        <f ca="1">'ETF price'!D135-'ETF price'!D134</f>
        <v>0.31000000000000227</v>
      </c>
      <c r="D133" s="3">
        <f ca="1">'ETF price'!E135-'ETF price'!E134</f>
        <v>2.5</v>
      </c>
      <c r="E133" s="3">
        <f ca="1">'ETF price'!F135-'ETF price'!F134</f>
        <v>-0.63000000000000256</v>
      </c>
      <c r="F133" s="3">
        <f ca="1">'ETF price'!G135-'ETF price'!G134</f>
        <v>-6.0000000000002274E-2</v>
      </c>
      <c r="G133" s="3">
        <f ca="1">'ETF price'!H135-'ETF price'!H134</f>
        <v>-0.24000000000000199</v>
      </c>
      <c r="H133" s="3">
        <f ca="1">'ETF price'!I135-'ETF price'!I134</f>
        <v>-0.37000000000000455</v>
      </c>
      <c r="I133" s="3">
        <f ca="1">'ETF price'!J135-'ETF price'!J134</f>
        <v>-0.90000000000000568</v>
      </c>
      <c r="J133" s="3">
        <f ca="1">'ETF price'!K135-'ETF price'!K134</f>
        <v>-2.0799999999999983</v>
      </c>
      <c r="K133" s="3">
        <f ca="1">'ETF price'!L135-'ETF price'!L134</f>
        <v>-1.9200000000000017</v>
      </c>
      <c r="L133" s="3">
        <f ca="1">'ETF price'!M135-'ETF price'!M134</f>
        <v>-0.95000000000000284</v>
      </c>
      <c r="M133" s="3">
        <f ca="1">'ETF price'!N135-'ETF price'!N134</f>
        <v>-0.22999999999999687</v>
      </c>
      <c r="N133" s="3">
        <f ca="1">'ETF price'!O135-'ETF price'!O134</f>
        <v>-0.76000000000000512</v>
      </c>
      <c r="O133" s="3">
        <f ca="1">'ETF price'!P135-'ETF price'!P134</f>
        <v>-1.3000000000000114</v>
      </c>
      <c r="P133" s="3">
        <f ca="1">'ETF price'!Q135-'ETF price'!Q134</f>
        <v>-1.7199999999999989</v>
      </c>
      <c r="Q133" s="3">
        <f ca="1">'ETF price'!R135-'ETF price'!R134</f>
        <v>-1.3299999999999983</v>
      </c>
      <c r="R133" s="3">
        <f ca="1">'ETF price'!S135-'ETF price'!S134</f>
        <v>-1.279999999999994</v>
      </c>
      <c r="S133" s="3">
        <f ca="1">'ETF price'!T135-'ETF price'!T134</f>
        <v>-0.23000000000000043</v>
      </c>
      <c r="T133" s="3">
        <f ca="1">'ETF price'!U135-'ETF price'!U134</f>
        <v>-0.34000000000000341</v>
      </c>
      <c r="U133" s="3">
        <f ca="1">'ETF price'!V135-'ETF price'!V134</f>
        <v>1.9999999999996021E-2</v>
      </c>
      <c r="V133" s="3">
        <f ca="1">'ETF price'!W135-'ETF price'!W134</f>
        <v>-0.60000000000000142</v>
      </c>
      <c r="W133" s="3">
        <f ca="1">'ETF price'!X135-'ETF price'!X134</f>
        <v>-1.4300000000000068</v>
      </c>
      <c r="X133" s="3">
        <f ca="1">'ETF price'!Y135-'ETF price'!Y134</f>
        <v>-0.67999999999999972</v>
      </c>
      <c r="Y133" s="3">
        <f ca="1">'ETF price'!Z135-'ETF price'!Z134</f>
        <v>-1.3299999999999983</v>
      </c>
      <c r="Z133" s="3">
        <f ca="1">'ETF price'!AA135-'ETF price'!AA134</f>
        <v>-0.39999999999999858</v>
      </c>
      <c r="AA133" s="3">
        <f ca="1">'ETF price'!AB135-'ETF price'!AB134</f>
        <v>-0.84000000000000341</v>
      </c>
      <c r="AB133" s="3">
        <f ca="1">'ETF price'!AC135-'ETF price'!AC134</f>
        <v>-0.67000000000000171</v>
      </c>
      <c r="AC133" s="3">
        <f ca="1">'ETF price'!AD135-'ETF price'!AD134</f>
        <v>0.39000000000000057</v>
      </c>
      <c r="AD133" s="3">
        <f ca="1">'ETF price'!AE135-'ETF price'!AE134</f>
        <v>0.63000000000000078</v>
      </c>
      <c r="AE133" s="3">
        <f ca="1">'ETF price'!AF135-'ETF price'!AF134</f>
        <v>0</v>
      </c>
      <c r="AF133" s="3">
        <f ca="1">'ETF price'!AG135-'ETF price'!AG134</f>
        <v>0.27999999999999758</v>
      </c>
    </row>
    <row r="134" spans="1:32" ht="12.75" x14ac:dyDescent="0.2">
      <c r="A134" s="3">
        <f ca="1">'ETF price'!B136-'ETF price'!B135</f>
        <v>2.289999999999992</v>
      </c>
      <c r="B134" s="3">
        <f ca="1">'ETF price'!C136-'ETF price'!C135</f>
        <v>6.1299999999999955</v>
      </c>
      <c r="C134" s="3">
        <f ca="1">'ETF price'!D136-'ETF price'!D135</f>
        <v>1.5</v>
      </c>
      <c r="D134" s="3">
        <f ca="1">'ETF price'!E136-'ETF price'!E135</f>
        <v>2.8700000000000045</v>
      </c>
      <c r="E134" s="3">
        <f ca="1">'ETF price'!F136-'ETF price'!F135</f>
        <v>0.85000000000000142</v>
      </c>
      <c r="F134" s="3">
        <f ca="1">'ETF price'!G136-'ETF price'!G135</f>
        <v>0.44000000000000128</v>
      </c>
      <c r="G134" s="3">
        <f ca="1">'ETF price'!H136-'ETF price'!H135</f>
        <v>0.44999999999999929</v>
      </c>
      <c r="H134" s="3">
        <f ca="1">'ETF price'!I136-'ETF price'!I135</f>
        <v>3.0699999999999932</v>
      </c>
      <c r="I134" s="3">
        <f ca="1">'ETF price'!J136-'ETF price'!J135</f>
        <v>5.3800000000000239</v>
      </c>
      <c r="J134" s="3">
        <f ca="1">'ETF price'!K136-'ETF price'!K135</f>
        <v>1.7800000000000011</v>
      </c>
      <c r="K134" s="3">
        <f ca="1">'ETF price'!L136-'ETF price'!L135</f>
        <v>1.0500000000000114</v>
      </c>
      <c r="L134" s="3">
        <f ca="1">'ETF price'!M136-'ETF price'!M135</f>
        <v>0.91000000000000369</v>
      </c>
      <c r="M134" s="3">
        <f ca="1">'ETF price'!N136-'ETF price'!N135</f>
        <v>1.3999999999999986</v>
      </c>
      <c r="N134" s="3">
        <f ca="1">'ETF price'!O136-'ETF price'!O135</f>
        <v>0.88000000000000256</v>
      </c>
      <c r="O134" s="3">
        <f ca="1">'ETF price'!P136-'ETF price'!P135</f>
        <v>1.1000000000000085</v>
      </c>
      <c r="P134" s="3">
        <f ca="1">'ETF price'!Q136-'ETF price'!Q135</f>
        <v>1.7800000000000011</v>
      </c>
      <c r="Q134" s="3">
        <f ca="1">'ETF price'!R136-'ETF price'!R135</f>
        <v>1.1099999999999994</v>
      </c>
      <c r="R134" s="3">
        <f ca="1">'ETF price'!S136-'ETF price'!S135</f>
        <v>0.81999999999999318</v>
      </c>
      <c r="S134" s="3">
        <f ca="1">'ETF price'!T136-'ETF price'!T135</f>
        <v>0.32000000000000028</v>
      </c>
      <c r="T134" s="3">
        <f ca="1">'ETF price'!U136-'ETF price'!U135</f>
        <v>0.89000000000000057</v>
      </c>
      <c r="U134" s="3">
        <f ca="1">'ETF price'!V136-'ETF price'!V135</f>
        <v>-1.4300000000000068</v>
      </c>
      <c r="V134" s="3">
        <f ca="1">'ETF price'!W136-'ETF price'!W135</f>
        <v>1.0400000000000027</v>
      </c>
      <c r="W134" s="3">
        <f ca="1">'ETF price'!X136-'ETF price'!X135</f>
        <v>2.5200000000000102</v>
      </c>
      <c r="X134" s="3">
        <f ca="1">'ETF price'!Y136-'ETF price'!Y135</f>
        <v>1.5399999999999991</v>
      </c>
      <c r="Y134" s="3">
        <f ca="1">'ETF price'!Z136-'ETF price'!Z135</f>
        <v>2.2599999999999909</v>
      </c>
      <c r="Z134" s="3">
        <f ca="1">'ETF price'!AA136-'ETF price'!AA135</f>
        <v>0.64999999999999858</v>
      </c>
      <c r="AA134" s="3">
        <f ca="1">'ETF price'!AB136-'ETF price'!AB135</f>
        <v>1.8999999999999986</v>
      </c>
      <c r="AB134" s="3">
        <f ca="1">'ETF price'!AC136-'ETF price'!AC135</f>
        <v>1.9200000000000017</v>
      </c>
      <c r="AC134" s="3">
        <f ca="1">'ETF price'!AD136-'ETF price'!AD135</f>
        <v>0.20000000000000018</v>
      </c>
      <c r="AD134" s="3">
        <f ca="1">'ETF price'!AE136-'ETF price'!AE135</f>
        <v>0.34999999999999964</v>
      </c>
      <c r="AE134" s="3">
        <f ca="1">'ETF price'!AF136-'ETF price'!AF135</f>
        <v>2.0000000000000018E-2</v>
      </c>
      <c r="AF134" s="3">
        <f ca="1">'ETF price'!AG136-'ETF price'!AG135</f>
        <v>0.52000000000000313</v>
      </c>
    </row>
    <row r="135" spans="1:32" ht="12.75" x14ac:dyDescent="0.2">
      <c r="A135" s="3">
        <f ca="1">'ETF price'!B137-'ETF price'!B136</f>
        <v>-1.2800000000000011</v>
      </c>
      <c r="B135" s="3">
        <f ca="1">'ETF price'!C137-'ETF price'!C136</f>
        <v>-3.0699999999999932</v>
      </c>
      <c r="C135" s="3">
        <f ca="1">'ETF price'!D137-'ETF price'!D136</f>
        <v>-0.78000000000000114</v>
      </c>
      <c r="D135" s="3">
        <f ca="1">'ETF price'!E137-'ETF price'!E136</f>
        <v>-0.40000000000000568</v>
      </c>
      <c r="E135" s="3">
        <f ca="1">'ETF price'!F137-'ETF price'!F136</f>
        <v>7.0000000000000284E-2</v>
      </c>
      <c r="F135" s="3">
        <f ca="1">'ETF price'!G137-'ETF price'!G136</f>
        <v>5.0000000000000711E-2</v>
      </c>
      <c r="G135" s="3">
        <f ca="1">'ETF price'!H137-'ETF price'!H136</f>
        <v>-4.9999999999997158E-2</v>
      </c>
      <c r="H135" s="3">
        <f ca="1">'ETF price'!I137-'ETF price'!I136</f>
        <v>-2.7499999999999858</v>
      </c>
      <c r="I135" s="3">
        <f ca="1">'ETF price'!J137-'ETF price'!J136</f>
        <v>-5.0300000000000011</v>
      </c>
      <c r="J135" s="3">
        <f ca="1">'ETF price'!K137-'ETF price'!K136</f>
        <v>-2.730000000000004</v>
      </c>
      <c r="K135" s="3">
        <f ca="1">'ETF price'!L137-'ETF price'!L136</f>
        <v>-2.6300000000000097</v>
      </c>
      <c r="L135" s="3">
        <f ca="1">'ETF price'!M137-'ETF price'!M136</f>
        <v>-1.2700000000000031</v>
      </c>
      <c r="M135" s="3">
        <f ca="1">'ETF price'!N137-'ETF price'!N136</f>
        <v>-1.3700000000000045</v>
      </c>
      <c r="N135" s="3">
        <f ca="1">'ETF price'!O137-'ETF price'!O136</f>
        <v>-1.4799999999999969</v>
      </c>
      <c r="O135" s="3">
        <f ca="1">'ETF price'!P137-'ETF price'!P136</f>
        <v>1.5699999999999932</v>
      </c>
      <c r="P135" s="3">
        <f ca="1">'ETF price'!Q137-'ETF price'!Q136</f>
        <v>2.0700000000000074</v>
      </c>
      <c r="Q135" s="3">
        <f ca="1">'ETF price'!R137-'ETF price'!R136</f>
        <v>0.16999999999998749</v>
      </c>
      <c r="R135" s="3">
        <f ca="1">'ETF price'!S137-'ETF price'!S136</f>
        <v>0.72000000000000597</v>
      </c>
      <c r="S135" s="3">
        <f ca="1">'ETF price'!T137-'ETF price'!T136</f>
        <v>0.46999999999999886</v>
      </c>
      <c r="T135" s="3">
        <f ca="1">'ETF price'!U137-'ETF price'!U136</f>
        <v>3.0700000000000074</v>
      </c>
      <c r="U135" s="3">
        <f ca="1">'ETF price'!V137-'ETF price'!V136</f>
        <v>1.6600000000000108</v>
      </c>
      <c r="V135" s="3">
        <f ca="1">'ETF price'!W137-'ETF price'!W136</f>
        <v>-0.12000000000000099</v>
      </c>
      <c r="W135" s="3">
        <f ca="1">'ETF price'!X137-'ETF price'!X136</f>
        <v>-0.28000000000000114</v>
      </c>
      <c r="X135" s="3">
        <f ca="1">'ETF price'!Y137-'ETF price'!Y136</f>
        <v>0.17000000000000171</v>
      </c>
      <c r="Y135" s="3">
        <f ca="1">'ETF price'!Z137-'ETF price'!Z136</f>
        <v>-0.28000000000000114</v>
      </c>
      <c r="Z135" s="3">
        <f ca="1">'ETF price'!AA137-'ETF price'!AA136</f>
        <v>-0.39999999999999858</v>
      </c>
      <c r="AA135" s="3">
        <f ca="1">'ETF price'!AB137-'ETF price'!AB136</f>
        <v>0.35000000000000142</v>
      </c>
      <c r="AB135" s="3">
        <f ca="1">'ETF price'!AC137-'ETF price'!AC136</f>
        <v>-9.0000000000003411E-2</v>
      </c>
      <c r="AC135" s="3">
        <f ca="1">'ETF price'!AD137-'ETF price'!AD136</f>
        <v>0.16999999999999993</v>
      </c>
      <c r="AD135" s="3">
        <f ca="1">'ETF price'!AE137-'ETF price'!AE136</f>
        <v>0.26999999999999957</v>
      </c>
      <c r="AE135" s="3">
        <f ca="1">'ETF price'!AF137-'ETF price'!AF136</f>
        <v>0.10999999999999988</v>
      </c>
      <c r="AF135" s="3">
        <f ca="1">'ETF price'!AG137-'ETF price'!AG136</f>
        <v>1.879999999999999</v>
      </c>
    </row>
    <row r="136" spans="1:32" ht="12.75" x14ac:dyDescent="0.2">
      <c r="A136" s="3">
        <f ca="1">'ETF price'!B138-'ETF price'!B137</f>
        <v>4</v>
      </c>
      <c r="B136" s="3">
        <f ca="1">'ETF price'!C138-'ETF price'!C137</f>
        <v>10.140000000000043</v>
      </c>
      <c r="C136" s="3">
        <f ca="1">'ETF price'!D138-'ETF price'!D137</f>
        <v>2.6800000000000068</v>
      </c>
      <c r="D136" s="3">
        <f ca="1">'ETF price'!E138-'ETF price'!E137</f>
        <v>5.4099999999999966</v>
      </c>
      <c r="E136" s="3">
        <f ca="1">'ETF price'!F138-'ETF price'!F137</f>
        <v>0.99000000000000199</v>
      </c>
      <c r="F136" s="3">
        <f ca="1">'ETF price'!G138-'ETF price'!G137</f>
        <v>0.73000000000000043</v>
      </c>
      <c r="G136" s="3">
        <f ca="1">'ETF price'!H138-'ETF price'!H137</f>
        <v>0.82000000000000028</v>
      </c>
      <c r="H136" s="3">
        <f ca="1">'ETF price'!I138-'ETF price'!I137</f>
        <v>2.1700000000000017</v>
      </c>
      <c r="I136" s="3">
        <f ca="1">'ETF price'!J138-'ETF price'!J137</f>
        <v>4.3299999999999841</v>
      </c>
      <c r="J136" s="3">
        <f ca="1">'ETF price'!K138-'ETF price'!K137</f>
        <v>3.1000000000000085</v>
      </c>
      <c r="K136" s="3">
        <f ca="1">'ETF price'!L138-'ETF price'!L137</f>
        <v>3.6000000000000085</v>
      </c>
      <c r="L136" s="3">
        <f ca="1">'ETF price'!M138-'ETF price'!M137</f>
        <v>1.509999999999998</v>
      </c>
      <c r="M136" s="3">
        <f ca="1">'ETF price'!N138-'ETF price'!N137</f>
        <v>1.240000000000002</v>
      </c>
      <c r="N136" s="3">
        <f ca="1">'ETF price'!O138-'ETF price'!O137</f>
        <v>2.1199999999999974</v>
      </c>
      <c r="O136" s="3">
        <f ca="1">'ETF price'!P138-'ETF price'!P137</f>
        <v>2.1599999999999966</v>
      </c>
      <c r="P136" s="3">
        <f ca="1">'ETF price'!Q138-'ETF price'!Q137</f>
        <v>3.1199999999999903</v>
      </c>
      <c r="Q136" s="3">
        <f ca="1">'ETF price'!R138-'ETF price'!R137</f>
        <v>2.2000000000000028</v>
      </c>
      <c r="R136" s="3">
        <f ca="1">'ETF price'!S138-'ETF price'!S137</f>
        <v>1.1699999999999946</v>
      </c>
      <c r="S136" s="3">
        <f ca="1">'ETF price'!T138-'ETF price'!T137</f>
        <v>0.10000000000000142</v>
      </c>
      <c r="T136" s="3">
        <f ca="1">'ETF price'!U138-'ETF price'!U137</f>
        <v>1.2399999999999949</v>
      </c>
      <c r="U136" s="3">
        <f ca="1">'ETF price'!V138-'ETF price'!V137</f>
        <v>1.2399999999999949</v>
      </c>
      <c r="V136" s="3">
        <f ca="1">'ETF price'!W138-'ETF price'!W137</f>
        <v>0.94999999999999929</v>
      </c>
      <c r="W136" s="3">
        <f ca="1">'ETF price'!X138-'ETF price'!X137</f>
        <v>2.3999999999999915</v>
      </c>
      <c r="X136" s="3">
        <f ca="1">'ETF price'!Y138-'ETF price'!Y137</f>
        <v>1.3999999999999986</v>
      </c>
      <c r="Y136" s="3">
        <f ca="1">'ETF price'!Z138-'ETF price'!Z137</f>
        <v>2.1899999999999977</v>
      </c>
      <c r="Z136" s="3">
        <f ca="1">'ETF price'!AA138-'ETF price'!AA137</f>
        <v>1.1199999999999974</v>
      </c>
      <c r="AA136" s="3">
        <f ca="1">'ETF price'!AB138-'ETF price'!AB137</f>
        <v>1.8299999999999983</v>
      </c>
      <c r="AB136" s="3">
        <f ca="1">'ETF price'!AC138-'ETF price'!AC137</f>
        <v>1.6199999999999974</v>
      </c>
      <c r="AC136" s="3">
        <f ca="1">'ETF price'!AD138-'ETF price'!AD137</f>
        <v>0.69999999999999929</v>
      </c>
      <c r="AD136" s="3">
        <f ca="1">'ETF price'!AE138-'ETF price'!AE137</f>
        <v>1.1400000000000006</v>
      </c>
      <c r="AE136" s="3">
        <f ca="1">'ETF price'!AF138-'ETF price'!AF137</f>
        <v>0.14999999999999991</v>
      </c>
      <c r="AF136" s="3">
        <f ca="1">'ETF price'!AG138-'ETF price'!AG137</f>
        <v>3.120000000000001</v>
      </c>
    </row>
    <row r="137" spans="1:32" ht="12.75" x14ac:dyDescent="0.2">
      <c r="A137" s="3">
        <f ca="1">'ETF price'!B139-'ETF price'!B138</f>
        <v>2.1100000000000136</v>
      </c>
      <c r="B137" s="3">
        <f ca="1">'ETF price'!C139-'ETF price'!C138</f>
        <v>6.4899999999999523</v>
      </c>
      <c r="C137" s="3">
        <f ca="1">'ETF price'!D139-'ETF price'!D138</f>
        <v>1.7599999999999909</v>
      </c>
      <c r="D137" s="3">
        <f ca="1">'ETF price'!E139-'ETF price'!E138</f>
        <v>3.2700000000000102</v>
      </c>
      <c r="E137" s="3">
        <f ca="1">'ETF price'!F139-'ETF price'!F138</f>
        <v>0.82999999999999829</v>
      </c>
      <c r="F137" s="3">
        <f ca="1">'ETF price'!G139-'ETF price'!G138</f>
        <v>0.64999999999999858</v>
      </c>
      <c r="G137" s="3">
        <f ca="1">'ETF price'!H139-'ETF price'!H138</f>
        <v>0.5</v>
      </c>
      <c r="H137" s="3">
        <f ca="1">'ETF price'!I139-'ETF price'!I138</f>
        <v>-1.2800000000000011</v>
      </c>
      <c r="I137" s="3">
        <f ca="1">'ETF price'!J139-'ETF price'!J138</f>
        <v>-1.539999999999992</v>
      </c>
      <c r="J137" s="3">
        <f ca="1">'ETF price'!K139-'ETF price'!K138</f>
        <v>0.31999999999999318</v>
      </c>
      <c r="K137" s="3">
        <f ca="1">'ETF price'!L139-'ETF price'!L138</f>
        <v>1.1799999999999926</v>
      </c>
      <c r="L137" s="3">
        <f ca="1">'ETF price'!M139-'ETF price'!M138</f>
        <v>0.27000000000000313</v>
      </c>
      <c r="M137" s="3">
        <f ca="1">'ETF price'!N139-'ETF price'!N138</f>
        <v>-0.44999999999999574</v>
      </c>
      <c r="N137" s="3">
        <f ca="1">'ETF price'!O139-'ETF price'!O138</f>
        <v>1.3999999999999986</v>
      </c>
      <c r="O137" s="3">
        <f ca="1">'ETF price'!P139-'ETF price'!P138</f>
        <v>0.70000000000000284</v>
      </c>
      <c r="P137" s="3">
        <f ca="1">'ETF price'!Q139-'ETF price'!Q138</f>
        <v>1.3900000000000006</v>
      </c>
      <c r="Q137" s="3">
        <f ca="1">'ETF price'!R139-'ETF price'!R138</f>
        <v>0.13000000000000966</v>
      </c>
      <c r="R137" s="3">
        <f ca="1">'ETF price'!S139-'ETF price'!S138</f>
        <v>0.10999999999999943</v>
      </c>
      <c r="S137" s="3">
        <f ca="1">'ETF price'!T139-'ETF price'!T138</f>
        <v>-1.9999999999999574E-2</v>
      </c>
      <c r="T137" s="3">
        <f ca="1">'ETF price'!U139-'ETF price'!U138</f>
        <v>-0.40999999999999659</v>
      </c>
      <c r="U137" s="3">
        <f ca="1">'ETF price'!V139-'ETF price'!V138</f>
        <v>0.73999999999999488</v>
      </c>
      <c r="V137" s="3">
        <f ca="1">'ETF price'!W139-'ETF price'!W138</f>
        <v>0.11999999999999744</v>
      </c>
      <c r="W137" s="3">
        <f ca="1">'ETF price'!X139-'ETF price'!X138</f>
        <v>0.51000000000000512</v>
      </c>
      <c r="X137" s="3">
        <f ca="1">'ETF price'!Y139-'ETF price'!Y138</f>
        <v>0.57000000000000028</v>
      </c>
      <c r="Y137" s="3">
        <f ca="1">'ETF price'!Z139-'ETF price'!Z138</f>
        <v>0.35000000000000853</v>
      </c>
      <c r="Z137" s="3">
        <f ca="1">'ETF price'!AA139-'ETF price'!AA138</f>
        <v>-0.21000000000000085</v>
      </c>
      <c r="AA137" s="3">
        <f ca="1">'ETF price'!AB139-'ETF price'!AB138</f>
        <v>0.84000000000000341</v>
      </c>
      <c r="AB137" s="3">
        <f ca="1">'ETF price'!AC139-'ETF price'!AC138</f>
        <v>0.27000000000000313</v>
      </c>
      <c r="AC137" s="3">
        <f ca="1">'ETF price'!AD139-'ETF price'!AD138</f>
        <v>0.11000000000000121</v>
      </c>
      <c r="AD137" s="3">
        <f ca="1">'ETF price'!AE139-'ETF price'!AE138</f>
        <v>0.13000000000000078</v>
      </c>
      <c r="AE137" s="3">
        <f ca="1">'ETF price'!AF139-'ETF price'!AF138</f>
        <v>0.31000000000000005</v>
      </c>
      <c r="AF137" s="3">
        <f ca="1">'ETF price'!AG139-'ETF price'!AG138</f>
        <v>1.2399999999999984</v>
      </c>
    </row>
    <row r="138" spans="1:32" ht="12.75" x14ac:dyDescent="0.2">
      <c r="A138" s="3">
        <f ca="1">'ETF price'!B140-'ETF price'!B139</f>
        <v>1.9299999999999784</v>
      </c>
      <c r="B138" s="3">
        <f ca="1">'ETF price'!C140-'ETF price'!C139</f>
        <v>5.1400000000000432</v>
      </c>
      <c r="C138" s="3">
        <f ca="1">'ETF price'!D140-'ETF price'!D139</f>
        <v>1.0700000000000074</v>
      </c>
      <c r="D138" s="3">
        <f ca="1">'ETF price'!E140-'ETF price'!E139</f>
        <v>2.1500000000000057</v>
      </c>
      <c r="E138" s="3">
        <f ca="1">'ETF price'!F140-'ETF price'!F139</f>
        <v>0.82000000000000028</v>
      </c>
      <c r="F138" s="3">
        <f ca="1">'ETF price'!G140-'ETF price'!G139</f>
        <v>0.42000000000000171</v>
      </c>
      <c r="G138" s="3">
        <f ca="1">'ETF price'!H140-'ETF price'!H139</f>
        <v>0.23999999999999844</v>
      </c>
      <c r="H138" s="3">
        <f ca="1">'ETF price'!I140-'ETF price'!I139</f>
        <v>2.0300000000000011</v>
      </c>
      <c r="I138" s="3">
        <f ca="1">'ETF price'!J140-'ETF price'!J139</f>
        <v>3.5600000000000023</v>
      </c>
      <c r="J138" s="3">
        <f ca="1">'ETF price'!K140-'ETF price'!K139</f>
        <v>1.1599999999999966</v>
      </c>
      <c r="K138" s="3">
        <f ca="1">'ETF price'!L140-'ETF price'!L139</f>
        <v>-0.31999999999999318</v>
      </c>
      <c r="L138" s="3">
        <f ca="1">'ETF price'!M140-'ETF price'!M139</f>
        <v>0.20000000000000284</v>
      </c>
      <c r="M138" s="3">
        <f ca="1">'ETF price'!N140-'ETF price'!N139</f>
        <v>0.9199999999999946</v>
      </c>
      <c r="N138" s="3">
        <f ca="1">'ETF price'!O140-'ETF price'!O139</f>
        <v>0.24000000000000199</v>
      </c>
      <c r="O138" s="3">
        <f ca="1">'ETF price'!P140-'ETF price'!P139</f>
        <v>-1.2800000000000011</v>
      </c>
      <c r="P138" s="3">
        <f ca="1">'ETF price'!Q140-'ETF price'!Q139</f>
        <v>-1.8499999999999943</v>
      </c>
      <c r="Q138" s="3">
        <f ca="1">'ETF price'!R140-'ETF price'!R139</f>
        <v>1.0599999999999881</v>
      </c>
      <c r="R138" s="3">
        <f ca="1">'ETF price'!S140-'ETF price'!S139</f>
        <v>5.0000000000004263E-2</v>
      </c>
      <c r="S138" s="3">
        <f ca="1">'ETF price'!T140-'ETF price'!T139</f>
        <v>-0.42999999999999972</v>
      </c>
      <c r="T138" s="3">
        <f ca="1">'ETF price'!U140-'ETF price'!U139</f>
        <v>-2.1500000000000057</v>
      </c>
      <c r="U138" s="3">
        <f ca="1">'ETF price'!V140-'ETF price'!V139</f>
        <v>-0.22999999999998977</v>
      </c>
      <c r="V138" s="3">
        <f ca="1">'ETF price'!W140-'ETF price'!W139</f>
        <v>0.21000000000000085</v>
      </c>
      <c r="W138" s="3">
        <f ca="1">'ETF price'!X140-'ETF price'!X139</f>
        <v>0.45000000000000284</v>
      </c>
      <c r="X138" s="3">
        <f ca="1">'ETF price'!Y140-'ETF price'!Y139</f>
        <v>0.17999999999999972</v>
      </c>
      <c r="Y138" s="3">
        <f ca="1">'ETF price'!Z140-'ETF price'!Z139</f>
        <v>0.45000000000000284</v>
      </c>
      <c r="Z138" s="3">
        <f ca="1">'ETF price'!AA140-'ETF price'!AA139</f>
        <v>0.42999999999999972</v>
      </c>
      <c r="AA138" s="3">
        <f ca="1">'ETF price'!AB140-'ETF price'!AB139</f>
        <v>0.10000000000000142</v>
      </c>
      <c r="AB138" s="3">
        <f ca="1">'ETF price'!AC140-'ETF price'!AC139</f>
        <v>0.39999999999999858</v>
      </c>
      <c r="AC138" s="3">
        <f ca="1">'ETF price'!AD140-'ETF price'!AD139</f>
        <v>-0.19000000000000128</v>
      </c>
      <c r="AD138" s="3">
        <f ca="1">'ETF price'!AE140-'ETF price'!AE139</f>
        <v>-0.25</v>
      </c>
      <c r="AE138" s="3">
        <f ca="1">'ETF price'!AF140-'ETF price'!AF139</f>
        <v>6.999999999999984E-2</v>
      </c>
      <c r="AF138" s="3">
        <f ca="1">'ETF price'!AG140-'ETF price'!AG139</f>
        <v>0.39999999999999858</v>
      </c>
    </row>
    <row r="139" spans="1:32" ht="12.75" x14ac:dyDescent="0.2">
      <c r="A139" s="3">
        <f ca="1">'ETF price'!B141-'ETF price'!B140</f>
        <v>-1.9199999999999875</v>
      </c>
      <c r="B139" s="3">
        <f ca="1">'ETF price'!C141-'ETF price'!C140</f>
        <v>-5.6000000000000227</v>
      </c>
      <c r="C139" s="3">
        <f ca="1">'ETF price'!D141-'ETF price'!D140</f>
        <v>-2.1599999999999966</v>
      </c>
      <c r="D139" s="3">
        <f ca="1">'ETF price'!E141-'ETF price'!E140</f>
        <v>-3.2900000000000205</v>
      </c>
      <c r="E139" s="3">
        <f ca="1">'ETF price'!F141-'ETF price'!F140</f>
        <v>-0.55000000000000426</v>
      </c>
      <c r="F139" s="3">
        <f ca="1">'ETF price'!G141-'ETF price'!G140</f>
        <v>-0.49000000000000199</v>
      </c>
      <c r="G139" s="3">
        <f ca="1">'ETF price'!H141-'ETF price'!H140</f>
        <v>-0.53999999999999915</v>
      </c>
      <c r="H139" s="3">
        <f ca="1">'ETF price'!I141-'ETF price'!I140</f>
        <v>-0.53999999999999204</v>
      </c>
      <c r="I139" s="3">
        <f ca="1">'ETF price'!J141-'ETF price'!J140</f>
        <v>-1.4699999999999989</v>
      </c>
      <c r="J139" s="3">
        <f ca="1">'ETF price'!K141-'ETF price'!K140</f>
        <v>-2.4799999999999898</v>
      </c>
      <c r="K139" s="3">
        <f ca="1">'ETF price'!L141-'ETF price'!L140</f>
        <v>-3.519999999999996</v>
      </c>
      <c r="L139" s="3">
        <f ca="1">'ETF price'!M141-'ETF price'!M140</f>
        <v>-1.1200000000000045</v>
      </c>
      <c r="M139" s="3">
        <f ca="1">'ETF price'!N141-'ETF price'!N140</f>
        <v>-0.39000000000000057</v>
      </c>
      <c r="N139" s="3">
        <f ca="1">'ETF price'!O141-'ETF price'!O140</f>
        <v>-2.2800000000000011</v>
      </c>
      <c r="O139" s="3">
        <f ca="1">'ETF price'!P141-'ETF price'!P140</f>
        <v>-0.5899999999999892</v>
      </c>
      <c r="P139" s="3">
        <f ca="1">'ETF price'!Q141-'ETF price'!Q140</f>
        <v>-0.98999999999999488</v>
      </c>
      <c r="Q139" s="3">
        <f ca="1">'ETF price'!R141-'ETF price'!R140</f>
        <v>-0.53999999999999204</v>
      </c>
      <c r="R139" s="3">
        <f ca="1">'ETF price'!S141-'ETF price'!S140</f>
        <v>-1.2199999999999989</v>
      </c>
      <c r="S139" s="3">
        <f ca="1">'ETF price'!T141-'ETF price'!T140</f>
        <v>-0.30000000000000071</v>
      </c>
      <c r="T139" s="3">
        <f ca="1">'ETF price'!U141-'ETF price'!U140</f>
        <v>-0.95999999999999375</v>
      </c>
      <c r="U139" s="3">
        <f ca="1">'ETF price'!V141-'ETF price'!V140</f>
        <v>-1.0799999999999983</v>
      </c>
      <c r="V139" s="3">
        <f ca="1">'ETF price'!W141-'ETF price'!W140</f>
        <v>-0.18999999999999773</v>
      </c>
      <c r="W139" s="3">
        <f ca="1">'ETF price'!X141-'ETF price'!X140</f>
        <v>-0.59000000000000341</v>
      </c>
      <c r="X139" s="3">
        <f ca="1">'ETF price'!Y141-'ETF price'!Y140</f>
        <v>-0.46999999999999886</v>
      </c>
      <c r="Y139" s="3">
        <f ca="1">'ETF price'!Z141-'ETF price'!Z140</f>
        <v>-0.54000000000000625</v>
      </c>
      <c r="Z139" s="3">
        <f ca="1">'ETF price'!AA141-'ETF price'!AA140</f>
        <v>0.32000000000000028</v>
      </c>
      <c r="AA139" s="3">
        <f ca="1">'ETF price'!AB141-'ETF price'!AB140</f>
        <v>-0.64000000000000057</v>
      </c>
      <c r="AB139" s="3">
        <f ca="1">'ETF price'!AC141-'ETF price'!AC140</f>
        <v>-0.40999999999999659</v>
      </c>
      <c r="AC139" s="3">
        <f ca="1">'ETF price'!AD141-'ETF price'!AD140</f>
        <v>-0.22999999999999865</v>
      </c>
      <c r="AD139" s="3">
        <f ca="1">'ETF price'!AE141-'ETF price'!AE140</f>
        <v>-0.41000000000000014</v>
      </c>
      <c r="AE139" s="3">
        <f ca="1">'ETF price'!AF141-'ETF price'!AF140</f>
        <v>8.0000000000000071E-2</v>
      </c>
      <c r="AF139" s="3">
        <f ca="1">'ETF price'!AG141-'ETF price'!AG140</f>
        <v>-1.8399999999999999</v>
      </c>
    </row>
    <row r="140" spans="1:32" ht="12.75" x14ac:dyDescent="0.2">
      <c r="A140" s="3">
        <f ca="1">'ETF price'!B142-'ETF price'!B141</f>
        <v>-0.87000000000000455</v>
      </c>
      <c r="B140" s="3">
        <f ca="1">'ETF price'!C142-'ETF price'!C141</f>
        <v>-2.2699999999999818</v>
      </c>
      <c r="C140" s="3">
        <f ca="1">'ETF price'!D142-'ETF price'!D141</f>
        <v>-0.73000000000000398</v>
      </c>
      <c r="D140" s="3">
        <f ca="1">'ETF price'!E142-'ETF price'!E141</f>
        <v>-0.82999999999998408</v>
      </c>
      <c r="E140" s="3">
        <f ca="1">'ETF price'!F142-'ETF price'!F141</f>
        <v>-0.47999999999999687</v>
      </c>
      <c r="F140" s="3">
        <f ca="1">'ETF price'!G142-'ETF price'!G141</f>
        <v>-0.23999999999999844</v>
      </c>
      <c r="G140" s="3">
        <f ca="1">'ETF price'!H142-'ETF price'!H141</f>
        <v>-6.0000000000002274E-2</v>
      </c>
      <c r="H140" s="3">
        <f ca="1">'ETF price'!I142-'ETF price'!I141</f>
        <v>0.6799999999999784</v>
      </c>
      <c r="I140" s="3">
        <f ca="1">'ETF price'!J142-'ETF price'!J141</f>
        <v>1.1099999999999852</v>
      </c>
      <c r="J140" s="3">
        <f ca="1">'ETF price'!K142-'ETF price'!K141</f>
        <v>0</v>
      </c>
      <c r="K140" s="3">
        <f ca="1">'ETF price'!L142-'ETF price'!L141</f>
        <v>0.25999999999999091</v>
      </c>
      <c r="L140" s="3">
        <f ca="1">'ETF price'!M142-'ETF price'!M141</f>
        <v>5.0000000000004263E-2</v>
      </c>
      <c r="M140" s="3">
        <f ca="1">'ETF price'!N142-'ETF price'!N141</f>
        <v>0.28000000000000114</v>
      </c>
      <c r="N140" s="3">
        <f ca="1">'ETF price'!O142-'ETF price'!O141</f>
        <v>-0.20000000000000284</v>
      </c>
      <c r="O140" s="3">
        <f ca="1">'ETF price'!P142-'ETF price'!P141</f>
        <v>2.6099999999999994</v>
      </c>
      <c r="P140" s="3">
        <f ca="1">'ETF price'!Q142-'ETF price'!Q141</f>
        <v>3.9499999999999886</v>
      </c>
      <c r="Q140" s="3">
        <f ca="1">'ETF price'!R142-'ETF price'!R141</f>
        <v>0.31000000000000227</v>
      </c>
      <c r="R140" s="3">
        <f ca="1">'ETF price'!S142-'ETF price'!S141</f>
        <v>1.4899999999999949</v>
      </c>
      <c r="S140" s="3">
        <f ca="1">'ETF price'!T142-'ETF price'!T141</f>
        <v>0.44999999999999929</v>
      </c>
      <c r="T140" s="3">
        <f ca="1">'ETF price'!U142-'ETF price'!U141</f>
        <v>1.6899999999999977</v>
      </c>
      <c r="U140" s="3">
        <f ca="1">'ETF price'!V142-'ETF price'!V141</f>
        <v>1.1699999999999875</v>
      </c>
      <c r="V140" s="3">
        <f ca="1">'ETF price'!W142-'ETF price'!W141</f>
        <v>0.21000000000000085</v>
      </c>
      <c r="W140" s="3">
        <f ca="1">'ETF price'!X142-'ETF price'!X141</f>
        <v>0.54999999999999716</v>
      </c>
      <c r="X140" s="3">
        <f ca="1">'ETF price'!Y142-'ETF price'!Y141</f>
        <v>0.68999999999999773</v>
      </c>
      <c r="Y140" s="3">
        <f ca="1">'ETF price'!Z142-'ETF price'!Z141</f>
        <v>0.46000000000000796</v>
      </c>
      <c r="Z140" s="3">
        <f ca="1">'ETF price'!AA142-'ETF price'!AA141</f>
        <v>3.0000000000001137E-2</v>
      </c>
      <c r="AA140" s="3">
        <f ca="1">'ETF price'!AB142-'ETF price'!AB141</f>
        <v>1.0300000000000011</v>
      </c>
      <c r="AB140" s="3">
        <f ca="1">'ETF price'!AC142-'ETF price'!AC141</f>
        <v>0.21999999999999886</v>
      </c>
      <c r="AC140" s="3">
        <f ca="1">'ETF price'!AD142-'ETF price'!AD141</f>
        <v>-0.28000000000000114</v>
      </c>
      <c r="AD140" s="3">
        <f ca="1">'ETF price'!AE142-'ETF price'!AE141</f>
        <v>-0.44000000000000128</v>
      </c>
      <c r="AE140" s="3">
        <f ca="1">'ETF price'!AF142-'ETF price'!AF141</f>
        <v>-0.18999999999999995</v>
      </c>
      <c r="AF140" s="3">
        <f ca="1">'ETF price'!AG142-'ETF price'!AG141</f>
        <v>-1.3200000000000003</v>
      </c>
    </row>
    <row r="141" spans="1:32" ht="12.75" x14ac:dyDescent="0.2">
      <c r="A141" s="3">
        <f ca="1">'ETF price'!B143-'ETF price'!B142</f>
        <v>-2.210000000000008</v>
      </c>
      <c r="B141" s="3">
        <f ca="1">'ETF price'!C143-'ETF price'!C142</f>
        <v>-6.6100000000000136</v>
      </c>
      <c r="C141" s="3">
        <f ca="1">'ETF price'!D143-'ETF price'!D142</f>
        <v>-1.9000000000000057</v>
      </c>
      <c r="D141" s="3">
        <f ca="1">'ETF price'!E143-'ETF price'!E142</f>
        <v>-2.1500000000000057</v>
      </c>
      <c r="E141" s="3">
        <f ca="1">'ETF price'!F143-'ETF price'!F142</f>
        <v>-1.6899999999999977</v>
      </c>
      <c r="F141" s="3">
        <f ca="1">'ETF price'!G143-'ETF price'!G142</f>
        <v>-0.5</v>
      </c>
      <c r="G141" s="3">
        <f ca="1">'ETF price'!H143-'ETF price'!H142</f>
        <v>-0.44999999999999929</v>
      </c>
      <c r="H141" s="3">
        <f ca="1">'ETF price'!I143-'ETF price'!I142</f>
        <v>0.67000000000001592</v>
      </c>
      <c r="I141" s="3">
        <f ca="1">'ETF price'!J143-'ETF price'!J142</f>
        <v>1.0700000000000216</v>
      </c>
      <c r="J141" s="3">
        <f ca="1">'ETF price'!K143-'ETF price'!K142</f>
        <v>0.25</v>
      </c>
      <c r="K141" s="3">
        <f ca="1">'ETF price'!L143-'ETF price'!L142</f>
        <v>0.35999999999999943</v>
      </c>
      <c r="L141" s="3">
        <f ca="1">'ETF price'!M143-'ETF price'!M142</f>
        <v>0.44999999999999574</v>
      </c>
      <c r="M141" s="3">
        <f ca="1">'ETF price'!N143-'ETF price'!N142</f>
        <v>0.32000000000000028</v>
      </c>
      <c r="N141" s="3">
        <f ca="1">'ETF price'!O143-'ETF price'!O142</f>
        <v>-0.35999999999999943</v>
      </c>
      <c r="O141" s="3">
        <f ca="1">'ETF price'!P143-'ETF price'!P142</f>
        <v>-0.67000000000000171</v>
      </c>
      <c r="P141" s="3">
        <f ca="1">'ETF price'!Q143-'ETF price'!Q142</f>
        <v>-0.70999999999999375</v>
      </c>
      <c r="Q141" s="3">
        <f ca="1">'ETF price'!R143-'ETF price'!R142</f>
        <v>-0.51000000000000512</v>
      </c>
      <c r="R141" s="3">
        <f ca="1">'ETF price'!S143-'ETF price'!S142</f>
        <v>-7.0000000000000284E-2</v>
      </c>
      <c r="S141" s="3">
        <f ca="1">'ETF price'!T143-'ETF price'!T142</f>
        <v>5.0000000000000711E-2</v>
      </c>
      <c r="T141" s="3">
        <f ca="1">'ETF price'!U143-'ETF price'!U142</f>
        <v>-1.0600000000000023</v>
      </c>
      <c r="U141" s="3">
        <f ca="1">'ETF price'!V143-'ETF price'!V142</f>
        <v>-0.57999999999999829</v>
      </c>
      <c r="V141" s="3">
        <f ca="1">'ETF price'!W143-'ETF price'!W142</f>
        <v>-0.46000000000000085</v>
      </c>
      <c r="W141" s="3">
        <f ca="1">'ETF price'!X143-'ETF price'!X142</f>
        <v>-1.0499999999999972</v>
      </c>
      <c r="X141" s="3">
        <f ca="1">'ETF price'!Y143-'ETF price'!Y142</f>
        <v>-0.44999999999999574</v>
      </c>
      <c r="Y141" s="3">
        <f ca="1">'ETF price'!Z143-'ETF price'!Z142</f>
        <v>-0.99000000000000909</v>
      </c>
      <c r="Z141" s="3">
        <f ca="1">'ETF price'!AA143-'ETF price'!AA142</f>
        <v>7.9999999999998295E-2</v>
      </c>
      <c r="AA141" s="3">
        <f ca="1">'ETF price'!AB143-'ETF price'!AB142</f>
        <v>-0.48000000000000398</v>
      </c>
      <c r="AB141" s="3">
        <f ca="1">'ETF price'!AC143-'ETF price'!AC142</f>
        <v>-0.81000000000000227</v>
      </c>
      <c r="AC141" s="3">
        <f ca="1">'ETF price'!AD143-'ETF price'!AD142</f>
        <v>-0.39000000000000057</v>
      </c>
      <c r="AD141" s="3">
        <f ca="1">'ETF price'!AE143-'ETF price'!AE142</f>
        <v>-0.61999999999999922</v>
      </c>
      <c r="AE141" s="3">
        <f ca="1">'ETF price'!AF143-'ETF price'!AF142</f>
        <v>-0.16000000000000014</v>
      </c>
      <c r="AF141" s="3">
        <f ca="1">'ETF price'!AG143-'ETF price'!AG142</f>
        <v>-2.3200000000000003</v>
      </c>
    </row>
    <row r="142" spans="1:32" ht="12.75" x14ac:dyDescent="0.2">
      <c r="A142" s="3">
        <f ca="1">'ETF price'!B144-'ETF price'!B143</f>
        <v>5.7700000000000102</v>
      </c>
      <c r="B142" s="3">
        <f ca="1">'ETF price'!C144-'ETF price'!C143</f>
        <v>14.889999999999986</v>
      </c>
      <c r="C142" s="3">
        <f ca="1">'ETF price'!D144-'ETF price'!D143</f>
        <v>4.1200000000000045</v>
      </c>
      <c r="D142" s="3">
        <f ca="1">'ETF price'!E144-'ETF price'!E143</f>
        <v>5.8199999999999932</v>
      </c>
      <c r="E142" s="3">
        <f ca="1">'ETF price'!F144-'ETF price'!F143</f>
        <v>0.73999999999999488</v>
      </c>
      <c r="F142" s="3">
        <f ca="1">'ETF price'!G144-'ETF price'!G143</f>
        <v>0.82000000000000028</v>
      </c>
      <c r="G142" s="3">
        <f ca="1">'ETF price'!H144-'ETF price'!H143</f>
        <v>0.90000000000000213</v>
      </c>
      <c r="H142" s="3">
        <f ca="1">'ETF price'!I144-'ETF price'!I143</f>
        <v>0.81999999999999318</v>
      </c>
      <c r="I142" s="3">
        <f ca="1">'ETF price'!J144-'ETF price'!J143</f>
        <v>2.0599999999999739</v>
      </c>
      <c r="J142" s="3">
        <f ca="1">'ETF price'!K144-'ETF price'!K143</f>
        <v>1.1299999999999955</v>
      </c>
      <c r="K142" s="3">
        <f ca="1">'ETF price'!L144-'ETF price'!L143</f>
        <v>2.1000000000000085</v>
      </c>
      <c r="L142" s="3">
        <f ca="1">'ETF price'!M144-'ETF price'!M143</f>
        <v>0.85000000000000142</v>
      </c>
      <c r="M142" s="3">
        <f ca="1">'ETF price'!N144-'ETF price'!N143</f>
        <v>0.5</v>
      </c>
      <c r="N142" s="3">
        <f ca="1">'ETF price'!O144-'ETF price'!O143</f>
        <v>1.8000000000000043</v>
      </c>
      <c r="O142" s="3">
        <f ca="1">'ETF price'!P144-'ETF price'!P143</f>
        <v>1.6499999999999915</v>
      </c>
      <c r="P142" s="3">
        <f ca="1">'ETF price'!Q144-'ETF price'!Q143</f>
        <v>2.5100000000000051</v>
      </c>
      <c r="Q142" s="3">
        <f ca="1">'ETF price'!R144-'ETF price'!R143</f>
        <v>0.90000000000000568</v>
      </c>
      <c r="R142" s="3">
        <f ca="1">'ETF price'!S144-'ETF price'!S143</f>
        <v>1.5300000000000011</v>
      </c>
      <c r="S142" s="3">
        <f ca="1">'ETF price'!T144-'ETF price'!T143</f>
        <v>0.57999999999999829</v>
      </c>
      <c r="T142" s="3">
        <f ca="1">'ETF price'!U144-'ETF price'!U143</f>
        <v>2.710000000000008</v>
      </c>
      <c r="U142" s="3">
        <f ca="1">'ETF price'!V144-'ETF price'!V143</f>
        <v>4.460000000000008</v>
      </c>
      <c r="V142" s="3">
        <f ca="1">'ETF price'!W144-'ETF price'!W143</f>
        <v>0.5</v>
      </c>
      <c r="W142" s="3">
        <f ca="1">'ETF price'!X144-'ETF price'!X143</f>
        <v>1.269999999999996</v>
      </c>
      <c r="X142" s="3">
        <f ca="1">'ETF price'!Y144-'ETF price'!Y143</f>
        <v>0.97999999999999687</v>
      </c>
      <c r="Y142" s="3">
        <f ca="1">'ETF price'!Z144-'ETF price'!Z143</f>
        <v>1.1299999999999955</v>
      </c>
      <c r="Z142" s="3">
        <f ca="1">'ETF price'!AA144-'ETF price'!AA143</f>
        <v>0.23000000000000398</v>
      </c>
      <c r="AA142" s="3">
        <f ca="1">'ETF price'!AB144-'ETF price'!AB143</f>
        <v>1.1300000000000026</v>
      </c>
      <c r="AB142" s="3">
        <f ca="1">'ETF price'!AC144-'ETF price'!AC143</f>
        <v>0.71999999999999886</v>
      </c>
      <c r="AC142" s="3">
        <f ca="1">'ETF price'!AD144-'ETF price'!AD143</f>
        <v>0.74000000000000021</v>
      </c>
      <c r="AD142" s="3">
        <f ca="1">'ETF price'!AE144-'ETF price'!AE143</f>
        <v>1.1999999999999993</v>
      </c>
      <c r="AE142" s="3">
        <f ca="1">'ETF price'!AF144-'ETF price'!AF143</f>
        <v>-7.9999999999999627E-2</v>
      </c>
      <c r="AF142" s="3">
        <f ca="1">'ETF price'!AG144-'ETF price'!AG143</f>
        <v>3.0400000000000027</v>
      </c>
    </row>
    <row r="143" spans="1:32" ht="12.75" x14ac:dyDescent="0.2">
      <c r="A143" s="3">
        <f ca="1">'ETF price'!B145-'ETF price'!B144</f>
        <v>2.1299999999999955</v>
      </c>
      <c r="B143" s="3">
        <f ca="1">'ETF price'!C145-'ETF price'!C144</f>
        <v>5.1200000000000045</v>
      </c>
      <c r="C143" s="3">
        <f ca="1">'ETF price'!D145-'ETF price'!D144</f>
        <v>0.93000000000000682</v>
      </c>
      <c r="D143" s="3">
        <f ca="1">'ETF price'!E145-'ETF price'!E144</f>
        <v>1.6400000000000148</v>
      </c>
      <c r="E143" s="3">
        <f ca="1">'ETF price'!F145-'ETF price'!F144</f>
        <v>0.63000000000000256</v>
      </c>
      <c r="F143" s="3">
        <f ca="1">'ETF price'!G145-'ETF price'!G144</f>
        <v>0.23000000000000043</v>
      </c>
      <c r="G143" s="3">
        <f ca="1">'ETF price'!H145-'ETF price'!H144</f>
        <v>0.39999999999999858</v>
      </c>
      <c r="H143" s="3">
        <f ca="1">'ETF price'!I145-'ETF price'!I144</f>
        <v>0.84000000000000341</v>
      </c>
      <c r="I143" s="3">
        <f ca="1">'ETF price'!J145-'ETF price'!J144</f>
        <v>1.3000000000000114</v>
      </c>
      <c r="J143" s="3">
        <f ca="1">'ETF price'!K145-'ETF price'!K144</f>
        <v>0.12000000000000455</v>
      </c>
      <c r="K143" s="3">
        <f ca="1">'ETF price'!L145-'ETF price'!L144</f>
        <v>-0.90000000000000568</v>
      </c>
      <c r="L143" s="3">
        <f ca="1">'ETF price'!M145-'ETF price'!M144</f>
        <v>-0.32000000000000028</v>
      </c>
      <c r="M143" s="3">
        <f ca="1">'ETF price'!N145-'ETF price'!N144</f>
        <v>0.32999999999999829</v>
      </c>
      <c r="N143" s="3">
        <f ca="1">'ETF price'!O145-'ETF price'!O144</f>
        <v>0</v>
      </c>
      <c r="O143" s="3">
        <f ca="1">'ETF price'!P145-'ETF price'!P144</f>
        <v>0.42000000000000171</v>
      </c>
      <c r="P143" s="3">
        <f ca="1">'ETF price'!Q145-'ETF price'!Q144</f>
        <v>0.39000000000000057</v>
      </c>
      <c r="Q143" s="3">
        <f ca="1">'ETF price'!R145-'ETF price'!R144</f>
        <v>1.3399999999999892</v>
      </c>
      <c r="R143" s="3">
        <f ca="1">'ETF price'!S145-'ETF price'!S144</f>
        <v>0.35000000000000142</v>
      </c>
      <c r="S143" s="3">
        <f ca="1">'ETF price'!T145-'ETF price'!T144</f>
        <v>1.9999999999999574E-2</v>
      </c>
      <c r="T143" s="3">
        <f ca="1">'ETF price'!U145-'ETF price'!U144</f>
        <v>-0.74000000000000909</v>
      </c>
      <c r="U143" s="3">
        <f ca="1">'ETF price'!V145-'ETF price'!V144</f>
        <v>5.789999999999992</v>
      </c>
      <c r="V143" s="3">
        <f ca="1">'ETF price'!W145-'ETF price'!W144</f>
        <v>0.24000000000000199</v>
      </c>
      <c r="W143" s="3">
        <f ca="1">'ETF price'!X145-'ETF price'!X144</f>
        <v>0.6600000000000108</v>
      </c>
      <c r="X143" s="3">
        <f ca="1">'ETF price'!Y145-'ETF price'!Y144</f>
        <v>0.18999999999999773</v>
      </c>
      <c r="Y143" s="3">
        <f ca="1">'ETF price'!Z145-'ETF price'!Z144</f>
        <v>0.67000000000000171</v>
      </c>
      <c r="Z143" s="3">
        <f ca="1">'ETF price'!AA145-'ETF price'!AA144</f>
        <v>1.5700000000000003</v>
      </c>
      <c r="AA143" s="3">
        <f ca="1">'ETF price'!AB145-'ETF price'!AB144</f>
        <v>9.9999999999980105E-3</v>
      </c>
      <c r="AB143" s="3">
        <f ca="1">'ETF price'!AC145-'ETF price'!AC144</f>
        <v>0.5800000000000054</v>
      </c>
      <c r="AC143" s="3">
        <f ca="1">'ETF price'!AD145-'ETF price'!AD144</f>
        <v>0.40000000000000036</v>
      </c>
      <c r="AD143" s="3">
        <f ca="1">'ETF price'!AE145-'ETF price'!AE144</f>
        <v>0.66999999999999993</v>
      </c>
      <c r="AE143" s="3">
        <f ca="1">'ETF price'!AF145-'ETF price'!AF144</f>
        <v>0.18999999999999995</v>
      </c>
      <c r="AF143" s="3">
        <f ca="1">'ETF price'!AG145-'ETF price'!AG144</f>
        <v>1.1600000000000001</v>
      </c>
    </row>
    <row r="144" spans="1:32" ht="12.75" x14ac:dyDescent="0.2">
      <c r="A144" s="3">
        <f ca="1">'ETF price'!B146-'ETF price'!B145</f>
        <v>2.1800000000000068</v>
      </c>
      <c r="B144" s="3">
        <f ca="1">'ETF price'!C146-'ETF price'!C145</f>
        <v>5.9399999999999977</v>
      </c>
      <c r="C144" s="3">
        <f ca="1">'ETF price'!D146-'ETF price'!D145</f>
        <v>1.3499999999999943</v>
      </c>
      <c r="D144" s="3">
        <f ca="1">'ETF price'!E146-'ETF price'!E145</f>
        <v>1.039999999999992</v>
      </c>
      <c r="E144" s="3">
        <f ca="1">'ETF price'!F146-'ETF price'!F145</f>
        <v>0.31000000000000227</v>
      </c>
      <c r="F144" s="3">
        <f ca="1">'ETF price'!G146-'ETF price'!G145</f>
        <v>0.32999999999999829</v>
      </c>
      <c r="G144" s="3">
        <f ca="1">'ETF price'!H146-'ETF price'!H145</f>
        <v>0.17000000000000171</v>
      </c>
      <c r="H144" s="3">
        <f ca="1">'ETF price'!I146-'ETF price'!I145</f>
        <v>-0.43999999999999773</v>
      </c>
      <c r="I144" s="3">
        <f ca="1">'ETF price'!J146-'ETF price'!J145</f>
        <v>-0.90000000000000568</v>
      </c>
      <c r="J144" s="3">
        <f ca="1">'ETF price'!K146-'ETF price'!K145</f>
        <v>-4.0000000000006253E-2</v>
      </c>
      <c r="K144" s="3">
        <f ca="1">'ETF price'!L146-'ETF price'!L145</f>
        <v>-1.3700000000000045</v>
      </c>
      <c r="L144" s="3">
        <f ca="1">'ETF price'!M146-'ETF price'!M145</f>
        <v>-0.22999999999999687</v>
      </c>
      <c r="M144" s="3">
        <f ca="1">'ETF price'!N146-'ETF price'!N145</f>
        <v>-0.21999999999999886</v>
      </c>
      <c r="N144" s="3">
        <f ca="1">'ETF price'!O146-'ETF price'!O145</f>
        <v>-0.64000000000000057</v>
      </c>
      <c r="O144" s="3">
        <f ca="1">'ETF price'!P146-'ETF price'!P145</f>
        <v>3.2600000000000051</v>
      </c>
      <c r="P144" s="3">
        <f ca="1">'ETF price'!Q146-'ETF price'!Q145</f>
        <v>4.539999999999992</v>
      </c>
      <c r="Q144" s="3">
        <f ca="1">'ETF price'!R146-'ETF price'!R145</f>
        <v>1.0300000000000011</v>
      </c>
      <c r="R144" s="3">
        <f ca="1">'ETF price'!S146-'ETF price'!S145</f>
        <v>1.2000000000000028</v>
      </c>
      <c r="S144" s="3">
        <f ca="1">'ETF price'!T146-'ETF price'!T145</f>
        <v>0.12000000000000099</v>
      </c>
      <c r="T144" s="3">
        <f ca="1">'ETF price'!U146-'ETF price'!U145</f>
        <v>0.92000000000000171</v>
      </c>
      <c r="U144" s="3">
        <f ca="1">'ETF price'!V146-'ETF price'!V145</f>
        <v>2.6899999999999977</v>
      </c>
      <c r="V144" s="3">
        <f ca="1">'ETF price'!W146-'ETF price'!W145</f>
        <v>0.46999999999999886</v>
      </c>
      <c r="W144" s="3">
        <f ca="1">'ETF price'!X146-'ETF price'!X145</f>
        <v>1.1499999999999915</v>
      </c>
      <c r="X144" s="3">
        <f ca="1">'ETF price'!Y146-'ETF price'!Y145</f>
        <v>0.64000000000000057</v>
      </c>
      <c r="Y144" s="3">
        <f ca="1">'ETF price'!Z146-'ETF price'!Z145</f>
        <v>1.0600000000000023</v>
      </c>
      <c r="Z144" s="3">
        <f ca="1">'ETF price'!AA146-'ETF price'!AA145</f>
        <v>0.17000000000000171</v>
      </c>
      <c r="AA144" s="3">
        <f ca="1">'ETF price'!AB146-'ETF price'!AB145</f>
        <v>0.88000000000000256</v>
      </c>
      <c r="AB144" s="3">
        <f ca="1">'ETF price'!AC146-'ETF price'!AC145</f>
        <v>0.61999999999999744</v>
      </c>
      <c r="AC144" s="3">
        <f ca="1">'ETF price'!AD146-'ETF price'!AD145</f>
        <v>3.0000000000001137E-2</v>
      </c>
      <c r="AD144" s="3">
        <f ca="1">'ETF price'!AE146-'ETF price'!AE145</f>
        <v>4.0000000000000924E-2</v>
      </c>
      <c r="AE144" s="3">
        <f ca="1">'ETF price'!AF146-'ETF price'!AF145</f>
        <v>0.13999999999999968</v>
      </c>
      <c r="AF144" s="3">
        <f ca="1">'ETF price'!AG146-'ETF price'!AG145</f>
        <v>-0.32000000000000028</v>
      </c>
    </row>
    <row r="145" spans="1:32" ht="12.75" x14ac:dyDescent="0.2">
      <c r="A145" s="3">
        <f ca="1">'ETF price'!B147-'ETF price'!B146</f>
        <v>-0.31000000000000227</v>
      </c>
      <c r="B145" s="3">
        <f ca="1">'ETF price'!C147-'ETF price'!C146</f>
        <v>-0.65999999999996817</v>
      </c>
      <c r="C145" s="3">
        <f ca="1">'ETF price'!D147-'ETF price'!D146</f>
        <v>-0.12999999999999545</v>
      </c>
      <c r="D145" s="3">
        <f ca="1">'ETF price'!E147-'ETF price'!E146</f>
        <v>0.52000000000001023</v>
      </c>
      <c r="E145" s="3">
        <f ca="1">'ETF price'!F147-'ETF price'!F146</f>
        <v>3.9999999999999147E-2</v>
      </c>
      <c r="F145" s="3">
        <f ca="1">'ETF price'!G147-'ETF price'!G146</f>
        <v>0.25</v>
      </c>
      <c r="G145" s="3">
        <f ca="1">'ETF price'!H147-'ETF price'!H146</f>
        <v>-0.10000000000000142</v>
      </c>
      <c r="H145" s="3">
        <f ca="1">'ETF price'!I147-'ETF price'!I146</f>
        <v>-0.98000000000001819</v>
      </c>
      <c r="I145" s="3">
        <f ca="1">'ETF price'!J147-'ETF price'!J146</f>
        <v>-1.9699999999999989</v>
      </c>
      <c r="J145" s="3">
        <f ca="1">'ETF price'!K147-'ETF price'!K146</f>
        <v>-1.8100000000000023</v>
      </c>
      <c r="K145" s="3">
        <f ca="1">'ETF price'!L147-'ETF price'!L146</f>
        <v>-1.6599999999999966</v>
      </c>
      <c r="L145" s="3">
        <f ca="1">'ETF price'!M147-'ETF price'!M146</f>
        <v>-0.62000000000000455</v>
      </c>
      <c r="M145" s="3">
        <f ca="1">'ETF price'!N147-'ETF price'!N146</f>
        <v>-0.47999999999999687</v>
      </c>
      <c r="N145" s="3">
        <f ca="1">'ETF price'!O147-'ETF price'!O146</f>
        <v>-1.1199999999999974</v>
      </c>
      <c r="O145" s="3">
        <f ca="1">'ETF price'!P147-'ETF price'!P146</f>
        <v>-1.6200000000000045</v>
      </c>
      <c r="P145" s="3">
        <f ca="1">'ETF price'!Q147-'ETF price'!Q146</f>
        <v>-2.3499999999999943</v>
      </c>
      <c r="Q145" s="3">
        <f ca="1">'ETF price'!R147-'ETF price'!R146</f>
        <v>-0.62999999999999545</v>
      </c>
      <c r="R145" s="3">
        <f ca="1">'ETF price'!S147-'ETF price'!S146</f>
        <v>-0.51000000000000512</v>
      </c>
      <c r="S145" s="3">
        <f ca="1">'ETF price'!T147-'ETF price'!T146</f>
        <v>-0.53000000000000114</v>
      </c>
      <c r="T145" s="3">
        <f ca="1">'ETF price'!U147-'ETF price'!U146</f>
        <v>-2.9200000000000017</v>
      </c>
      <c r="U145" s="3">
        <f ca="1">'ETF price'!V147-'ETF price'!V146</f>
        <v>-2.2199999999999989</v>
      </c>
      <c r="V145" s="3">
        <f ca="1">'ETF price'!W147-'ETF price'!W146</f>
        <v>-0.28000000000000114</v>
      </c>
      <c r="W145" s="3">
        <f ca="1">'ETF price'!X147-'ETF price'!X146</f>
        <v>-0.56000000000000227</v>
      </c>
      <c r="X145" s="3">
        <f ca="1">'ETF price'!Y147-'ETF price'!Y146</f>
        <v>9.0000000000003411E-2</v>
      </c>
      <c r="Y145" s="3">
        <f ca="1">'ETF price'!Z147-'ETF price'!Z146</f>
        <v>-0.61999999999999034</v>
      </c>
      <c r="Z145" s="3">
        <f ca="1">'ETF price'!AA147-'ETF price'!AA146</f>
        <v>-0.40000000000000568</v>
      </c>
      <c r="AA145" s="3">
        <f ca="1">'ETF price'!AB147-'ETF price'!AB146</f>
        <v>4.9999999999997158E-2</v>
      </c>
      <c r="AB145" s="3">
        <f ca="1">'ETF price'!AC147-'ETF price'!AC146</f>
        <v>-0.24000000000000199</v>
      </c>
      <c r="AC145" s="3">
        <f ca="1">'ETF price'!AD147-'ETF price'!AD146</f>
        <v>-0.38000000000000078</v>
      </c>
      <c r="AD145" s="3">
        <f ca="1">'ETF price'!AE147-'ETF price'!AE146</f>
        <v>-0.61999999999999922</v>
      </c>
      <c r="AE145" s="3">
        <f ca="1">'ETF price'!AF147-'ETF price'!AF146</f>
        <v>-9.9999999999999645E-2</v>
      </c>
      <c r="AF145" s="3">
        <f ca="1">'ETF price'!AG147-'ETF price'!AG146</f>
        <v>-0.28000000000000114</v>
      </c>
    </row>
    <row r="146" spans="1:32" ht="12.75" x14ac:dyDescent="0.2">
      <c r="A146" s="3">
        <f ca="1">'ETF price'!B148-'ETF price'!B147</f>
        <v>-1.0200000000000102</v>
      </c>
      <c r="B146" s="3">
        <f ca="1">'ETF price'!C148-'ETF price'!C147</f>
        <v>-1.910000000000025</v>
      </c>
      <c r="C146" s="3">
        <f ca="1">'ETF price'!D148-'ETF price'!D147</f>
        <v>-0.23000000000000398</v>
      </c>
      <c r="D146" s="3">
        <f ca="1">'ETF price'!E148-'ETF price'!E147</f>
        <v>-0.26000000000001933</v>
      </c>
      <c r="E146" s="3">
        <f ca="1">'ETF price'!F148-'ETF price'!F147</f>
        <v>0.25999999999999801</v>
      </c>
      <c r="F146" s="3">
        <f ca="1">'ETF price'!G148-'ETF price'!G147</f>
        <v>-0.12000000000000099</v>
      </c>
      <c r="G146" s="3">
        <f ca="1">'ETF price'!H148-'ETF price'!H147</f>
        <v>0.16000000000000014</v>
      </c>
      <c r="H146" s="3">
        <f ca="1">'ETF price'!I148-'ETF price'!I147</f>
        <v>-0.46999999999999886</v>
      </c>
      <c r="I146" s="3">
        <f ca="1">'ETF price'!J148-'ETF price'!J147</f>
        <v>-0.18999999999999773</v>
      </c>
      <c r="J146" s="3">
        <f ca="1">'ETF price'!K148-'ETF price'!K147</f>
        <v>0.35999999999999943</v>
      </c>
      <c r="K146" s="3">
        <f ca="1">'ETF price'!L148-'ETF price'!L147</f>
        <v>1.5100000000000051</v>
      </c>
      <c r="L146" s="3">
        <f ca="1">'ETF price'!M148-'ETF price'!M147</f>
        <v>0.60000000000000142</v>
      </c>
      <c r="M146" s="3">
        <f ca="1">'ETF price'!N148-'ETF price'!N147</f>
        <v>-7.9999999999998295E-2</v>
      </c>
      <c r="N146" s="3">
        <f ca="1">'ETF price'!O148-'ETF price'!O147</f>
        <v>1.0399999999999991</v>
      </c>
      <c r="O146" s="3">
        <f ca="1">'ETF price'!P148-'ETF price'!P147</f>
        <v>-0.17999999999999261</v>
      </c>
      <c r="P146" s="3">
        <f ca="1">'ETF price'!Q148-'ETF price'!Q147</f>
        <v>-0.17000000000000171</v>
      </c>
      <c r="Q146" s="3">
        <f ca="1">'ETF price'!R148-'ETF price'!R147</f>
        <v>-0.79000000000000625</v>
      </c>
      <c r="R146" s="3">
        <f ca="1">'ETF price'!S148-'ETF price'!S147</f>
        <v>-0.63999999999999346</v>
      </c>
      <c r="S146" s="3">
        <f ca="1">'ETF price'!T148-'ETF price'!T147</f>
        <v>-0.12999999999999901</v>
      </c>
      <c r="T146" s="3">
        <f ca="1">'ETF price'!U148-'ETF price'!U147</f>
        <v>0.80000000000001137</v>
      </c>
      <c r="U146" s="3">
        <f ca="1">'ETF price'!V148-'ETF price'!V147</f>
        <v>0.82000000000000739</v>
      </c>
      <c r="V146" s="3">
        <f ca="1">'ETF price'!W148-'ETF price'!W147</f>
        <v>-0.36999999999999744</v>
      </c>
      <c r="W146" s="3">
        <f ca="1">'ETF price'!X148-'ETF price'!X147</f>
        <v>-0.97999999999998977</v>
      </c>
      <c r="X146" s="3">
        <f ca="1">'ETF price'!Y148-'ETF price'!Y147</f>
        <v>-0.60000000000000142</v>
      </c>
      <c r="Y146" s="3">
        <f ca="1">'ETF price'!Z148-'ETF price'!Z147</f>
        <v>-0.77000000000001023</v>
      </c>
      <c r="Z146" s="3">
        <f ca="1">'ETF price'!AA148-'ETF price'!AA147</f>
        <v>-0.57999999999999829</v>
      </c>
      <c r="AA146" s="3">
        <f ca="1">'ETF price'!AB148-'ETF price'!AB147</f>
        <v>-0.73999999999999488</v>
      </c>
      <c r="AB146" s="3">
        <f ca="1">'ETF price'!AC148-'ETF price'!AC147</f>
        <v>-0.71000000000000085</v>
      </c>
      <c r="AC146" s="3">
        <f ca="1">'ETF price'!AD148-'ETF price'!AD147</f>
        <v>0</v>
      </c>
      <c r="AD146" s="3">
        <f ca="1">'ETF price'!AE148-'ETF price'!AE147</f>
        <v>-2.000000000000135E-2</v>
      </c>
      <c r="AE146" s="3">
        <f ca="1">'ETF price'!AF148-'ETF price'!AF147</f>
        <v>9.9999999999997868E-3</v>
      </c>
      <c r="AF146" s="3">
        <f ca="1">'ETF price'!AG148-'ETF price'!AG147</f>
        <v>1.3599999999999994</v>
      </c>
    </row>
    <row r="147" spans="1:32" ht="12.75" x14ac:dyDescent="0.2">
      <c r="A147" s="3">
        <f ca="1">'ETF price'!B149-'ETF price'!B148</f>
        <v>3.8000000000000114</v>
      </c>
      <c r="B147" s="3">
        <f ca="1">'ETF price'!C149-'ETF price'!C148</f>
        <v>10.660000000000025</v>
      </c>
      <c r="C147" s="3">
        <f ca="1">'ETF price'!D149-'ETF price'!D148</f>
        <v>2.5699999999999932</v>
      </c>
      <c r="D147" s="3">
        <f ca="1">'ETF price'!E149-'ETF price'!E148</f>
        <v>3.7800000000000011</v>
      </c>
      <c r="E147" s="3">
        <f ca="1">'ETF price'!F149-'ETF price'!F148</f>
        <v>1.759999999999998</v>
      </c>
      <c r="F147" s="3">
        <f ca="1">'ETF price'!G149-'ETF price'!G148</f>
        <v>0.39000000000000057</v>
      </c>
      <c r="G147" s="3">
        <f ca="1">'ETF price'!H149-'ETF price'!H148</f>
        <v>0.46000000000000085</v>
      </c>
      <c r="H147" s="3">
        <f ca="1">'ETF price'!I149-'ETF price'!I148</f>
        <v>1.2000000000000171</v>
      </c>
      <c r="I147" s="3">
        <f ca="1">'ETF price'!J149-'ETF price'!J148</f>
        <v>2.4300000000000068</v>
      </c>
      <c r="J147" s="3">
        <f ca="1">'ETF price'!K149-'ETF price'!K148</f>
        <v>4.7000000000000028</v>
      </c>
      <c r="K147" s="3">
        <f ca="1">'ETF price'!L149-'ETF price'!L148</f>
        <v>3.0799999999999983</v>
      </c>
      <c r="L147" s="3">
        <f ca="1">'ETF price'!M149-'ETF price'!M148</f>
        <v>1.3599999999999994</v>
      </c>
      <c r="M147" s="3">
        <f ca="1">'ETF price'!N149-'ETF price'!N148</f>
        <v>0.64999999999999858</v>
      </c>
      <c r="N147" s="3">
        <f ca="1">'ETF price'!O149-'ETF price'!O148</f>
        <v>3</v>
      </c>
      <c r="O147" s="3">
        <f ca="1">'ETF price'!P149-'ETF price'!P148</f>
        <v>-2.2000000000000028</v>
      </c>
      <c r="P147" s="3">
        <f ca="1">'ETF price'!Q149-'ETF price'!Q148</f>
        <v>-2.9399999999999977</v>
      </c>
      <c r="Q147" s="3">
        <f ca="1">'ETF price'!R149-'ETF price'!R148</f>
        <v>8.0000000000012506E-2</v>
      </c>
      <c r="R147" s="3">
        <f ca="1">'ETF price'!S149-'ETF price'!S148</f>
        <v>-0.17000000000000171</v>
      </c>
      <c r="S147" s="3">
        <f ca="1">'ETF price'!T149-'ETF price'!T148</f>
        <v>-0.21999999999999886</v>
      </c>
      <c r="T147" s="3">
        <f ca="1">'ETF price'!U149-'ETF price'!U148</f>
        <v>-2.4000000000000057</v>
      </c>
      <c r="U147" s="3">
        <f ca="1">'ETF price'!V149-'ETF price'!V148</f>
        <v>-2.4000000000000057</v>
      </c>
      <c r="V147" s="3">
        <f ca="1">'ETF price'!W149-'ETF price'!W148</f>
        <v>0.5</v>
      </c>
      <c r="W147" s="3">
        <f ca="1">'ETF price'!X149-'ETF price'!X148</f>
        <v>1.25</v>
      </c>
      <c r="X147" s="3">
        <f ca="1">'ETF price'!Y149-'ETF price'!Y148</f>
        <v>0.60999999999999943</v>
      </c>
      <c r="Y147" s="3">
        <f ca="1">'ETF price'!Z149-'ETF price'!Z148</f>
        <v>1.1400000000000006</v>
      </c>
      <c r="Z147" s="3">
        <f ca="1">'ETF price'!AA149-'ETF price'!AA148</f>
        <v>0.17999999999999972</v>
      </c>
      <c r="AA147" s="3">
        <f ca="1">'ETF price'!AB149-'ETF price'!AB148</f>
        <v>0.68999999999999773</v>
      </c>
      <c r="AB147" s="3">
        <f ca="1">'ETF price'!AC149-'ETF price'!AC148</f>
        <v>0.84000000000000341</v>
      </c>
      <c r="AC147" s="3">
        <f ca="1">'ETF price'!AD149-'ETF price'!AD148</f>
        <v>0.20999999999999908</v>
      </c>
      <c r="AD147" s="3">
        <f ca="1">'ETF price'!AE149-'ETF price'!AE148</f>
        <v>0.33999999999999986</v>
      </c>
      <c r="AE147" s="3">
        <f ca="1">'ETF price'!AF149-'ETF price'!AF148</f>
        <v>0.18999999999999995</v>
      </c>
      <c r="AF147" s="3">
        <f ca="1">'ETF price'!AG149-'ETF price'!AG148</f>
        <v>1.6400000000000006</v>
      </c>
    </row>
    <row r="148" spans="1:32" ht="12.75" x14ac:dyDescent="0.2">
      <c r="A148" s="3">
        <f ca="1">'ETF price'!B150-'ETF price'!B149</f>
        <v>0.67000000000001592</v>
      </c>
      <c r="B148" s="3">
        <f ca="1">'ETF price'!C150-'ETF price'!C149</f>
        <v>1.1999999999999886</v>
      </c>
      <c r="C148" s="3">
        <f ca="1">'ETF price'!D150-'ETF price'!D149</f>
        <v>0.45000000000000284</v>
      </c>
      <c r="D148" s="3">
        <f ca="1">'ETF price'!E150-'ETF price'!E149</f>
        <v>1.0100000000000193</v>
      </c>
      <c r="E148" s="3">
        <f ca="1">'ETF price'!F150-'ETF price'!F149</f>
        <v>-0.71000000000000085</v>
      </c>
      <c r="F148" s="3">
        <f ca="1">'ETF price'!G150-'ETF price'!G149</f>
        <v>0.19000000000000128</v>
      </c>
      <c r="G148" s="3">
        <f ca="1">'ETF price'!H150-'ETF price'!H149</f>
        <v>8.9999999999999858E-2</v>
      </c>
      <c r="H148" s="3">
        <f ca="1">'ETF price'!I150-'ETF price'!I149</f>
        <v>-0.65000000000000568</v>
      </c>
      <c r="I148" s="3">
        <f ca="1">'ETF price'!J150-'ETF price'!J149</f>
        <v>-0.55000000000001137</v>
      </c>
      <c r="J148" s="3">
        <f ca="1">'ETF price'!K150-'ETF price'!K149</f>
        <v>2.8500000000000085</v>
      </c>
      <c r="K148" s="3">
        <f ca="1">'ETF price'!L150-'ETF price'!L149</f>
        <v>4.6499999999999915</v>
      </c>
      <c r="L148" s="3">
        <f ca="1">'ETF price'!M150-'ETF price'!M149</f>
        <v>2.7600000000000051</v>
      </c>
      <c r="M148" s="3">
        <f ca="1">'ETF price'!N150-'ETF price'!N149</f>
        <v>-0.16000000000000369</v>
      </c>
      <c r="N148" s="3">
        <f ca="1">'ETF price'!O150-'ETF price'!O149</f>
        <v>1.4799999999999969</v>
      </c>
      <c r="O148" s="3">
        <f ca="1">'ETF price'!P150-'ETF price'!P149</f>
        <v>-2.7600000000000051</v>
      </c>
      <c r="P148" s="3">
        <f ca="1">'ETF price'!Q150-'ETF price'!Q149</f>
        <v>-3.8500000000000085</v>
      </c>
      <c r="Q148" s="3">
        <f ca="1">'ETF price'!R150-'ETF price'!R149</f>
        <v>4.9999999999997158E-2</v>
      </c>
      <c r="R148" s="3">
        <f ca="1">'ETF price'!S150-'ETF price'!S149</f>
        <v>0.46999999999999886</v>
      </c>
      <c r="S148" s="3">
        <f ca="1">'ETF price'!T150-'ETF price'!T149</f>
        <v>-0.26999999999999957</v>
      </c>
      <c r="T148" s="3">
        <f ca="1">'ETF price'!U150-'ETF price'!U149</f>
        <v>-2</v>
      </c>
      <c r="U148" s="3">
        <f ca="1">'ETF price'!V150-'ETF price'!V149</f>
        <v>1.6899999999999977</v>
      </c>
      <c r="V148" s="3">
        <f ca="1">'ETF price'!W150-'ETF price'!W149</f>
        <v>-0.10999999999999943</v>
      </c>
      <c r="W148" s="3">
        <f ca="1">'ETF price'!X150-'ETF price'!X149</f>
        <v>-0.27000000000001023</v>
      </c>
      <c r="X148" s="3">
        <f ca="1">'ETF price'!Y150-'ETF price'!Y149</f>
        <v>-0.28000000000000114</v>
      </c>
      <c r="Y148" s="3">
        <f ca="1">'ETF price'!Z150-'ETF price'!Z149</f>
        <v>-0.20999999999999375</v>
      </c>
      <c r="Z148" s="3">
        <f ca="1">'ETF price'!AA150-'ETF price'!AA149</f>
        <v>3.9999999999999147E-2</v>
      </c>
      <c r="AA148" s="3">
        <f ca="1">'ETF price'!AB150-'ETF price'!AB149</f>
        <v>-0.5</v>
      </c>
      <c r="AB148" s="3">
        <f ca="1">'ETF price'!AC150-'ETF price'!AC149</f>
        <v>6.0000000000002274E-2</v>
      </c>
      <c r="AC148" s="3">
        <f ca="1">'ETF price'!AD150-'ETF price'!AD149</f>
        <v>-0.41999999999999993</v>
      </c>
      <c r="AD148" s="3">
        <f ca="1">'ETF price'!AE150-'ETF price'!AE149</f>
        <v>-0.69999999999999929</v>
      </c>
      <c r="AE148" s="3">
        <f ca="1">'ETF price'!AF150-'ETF price'!AF149</f>
        <v>0.16000000000000014</v>
      </c>
      <c r="AF148" s="3">
        <f ca="1">'ETF price'!AG150-'ETF price'!AG149</f>
        <v>0.16000000000000014</v>
      </c>
    </row>
    <row r="149" spans="1:32" ht="12.75" x14ac:dyDescent="0.2">
      <c r="A149" s="3">
        <f ca="1">'ETF price'!B151-'ETF price'!B150</f>
        <v>-0.34000000000000341</v>
      </c>
      <c r="B149" s="3">
        <f ca="1">'ETF price'!C151-'ETF price'!C150</f>
        <v>-0.59000000000003183</v>
      </c>
      <c r="C149" s="3">
        <f ca="1">'ETF price'!D151-'ETF price'!D150</f>
        <v>-0.23000000000000398</v>
      </c>
      <c r="D149" s="3">
        <f ca="1">'ETF price'!E151-'ETF price'!E150</f>
        <v>-1.1000000000000227</v>
      </c>
      <c r="E149" s="3">
        <f ca="1">'ETF price'!F151-'ETF price'!F150</f>
        <v>0.5</v>
      </c>
      <c r="F149" s="3">
        <f ca="1">'ETF price'!G151-'ETF price'!G150</f>
        <v>-0.15000000000000213</v>
      </c>
      <c r="G149" s="3">
        <f ca="1">'ETF price'!H151-'ETF price'!H150</f>
        <v>0.14999999999999858</v>
      </c>
      <c r="H149" s="3">
        <f ca="1">'ETF price'!I151-'ETF price'!I150</f>
        <v>-5.0000000000011369E-2</v>
      </c>
      <c r="I149" s="3">
        <f ca="1">'ETF price'!J151-'ETF price'!J150</f>
        <v>0.33000000000001251</v>
      </c>
      <c r="J149" s="3">
        <f ca="1">'ETF price'!K151-'ETF price'!K150</f>
        <v>1.2599999999999909</v>
      </c>
      <c r="K149" s="3">
        <f ca="1">'ETF price'!L151-'ETF price'!L150</f>
        <v>3.5900000000000034</v>
      </c>
      <c r="L149" s="3">
        <f ca="1">'ETF price'!M151-'ETF price'!M150</f>
        <v>1.1899999999999977</v>
      </c>
      <c r="M149" s="3">
        <f ca="1">'ETF price'!N151-'ETF price'!N150</f>
        <v>9.0000000000003411E-2</v>
      </c>
      <c r="N149" s="3">
        <f ca="1">'ETF price'!O151-'ETF price'!O150</f>
        <v>1.0399999999999991</v>
      </c>
      <c r="O149" s="3">
        <f ca="1">'ETF price'!P151-'ETF price'!P150</f>
        <v>1.4200000000000017</v>
      </c>
      <c r="P149" s="3">
        <f ca="1">'ETF price'!Q151-'ETF price'!Q150</f>
        <v>2.1099999999999994</v>
      </c>
      <c r="Q149" s="3">
        <f ca="1">'ETF price'!R151-'ETF price'!R150</f>
        <v>0.26999999999999602</v>
      </c>
      <c r="R149" s="3">
        <f ca="1">'ETF price'!S151-'ETF price'!S150</f>
        <v>1.0799999999999983</v>
      </c>
      <c r="S149" s="3">
        <f ca="1">'ETF price'!T151-'ETF price'!T150</f>
        <v>-8.9999999999999858E-2</v>
      </c>
      <c r="T149" s="3">
        <f ca="1">'ETF price'!U151-'ETF price'!U150</f>
        <v>1.0000000000005116E-2</v>
      </c>
      <c r="U149" s="3">
        <f ca="1">'ETF price'!V151-'ETF price'!V150</f>
        <v>1.3100000000000023</v>
      </c>
      <c r="V149" s="3">
        <f ca="1">'ETF price'!W151-'ETF price'!W150</f>
        <v>0.23999999999999488</v>
      </c>
      <c r="W149" s="3">
        <f ca="1">'ETF price'!X151-'ETF price'!X150</f>
        <v>0.62000000000000455</v>
      </c>
      <c r="X149" s="3">
        <f ca="1">'ETF price'!Y151-'ETF price'!Y150</f>
        <v>0.44000000000000483</v>
      </c>
      <c r="Y149" s="3">
        <f ca="1">'ETF price'!Z151-'ETF price'!Z150</f>
        <v>0.53999999999999204</v>
      </c>
      <c r="Z149" s="3">
        <f ca="1">'ETF price'!AA151-'ETF price'!AA150</f>
        <v>0.14000000000000057</v>
      </c>
      <c r="AA149" s="3">
        <f ca="1">'ETF price'!AB151-'ETF price'!AB150</f>
        <v>0.76000000000000512</v>
      </c>
      <c r="AB149" s="3">
        <f ca="1">'ETF price'!AC151-'ETF price'!AC150</f>
        <v>0.48999999999999488</v>
      </c>
      <c r="AC149" s="3">
        <f ca="1">'ETF price'!AD151-'ETF price'!AD150</f>
        <v>0.19000000000000128</v>
      </c>
      <c r="AD149" s="3">
        <f ca="1">'ETF price'!AE151-'ETF price'!AE150</f>
        <v>0.33999999999999986</v>
      </c>
      <c r="AE149" s="3">
        <f ca="1">'ETF price'!AF151-'ETF price'!AF150</f>
        <v>0.12000000000000011</v>
      </c>
      <c r="AF149" s="3">
        <f ca="1">'ETF price'!AG151-'ETF price'!AG150</f>
        <v>0.48000000000000043</v>
      </c>
    </row>
    <row r="150" spans="1:32" ht="12.75" x14ac:dyDescent="0.2">
      <c r="A150" s="3">
        <f ca="1">'ETF price'!B152-'ETF price'!B151</f>
        <v>-1.25</v>
      </c>
      <c r="B150" s="3">
        <f ca="1">'ETF price'!C152-'ETF price'!C151</f>
        <v>-2.6299999999999955</v>
      </c>
      <c r="C150" s="3">
        <f ca="1">'ETF price'!D152-'ETF price'!D151</f>
        <v>-0.54999999999999716</v>
      </c>
      <c r="D150" s="3">
        <f ca="1">'ETF price'!E152-'ETF price'!E151</f>
        <v>-2.1099999999999852</v>
      </c>
      <c r="E150" s="3">
        <f ca="1">'ETF price'!F152-'ETF price'!F151</f>
        <v>-1.9999999999996021E-2</v>
      </c>
      <c r="F150" s="3">
        <f ca="1">'ETF price'!G152-'ETF price'!G151</f>
        <v>-9.9999999999997868E-2</v>
      </c>
      <c r="G150" s="3">
        <f ca="1">'ETF price'!H152-'ETF price'!H151</f>
        <v>0.16000000000000014</v>
      </c>
      <c r="H150" s="3">
        <f ca="1">'ETF price'!I152-'ETF price'!I151</f>
        <v>0.31000000000000227</v>
      </c>
      <c r="I150" s="3">
        <f ca="1">'ETF price'!J152-'ETF price'!J151</f>
        <v>1.0799999999999841</v>
      </c>
      <c r="J150" s="3">
        <f ca="1">'ETF price'!K152-'ETF price'!K151</f>
        <v>0.59000000000000341</v>
      </c>
      <c r="K150" s="3">
        <f ca="1">'ETF price'!L152-'ETF price'!L151</f>
        <v>1.5900000000000034</v>
      </c>
      <c r="L150" s="3">
        <f ca="1">'ETF price'!M152-'ETF price'!M151</f>
        <v>0.25</v>
      </c>
      <c r="M150" s="3">
        <f ca="1">'ETF price'!N152-'ETF price'!N151</f>
        <v>0.28000000000000114</v>
      </c>
      <c r="N150" s="3">
        <f ca="1">'ETF price'!O152-'ETF price'!O151</f>
        <v>-0.24000000000000199</v>
      </c>
      <c r="O150" s="3">
        <f ca="1">'ETF price'!P152-'ETF price'!P151</f>
        <v>0.37999999999999545</v>
      </c>
      <c r="P150" s="3">
        <f ca="1">'ETF price'!Q152-'ETF price'!Q151</f>
        <v>0.42000000000000171</v>
      </c>
      <c r="Q150" s="3">
        <f ca="1">'ETF price'!R152-'ETF price'!R151</f>
        <v>0.43000000000000682</v>
      </c>
      <c r="R150" s="3">
        <f ca="1">'ETF price'!S152-'ETF price'!S151</f>
        <v>0.42000000000000171</v>
      </c>
      <c r="S150" s="3">
        <f ca="1">'ETF price'!T152-'ETF price'!T151</f>
        <v>0.30000000000000071</v>
      </c>
      <c r="T150" s="3">
        <f ca="1">'ETF price'!U152-'ETF price'!U151</f>
        <v>2</v>
      </c>
      <c r="U150" s="3">
        <f ca="1">'ETF price'!V152-'ETF price'!V151</f>
        <v>0.60000000000000853</v>
      </c>
      <c r="V150" s="3">
        <f ca="1">'ETF price'!W152-'ETF price'!W151</f>
        <v>-1.9999999999996021E-2</v>
      </c>
      <c r="W150" s="3">
        <f ca="1">'ETF price'!X152-'ETF price'!X151</f>
        <v>-3.0000000000001137E-2</v>
      </c>
      <c r="X150" s="3">
        <f ca="1">'ETF price'!Y152-'ETF price'!Y151</f>
        <v>0</v>
      </c>
      <c r="Y150" s="3">
        <f ca="1">'ETF price'!Z152-'ETF price'!Z151</f>
        <v>0</v>
      </c>
      <c r="Z150" s="3">
        <f ca="1">'ETF price'!AA152-'ETF price'!AA151</f>
        <v>0.32000000000000028</v>
      </c>
      <c r="AA150" s="3">
        <f ca="1">'ETF price'!AB152-'ETF price'!AB151</f>
        <v>-3.0000000000001137E-2</v>
      </c>
      <c r="AB150" s="3">
        <f ca="1">'ETF price'!AC152-'ETF price'!AC151</f>
        <v>-0.28000000000000114</v>
      </c>
      <c r="AC150" s="3">
        <f ca="1">'ETF price'!AD152-'ETF price'!AD151</f>
        <v>0.38999999999999879</v>
      </c>
      <c r="AD150" s="3">
        <f ca="1">'ETF price'!AE152-'ETF price'!AE151</f>
        <v>0.61999999999999922</v>
      </c>
      <c r="AE150" s="3">
        <f ca="1">'ETF price'!AF152-'ETF price'!AF151</f>
        <v>4.9999999999999822E-2</v>
      </c>
      <c r="AF150" s="3">
        <f ca="1">'ETF price'!AG152-'ETF price'!AG151</f>
        <v>1.3599999999999994</v>
      </c>
    </row>
    <row r="151" spans="1:32" ht="12.75" x14ac:dyDescent="0.2">
      <c r="A151" s="3">
        <f ca="1">'ETF price'!B153-'ETF price'!B152</f>
        <v>-1.460000000000008</v>
      </c>
      <c r="B151" s="3">
        <f ca="1">'ETF price'!C153-'ETF price'!C152</f>
        <v>-4.6200000000000045</v>
      </c>
      <c r="C151" s="3">
        <f ca="1">'ETF price'!D153-'ETF price'!D152</f>
        <v>-1.3100000000000023</v>
      </c>
      <c r="D151" s="3">
        <f ca="1">'ETF price'!E153-'ETF price'!E152</f>
        <v>-6.3100000000000023</v>
      </c>
      <c r="E151" s="3">
        <f ca="1">'ETF price'!F153-'ETF price'!F152</f>
        <v>-0.39000000000000057</v>
      </c>
      <c r="F151" s="3">
        <f ca="1">'ETF price'!G153-'ETF price'!G152</f>
        <v>-0.58999999999999986</v>
      </c>
      <c r="G151" s="3">
        <f ca="1">'ETF price'!H153-'ETF price'!H152</f>
        <v>-0.53000000000000114</v>
      </c>
      <c r="H151" s="3">
        <f ca="1">'ETF price'!I153-'ETF price'!I152</f>
        <v>-0.39999999999997726</v>
      </c>
      <c r="I151" s="3">
        <f ca="1">'ETF price'!J153-'ETF price'!J152</f>
        <v>-1.5</v>
      </c>
      <c r="J151" s="3">
        <f ca="1">'ETF price'!K153-'ETF price'!K152</f>
        <v>-2.1200000000000045</v>
      </c>
      <c r="K151" s="3">
        <f ca="1">'ETF price'!L153-'ETF price'!L152</f>
        <v>-3.1400000000000006</v>
      </c>
      <c r="L151" s="3">
        <f ca="1">'ETF price'!M153-'ETF price'!M152</f>
        <v>-1.0700000000000074</v>
      </c>
      <c r="M151" s="3">
        <f ca="1">'ETF price'!N153-'ETF price'!N152</f>
        <v>-0.42999999999999972</v>
      </c>
      <c r="N151" s="3">
        <f ca="1">'ETF price'!O153-'ETF price'!O152</f>
        <v>-2.1599999999999966</v>
      </c>
      <c r="O151" s="3">
        <f ca="1">'ETF price'!P153-'ETF price'!P152</f>
        <v>1.2900000000000063</v>
      </c>
      <c r="P151" s="3">
        <f ca="1">'ETF price'!Q153-'ETF price'!Q152</f>
        <v>1.9300000000000068</v>
      </c>
      <c r="Q151" s="3">
        <f ca="1">'ETF price'!R153-'ETF price'!R152</f>
        <v>-0.38000000000000966</v>
      </c>
      <c r="R151" s="3">
        <f ca="1">'ETF price'!S153-'ETF price'!S152</f>
        <v>0.39000000000000057</v>
      </c>
      <c r="S151" s="3">
        <f ca="1">'ETF price'!T153-'ETF price'!T152</f>
        <v>0.2099999999999973</v>
      </c>
      <c r="T151" s="3">
        <f ca="1">'ETF price'!U153-'ETF price'!U152</f>
        <v>-9.0000000000003411E-2</v>
      </c>
      <c r="U151" s="3">
        <f ca="1">'ETF price'!V153-'ETF price'!V152</f>
        <v>0.47999999999998977</v>
      </c>
      <c r="V151" s="3">
        <f ca="1">'ETF price'!W153-'ETF price'!W152</f>
        <v>0.17000000000000171</v>
      </c>
      <c r="W151" s="3">
        <f ca="1">'ETF price'!X153-'ETF price'!X152</f>
        <v>0.37000000000000455</v>
      </c>
      <c r="X151" s="3">
        <f ca="1">'ETF price'!Y153-'ETF price'!Y152</f>
        <v>0.12999999999999545</v>
      </c>
      <c r="Y151" s="3">
        <f ca="1">'ETF price'!Z153-'ETF price'!Z152</f>
        <v>0.26000000000000512</v>
      </c>
      <c r="Z151" s="3">
        <f ca="1">'ETF price'!AA153-'ETF price'!AA152</f>
        <v>0.35000000000000142</v>
      </c>
      <c r="AA151" s="3">
        <f ca="1">'ETF price'!AB153-'ETF price'!AB152</f>
        <v>0.21999999999999886</v>
      </c>
      <c r="AB151" s="3">
        <f ca="1">'ETF price'!AC153-'ETF price'!AC152</f>
        <v>-4.9999999999997158E-2</v>
      </c>
      <c r="AC151" s="3">
        <f ca="1">'ETF price'!AD153-'ETF price'!AD152</f>
        <v>-0.35999999999999943</v>
      </c>
      <c r="AD151" s="3">
        <f ca="1">'ETF price'!AE153-'ETF price'!AE152</f>
        <v>-0.55999999999999872</v>
      </c>
      <c r="AE151" s="3">
        <f ca="1">'ETF price'!AF153-'ETF price'!AF152</f>
        <v>6.0000000000000053E-2</v>
      </c>
      <c r="AF151" s="3">
        <f ca="1">'ETF price'!AG153-'ETF price'!AG152</f>
        <v>-1.759999999999998</v>
      </c>
    </row>
    <row r="152" spans="1:32" ht="12.75" x14ac:dyDescent="0.2">
      <c r="A152" s="3">
        <f ca="1">'ETF price'!B154-'ETF price'!B153</f>
        <v>3.9399999999999977</v>
      </c>
      <c r="B152" s="3">
        <f ca="1">'ETF price'!C154-'ETF price'!C153</f>
        <v>11.340000000000032</v>
      </c>
      <c r="C152" s="3">
        <f ca="1">'ETF price'!D154-'ETF price'!D153</f>
        <v>2.960000000000008</v>
      </c>
      <c r="D152" s="3">
        <f ca="1">'ETF price'!E154-'ETF price'!E153</f>
        <v>5.4499999999999886</v>
      </c>
      <c r="E152" s="3">
        <f ca="1">'ETF price'!F154-'ETF price'!F153</f>
        <v>1.6099999999999994</v>
      </c>
      <c r="F152" s="3">
        <f ca="1">'ETF price'!G154-'ETF price'!G153</f>
        <v>1</v>
      </c>
      <c r="G152" s="3">
        <f ca="1">'ETF price'!H154-'ETF price'!H153</f>
        <v>1</v>
      </c>
      <c r="H152" s="3">
        <f ca="1">'ETF price'!I154-'ETF price'!I153</f>
        <v>1.4299999999999784</v>
      </c>
      <c r="I152" s="3">
        <f ca="1">'ETF price'!J154-'ETF price'!J153</f>
        <v>3.210000000000008</v>
      </c>
      <c r="J152" s="3">
        <f ca="1">'ETF price'!K154-'ETF price'!K153</f>
        <v>3.1299999999999955</v>
      </c>
      <c r="K152" s="3">
        <f ca="1">'ETF price'!L154-'ETF price'!L153</f>
        <v>3</v>
      </c>
      <c r="L152" s="3">
        <f ca="1">'ETF price'!M154-'ETF price'!M153</f>
        <v>1.3500000000000085</v>
      </c>
      <c r="M152" s="3">
        <f ca="1">'ETF price'!N154-'ETF price'!N153</f>
        <v>0.85999999999999943</v>
      </c>
      <c r="N152" s="3">
        <f ca="1">'ETF price'!O154-'ETF price'!O153</f>
        <v>4.4000000000000057</v>
      </c>
      <c r="O152" s="3">
        <f ca="1">'ETF price'!P154-'ETF price'!P153</f>
        <v>0.54000000000000625</v>
      </c>
      <c r="P152" s="3">
        <f ca="1">'ETF price'!Q154-'ETF price'!Q153</f>
        <v>0.84999999999999432</v>
      </c>
      <c r="Q152" s="3">
        <f ca="1">'ETF price'!R154-'ETF price'!R153</f>
        <v>2.1899999999999977</v>
      </c>
      <c r="R152" s="3">
        <f ca="1">'ETF price'!S154-'ETF price'!S153</f>
        <v>1.75</v>
      </c>
      <c r="S152" s="3">
        <f ca="1">'ETF price'!T154-'ETF price'!T153</f>
        <v>0.35000000000000142</v>
      </c>
      <c r="T152" s="3">
        <f ca="1">'ETF price'!U154-'ETF price'!U153</f>
        <v>0.86999999999999034</v>
      </c>
      <c r="U152" s="3">
        <f ca="1">'ETF price'!V154-'ETF price'!V153</f>
        <v>4.2800000000000011</v>
      </c>
      <c r="V152" s="3">
        <f ca="1">'ETF price'!W154-'ETF price'!W153</f>
        <v>0.75999999999999801</v>
      </c>
      <c r="W152" s="3">
        <f ca="1">'ETF price'!X154-'ETF price'!X153</f>
        <v>1.9899999999999949</v>
      </c>
      <c r="X152" s="3">
        <f ca="1">'ETF price'!Y154-'ETF price'!Y153</f>
        <v>1.25</v>
      </c>
      <c r="Y152" s="3">
        <f ca="1">'ETF price'!Z154-'ETF price'!Z153</f>
        <v>1.8400000000000034</v>
      </c>
      <c r="Z152" s="3">
        <f ca="1">'ETF price'!AA154-'ETF price'!AA153</f>
        <v>0.60000000000000142</v>
      </c>
      <c r="AA152" s="3">
        <f ca="1">'ETF price'!AB154-'ETF price'!AB153</f>
        <v>1.4200000000000017</v>
      </c>
      <c r="AB152" s="3">
        <f ca="1">'ETF price'!AC154-'ETF price'!AC153</f>
        <v>1.4099999999999966</v>
      </c>
      <c r="AC152" s="3">
        <f ca="1">'ETF price'!AD154-'ETF price'!AD153</f>
        <v>0.24000000000000021</v>
      </c>
      <c r="AD152" s="3">
        <f ca="1">'ETF price'!AE154-'ETF price'!AE153</f>
        <v>0.36999999999999922</v>
      </c>
      <c r="AE152" s="3">
        <f ca="1">'ETF price'!AF154-'ETF price'!AF153</f>
        <v>-0.2200000000000002</v>
      </c>
      <c r="AF152" s="3">
        <f ca="1">'ETF price'!AG154-'ETF price'!AG153</f>
        <v>3.0399999999999991</v>
      </c>
    </row>
    <row r="153" spans="1:32" ht="12.75" x14ac:dyDescent="0.2">
      <c r="A153" s="3">
        <f ca="1">'ETF price'!B155-'ETF price'!B154</f>
        <v>-0.58000000000001251</v>
      </c>
      <c r="B153" s="3">
        <f ca="1">'ETF price'!C155-'ETF price'!C154</f>
        <v>-2.2200000000000273</v>
      </c>
      <c r="C153" s="3">
        <f ca="1">'ETF price'!D155-'ETF price'!D154</f>
        <v>-0.62999999999999545</v>
      </c>
      <c r="D153" s="3">
        <f ca="1">'ETF price'!E155-'ETF price'!E154</f>
        <v>-0.16999999999998749</v>
      </c>
      <c r="E153" s="3">
        <f ca="1">'ETF price'!F155-'ETF price'!F154</f>
        <v>-0.75</v>
      </c>
      <c r="F153" s="3">
        <f ca="1">'ETF price'!G155-'ETF price'!G154</f>
        <v>-0.15000000000000213</v>
      </c>
      <c r="G153" s="3">
        <f ca="1">'ETF price'!H155-'ETF price'!H154</f>
        <v>-0.13999999999999702</v>
      </c>
      <c r="H153" s="3">
        <f ca="1">'ETF price'!I155-'ETF price'!I154</f>
        <v>-0.85999999999998522</v>
      </c>
      <c r="I153" s="3">
        <f ca="1">'ETF price'!J155-'ETF price'!J154</f>
        <v>-1.7199999999999989</v>
      </c>
      <c r="J153" s="3">
        <f ca="1">'ETF price'!K155-'ETF price'!K154</f>
        <v>-1.75</v>
      </c>
      <c r="K153" s="3">
        <f ca="1">'ETF price'!L155-'ETF price'!L154</f>
        <v>-2.9699999999999989</v>
      </c>
      <c r="L153" s="3">
        <f ca="1">'ETF price'!M155-'ETF price'!M154</f>
        <v>-1.5300000000000011</v>
      </c>
      <c r="M153" s="3">
        <f ca="1">'ETF price'!N155-'ETF price'!N154</f>
        <v>-0.42999999999999972</v>
      </c>
      <c r="N153" s="3">
        <f ca="1">'ETF price'!O155-'ETF price'!O154</f>
        <v>-1.480000000000004</v>
      </c>
      <c r="O153" s="3">
        <f ca="1">'ETF price'!P155-'ETF price'!P154</f>
        <v>2.5899999999999892</v>
      </c>
      <c r="P153" s="3">
        <f ca="1">'ETF price'!Q155-'ETF price'!Q154</f>
        <v>3.769999999999996</v>
      </c>
      <c r="Q153" s="3">
        <f ca="1">'ETF price'!R155-'ETF price'!R154</f>
        <v>0.27000000000001023</v>
      </c>
      <c r="R153" s="3">
        <f ca="1">'ETF price'!S155-'ETF price'!S154</f>
        <v>0.42000000000000171</v>
      </c>
      <c r="S153" s="3">
        <f ca="1">'ETF price'!T155-'ETF price'!T154</f>
        <v>0.5</v>
      </c>
      <c r="T153" s="3">
        <f ca="1">'ETF price'!U155-'ETF price'!U154</f>
        <v>1.960000000000008</v>
      </c>
      <c r="U153" s="3">
        <f ca="1">'ETF price'!V155-'ETF price'!V154</f>
        <v>-2.1999999999999886</v>
      </c>
      <c r="V153" s="3">
        <f ca="1">'ETF price'!W155-'ETF price'!W154</f>
        <v>0.40999999999999659</v>
      </c>
      <c r="W153" s="3">
        <f ca="1">'ETF price'!X155-'ETF price'!X154</f>
        <v>0.92000000000000171</v>
      </c>
      <c r="X153" s="3">
        <f ca="1">'ETF price'!Y155-'ETF price'!Y154</f>
        <v>0.67999999999999972</v>
      </c>
      <c r="Y153" s="3">
        <f ca="1">'ETF price'!Z155-'ETF price'!Z154</f>
        <v>0.76999999999999602</v>
      </c>
      <c r="Z153" s="3">
        <f ca="1">'ETF price'!AA155-'ETF price'!AA154</f>
        <v>-0.21000000000000085</v>
      </c>
      <c r="AA153" s="3">
        <f ca="1">'ETF price'!AB155-'ETF price'!AB154</f>
        <v>0.90999999999999659</v>
      </c>
      <c r="AB153" s="3">
        <f ca="1">'ETF price'!AC155-'ETF price'!AC154</f>
        <v>0.48000000000000398</v>
      </c>
      <c r="AC153" s="3">
        <f ca="1">'ETF price'!AD155-'ETF price'!AD154</f>
        <v>0.24000000000000021</v>
      </c>
      <c r="AD153" s="3">
        <f ca="1">'ETF price'!AE155-'ETF price'!AE154</f>
        <v>0.38000000000000078</v>
      </c>
      <c r="AE153" s="3">
        <f ca="1">'ETF price'!AF155-'ETF price'!AF154</f>
        <v>0.37000000000000011</v>
      </c>
      <c r="AF153" s="3">
        <f ca="1">'ETF price'!AG155-'ETF price'!AG154</f>
        <v>0.60000000000000142</v>
      </c>
    </row>
    <row r="154" spans="1:32" ht="12.75" x14ac:dyDescent="0.2">
      <c r="A154" s="3">
        <f ca="1">'ETF price'!B156-'ETF price'!B155</f>
        <v>2.9400000000000261</v>
      </c>
      <c r="B154" s="3">
        <f ca="1">'ETF price'!C156-'ETF price'!C155</f>
        <v>7.910000000000025</v>
      </c>
      <c r="C154" s="3">
        <f ca="1">'ETF price'!D156-'ETF price'!D155</f>
        <v>2.0299999999999869</v>
      </c>
      <c r="D154" s="3">
        <f ca="1">'ETF price'!E156-'ETF price'!E155</f>
        <v>3.9900000000000091</v>
      </c>
      <c r="E154" s="3">
        <f ca="1">'ETF price'!F156-'ETF price'!F155</f>
        <v>0.77000000000000313</v>
      </c>
      <c r="F154" s="3">
        <f ca="1">'ETF price'!G156-'ETF price'!G155</f>
        <v>0.52000000000000313</v>
      </c>
      <c r="G154" s="3">
        <f ca="1">'ETF price'!H156-'ETF price'!H155</f>
        <v>0.52999999999999758</v>
      </c>
      <c r="H154" s="3">
        <f ca="1">'ETF price'!I156-'ETF price'!I155</f>
        <v>1.6899999999999977</v>
      </c>
      <c r="I154" s="3">
        <f ca="1">'ETF price'!J156-'ETF price'!J155</f>
        <v>3.1400000000000148</v>
      </c>
      <c r="J154" s="3">
        <f ca="1">'ETF price'!K156-'ETF price'!K155</f>
        <v>1.2300000000000182</v>
      </c>
      <c r="K154" s="3">
        <f ca="1">'ETF price'!L156-'ETF price'!L155</f>
        <v>3</v>
      </c>
      <c r="L154" s="3">
        <f ca="1">'ETF price'!M156-'ETF price'!M155</f>
        <v>0.70999999999999375</v>
      </c>
      <c r="M154" s="3">
        <f ca="1">'ETF price'!N156-'ETF price'!N155</f>
        <v>0.80000000000000426</v>
      </c>
      <c r="N154" s="3">
        <f ca="1">'ETF price'!O156-'ETF price'!O155</f>
        <v>1.6799999999999926</v>
      </c>
      <c r="O154" s="3">
        <f ca="1">'ETF price'!P156-'ETF price'!P155</f>
        <v>0.59000000000000341</v>
      </c>
      <c r="P154" s="3">
        <f ca="1">'ETF price'!Q156-'ETF price'!Q155</f>
        <v>1</v>
      </c>
      <c r="Q154" s="3">
        <f ca="1">'ETF price'!R156-'ETF price'!R155</f>
        <v>1.5</v>
      </c>
      <c r="R154" s="3">
        <f ca="1">'ETF price'!S156-'ETF price'!S155</f>
        <v>1.0399999999999991</v>
      </c>
      <c r="S154" s="3">
        <f ca="1">'ETF price'!T156-'ETF price'!T155</f>
        <v>-0.14000000000000057</v>
      </c>
      <c r="T154" s="3">
        <f ca="1">'ETF price'!U156-'ETF price'!U155</f>
        <v>-1.2999999999999972</v>
      </c>
      <c r="U154" s="3">
        <f ca="1">'ETF price'!V156-'ETF price'!V155</f>
        <v>1.1499999999999915</v>
      </c>
      <c r="V154" s="3">
        <f ca="1">'ETF price'!W156-'ETF price'!W155</f>
        <v>0.55000000000000426</v>
      </c>
      <c r="W154" s="3">
        <f ca="1">'ETF price'!X156-'ETF price'!X155</f>
        <v>1.3499999999999943</v>
      </c>
      <c r="X154" s="3">
        <f ca="1">'ETF price'!Y156-'ETF price'!Y155</f>
        <v>0.76000000000000512</v>
      </c>
      <c r="Y154" s="3">
        <f ca="1">'ETF price'!Z156-'ETF price'!Z155</f>
        <v>1.2999999999999972</v>
      </c>
      <c r="Z154" s="3">
        <f ca="1">'ETF price'!AA156-'ETF price'!AA155</f>
        <v>0.75999999999999801</v>
      </c>
      <c r="AA154" s="3">
        <f ca="1">'ETF price'!AB156-'ETF price'!AB155</f>
        <v>1.019999999999996</v>
      </c>
      <c r="AB154" s="3">
        <f ca="1">'ETF price'!AC156-'ETF price'!AC155</f>
        <v>0.75</v>
      </c>
      <c r="AC154" s="3">
        <f ca="1">'ETF price'!AD156-'ETF price'!AD155</f>
        <v>-1.9999999999999574E-2</v>
      </c>
      <c r="AD154" s="3">
        <f ca="1">'ETF price'!AE156-'ETF price'!AE155</f>
        <v>-1.9999999999999574E-2</v>
      </c>
      <c r="AE154" s="3">
        <f ca="1">'ETF price'!AF156-'ETF price'!AF155</f>
        <v>-0.14000000000000012</v>
      </c>
      <c r="AF154" s="3">
        <f ca="1">'ETF price'!AG156-'ETF price'!AG155</f>
        <v>2</v>
      </c>
    </row>
    <row r="155" spans="1:32" ht="12.75" x14ac:dyDescent="0.2">
      <c r="A155" s="3">
        <f ca="1">'ETF price'!B157-'ETF price'!B156</f>
        <v>0.94999999999998863</v>
      </c>
      <c r="B155" s="3">
        <f ca="1">'ETF price'!C157-'ETF price'!C156</f>
        <v>2.3499999999999659</v>
      </c>
      <c r="C155" s="3">
        <f ca="1">'ETF price'!D157-'ETF price'!D156</f>
        <v>0.43000000000000682</v>
      </c>
      <c r="D155" s="3">
        <f ca="1">'ETF price'!E157-'ETF price'!E156</f>
        <v>0.53000000000000114</v>
      </c>
      <c r="E155" s="3">
        <f ca="1">'ETF price'!F157-'ETF price'!F156</f>
        <v>0.44999999999999574</v>
      </c>
      <c r="F155" s="3">
        <f ca="1">'ETF price'!G157-'ETF price'!G156</f>
        <v>3.9999999999999147E-2</v>
      </c>
      <c r="G155" s="3">
        <f ca="1">'ETF price'!H157-'ETF price'!H156</f>
        <v>6.0000000000002274E-2</v>
      </c>
      <c r="H155" s="3">
        <f ca="1">'ETF price'!I157-'ETF price'!I156</f>
        <v>0.66999999999998749</v>
      </c>
      <c r="I155" s="3">
        <f ca="1">'ETF price'!J157-'ETF price'!J156</f>
        <v>1.3899999999999864</v>
      </c>
      <c r="J155" s="3">
        <f ca="1">'ETF price'!K157-'ETF price'!K156</f>
        <v>2.2999999999999829</v>
      </c>
      <c r="K155" s="3">
        <f ca="1">'ETF price'!L157-'ETF price'!L156</f>
        <v>1.1200000000000045</v>
      </c>
      <c r="L155" s="3">
        <f ca="1">'ETF price'!M157-'ETF price'!M156</f>
        <v>0.68000000000000682</v>
      </c>
      <c r="M155" s="3">
        <f ca="1">'ETF price'!N157-'ETF price'!N156</f>
        <v>0.39999999999999147</v>
      </c>
      <c r="N155" s="3">
        <f ca="1">'ETF price'!O157-'ETF price'!O156</f>
        <v>0.52000000000001023</v>
      </c>
      <c r="O155" s="3">
        <f ca="1">'ETF price'!P157-'ETF price'!P156</f>
        <v>-1.5300000000000011</v>
      </c>
      <c r="P155" s="3">
        <f ca="1">'ETF price'!Q157-'ETF price'!Q156</f>
        <v>-2.289999999999992</v>
      </c>
      <c r="Q155" s="3">
        <f ca="1">'ETF price'!R157-'ETF price'!R156</f>
        <v>-5.0000000000011369E-2</v>
      </c>
      <c r="R155" s="3">
        <f ca="1">'ETF price'!S157-'ETF price'!S156</f>
        <v>-0.8300000000000054</v>
      </c>
      <c r="S155" s="3">
        <f ca="1">'ETF price'!T157-'ETF price'!T156</f>
        <v>-0.32000000000000028</v>
      </c>
      <c r="T155" s="3">
        <f ca="1">'ETF price'!U157-'ETF price'!U156</f>
        <v>-2.1000000000000085</v>
      </c>
      <c r="U155" s="3">
        <f ca="1">'ETF price'!V157-'ETF price'!V156</f>
        <v>-0.18999999999999773</v>
      </c>
      <c r="V155" s="3">
        <f ca="1">'ETF price'!W157-'ETF price'!W156</f>
        <v>-1.0000000000005116E-2</v>
      </c>
      <c r="W155" s="3">
        <f ca="1">'ETF price'!X157-'ETF price'!X156</f>
        <v>8.0000000000012506E-2</v>
      </c>
      <c r="X155" s="3">
        <f ca="1">'ETF price'!Y157-'ETF price'!Y156</f>
        <v>0.18999999999999773</v>
      </c>
      <c r="Y155" s="3">
        <f ca="1">'ETF price'!Z157-'ETF price'!Z156</f>
        <v>7.000000000000739E-2</v>
      </c>
      <c r="Z155" s="3">
        <f ca="1">'ETF price'!AA157-'ETF price'!AA156</f>
        <v>0.20000000000000284</v>
      </c>
      <c r="AA155" s="3">
        <f ca="1">'ETF price'!AB157-'ETF price'!AB156</f>
        <v>0.35000000000000853</v>
      </c>
      <c r="AB155" s="3">
        <f ca="1">'ETF price'!AC157-'ETF price'!AC156</f>
        <v>0.21999999999999886</v>
      </c>
      <c r="AC155" s="3">
        <f ca="1">'ETF price'!AD157-'ETF price'!AD156</f>
        <v>-8.0000000000000071E-2</v>
      </c>
      <c r="AD155" s="3">
        <f ca="1">'ETF price'!AE157-'ETF price'!AE156</f>
        <v>-0.16000000000000014</v>
      </c>
      <c r="AE155" s="3">
        <f ca="1">'ETF price'!AF157-'ETF price'!AF156</f>
        <v>0.25</v>
      </c>
      <c r="AF155" s="3">
        <f ca="1">'ETF price'!AG157-'ETF price'!AG156</f>
        <v>0.19999999999999574</v>
      </c>
    </row>
    <row r="156" spans="1:32" ht="12.75" x14ac:dyDescent="0.2">
      <c r="A156" s="3">
        <f ca="1">'ETF price'!B158-'ETF price'!B157</f>
        <v>-0.40999999999999659</v>
      </c>
      <c r="B156" s="3">
        <f ca="1">'ETF price'!C158-'ETF price'!C157</f>
        <v>-1.3599999999999568</v>
      </c>
      <c r="C156" s="3">
        <f ca="1">'ETF price'!D158-'ETF price'!D157</f>
        <v>-0.43999999999999773</v>
      </c>
      <c r="D156" s="3">
        <f ca="1">'ETF price'!E158-'ETF price'!E157</f>
        <v>-1.4500000000000171</v>
      </c>
      <c r="E156" s="3">
        <f ca="1">'ETF price'!F158-'ETF price'!F157</f>
        <v>3.0000000000001137E-2</v>
      </c>
      <c r="F156" s="3">
        <f ca="1">'ETF price'!G158-'ETF price'!G157</f>
        <v>-0.25</v>
      </c>
      <c r="G156" s="3">
        <f ca="1">'ETF price'!H158-'ETF price'!H157</f>
        <v>-5.0000000000000711E-2</v>
      </c>
      <c r="H156" s="3">
        <f ca="1">'ETF price'!I158-'ETF price'!I157</f>
        <v>-0.35999999999998522</v>
      </c>
      <c r="I156" s="3">
        <f ca="1">'ETF price'!J158-'ETF price'!J157</f>
        <v>-1.2199999999999989</v>
      </c>
      <c r="J156" s="3">
        <f ca="1">'ETF price'!K158-'ETF price'!K157</f>
        <v>-1.8299999999999841</v>
      </c>
      <c r="K156" s="3">
        <f ca="1">'ETF price'!L158-'ETF price'!L157</f>
        <v>-2.5100000000000051</v>
      </c>
      <c r="L156" s="3">
        <f ca="1">'ETF price'!M158-'ETF price'!M157</f>
        <v>-0.70000000000000284</v>
      </c>
      <c r="M156" s="3">
        <f ca="1">'ETF price'!N158-'ETF price'!N157</f>
        <v>-0.31000000000000227</v>
      </c>
      <c r="N156" s="3">
        <f ca="1">'ETF price'!O158-'ETF price'!O157</f>
        <v>-2.4400000000000048</v>
      </c>
      <c r="O156" s="3">
        <f ca="1">'ETF price'!P158-'ETF price'!P157</f>
        <v>-0.17999999999999261</v>
      </c>
      <c r="P156" s="3">
        <f ca="1">'ETF price'!Q158-'ETF price'!Q157</f>
        <v>-0.10999999999999943</v>
      </c>
      <c r="Q156" s="3">
        <f ca="1">'ETF price'!R158-'ETF price'!R157</f>
        <v>0.45000000000000284</v>
      </c>
      <c r="R156" s="3">
        <f ca="1">'ETF price'!S158-'ETF price'!S157</f>
        <v>0.45000000000000284</v>
      </c>
      <c r="S156" s="3">
        <f ca="1">'ETF price'!T158-'ETF price'!T157</f>
        <v>-0.28999999999999915</v>
      </c>
      <c r="T156" s="3">
        <f ca="1">'ETF price'!U158-'ETF price'!U157</f>
        <v>-1.6400000000000006</v>
      </c>
      <c r="U156" s="3">
        <f ca="1">'ETF price'!V158-'ETF price'!V157</f>
        <v>-1.2399999999999949</v>
      </c>
      <c r="V156" s="3">
        <f ca="1">'ETF price'!W158-'ETF price'!W157</f>
        <v>0.26000000000000512</v>
      </c>
      <c r="W156" s="3">
        <f ca="1">'ETF price'!X158-'ETF price'!X157</f>
        <v>0.52999999999998693</v>
      </c>
      <c r="X156" s="3">
        <f ca="1">'ETF price'!Y158-'ETF price'!Y157</f>
        <v>0.5</v>
      </c>
      <c r="Y156" s="3">
        <f ca="1">'ETF price'!Z158-'ETF price'!Z157</f>
        <v>0.45999999999999375</v>
      </c>
      <c r="Z156" s="3">
        <f ca="1">'ETF price'!AA158-'ETF price'!AA157</f>
        <v>-0.17999999999999972</v>
      </c>
      <c r="AA156" s="3">
        <f ca="1">'ETF price'!AB158-'ETF price'!AB157</f>
        <v>0.60999999999999943</v>
      </c>
      <c r="AB156" s="3">
        <f ca="1">'ETF price'!AC158-'ETF price'!AC157</f>
        <v>0.29999999999999716</v>
      </c>
      <c r="AC156" s="3">
        <f ca="1">'ETF price'!AD158-'ETF price'!AD157</f>
        <v>-2.000000000000135E-2</v>
      </c>
      <c r="AD156" s="3">
        <f ca="1">'ETF price'!AE158-'ETF price'!AE157</f>
        <v>-3.0000000000001137E-2</v>
      </c>
      <c r="AE156" s="3">
        <f ca="1">'ETF price'!AF158-'ETF price'!AF157</f>
        <v>-2.0000000000000018E-2</v>
      </c>
      <c r="AF156" s="3">
        <f ca="1">'ETF price'!AG158-'ETF price'!AG157</f>
        <v>-1.8399999999999963</v>
      </c>
    </row>
    <row r="157" spans="1:32" ht="12.75" x14ac:dyDescent="0.2">
      <c r="A157" s="3">
        <f ca="1">'ETF price'!B159-'ETF price'!B158</f>
        <v>-1.0800000000000125</v>
      </c>
      <c r="B157" s="3">
        <f ca="1">'ETF price'!C159-'ETF price'!C158</f>
        <v>-3.2800000000000296</v>
      </c>
      <c r="C157" s="3">
        <f ca="1">'ETF price'!D159-'ETF price'!D158</f>
        <v>-1.0499999999999972</v>
      </c>
      <c r="D157" s="3">
        <f ca="1">'ETF price'!E159-'ETF price'!E158</f>
        <v>-3.3700000000000045</v>
      </c>
      <c r="E157" s="3">
        <f ca="1">'ETF price'!F159-'ETF price'!F158</f>
        <v>-0.85000000000000142</v>
      </c>
      <c r="F157" s="3">
        <f ca="1">'ETF price'!G159-'ETF price'!G158</f>
        <v>-0.5</v>
      </c>
      <c r="G157" s="3">
        <f ca="1">'ETF price'!H159-'ETF price'!H158</f>
        <v>-0.62000000000000099</v>
      </c>
      <c r="H157" s="3">
        <f ca="1">'ETF price'!I159-'ETF price'!I158</f>
        <v>-0.78000000000000114</v>
      </c>
      <c r="I157" s="3">
        <f ca="1">'ETF price'!J159-'ETF price'!J158</f>
        <v>-1.9399999999999977</v>
      </c>
      <c r="J157" s="3">
        <f ca="1">'ETF price'!K159-'ETF price'!K158</f>
        <v>-2.5900000000000034</v>
      </c>
      <c r="K157" s="3">
        <f ca="1">'ETF price'!L159-'ETF price'!L158</f>
        <v>-2.8200000000000074</v>
      </c>
      <c r="L157" s="3">
        <f ca="1">'ETF price'!M159-'ETF price'!M158</f>
        <v>-1.0799999999999983</v>
      </c>
      <c r="M157" s="3">
        <f ca="1">'ETF price'!N159-'ETF price'!N158</f>
        <v>-0.50999999999999801</v>
      </c>
      <c r="N157" s="3">
        <f ca="1">'ETF price'!O159-'ETF price'!O158</f>
        <v>-2.1199999999999974</v>
      </c>
      <c r="O157" s="3">
        <f ca="1">'ETF price'!P159-'ETF price'!P158</f>
        <v>0.64000000000000057</v>
      </c>
      <c r="P157" s="3">
        <f ca="1">'ETF price'!Q159-'ETF price'!Q158</f>
        <v>0.84000000000000341</v>
      </c>
      <c r="Q157" s="3">
        <f ca="1">'ETF price'!R159-'ETF price'!R158</f>
        <v>-1.1199999999999903</v>
      </c>
      <c r="R157" s="3">
        <f ca="1">'ETF price'!S159-'ETF price'!S158</f>
        <v>-1.3900000000000006</v>
      </c>
      <c r="S157" s="3">
        <f ca="1">'ETF price'!T159-'ETF price'!T158</f>
        <v>9.9999999999997868E-2</v>
      </c>
      <c r="T157" s="3">
        <f ca="1">'ETF price'!U159-'ETF price'!U158</f>
        <v>0.81000000000000227</v>
      </c>
      <c r="U157" s="3">
        <f ca="1">'ETF price'!V159-'ETF price'!V158</f>
        <v>-1.0200000000000102</v>
      </c>
      <c r="V157" s="3">
        <f ca="1">'ETF price'!W159-'ETF price'!W158</f>
        <v>-0.17999999999999972</v>
      </c>
      <c r="W157" s="3">
        <f ca="1">'ETF price'!X159-'ETF price'!X158</f>
        <v>-0.48999999999999488</v>
      </c>
      <c r="X157" s="3">
        <f ca="1">'ETF price'!Y159-'ETF price'!Y158</f>
        <v>-0.60000000000000142</v>
      </c>
      <c r="Y157" s="3">
        <f ca="1">'ETF price'!Z159-'ETF price'!Z158</f>
        <v>-0.42999999999999261</v>
      </c>
      <c r="Z157" s="3">
        <f ca="1">'ETF price'!AA159-'ETF price'!AA158</f>
        <v>-0.13000000000000256</v>
      </c>
      <c r="AA157" s="3">
        <f ca="1">'ETF price'!AB159-'ETF price'!AB158</f>
        <v>-0.80000000000001137</v>
      </c>
      <c r="AB157" s="3">
        <f ca="1">'ETF price'!AC159-'ETF price'!AC158</f>
        <v>-0.46999999999999886</v>
      </c>
      <c r="AC157" s="3">
        <f ca="1">'ETF price'!AD159-'ETF price'!AD158</f>
        <v>-0.27999999999999936</v>
      </c>
      <c r="AD157" s="3">
        <f ca="1">'ETF price'!AE159-'ETF price'!AE158</f>
        <v>-0.45999999999999908</v>
      </c>
      <c r="AE157" s="3">
        <f ca="1">'ETF price'!AF159-'ETF price'!AF158</f>
        <v>-0.11999999999999966</v>
      </c>
      <c r="AF157" s="3">
        <f ca="1">'ETF price'!AG159-'ETF price'!AG158</f>
        <v>-2.3599999999999994</v>
      </c>
    </row>
    <row r="158" spans="1:32" ht="12.75" x14ac:dyDescent="0.2">
      <c r="A158" s="3">
        <f ca="1">'ETF price'!B160-'ETF price'!B159</f>
        <v>0.78000000000000114</v>
      </c>
      <c r="B158" s="3">
        <f ca="1">'ETF price'!C160-'ETF price'!C159</f>
        <v>2.0200000000000387</v>
      </c>
      <c r="C158" s="3">
        <f ca="1">'ETF price'!D160-'ETF price'!D159</f>
        <v>0.39999999999999147</v>
      </c>
      <c r="D158" s="3">
        <f ca="1">'ETF price'!E160-'ETF price'!E159</f>
        <v>3.1100000000000136</v>
      </c>
      <c r="E158" s="3">
        <f ca="1">'ETF price'!F160-'ETF price'!F159</f>
        <v>0.32000000000000028</v>
      </c>
      <c r="F158" s="3">
        <f ca="1">'ETF price'!G160-'ETF price'!G159</f>
        <v>0</v>
      </c>
      <c r="G158" s="3">
        <f ca="1">'ETF price'!H160-'ETF price'!H159</f>
        <v>8.9999999999999858E-2</v>
      </c>
      <c r="H158" s="3">
        <f ca="1">'ETF price'!I160-'ETF price'!I159</f>
        <v>-0.59000000000000341</v>
      </c>
      <c r="I158" s="3">
        <f ca="1">'ETF price'!J160-'ETF price'!J159</f>
        <v>-1.0900000000000034</v>
      </c>
      <c r="J158" s="3">
        <f ca="1">'ETF price'!K160-'ETF price'!K159</f>
        <v>-1.4800000000000182</v>
      </c>
      <c r="K158" s="3">
        <f ca="1">'ETF price'!L160-'ETF price'!L159</f>
        <v>-0.69999999999998863</v>
      </c>
      <c r="L158" s="3">
        <f ca="1">'ETF price'!M160-'ETF price'!M159</f>
        <v>-0.18000000000000682</v>
      </c>
      <c r="M158" s="3">
        <f ca="1">'ETF price'!N160-'ETF price'!N159</f>
        <v>-0.30999999999999517</v>
      </c>
      <c r="N158" s="3">
        <f ca="1">'ETF price'!O160-'ETF price'!O159</f>
        <v>-0.96000000000000085</v>
      </c>
      <c r="O158" s="3">
        <f ca="1">'ETF price'!P160-'ETF price'!P159</f>
        <v>2.0799999999999983</v>
      </c>
      <c r="P158" s="3">
        <f ca="1">'ETF price'!Q160-'ETF price'!Q159</f>
        <v>3.2299999999999898</v>
      </c>
      <c r="Q158" s="3">
        <f ca="1">'ETF price'!R160-'ETF price'!R159</f>
        <v>0.25</v>
      </c>
      <c r="R158" s="3">
        <f ca="1">'ETF price'!S160-'ETF price'!S159</f>
        <v>1.2199999999999989</v>
      </c>
      <c r="S158" s="3">
        <f ca="1">'ETF price'!T160-'ETF price'!T159</f>
        <v>0.39000000000000057</v>
      </c>
      <c r="T158" s="3">
        <f ca="1">'ETF price'!U160-'ETF price'!U159</f>
        <v>2.1599999999999966</v>
      </c>
      <c r="U158" s="3">
        <f ca="1">'ETF price'!V160-'ETF price'!V159</f>
        <v>1.0400000000000063</v>
      </c>
      <c r="V158" s="3">
        <f ca="1">'ETF price'!W160-'ETF price'!W159</f>
        <v>3.9999999999999147E-2</v>
      </c>
      <c r="W158" s="3">
        <f ca="1">'ETF price'!X160-'ETF price'!X159</f>
        <v>0.12999999999999545</v>
      </c>
      <c r="X158" s="3">
        <f ca="1">'ETF price'!Y160-'ETF price'!Y159</f>
        <v>0.16000000000000369</v>
      </c>
      <c r="Y158" s="3">
        <f ca="1">'ETF price'!Z160-'ETF price'!Z159</f>
        <v>0.19999999999998863</v>
      </c>
      <c r="Z158" s="3">
        <f ca="1">'ETF price'!AA160-'ETF price'!AA159</f>
        <v>-0.31000000000000227</v>
      </c>
      <c r="AA158" s="3">
        <f ca="1">'ETF price'!AB160-'ETF price'!AB159</f>
        <v>0.21000000000000796</v>
      </c>
      <c r="AB158" s="3">
        <f ca="1">'ETF price'!AC160-'ETF price'!AC159</f>
        <v>6.0000000000002274E-2</v>
      </c>
      <c r="AC158" s="3">
        <f ca="1">'ETF price'!AD160-'ETF price'!AD159</f>
        <v>4.0000000000000924E-2</v>
      </c>
      <c r="AD158" s="3">
        <f ca="1">'ETF price'!AE160-'ETF price'!AE159</f>
        <v>8.0000000000000071E-2</v>
      </c>
      <c r="AE158" s="3">
        <f ca="1">'ETF price'!AF160-'ETF price'!AF159</f>
        <v>-0.20000000000000018</v>
      </c>
      <c r="AF158" s="3">
        <f ca="1">'ETF price'!AG160-'ETF price'!AG159</f>
        <v>-0.52000000000000313</v>
      </c>
    </row>
    <row r="159" spans="1:32" ht="12.75" x14ac:dyDescent="0.2">
      <c r="A159" s="3">
        <f ca="1">'ETF price'!B161-'ETF price'!B160</f>
        <v>-2.7399999999999807</v>
      </c>
      <c r="B159" s="3">
        <f ca="1">'ETF price'!C161-'ETF price'!C160</f>
        <v>-7.4800000000000182</v>
      </c>
      <c r="C159" s="3">
        <f ca="1">'ETF price'!D161-'ETF price'!D160</f>
        <v>-2.0600000000000023</v>
      </c>
      <c r="D159" s="3">
        <f ca="1">'ETF price'!E161-'ETF price'!E160</f>
        <v>-3.7700000000000102</v>
      </c>
      <c r="E159" s="3">
        <f ca="1">'ETF price'!F161-'ETF price'!F160</f>
        <v>-1.0599999999999952</v>
      </c>
      <c r="F159" s="3">
        <f ca="1">'ETF price'!G161-'ETF price'!G160</f>
        <v>-0.73000000000000043</v>
      </c>
      <c r="G159" s="3">
        <f ca="1">'ETF price'!H161-'ETF price'!H160</f>
        <v>-0.62000000000000099</v>
      </c>
      <c r="H159" s="3">
        <f ca="1">'ETF price'!I161-'ETF price'!I160</f>
        <v>0.35999999999998522</v>
      </c>
      <c r="I159" s="3">
        <f ca="1">'ETF price'!J161-'ETF price'!J160</f>
        <v>6.9999999999993179E-2</v>
      </c>
      <c r="J159" s="3">
        <f ca="1">'ETF price'!K161-'ETF price'!K160</f>
        <v>-1.2699999999999818</v>
      </c>
      <c r="K159" s="3">
        <f ca="1">'ETF price'!L161-'ETF price'!L160</f>
        <v>-1.6000000000000085</v>
      </c>
      <c r="L159" s="3">
        <f ca="1">'ETF price'!M161-'ETF price'!M160</f>
        <v>-0.14999999999999147</v>
      </c>
      <c r="M159" s="3">
        <f ca="1">'ETF price'!N161-'ETF price'!N160</f>
        <v>4.9999999999997158E-2</v>
      </c>
      <c r="N159" s="3">
        <f ca="1">'ETF price'!O161-'ETF price'!O160</f>
        <v>-2</v>
      </c>
      <c r="O159" s="3">
        <f ca="1">'ETF price'!P161-'ETF price'!P160</f>
        <v>-2.0000000000010232E-2</v>
      </c>
      <c r="P159" s="3">
        <f ca="1">'ETF price'!Q161-'ETF price'!Q160</f>
        <v>-0.25999999999999091</v>
      </c>
      <c r="Q159" s="3">
        <f ca="1">'ETF price'!R161-'ETF price'!R160</f>
        <v>-1.480000000000004</v>
      </c>
      <c r="R159" s="3">
        <f ca="1">'ETF price'!S161-'ETF price'!S160</f>
        <v>-1.6699999999999946</v>
      </c>
      <c r="S159" s="3">
        <f ca="1">'ETF price'!T161-'ETF price'!T160</f>
        <v>-9.9999999999980105E-3</v>
      </c>
      <c r="T159" s="3">
        <f ca="1">'ETF price'!U161-'ETF price'!U160</f>
        <v>-0.14999999999999147</v>
      </c>
      <c r="U159" s="3">
        <f ca="1">'ETF price'!V161-'ETF price'!V160</f>
        <v>-2.8500000000000085</v>
      </c>
      <c r="V159" s="3">
        <f ca="1">'ETF price'!W161-'ETF price'!W160</f>
        <v>-0.71000000000000085</v>
      </c>
      <c r="W159" s="3">
        <f ca="1">'ETF price'!X161-'ETF price'!X160</f>
        <v>-1.7599999999999909</v>
      </c>
      <c r="X159" s="3">
        <f ca="1">'ETF price'!Y161-'ETF price'!Y160</f>
        <v>-0.92000000000000171</v>
      </c>
      <c r="Y159" s="3">
        <f ca="1">'ETF price'!Z161-'ETF price'!Z160</f>
        <v>-1.7099999999999937</v>
      </c>
      <c r="Z159" s="3">
        <f ca="1">'ETF price'!AA161-'ETF price'!AA160</f>
        <v>-0.43999999999999773</v>
      </c>
      <c r="AA159" s="3">
        <f ca="1">'ETF price'!AB161-'ETF price'!AB160</f>
        <v>-1.1099999999999994</v>
      </c>
      <c r="AB159" s="3">
        <f ca="1">'ETF price'!AC161-'ETF price'!AC160</f>
        <v>-1.1599999999999966</v>
      </c>
      <c r="AC159" s="3">
        <f ca="1">'ETF price'!AD161-'ETF price'!AD160</f>
        <v>-0.8100000000000005</v>
      </c>
      <c r="AD159" s="3">
        <f ca="1">'ETF price'!AE161-'ETF price'!AE160</f>
        <v>-1.3100000000000005</v>
      </c>
      <c r="AE159" s="3">
        <f ca="1">'ETF price'!AF161-'ETF price'!AF160</f>
        <v>-6.999999999999984E-2</v>
      </c>
      <c r="AF159" s="3">
        <f ca="1">'ETF price'!AG161-'ETF price'!AG160</f>
        <v>-3.4399999999999977</v>
      </c>
    </row>
    <row r="160" spans="1:32" ht="12.75" x14ac:dyDescent="0.2">
      <c r="A160" s="3">
        <f ca="1">'ETF price'!B162-'ETF price'!B161</f>
        <v>-4.1300000000000239</v>
      </c>
      <c r="B160" s="3">
        <f ca="1">'ETF price'!C162-'ETF price'!C161</f>
        <v>-10.449999999999989</v>
      </c>
      <c r="C160" s="3">
        <f ca="1">'ETF price'!D162-'ETF price'!D161</f>
        <v>-2.6299999999999955</v>
      </c>
      <c r="D160" s="3">
        <f ca="1">'ETF price'!E162-'ETF price'!E161</f>
        <v>-5.0999999999999943</v>
      </c>
      <c r="E160" s="3">
        <f ca="1">'ETF price'!F162-'ETF price'!F161</f>
        <v>-0.95000000000000284</v>
      </c>
      <c r="F160" s="3">
        <f ca="1">'ETF price'!G162-'ETF price'!G161</f>
        <v>-0.71000000000000085</v>
      </c>
      <c r="G160" s="3">
        <f ca="1">'ETF price'!H162-'ETF price'!H161</f>
        <v>-0.59999999999999787</v>
      </c>
      <c r="H160" s="3">
        <f ca="1">'ETF price'!I162-'ETF price'!I161</f>
        <v>-1.7399999999999807</v>
      </c>
      <c r="I160" s="3">
        <f ca="1">'ETF price'!J162-'ETF price'!J161</f>
        <v>-3.2999999999999829</v>
      </c>
      <c r="J160" s="3">
        <f ca="1">'ETF price'!K162-'ETF price'!K161</f>
        <v>-2.0400000000000063</v>
      </c>
      <c r="K160" s="3">
        <f ca="1">'ETF price'!L162-'ETF price'!L161</f>
        <v>-1.3399999999999892</v>
      </c>
      <c r="L160" s="3">
        <f ca="1">'ETF price'!M162-'ETF price'!M161</f>
        <v>-1.0800000000000054</v>
      </c>
      <c r="M160" s="3">
        <f ca="1">'ETF price'!N162-'ETF price'!N161</f>
        <v>-0.86999999999999744</v>
      </c>
      <c r="N160" s="3">
        <f ca="1">'ETF price'!O162-'ETF price'!O161</f>
        <v>-1.2800000000000011</v>
      </c>
      <c r="O160" s="3">
        <f ca="1">'ETF price'!P162-'ETF price'!P161</f>
        <v>-0.14999999999999147</v>
      </c>
      <c r="P160" s="3">
        <f ca="1">'ETF price'!Q162-'ETF price'!Q161</f>
        <v>-0.13000000000000966</v>
      </c>
      <c r="Q160" s="3">
        <f ca="1">'ETF price'!R162-'ETF price'!R161</f>
        <v>-1.2600000000000051</v>
      </c>
      <c r="R160" s="3">
        <f ca="1">'ETF price'!S162-'ETF price'!S161</f>
        <v>-0.49000000000000199</v>
      </c>
      <c r="S160" s="3">
        <f ca="1">'ETF price'!T162-'ETF price'!T161</f>
        <v>0.23000000000000043</v>
      </c>
      <c r="T160" s="3">
        <f ca="1">'ETF price'!U162-'ETF price'!U161</f>
        <v>0.62000000000000455</v>
      </c>
      <c r="U160" s="3">
        <f ca="1">'ETF price'!V162-'ETF price'!V161</f>
        <v>-1.4899999999999949</v>
      </c>
      <c r="V160" s="3">
        <f ca="1">'ETF price'!W162-'ETF price'!W161</f>
        <v>-0.77000000000000313</v>
      </c>
      <c r="W160" s="3">
        <f ca="1">'ETF price'!X162-'ETF price'!X161</f>
        <v>-1.8800000000000097</v>
      </c>
      <c r="X160" s="3">
        <f ca="1">'ETF price'!Y162-'ETF price'!Y161</f>
        <v>-1.25</v>
      </c>
      <c r="Y160" s="3">
        <f ca="1">'ETF price'!Z162-'ETF price'!Z161</f>
        <v>-1.6400000000000006</v>
      </c>
      <c r="Z160" s="3">
        <f ca="1">'ETF price'!AA162-'ETF price'!AA161</f>
        <v>-0.92999999999999972</v>
      </c>
      <c r="AA160" s="3">
        <f ca="1">'ETF price'!AB162-'ETF price'!AB161</f>
        <v>-1.5799999999999983</v>
      </c>
      <c r="AB160" s="3">
        <f ca="1">'ETF price'!AC162-'ETF price'!AC161</f>
        <v>-1.1700000000000017</v>
      </c>
      <c r="AC160" s="3">
        <f ca="1">'ETF price'!AD162-'ETF price'!AD161</f>
        <v>-9.9999999999999645E-2</v>
      </c>
      <c r="AD160" s="3">
        <f ca="1">'ETF price'!AE162-'ETF price'!AE161</f>
        <v>-0.15000000000000036</v>
      </c>
      <c r="AE160" s="3">
        <f ca="1">'ETF price'!AF162-'ETF price'!AF161</f>
        <v>-0.29000000000000004</v>
      </c>
      <c r="AF160" s="3">
        <f ca="1">'ETF price'!AG162-'ETF price'!AG161</f>
        <v>-1.2800000000000011</v>
      </c>
    </row>
    <row r="161" spans="1:32" ht="12.75" x14ac:dyDescent="0.2">
      <c r="A161" s="3">
        <f ca="1">'ETF price'!B163-'ETF price'!B162</f>
        <v>-0.37999999999999545</v>
      </c>
      <c r="B161" s="3">
        <f ca="1">'ETF price'!C163-'ETF price'!C162</f>
        <v>-0.87000000000000455</v>
      </c>
      <c r="C161" s="3">
        <f ca="1">'ETF price'!D163-'ETF price'!D162</f>
        <v>-0.20000000000000284</v>
      </c>
      <c r="D161" s="3">
        <f ca="1">'ETF price'!E163-'ETF price'!E162</f>
        <v>0.65000000000000568</v>
      </c>
      <c r="E161" s="3">
        <f ca="1">'ETF price'!F163-'ETF price'!F162</f>
        <v>0.39999999999999858</v>
      </c>
      <c r="F161" s="3">
        <f ca="1">'ETF price'!G163-'ETF price'!G162</f>
        <v>-9.9999999999980105E-3</v>
      </c>
      <c r="G161" s="3">
        <f ca="1">'ETF price'!H163-'ETF price'!H162</f>
        <v>9.9999999999980105E-3</v>
      </c>
      <c r="H161" s="3">
        <f ca="1">'ETF price'!I163-'ETF price'!I162</f>
        <v>-1.8300000000000125</v>
      </c>
      <c r="I161" s="3">
        <f ca="1">'ETF price'!J163-'ETF price'!J162</f>
        <v>-2.8700000000000045</v>
      </c>
      <c r="J161" s="3">
        <f ca="1">'ETF price'!K163-'ETF price'!K162</f>
        <v>-0.23999999999999488</v>
      </c>
      <c r="K161" s="3">
        <f ca="1">'ETF price'!L163-'ETF price'!L162</f>
        <v>1.8499999999999943</v>
      </c>
      <c r="L161" s="3">
        <f ca="1">'ETF price'!M163-'ETF price'!M162</f>
        <v>-0.19999999999999574</v>
      </c>
      <c r="M161" s="3">
        <f ca="1">'ETF price'!N163-'ETF price'!N162</f>
        <v>-0.75</v>
      </c>
      <c r="N161" s="3">
        <f ca="1">'ETF price'!O163-'ETF price'!O162</f>
        <v>0.82000000000000028</v>
      </c>
      <c r="O161" s="3">
        <f ca="1">'ETF price'!P163-'ETF price'!P162</f>
        <v>2.8599999999999994</v>
      </c>
      <c r="P161" s="3">
        <f ca="1">'ETF price'!Q163-'ETF price'!Q162</f>
        <v>3.8100000000000023</v>
      </c>
      <c r="Q161" s="3">
        <f ca="1">'ETF price'!R163-'ETF price'!R162</f>
        <v>0.77000000000001023</v>
      </c>
      <c r="R161" s="3">
        <f ca="1">'ETF price'!S163-'ETF price'!S162</f>
        <v>1.2199999999999989</v>
      </c>
      <c r="S161" s="3">
        <f ca="1">'ETF price'!T163-'ETF price'!T162</f>
        <v>0.42999999999999972</v>
      </c>
      <c r="T161" s="3">
        <f ca="1">'ETF price'!U163-'ETF price'!U162</f>
        <v>2.1499999999999915</v>
      </c>
      <c r="U161" s="3">
        <f ca="1">'ETF price'!V163-'ETF price'!V162</f>
        <v>0.59000000000000341</v>
      </c>
      <c r="V161" s="3">
        <f ca="1">'ETF price'!W163-'ETF price'!W162</f>
        <v>-0.14000000000000057</v>
      </c>
      <c r="W161" s="3">
        <f ca="1">'ETF price'!X163-'ETF price'!X162</f>
        <v>-0.27999999999998693</v>
      </c>
      <c r="X161" s="3">
        <f ca="1">'ETF price'!Y163-'ETF price'!Y162</f>
        <v>-0.16000000000000369</v>
      </c>
      <c r="Y161" s="3">
        <f ca="1">'ETF price'!Z163-'ETF price'!Z162</f>
        <v>-0.25</v>
      </c>
      <c r="Z161" s="3">
        <f ca="1">'ETF price'!AA163-'ETF price'!AA162</f>
        <v>-0.65999999999999659</v>
      </c>
      <c r="AA161" s="3">
        <f ca="1">'ETF price'!AB163-'ETF price'!AB162</f>
        <v>-0.37000000000000455</v>
      </c>
      <c r="AB161" s="3">
        <f ca="1">'ETF price'!AC163-'ETF price'!AC162</f>
        <v>-0.24000000000000199</v>
      </c>
      <c r="AC161" s="3">
        <f ca="1">'ETF price'!AD163-'ETF price'!AD162</f>
        <v>0.19999999999999929</v>
      </c>
      <c r="AD161" s="3">
        <f ca="1">'ETF price'!AE163-'ETF price'!AE162</f>
        <v>0.32000000000000028</v>
      </c>
      <c r="AE161" s="3">
        <f ca="1">'ETF price'!AF163-'ETF price'!AF162</f>
        <v>-8.0000000000000071E-2</v>
      </c>
      <c r="AF161" s="3">
        <f ca="1">'ETF price'!AG163-'ETF price'!AG162</f>
        <v>0.80000000000000071</v>
      </c>
    </row>
    <row r="162" spans="1:32" ht="12.75" x14ac:dyDescent="0.2">
      <c r="A162" s="3">
        <f ca="1">'ETF price'!B164-'ETF price'!B163</f>
        <v>9.0000000000003411E-2</v>
      </c>
      <c r="B162" s="3">
        <f ca="1">'ETF price'!C164-'ETF price'!C163</f>
        <v>0.59999999999996589</v>
      </c>
      <c r="C162" s="3">
        <f ca="1">'ETF price'!D164-'ETF price'!D163</f>
        <v>0.21000000000000796</v>
      </c>
      <c r="D162" s="3">
        <f ca="1">'ETF price'!E164-'ETF price'!E163</f>
        <v>0.32999999999998408</v>
      </c>
      <c r="E162" s="3">
        <f ca="1">'ETF price'!F164-'ETF price'!F163</f>
        <v>0.24000000000000199</v>
      </c>
      <c r="F162" s="3">
        <f ca="1">'ETF price'!G164-'ETF price'!G163</f>
        <v>0.16999999999999815</v>
      </c>
      <c r="G162" s="3">
        <f ca="1">'ETF price'!H164-'ETF price'!H163</f>
        <v>0.20000000000000284</v>
      </c>
      <c r="H162" s="3">
        <f ca="1">'ETF price'!I164-'ETF price'!I163</f>
        <v>0.15999999999999659</v>
      </c>
      <c r="I162" s="3">
        <f ca="1">'ETF price'!J164-'ETF price'!J163</f>
        <v>0.81999999999999318</v>
      </c>
      <c r="J162" s="3">
        <f ca="1">'ETF price'!K164-'ETF price'!K163</f>
        <v>1.6999999999999886</v>
      </c>
      <c r="K162" s="3">
        <f ca="1">'ETF price'!L164-'ETF price'!L163</f>
        <v>1.8499999999999943</v>
      </c>
      <c r="L162" s="3">
        <f ca="1">'ETF price'!M164-'ETF price'!M163</f>
        <v>0.73999999999999488</v>
      </c>
      <c r="M162" s="3">
        <f ca="1">'ETF price'!N164-'ETF price'!N163</f>
        <v>0.25</v>
      </c>
      <c r="N162" s="3">
        <f ca="1">'ETF price'!O164-'ETF price'!O163</f>
        <v>2.1400000000000006</v>
      </c>
      <c r="O162" s="3">
        <f ca="1">'ETF price'!P164-'ETF price'!P163</f>
        <v>1.0100000000000051</v>
      </c>
      <c r="P162" s="3">
        <f ca="1">'ETF price'!Q164-'ETF price'!Q163</f>
        <v>1.4899999999999949</v>
      </c>
      <c r="Q162" s="3">
        <f ca="1">'ETF price'!R164-'ETF price'!R163</f>
        <v>0.16999999999998749</v>
      </c>
      <c r="R162" s="3">
        <f ca="1">'ETF price'!S164-'ETF price'!S163</f>
        <v>1.0900000000000034</v>
      </c>
      <c r="S162" s="3">
        <f ca="1">'ETF price'!T164-'ETF price'!T163</f>
        <v>0.27999999999999758</v>
      </c>
      <c r="T162" s="3">
        <f ca="1">'ETF price'!U164-'ETF price'!U163</f>
        <v>1.210000000000008</v>
      </c>
      <c r="U162" s="3">
        <f ca="1">'ETF price'!V164-'ETF price'!V163</f>
        <v>1.730000000000004</v>
      </c>
      <c r="V162" s="3">
        <f ca="1">'ETF price'!W164-'ETF price'!W163</f>
        <v>0.17999999999999972</v>
      </c>
      <c r="W162" s="3">
        <f ca="1">'ETF price'!X164-'ETF price'!X163</f>
        <v>0.32999999999999829</v>
      </c>
      <c r="X162" s="3">
        <f ca="1">'ETF price'!Y164-'ETF price'!Y163</f>
        <v>-0.11999999999999744</v>
      </c>
      <c r="Y162" s="3">
        <f ca="1">'ETF price'!Z164-'ETF price'!Z163</f>
        <v>0.37999999999999545</v>
      </c>
      <c r="Z162" s="3">
        <f ca="1">'ETF price'!AA164-'ETF price'!AA163</f>
        <v>0.33999999999999631</v>
      </c>
      <c r="AA162" s="3">
        <f ca="1">'ETF price'!AB164-'ETF price'!AB163</f>
        <v>-0.14000000000000057</v>
      </c>
      <c r="AB162" s="3">
        <f ca="1">'ETF price'!AC164-'ETF price'!AC163</f>
        <v>0.17000000000000171</v>
      </c>
      <c r="AC162" s="3">
        <f ca="1">'ETF price'!AD164-'ETF price'!AD163</f>
        <v>8.0000000000000071E-2</v>
      </c>
      <c r="AD162" s="3">
        <f ca="1">'ETF price'!AE164-'ETF price'!AE163</f>
        <v>9.9999999999999645E-2</v>
      </c>
      <c r="AE162" s="3">
        <f ca="1">'ETF price'!AF164-'ETF price'!AF163</f>
        <v>2.9999999999999805E-2</v>
      </c>
      <c r="AF162" s="3">
        <f ca="1">'ETF price'!AG164-'ETF price'!AG163</f>
        <v>0.35999999999999943</v>
      </c>
    </row>
    <row r="163" spans="1:32" ht="12.75" x14ac:dyDescent="0.2">
      <c r="A163" s="3">
        <f ca="1">'ETF price'!B165-'ETF price'!B164</f>
        <v>2.4300000000000068</v>
      </c>
      <c r="B163" s="3">
        <f ca="1">'ETF price'!C165-'ETF price'!C164</f>
        <v>6.7200000000000273</v>
      </c>
      <c r="C163" s="3">
        <f ca="1">'ETF price'!D165-'ETF price'!D164</f>
        <v>1.8599999999999994</v>
      </c>
      <c r="D163" s="3">
        <f ca="1">'ETF price'!E165-'ETF price'!E164</f>
        <v>4.8200000000000216</v>
      </c>
      <c r="E163" s="3">
        <f ca="1">'ETF price'!F165-'ETF price'!F164</f>
        <v>0.36999999999999744</v>
      </c>
      <c r="F163" s="3">
        <f ca="1">'ETF price'!G165-'ETF price'!G164</f>
        <v>0.35000000000000142</v>
      </c>
      <c r="G163" s="3">
        <f ca="1">'ETF price'!H165-'ETF price'!H164</f>
        <v>0.57999999999999829</v>
      </c>
      <c r="H163" s="3">
        <f ca="1">'ETF price'!I165-'ETF price'!I164</f>
        <v>1.4300000000000068</v>
      </c>
      <c r="I163" s="3">
        <f ca="1">'ETF price'!J165-'ETF price'!J164</f>
        <v>2.7199999999999989</v>
      </c>
      <c r="J163" s="3">
        <f ca="1">'ETF price'!K165-'ETF price'!K164</f>
        <v>0.38000000000000966</v>
      </c>
      <c r="K163" s="3">
        <f ca="1">'ETF price'!L165-'ETF price'!L164</f>
        <v>-0.25999999999999091</v>
      </c>
      <c r="L163" s="3">
        <f ca="1">'ETF price'!M165-'ETF price'!M164</f>
        <v>-9.9999999999994316E-2</v>
      </c>
      <c r="M163" s="3">
        <f ca="1">'ETF price'!N165-'ETF price'!N164</f>
        <v>0.64999999999999858</v>
      </c>
      <c r="N163" s="3">
        <f ca="1">'ETF price'!O165-'ETF price'!O164</f>
        <v>0.83999999999999631</v>
      </c>
      <c r="O163" s="3">
        <f ca="1">'ETF price'!P165-'ETF price'!P164</f>
        <v>0.63999999999998636</v>
      </c>
      <c r="P163" s="3">
        <f ca="1">'ETF price'!Q165-'ETF price'!Q164</f>
        <v>0.78000000000000114</v>
      </c>
      <c r="Q163" s="3">
        <f ca="1">'ETF price'!R165-'ETF price'!R164</f>
        <v>1.7900000000000063</v>
      </c>
      <c r="R163" s="3">
        <f ca="1">'ETF price'!S165-'ETF price'!S164</f>
        <v>1.3599999999999994</v>
      </c>
      <c r="S163" s="3">
        <f ca="1">'ETF price'!T165-'ETF price'!T164</f>
        <v>-0.37999999999999901</v>
      </c>
      <c r="T163" s="3">
        <f ca="1">'ETF price'!U165-'ETF price'!U164</f>
        <v>-1.5400000000000063</v>
      </c>
      <c r="U163" s="3">
        <f ca="1">'ETF price'!V165-'ETF price'!V164</f>
        <v>1.8399999999999892</v>
      </c>
      <c r="V163" s="3">
        <f ca="1">'ETF price'!W165-'ETF price'!W164</f>
        <v>0.53000000000000114</v>
      </c>
      <c r="W163" s="3">
        <f ca="1">'ETF price'!X165-'ETF price'!X164</f>
        <v>1.3199999999999932</v>
      </c>
      <c r="X163" s="3">
        <f ca="1">'ETF price'!Y165-'ETF price'!Y164</f>
        <v>0.78000000000000114</v>
      </c>
      <c r="Y163" s="3">
        <f ca="1">'ETF price'!Z165-'ETF price'!Z164</f>
        <v>1.1500000000000057</v>
      </c>
      <c r="Z163" s="3">
        <f ca="1">'ETF price'!AA165-'ETF price'!AA164</f>
        <v>0.67000000000000171</v>
      </c>
      <c r="AA163" s="3">
        <f ca="1">'ETF price'!AB165-'ETF price'!AB164</f>
        <v>0.96999999999999886</v>
      </c>
      <c r="AB163" s="3">
        <f ca="1">'ETF price'!AC165-'ETF price'!AC164</f>
        <v>0.85999999999999943</v>
      </c>
      <c r="AC163" s="3">
        <f ca="1">'ETF price'!AD165-'ETF price'!AD164</f>
        <v>-5.0000000000000711E-2</v>
      </c>
      <c r="AD163" s="3">
        <f ca="1">'ETF price'!AE165-'ETF price'!AE164</f>
        <v>-0.10999999999999943</v>
      </c>
      <c r="AE163" s="3">
        <f ca="1">'ETF price'!AF165-'ETF price'!AF164</f>
        <v>5.0000000000000266E-2</v>
      </c>
      <c r="AF163" s="3">
        <f ca="1">'ETF price'!AG165-'ETF price'!AG164</f>
        <v>0.16000000000000014</v>
      </c>
    </row>
    <row r="164" spans="1:32" ht="12.75" x14ac:dyDescent="0.2">
      <c r="A164" s="3">
        <f ca="1">'ETF price'!B166-'ETF price'!B165</f>
        <v>-6.2400000000000091</v>
      </c>
      <c r="B164" s="3">
        <f ca="1">'ETF price'!C166-'ETF price'!C165</f>
        <v>-15.95999999999998</v>
      </c>
      <c r="C164" s="3">
        <f ca="1">'ETF price'!D166-'ETF price'!D165</f>
        <v>-4.0700000000000074</v>
      </c>
      <c r="D164" s="3">
        <f ca="1">'ETF price'!E166-'ETF price'!E165</f>
        <v>-7.7300000000000182</v>
      </c>
      <c r="E164" s="3">
        <f ca="1">'ETF price'!F166-'ETF price'!F165</f>
        <v>-1.3399999999999963</v>
      </c>
      <c r="F164" s="3">
        <f ca="1">'ETF price'!G166-'ETF price'!G165</f>
        <v>-0.90000000000000213</v>
      </c>
      <c r="G164" s="3">
        <f ca="1">'ETF price'!H166-'ETF price'!H165</f>
        <v>-0.98999999999999844</v>
      </c>
      <c r="H164" s="3">
        <f ca="1">'ETF price'!I166-'ETF price'!I165</f>
        <v>-3.6499999999999915</v>
      </c>
      <c r="I164" s="3">
        <f ca="1">'ETF price'!J166-'ETF price'!J165</f>
        <v>-7.2400000000000091</v>
      </c>
      <c r="J164" s="3">
        <f ca="1">'ETF price'!K166-'ETF price'!K165</f>
        <v>-4.5</v>
      </c>
      <c r="K164" s="3">
        <f ca="1">'ETF price'!L166-'ETF price'!L165</f>
        <v>-4.3299999999999983</v>
      </c>
      <c r="L164" s="3">
        <f ca="1">'ETF price'!M166-'ETF price'!M165</f>
        <v>-2.0800000000000054</v>
      </c>
      <c r="M164" s="3">
        <f ca="1">'ETF price'!N166-'ETF price'!N165</f>
        <v>-1.8200000000000003</v>
      </c>
      <c r="N164" s="3">
        <f ca="1">'ETF price'!O166-'ETF price'!O165</f>
        <v>-3.519999999999996</v>
      </c>
      <c r="O164" s="3">
        <f ca="1">'ETF price'!P166-'ETF price'!P165</f>
        <v>-0.97999999999998977</v>
      </c>
      <c r="P164" s="3">
        <f ca="1">'ETF price'!Q166-'ETF price'!Q165</f>
        <v>-1.269999999999996</v>
      </c>
      <c r="Q164" s="3">
        <f ca="1">'ETF price'!R166-'ETF price'!R165</f>
        <v>-2.4699999999999989</v>
      </c>
      <c r="R164" s="3">
        <f ca="1">'ETF price'!S166-'ETF price'!S165</f>
        <v>-1.4000000000000057</v>
      </c>
      <c r="S164" s="3">
        <f ca="1">'ETF price'!T166-'ETF price'!T165</f>
        <v>0.10999999999999943</v>
      </c>
      <c r="T164" s="3">
        <f ca="1">'ETF price'!U166-'ETF price'!U165</f>
        <v>-0.65000000000000568</v>
      </c>
      <c r="U164" s="3">
        <f ca="1">'ETF price'!V166-'ETF price'!V165</f>
        <v>-1.769999999999996</v>
      </c>
      <c r="V164" s="3">
        <f ca="1">'ETF price'!W166-'ETF price'!W165</f>
        <v>-1.0399999999999991</v>
      </c>
      <c r="W164" s="3">
        <f ca="1">'ETF price'!X166-'ETF price'!X165</f>
        <v>-2.5699999999999932</v>
      </c>
      <c r="X164" s="3">
        <f ca="1">'ETF price'!Y166-'ETF price'!Y165</f>
        <v>-1.3800000000000026</v>
      </c>
      <c r="Y164" s="3">
        <f ca="1">'ETF price'!Z166-'ETF price'!Z165</f>
        <v>-2.3599999999999994</v>
      </c>
      <c r="Z164" s="3">
        <f ca="1">'ETF price'!AA166-'ETF price'!AA165</f>
        <v>-1.1200000000000045</v>
      </c>
      <c r="AA164" s="3">
        <f ca="1">'ETF price'!AB166-'ETF price'!AB165</f>
        <v>-1.5999999999999943</v>
      </c>
      <c r="AB164" s="3">
        <f ca="1">'ETF price'!AC166-'ETF price'!AC165</f>
        <v>-1.8800000000000026</v>
      </c>
      <c r="AC164" s="3">
        <f ca="1">'ETF price'!AD166-'ETF price'!AD165</f>
        <v>-0.4399999999999995</v>
      </c>
      <c r="AD164" s="3">
        <f ca="1">'ETF price'!AE166-'ETF price'!AE165</f>
        <v>-0.65000000000000036</v>
      </c>
      <c r="AE164" s="3">
        <f ca="1">'ETF price'!AF166-'ETF price'!AF165</f>
        <v>0</v>
      </c>
      <c r="AF164" s="3">
        <f ca="1">'ETF price'!AG166-'ETF price'!AG165</f>
        <v>-2.16</v>
      </c>
    </row>
    <row r="165" spans="1:32" ht="12.75" x14ac:dyDescent="0.2">
      <c r="A165" s="3">
        <f ca="1">'ETF price'!B167-'ETF price'!B166</f>
        <v>-1.8499999999999943</v>
      </c>
      <c r="B165" s="3">
        <f ca="1">'ETF price'!C167-'ETF price'!C166</f>
        <v>-4.660000000000025</v>
      </c>
      <c r="C165" s="3">
        <f ca="1">'ETF price'!D167-'ETF price'!D166</f>
        <v>-1.2599999999999909</v>
      </c>
      <c r="D165" s="3">
        <f ca="1">'ETF price'!E167-'ETF price'!E166</f>
        <v>-2.5999999999999943</v>
      </c>
      <c r="E165" s="3">
        <f ca="1">'ETF price'!F167-'ETF price'!F166</f>
        <v>-0.41000000000000369</v>
      </c>
      <c r="F165" s="3">
        <f ca="1">'ETF price'!G167-'ETF price'!G166</f>
        <v>-0.29999999999999716</v>
      </c>
      <c r="G165" s="3">
        <f ca="1">'ETF price'!H167-'ETF price'!H166</f>
        <v>-0.33999999999999986</v>
      </c>
      <c r="H165" s="3">
        <f ca="1">'ETF price'!I167-'ETF price'!I166</f>
        <v>-0.89000000000000057</v>
      </c>
      <c r="I165" s="3">
        <f ca="1">'ETF price'!J167-'ETF price'!J166</f>
        <v>-1.789999999999992</v>
      </c>
      <c r="J165" s="3">
        <f ca="1">'ETF price'!K167-'ETF price'!K166</f>
        <v>-0.85000000000000853</v>
      </c>
      <c r="K165" s="3">
        <f ca="1">'ETF price'!L167-'ETF price'!L166</f>
        <v>-1.0800000000000125</v>
      </c>
      <c r="L165" s="3">
        <f ca="1">'ETF price'!M167-'ETF price'!M166</f>
        <v>-0.77999999999999403</v>
      </c>
      <c r="M165" s="3">
        <f ca="1">'ETF price'!N167-'ETF price'!N166</f>
        <v>-0.48000000000000398</v>
      </c>
      <c r="N165" s="3">
        <f ca="1">'ETF price'!O167-'ETF price'!O166</f>
        <v>-0.96000000000000085</v>
      </c>
      <c r="O165" s="3">
        <f ca="1">'ETF price'!P167-'ETF price'!P166</f>
        <v>1.25</v>
      </c>
      <c r="P165" s="3">
        <f ca="1">'ETF price'!Q167-'ETF price'!Q166</f>
        <v>1.6200000000000045</v>
      </c>
      <c r="Q165" s="3">
        <f ca="1">'ETF price'!R167-'ETF price'!R166</f>
        <v>-0.54999999999999716</v>
      </c>
      <c r="R165" s="3">
        <f ca="1">'ETF price'!S167-'ETF price'!S166</f>
        <v>-0.29999999999999716</v>
      </c>
      <c r="S165" s="3">
        <f ca="1">'ETF price'!T167-'ETF price'!T166</f>
        <v>0.39000000000000057</v>
      </c>
      <c r="T165" s="3">
        <f ca="1">'ETF price'!U167-'ETF price'!U166</f>
        <v>2.8400000000000034</v>
      </c>
      <c r="U165" s="3">
        <f ca="1">'ETF price'!V167-'ETF price'!V166</f>
        <v>-1.0100000000000051</v>
      </c>
      <c r="V165" s="3">
        <f ca="1">'ETF price'!W167-'ETF price'!W166</f>
        <v>-0.24000000000000199</v>
      </c>
      <c r="W165" s="3">
        <f ca="1">'ETF price'!X167-'ETF price'!X166</f>
        <v>-0.69000000000001194</v>
      </c>
      <c r="X165" s="3">
        <f ca="1">'ETF price'!Y167-'ETF price'!Y166</f>
        <v>-0.68999999999999773</v>
      </c>
      <c r="Y165" s="3">
        <f ca="1">'ETF price'!Z167-'ETF price'!Z166</f>
        <v>-0.60000000000000853</v>
      </c>
      <c r="Z165" s="3">
        <f ca="1">'ETF price'!AA167-'ETF price'!AA166</f>
        <v>-0.36999999999999744</v>
      </c>
      <c r="AA165" s="3">
        <f ca="1">'ETF price'!AB167-'ETF price'!AB166</f>
        <v>-1.0000000000000071</v>
      </c>
      <c r="AB165" s="3">
        <f ca="1">'ETF price'!AC167-'ETF price'!AC166</f>
        <v>-0.42000000000000171</v>
      </c>
      <c r="AC165" s="3">
        <f ca="1">'ETF price'!AD167-'ETF price'!AD166</f>
        <v>-0.14999999999999947</v>
      </c>
      <c r="AD165" s="3">
        <f ca="1">'ETF price'!AE167-'ETF price'!AE166</f>
        <v>-0.26999999999999957</v>
      </c>
      <c r="AE165" s="3">
        <f ca="1">'ETF price'!AF167-'ETF price'!AF166</f>
        <v>-0.28000000000000025</v>
      </c>
      <c r="AF165" s="3">
        <f ca="1">'ETF price'!AG167-'ETF price'!AG166</f>
        <v>0.35999999999999943</v>
      </c>
    </row>
    <row r="166" spans="1:32" ht="12.75" x14ac:dyDescent="0.2">
      <c r="A166" s="3">
        <f ca="1">'ETF price'!B168-'ETF price'!B167</f>
        <v>-1.4399999999999977</v>
      </c>
      <c r="B166" s="3">
        <f ca="1">'ETF price'!C168-'ETF price'!C167</f>
        <v>-3.589999999999975</v>
      </c>
      <c r="C166" s="3">
        <f ca="1">'ETF price'!D168-'ETF price'!D167</f>
        <v>-0.82000000000000739</v>
      </c>
      <c r="D166" s="3">
        <f ca="1">'ETF price'!E168-'ETF price'!E167</f>
        <v>-1.4699999999999989</v>
      </c>
      <c r="E166" s="3">
        <f ca="1">'ETF price'!F168-'ETF price'!F167</f>
        <v>-0.21000000000000085</v>
      </c>
      <c r="F166" s="3">
        <f ca="1">'ETF price'!G168-'ETF price'!G167</f>
        <v>-0.20000000000000284</v>
      </c>
      <c r="G166" s="3">
        <f ca="1">'ETF price'!H168-'ETF price'!H167</f>
        <v>-0.21000000000000085</v>
      </c>
      <c r="H166" s="3">
        <f ca="1">'ETF price'!I168-'ETF price'!I167</f>
        <v>-0.84000000000000341</v>
      </c>
      <c r="I166" s="3">
        <f ca="1">'ETF price'!J168-'ETF price'!J167</f>
        <v>-1.8499999999999943</v>
      </c>
      <c r="J166" s="3">
        <f ca="1">'ETF price'!K168-'ETF price'!K167</f>
        <v>-0.95999999999999375</v>
      </c>
      <c r="K166" s="3">
        <f ca="1">'ETF price'!L168-'ETF price'!L167</f>
        <v>-0.85999999999999943</v>
      </c>
      <c r="L166" s="3">
        <f ca="1">'ETF price'!M168-'ETF price'!M167</f>
        <v>-0.52000000000000313</v>
      </c>
      <c r="M166" s="3">
        <f ca="1">'ETF price'!N168-'ETF price'!N167</f>
        <v>-0.43999999999999773</v>
      </c>
      <c r="N166" s="3">
        <f ca="1">'ETF price'!O168-'ETF price'!O167</f>
        <v>-0.48000000000000398</v>
      </c>
      <c r="O166" s="3">
        <f ca="1">'ETF price'!P168-'ETF price'!P167</f>
        <v>-2.8500000000000085</v>
      </c>
      <c r="P166" s="3">
        <f ca="1">'ETF price'!Q168-'ETF price'!Q167</f>
        <v>-4.2199999999999989</v>
      </c>
      <c r="Q166" s="3">
        <f ca="1">'ETF price'!R168-'ETF price'!R167</f>
        <v>-1.2700000000000102</v>
      </c>
      <c r="R166" s="3">
        <f ca="1">'ETF price'!S168-'ETF price'!S167</f>
        <v>-2.2199999999999989</v>
      </c>
      <c r="S166" s="3">
        <f ca="1">'ETF price'!T168-'ETF price'!T167</f>
        <v>-0.75</v>
      </c>
      <c r="T166" s="3">
        <f ca="1">'ETF price'!U168-'ETF price'!U167</f>
        <v>-3.2199999999999989</v>
      </c>
      <c r="U166" s="3">
        <f ca="1">'ETF price'!V168-'ETF price'!V167</f>
        <v>-1.0799999999999983</v>
      </c>
      <c r="V166" s="3">
        <f ca="1">'ETF price'!W168-'ETF price'!W167</f>
        <v>-0.17999999999999972</v>
      </c>
      <c r="W166" s="3">
        <f ca="1">'ETF price'!X168-'ETF price'!X167</f>
        <v>-0.38999999999998636</v>
      </c>
      <c r="X166" s="3">
        <f ca="1">'ETF price'!Y168-'ETF price'!Y167</f>
        <v>-0.11999999999999744</v>
      </c>
      <c r="Y166" s="3">
        <f ca="1">'ETF price'!Z168-'ETF price'!Z167</f>
        <v>-0.38999999999998636</v>
      </c>
      <c r="Z166" s="3">
        <f ca="1">'ETF price'!AA168-'ETF price'!AA167</f>
        <v>-0.60999999999999943</v>
      </c>
      <c r="AA166" s="3">
        <f ca="1">'ETF price'!AB168-'ETF price'!AB167</f>
        <v>-4.9999999999997158E-2</v>
      </c>
      <c r="AB166" s="3">
        <f ca="1">'ETF price'!AC168-'ETF price'!AC167</f>
        <v>-0.18999999999999773</v>
      </c>
      <c r="AC166" s="3">
        <f ca="1">'ETF price'!AD168-'ETF price'!AD167</f>
        <v>-9.0000000000000746E-2</v>
      </c>
      <c r="AD166" s="3">
        <f ca="1">'ETF price'!AE168-'ETF price'!AE167</f>
        <v>-0.14000000000000057</v>
      </c>
      <c r="AE166" s="3">
        <f ca="1">'ETF price'!AF168-'ETF price'!AF167</f>
        <v>0.15000000000000036</v>
      </c>
      <c r="AF166" s="3">
        <f ca="1">'ETF price'!AG168-'ETF price'!AG167</f>
        <v>-0.16000000000000014</v>
      </c>
    </row>
    <row r="167" spans="1:32" ht="12.75" x14ac:dyDescent="0.2">
      <c r="A167" s="3">
        <f ca="1">'ETF price'!B169-'ETF price'!B168</f>
        <v>-1.3300000000000125</v>
      </c>
      <c r="B167" s="3">
        <f ca="1">'ETF price'!C169-'ETF price'!C168</f>
        <v>-3.4400000000000546</v>
      </c>
      <c r="C167" s="3">
        <f ca="1">'ETF price'!D169-'ETF price'!D168</f>
        <v>-0.67000000000000171</v>
      </c>
      <c r="D167" s="3">
        <f ca="1">'ETF price'!E169-'ETF price'!E168</f>
        <v>-1.2999999999999972</v>
      </c>
      <c r="E167" s="3">
        <f ca="1">'ETF price'!F169-'ETF price'!F168</f>
        <v>-0.53999999999999915</v>
      </c>
      <c r="F167" s="3">
        <f ca="1">'ETF price'!G169-'ETF price'!G168</f>
        <v>-0.11999999999999744</v>
      </c>
      <c r="G167" s="3">
        <f ca="1">'ETF price'!H169-'ETF price'!H168</f>
        <v>-0.19999999999999929</v>
      </c>
      <c r="H167" s="3">
        <f ca="1">'ETF price'!I169-'ETF price'!I168</f>
        <v>-0.79999999999999716</v>
      </c>
      <c r="I167" s="3">
        <f ca="1">'ETF price'!J169-'ETF price'!J168</f>
        <v>-1.1899999999999977</v>
      </c>
      <c r="J167" s="3">
        <f ca="1">'ETF price'!K169-'ETF price'!K168</f>
        <v>0.31999999999999318</v>
      </c>
      <c r="K167" s="3">
        <f ca="1">'ETF price'!L169-'ETF price'!L168</f>
        <v>0.60000000000000853</v>
      </c>
      <c r="L167" s="3">
        <f ca="1">'ETF price'!M169-'ETF price'!M168</f>
        <v>-9.0000000000003411E-2</v>
      </c>
      <c r="M167" s="3">
        <f ca="1">'ETF price'!N169-'ETF price'!N168</f>
        <v>-0.31000000000000227</v>
      </c>
      <c r="N167" s="3">
        <f ca="1">'ETF price'!O169-'ETF price'!O168</f>
        <v>0.16000000000000369</v>
      </c>
      <c r="O167" s="3">
        <f ca="1">'ETF price'!P169-'ETF price'!P168</f>
        <v>-0.73999999999999488</v>
      </c>
      <c r="P167" s="3">
        <f ca="1">'ETF price'!Q169-'ETF price'!Q168</f>
        <v>-0.74000000000000909</v>
      </c>
      <c r="Q167" s="3">
        <f ca="1">'ETF price'!R169-'ETF price'!R168</f>
        <v>-0.93999999999999773</v>
      </c>
      <c r="R167" s="3">
        <f ca="1">'ETF price'!S169-'ETF price'!S168</f>
        <v>-0.39999999999999858</v>
      </c>
      <c r="S167" s="3">
        <f ca="1">'ETF price'!T169-'ETF price'!T168</f>
        <v>-0.55000000000000071</v>
      </c>
      <c r="T167" s="3">
        <f ca="1">'ETF price'!U169-'ETF price'!U168</f>
        <v>-2.3599999999999994</v>
      </c>
      <c r="U167" s="3">
        <f ca="1">'ETF price'!V169-'ETF price'!V168</f>
        <v>0.70000000000000284</v>
      </c>
      <c r="V167" s="3">
        <f ca="1">'ETF price'!W169-'ETF price'!W168</f>
        <v>-0.25</v>
      </c>
      <c r="W167" s="3">
        <f ca="1">'ETF price'!X169-'ETF price'!X168</f>
        <v>-0.60000000000000853</v>
      </c>
      <c r="X167" s="3">
        <f ca="1">'ETF price'!Y169-'ETF price'!Y168</f>
        <v>-0.34000000000000341</v>
      </c>
      <c r="Y167" s="3">
        <f ca="1">'ETF price'!Z169-'ETF price'!Z168</f>
        <v>-0.49000000000000909</v>
      </c>
      <c r="Z167" s="3">
        <f ca="1">'ETF price'!AA169-'ETF price'!AA168</f>
        <v>-0.14999999999999858</v>
      </c>
      <c r="AA167" s="3">
        <f ca="1">'ETF price'!AB169-'ETF price'!AB168</f>
        <v>-0.47999999999999687</v>
      </c>
      <c r="AB167" s="3">
        <f ca="1">'ETF price'!AC169-'ETF price'!AC168</f>
        <v>-0.35999999999999943</v>
      </c>
      <c r="AC167" s="3">
        <f ca="1">'ETF price'!AD169-'ETF price'!AD168</f>
        <v>0.11000000000000032</v>
      </c>
      <c r="AD167" s="3">
        <f ca="1">'ETF price'!AE169-'ETF price'!AE168</f>
        <v>0.17999999999999972</v>
      </c>
      <c r="AE167" s="3">
        <f ca="1">'ETF price'!AF169-'ETF price'!AF168</f>
        <v>9.9999999999997868E-3</v>
      </c>
      <c r="AF167" s="3">
        <f ca="1">'ETF price'!AG169-'ETF price'!AG168</f>
        <v>0.71999999999999886</v>
      </c>
    </row>
    <row r="168" spans="1:32" ht="12.75" x14ac:dyDescent="0.2">
      <c r="A168" s="3">
        <f ca="1">'ETF price'!B170-'ETF price'!B169</f>
        <v>-0.65999999999999659</v>
      </c>
      <c r="B168" s="3">
        <f ca="1">'ETF price'!C170-'ETF price'!C169</f>
        <v>-3.0599999999999454</v>
      </c>
      <c r="C168" s="3">
        <f ca="1">'ETF price'!D170-'ETF price'!D169</f>
        <v>-0.64999999999999147</v>
      </c>
      <c r="D168" s="3">
        <f ca="1">'ETF price'!E170-'ETF price'!E169</f>
        <v>-2.2900000000000063</v>
      </c>
      <c r="E168" s="3">
        <f ca="1">'ETF price'!F170-'ETF price'!F169</f>
        <v>-1.6099999999999994</v>
      </c>
      <c r="F168" s="3">
        <f ca="1">'ETF price'!G170-'ETF price'!G169</f>
        <v>-0.46000000000000085</v>
      </c>
      <c r="G168" s="3">
        <f ca="1">'ETF price'!H170-'ETF price'!H169</f>
        <v>-0.23000000000000043</v>
      </c>
      <c r="H168" s="3">
        <f ca="1">'ETF price'!I170-'ETF price'!I169</f>
        <v>2.0499999999999972</v>
      </c>
      <c r="I168" s="3">
        <f ca="1">'ETF price'!J170-'ETF price'!J169</f>
        <v>3.2299999999999898</v>
      </c>
      <c r="J168" s="3">
        <f ca="1">'ETF price'!K170-'ETF price'!K169</f>
        <v>1.7600000000000051</v>
      </c>
      <c r="K168" s="3">
        <f ca="1">'ETF price'!L170-'ETF price'!L169</f>
        <v>1.8199999999999932</v>
      </c>
      <c r="L168" s="3">
        <f ca="1">'ETF price'!M170-'ETF price'!M169</f>
        <v>0.88000000000000256</v>
      </c>
      <c r="M168" s="3">
        <f ca="1">'ETF price'!N170-'ETF price'!N169</f>
        <v>0.82000000000000028</v>
      </c>
      <c r="N168" s="3">
        <f ca="1">'ETF price'!O170-'ETF price'!O169</f>
        <v>0.71999999999999886</v>
      </c>
      <c r="O168" s="3">
        <f ca="1">'ETF price'!P170-'ETF price'!P169</f>
        <v>-1.980000000000004</v>
      </c>
      <c r="P168" s="3">
        <f ca="1">'ETF price'!Q170-'ETF price'!Q169</f>
        <v>-2.8499999999999943</v>
      </c>
      <c r="Q168" s="3">
        <f ca="1">'ETF price'!R170-'ETF price'!R169</f>
        <v>-0.98999999999999488</v>
      </c>
      <c r="R168" s="3">
        <f ca="1">'ETF price'!S170-'ETF price'!S169</f>
        <v>-1.8599999999999994</v>
      </c>
      <c r="S168" s="3">
        <f ca="1">'ETF price'!T170-'ETF price'!T169</f>
        <v>-0.54999999999999716</v>
      </c>
      <c r="T168" s="3">
        <f ca="1">'ETF price'!U170-'ETF price'!U169</f>
        <v>-2.1599999999999966</v>
      </c>
      <c r="U168" s="3">
        <f ca="1">'ETF price'!V170-'ETF price'!V169</f>
        <v>-1.539999999999992</v>
      </c>
      <c r="V168" s="3">
        <f ca="1">'ETF price'!W170-'ETF price'!W169</f>
        <v>0.10000000000000142</v>
      </c>
      <c r="W168" s="3">
        <f ca="1">'ETF price'!X170-'ETF price'!X169</f>
        <v>0.12999999999999545</v>
      </c>
      <c r="X168" s="3">
        <f ca="1">'ETF price'!Y170-'ETF price'!Y169</f>
        <v>-0.38000000000000256</v>
      </c>
      <c r="Y168" s="3">
        <f ca="1">'ETF price'!Z170-'ETF price'!Z169</f>
        <v>0.18999999999999773</v>
      </c>
      <c r="Z168" s="3">
        <f ca="1">'ETF price'!AA170-'ETF price'!AA169</f>
        <v>0.14999999999999858</v>
      </c>
      <c r="AA168" s="3">
        <f ca="1">'ETF price'!AB170-'ETF price'!AB169</f>
        <v>-0.36000000000000654</v>
      </c>
      <c r="AB168" s="3">
        <f ca="1">'ETF price'!AC170-'ETF price'!AC169</f>
        <v>9.0000000000003411E-2</v>
      </c>
      <c r="AC168" s="3">
        <f ca="1">'ETF price'!AD170-'ETF price'!AD169</f>
        <v>-0.13999999999999968</v>
      </c>
      <c r="AD168" s="3">
        <f ca="1">'ETF price'!AE170-'ETF price'!AE169</f>
        <v>-0.20999999999999908</v>
      </c>
      <c r="AE168" s="3">
        <f ca="1">'ETF price'!AF170-'ETF price'!AF169</f>
        <v>-8.0000000000000071E-2</v>
      </c>
      <c r="AF168" s="3">
        <f ca="1">'ETF price'!AG170-'ETF price'!AG169</f>
        <v>-1.2799999999999976</v>
      </c>
    </row>
    <row r="169" spans="1:32" ht="12.75" x14ac:dyDescent="0.2">
      <c r="A169" s="3">
        <f ca="1">'ETF price'!B171-'ETF price'!B170</f>
        <v>-1.75</v>
      </c>
      <c r="B169" s="3">
        <f ca="1">'ETF price'!C171-'ETF price'!C170</f>
        <v>-4.07000000000005</v>
      </c>
      <c r="C169" s="3">
        <f ca="1">'ETF price'!D171-'ETF price'!D170</f>
        <v>-1.0300000000000011</v>
      </c>
      <c r="D169" s="3">
        <f ca="1">'ETF price'!E171-'ETF price'!E170</f>
        <v>-1.3199999999999932</v>
      </c>
      <c r="E169" s="3">
        <f ca="1">'ETF price'!F171-'ETF price'!F170</f>
        <v>-0.29999999999999716</v>
      </c>
      <c r="F169" s="3">
        <f ca="1">'ETF price'!G171-'ETF price'!G170</f>
        <v>-0.19999999999999929</v>
      </c>
      <c r="G169" s="3">
        <f ca="1">'ETF price'!H171-'ETF price'!H170</f>
        <v>-0.17000000000000171</v>
      </c>
      <c r="H169" s="3">
        <f ca="1">'ETF price'!I171-'ETF price'!I170</f>
        <v>-1.8200000000000074</v>
      </c>
      <c r="I169" s="3">
        <f ca="1">'ETF price'!J171-'ETF price'!J170</f>
        <v>-3.3599999999999852</v>
      </c>
      <c r="J169" s="3">
        <f ca="1">'ETF price'!K171-'ETF price'!K170</f>
        <v>-2.0300000000000011</v>
      </c>
      <c r="K169" s="3">
        <f ca="1">'ETF price'!L171-'ETF price'!L170</f>
        <v>-1.789999999999992</v>
      </c>
      <c r="L169" s="3">
        <f ca="1">'ETF price'!M171-'ETF price'!M170</f>
        <v>-1.3699999999999974</v>
      </c>
      <c r="M169" s="3">
        <f ca="1">'ETF price'!N171-'ETF price'!N170</f>
        <v>-0.90999999999999659</v>
      </c>
      <c r="N169" s="3">
        <f ca="1">'ETF price'!O171-'ETF price'!O170</f>
        <v>-1.519999999999996</v>
      </c>
      <c r="O169" s="3">
        <f ca="1">'ETF price'!P171-'ETF price'!P170</f>
        <v>1.4399999999999977</v>
      </c>
      <c r="P169" s="3">
        <f ca="1">'ETF price'!Q171-'ETF price'!Q170</f>
        <v>2.2999999999999972</v>
      </c>
      <c r="Q169" s="3">
        <f ca="1">'ETF price'!R171-'ETF price'!R170</f>
        <v>-7.000000000000739E-2</v>
      </c>
      <c r="R169" s="3">
        <f ca="1">'ETF price'!S171-'ETF price'!S170</f>
        <v>0.38999999999999346</v>
      </c>
      <c r="S169" s="3">
        <f ca="1">'ETF price'!T171-'ETF price'!T170</f>
        <v>0.16999999999999815</v>
      </c>
      <c r="T169" s="3">
        <f ca="1">'ETF price'!U171-'ETF price'!U170</f>
        <v>0.48000000000000398</v>
      </c>
      <c r="U169" s="3">
        <f ca="1">'ETF price'!V171-'ETF price'!V170</f>
        <v>-1.9500000000000028</v>
      </c>
      <c r="V169" s="3">
        <f ca="1">'ETF price'!W171-'ETF price'!W170</f>
        <v>-0.25999999999999801</v>
      </c>
      <c r="W169" s="3">
        <f ca="1">'ETF price'!X171-'ETF price'!X170</f>
        <v>-0.61999999999999034</v>
      </c>
      <c r="X169" s="3">
        <f ca="1">'ETF price'!Y171-'ETF price'!Y170</f>
        <v>-0.30999999999999517</v>
      </c>
      <c r="Y169" s="3">
        <f ca="1">'ETF price'!Z171-'ETF price'!Z170</f>
        <v>-0.5899999999999892</v>
      </c>
      <c r="Z169" s="3">
        <f ca="1">'ETF price'!AA171-'ETF price'!AA170</f>
        <v>-0.71999999999999886</v>
      </c>
      <c r="AA169" s="3">
        <f ca="1">'ETF price'!AB171-'ETF price'!AB170</f>
        <v>-0.45999999999999375</v>
      </c>
      <c r="AB169" s="3">
        <f ca="1">'ETF price'!AC171-'ETF price'!AC170</f>
        <v>-0.41000000000000369</v>
      </c>
      <c r="AC169" s="3">
        <f ca="1">'ETF price'!AD171-'ETF price'!AD170</f>
        <v>2.9999999999999361E-2</v>
      </c>
      <c r="AD169" s="3">
        <f ca="1">'ETF price'!AE171-'ETF price'!AE170</f>
        <v>2.9999999999999361E-2</v>
      </c>
      <c r="AE169" s="3">
        <f ca="1">'ETF price'!AF171-'ETF price'!AF170</f>
        <v>-4.0000000000000036E-2</v>
      </c>
      <c r="AF169" s="3">
        <f ca="1">'ETF price'!AG171-'ETF price'!AG170</f>
        <v>-0.28000000000000114</v>
      </c>
    </row>
    <row r="170" spans="1:32" ht="12.75" x14ac:dyDescent="0.2">
      <c r="A170" s="3">
        <f ca="1">'ETF price'!B172-'ETF price'!B171</f>
        <v>-0.87999999999999545</v>
      </c>
      <c r="B170" s="3">
        <f ca="1">'ETF price'!C172-'ETF price'!C171</f>
        <v>-2.4799999999999613</v>
      </c>
      <c r="C170" s="3">
        <f ca="1">'ETF price'!D172-'ETF price'!D171</f>
        <v>-0.77000000000001023</v>
      </c>
      <c r="D170" s="3">
        <f ca="1">'ETF price'!E172-'ETF price'!E171</f>
        <v>-1.3800000000000097</v>
      </c>
      <c r="E170" s="3">
        <f ca="1">'ETF price'!F172-'ETF price'!F171</f>
        <v>-0.17999999999999972</v>
      </c>
      <c r="F170" s="3">
        <f ca="1">'ETF price'!G172-'ETF price'!G171</f>
        <v>-0.10000000000000142</v>
      </c>
      <c r="G170" s="3">
        <f ca="1">'ETF price'!H172-'ETF price'!H171</f>
        <v>-0.16000000000000014</v>
      </c>
      <c r="H170" s="3">
        <f ca="1">'ETF price'!I172-'ETF price'!I171</f>
        <v>0.12000000000000455</v>
      </c>
      <c r="I170" s="3">
        <f ca="1">'ETF price'!J172-'ETF price'!J171</f>
        <v>-0.18000000000000682</v>
      </c>
      <c r="J170" s="3">
        <f ca="1">'ETF price'!K172-'ETF price'!K171</f>
        <v>-1.6499999999999915</v>
      </c>
      <c r="K170" s="3">
        <f ca="1">'ETF price'!L172-'ETF price'!L171</f>
        <v>-2.3900000000000006</v>
      </c>
      <c r="L170" s="3">
        <f ca="1">'ETF price'!M172-'ETF price'!M171</f>
        <v>-0.89999999999999858</v>
      </c>
      <c r="M170" s="3">
        <f ca="1">'ETF price'!N172-'ETF price'!N171</f>
        <v>-7.0000000000000284E-2</v>
      </c>
      <c r="N170" s="3">
        <f ca="1">'ETF price'!O172-'ETF price'!O171</f>
        <v>-1.1600000000000037</v>
      </c>
      <c r="O170" s="3">
        <f ca="1">'ETF price'!P172-'ETF price'!P171</f>
        <v>-0.73999999999999488</v>
      </c>
      <c r="P170" s="3">
        <f ca="1">'ETF price'!Q172-'ETF price'!Q171</f>
        <v>-1.25</v>
      </c>
      <c r="Q170" s="3">
        <f ca="1">'ETF price'!R172-'ETF price'!R171</f>
        <v>-0.22999999999998977</v>
      </c>
      <c r="R170" s="3">
        <f ca="1">'ETF price'!S172-'ETF price'!S171</f>
        <v>0.34000000000000341</v>
      </c>
      <c r="S170" s="3">
        <f ca="1">'ETF price'!T172-'ETF price'!T171</f>
        <v>-0.14999999999999858</v>
      </c>
      <c r="T170" s="3">
        <f ca="1">'ETF price'!U172-'ETF price'!U171</f>
        <v>-1.0000000000005116E-2</v>
      </c>
      <c r="U170" s="3">
        <f ca="1">'ETF price'!V172-'ETF price'!V171</f>
        <v>1.5099999999999909</v>
      </c>
      <c r="V170" s="3">
        <f ca="1">'ETF price'!W172-'ETF price'!W171</f>
        <v>-7.9999999999998295E-2</v>
      </c>
      <c r="W170" s="3">
        <f ca="1">'ETF price'!X172-'ETF price'!X171</f>
        <v>-0.25</v>
      </c>
      <c r="X170" s="3">
        <f ca="1">'ETF price'!Y172-'ETF price'!Y171</f>
        <v>-0.71999999999999886</v>
      </c>
      <c r="Y170" s="3">
        <f ca="1">'ETF price'!Z172-'ETF price'!Z171</f>
        <v>-0.15000000000000568</v>
      </c>
      <c r="Z170" s="3">
        <f ca="1">'ETF price'!AA172-'ETF price'!AA171</f>
        <v>0.42999999999999972</v>
      </c>
      <c r="AA170" s="3">
        <f ca="1">'ETF price'!AB172-'ETF price'!AB171</f>
        <v>-1</v>
      </c>
      <c r="AB170" s="3">
        <f ca="1">'ETF price'!AC172-'ETF price'!AC171</f>
        <v>-0.10999999999999943</v>
      </c>
      <c r="AC170" s="3">
        <f ca="1">'ETF price'!AD172-'ETF price'!AD171</f>
        <v>-0.42999999999999972</v>
      </c>
      <c r="AD170" s="3">
        <f ca="1">'ETF price'!AE172-'ETF price'!AE171</f>
        <v>-0.70999999999999908</v>
      </c>
      <c r="AE170" s="3">
        <f ca="1">'ETF price'!AF172-'ETF price'!AF171</f>
        <v>-6.0000000000000053E-2</v>
      </c>
      <c r="AF170" s="3">
        <f ca="1">'ETF price'!AG172-'ETF price'!AG171</f>
        <v>-1.0799999999999983</v>
      </c>
    </row>
    <row r="171" spans="1:32" ht="12.75" x14ac:dyDescent="0.2">
      <c r="A171" s="3">
        <f ca="1">'ETF price'!B173-'ETF price'!B172</f>
        <v>2.1100000000000136</v>
      </c>
      <c r="B171" s="3">
        <f ca="1">'ETF price'!C173-'ETF price'!C172</f>
        <v>5.4099999999999682</v>
      </c>
      <c r="C171" s="3">
        <f ca="1">'ETF price'!D173-'ETF price'!D172</f>
        <v>1.3900000000000006</v>
      </c>
      <c r="D171" s="3">
        <f ca="1">'ETF price'!E173-'ETF price'!E172</f>
        <v>2</v>
      </c>
      <c r="E171" s="3">
        <f ca="1">'ETF price'!F173-'ETF price'!F172</f>
        <v>0.76999999999999602</v>
      </c>
      <c r="F171" s="3">
        <f ca="1">'ETF price'!G173-'ETF price'!G172</f>
        <v>0.25</v>
      </c>
      <c r="G171" s="3">
        <f ca="1">'ETF price'!H173-'ETF price'!H172</f>
        <v>0.75</v>
      </c>
      <c r="H171" s="3">
        <f ca="1">'ETF price'!I173-'ETF price'!I172</f>
        <v>2.0400000000000063</v>
      </c>
      <c r="I171" s="3">
        <f ca="1">'ETF price'!J173-'ETF price'!J172</f>
        <v>4.2400000000000091</v>
      </c>
      <c r="J171" s="3">
        <f ca="1">'ETF price'!K173-'ETF price'!K172</f>
        <v>3.3499999999999943</v>
      </c>
      <c r="K171" s="3">
        <f ca="1">'ETF price'!L173-'ETF price'!L172</f>
        <v>3.4500000000000028</v>
      </c>
      <c r="L171" s="3">
        <f ca="1">'ETF price'!M173-'ETF price'!M172</f>
        <v>1.779999999999994</v>
      </c>
      <c r="M171" s="3">
        <f ca="1">'ETF price'!N173-'ETF price'!N172</f>
        <v>1.1300000000000026</v>
      </c>
      <c r="N171" s="3">
        <f ca="1">'ETF price'!O173-'ETF price'!O172</f>
        <v>2.3599999999999994</v>
      </c>
      <c r="O171" s="3">
        <f ca="1">'ETF price'!P173-'ETF price'!P172</f>
        <v>-0.92000000000000171</v>
      </c>
      <c r="P171" s="3">
        <f ca="1">'ETF price'!Q173-'ETF price'!Q172</f>
        <v>-1.3100000000000023</v>
      </c>
      <c r="Q171" s="3">
        <f ca="1">'ETF price'!R173-'ETF price'!R172</f>
        <v>2.0499999999999972</v>
      </c>
      <c r="R171" s="3">
        <f ca="1">'ETF price'!S173-'ETF price'!S172</f>
        <v>0.42999999999999972</v>
      </c>
      <c r="S171" s="3">
        <f ca="1">'ETF price'!T173-'ETF price'!T172</f>
        <v>-0.60000000000000142</v>
      </c>
      <c r="T171" s="3">
        <f ca="1">'ETF price'!U173-'ETF price'!U172</f>
        <v>-3.7999999999999972</v>
      </c>
      <c r="U171" s="3">
        <f ca="1">'ETF price'!V173-'ETF price'!V172</f>
        <v>5.0700000000000074</v>
      </c>
      <c r="V171" s="3">
        <f ca="1">'ETF price'!W173-'ETF price'!W172</f>
        <v>0.64999999999999858</v>
      </c>
      <c r="W171" s="3">
        <f ca="1">'ETF price'!X173-'ETF price'!X172</f>
        <v>1.6099999999999994</v>
      </c>
      <c r="X171" s="3">
        <f ca="1">'ETF price'!Y173-'ETF price'!Y172</f>
        <v>0.92999999999999972</v>
      </c>
      <c r="Y171" s="3">
        <f ca="1">'ETF price'!Z173-'ETF price'!Z172</f>
        <v>1.480000000000004</v>
      </c>
      <c r="Z171" s="3">
        <f ca="1">'ETF price'!AA173-'ETF price'!AA172</f>
        <v>0.79999999999999716</v>
      </c>
      <c r="AA171" s="3">
        <f ca="1">'ETF price'!AB173-'ETF price'!AB172</f>
        <v>1.1699999999999946</v>
      </c>
      <c r="AB171" s="3">
        <f ca="1">'ETF price'!AC173-'ETF price'!AC172</f>
        <v>0.96999999999999886</v>
      </c>
      <c r="AC171" s="3">
        <f ca="1">'ETF price'!AD173-'ETF price'!AD172</f>
        <v>0.11000000000000032</v>
      </c>
      <c r="AD171" s="3">
        <f ca="1">'ETF price'!AE173-'ETF price'!AE172</f>
        <v>0.1899999999999995</v>
      </c>
      <c r="AE171" s="3">
        <f ca="1">'ETF price'!AF173-'ETF price'!AF172</f>
        <v>1.0000000000000231E-2</v>
      </c>
      <c r="AF171" s="3">
        <f ca="1">'ETF price'!AG173-'ETF price'!AG172</f>
        <v>0.87999999999999901</v>
      </c>
    </row>
    <row r="172" spans="1:32" ht="12.75" x14ac:dyDescent="0.2">
      <c r="A172" s="3">
        <f ca="1">'ETF price'!B174-'ETF price'!B173</f>
        <v>0.45999999999997954</v>
      </c>
      <c r="B172" s="3">
        <f ca="1">'ETF price'!C174-'ETF price'!C173</f>
        <v>2.0800000000000409</v>
      </c>
      <c r="C172" s="3">
        <f ca="1">'ETF price'!D174-'ETF price'!D173</f>
        <v>0.43000000000000682</v>
      </c>
      <c r="D172" s="3">
        <f ca="1">'ETF price'!E174-'ETF price'!E173</f>
        <v>2.0200000000000102</v>
      </c>
      <c r="E172" s="3">
        <f ca="1">'ETF price'!F174-'ETF price'!F173</f>
        <v>0.53999999999999915</v>
      </c>
      <c r="F172" s="3">
        <f ca="1">'ETF price'!G174-'ETF price'!G173</f>
        <v>0.32000000000000028</v>
      </c>
      <c r="G172" s="3">
        <f ca="1">'ETF price'!H174-'ETF price'!H173</f>
        <v>0.33000000000000185</v>
      </c>
      <c r="H172" s="3">
        <f ca="1">'ETF price'!I174-'ETF price'!I173</f>
        <v>2.210000000000008</v>
      </c>
      <c r="I172" s="3">
        <f ca="1">'ETF price'!J174-'ETF price'!J173</f>
        <v>4.4699999999999989</v>
      </c>
      <c r="J172" s="3">
        <f ca="1">'ETF price'!K174-'ETF price'!K173</f>
        <v>4.0900000000000034</v>
      </c>
      <c r="K172" s="3">
        <f ca="1">'ETF price'!L174-'ETF price'!L173</f>
        <v>2.6299999999999955</v>
      </c>
      <c r="L172" s="3">
        <f ca="1">'ETF price'!M174-'ETF price'!M173</f>
        <v>1.3800000000000026</v>
      </c>
      <c r="M172" s="3">
        <f ca="1">'ETF price'!N174-'ETF price'!N173</f>
        <v>1.1599999999999966</v>
      </c>
      <c r="N172" s="3">
        <f ca="1">'ETF price'!O174-'ETF price'!O173</f>
        <v>1.5500000000000043</v>
      </c>
      <c r="O172" s="3">
        <f ca="1">'ETF price'!P174-'ETF price'!P173</f>
        <v>0.34000000000000341</v>
      </c>
      <c r="P172" s="3">
        <f ca="1">'ETF price'!Q174-'ETF price'!Q173</f>
        <v>0.65000000000000568</v>
      </c>
      <c r="Q172" s="3">
        <f ca="1">'ETF price'!R174-'ETF price'!R173</f>
        <v>0.73999999999999488</v>
      </c>
      <c r="R172" s="3">
        <f ca="1">'ETF price'!S174-'ETF price'!S173</f>
        <v>0.29999999999999716</v>
      </c>
      <c r="S172" s="3">
        <f ca="1">'ETF price'!T174-'ETF price'!T173</f>
        <v>0.10000000000000142</v>
      </c>
      <c r="T172" s="3">
        <f ca="1">'ETF price'!U174-'ETF price'!U173</f>
        <v>0.46999999999999886</v>
      </c>
      <c r="U172" s="3">
        <f ca="1">'ETF price'!V174-'ETF price'!V173</f>
        <v>0.32999999999999829</v>
      </c>
      <c r="V172" s="3">
        <f ca="1">'ETF price'!W174-'ETF price'!W173</f>
        <v>0.58999999999999631</v>
      </c>
      <c r="W172" s="3">
        <f ca="1">'ETF price'!X174-'ETF price'!X173</f>
        <v>1.3400000000000034</v>
      </c>
      <c r="X172" s="3">
        <f ca="1">'ETF price'!Y174-'ETF price'!Y173</f>
        <v>1</v>
      </c>
      <c r="Y172" s="3">
        <f ca="1">'ETF price'!Z174-'ETF price'!Z173</f>
        <v>1.3100000000000023</v>
      </c>
      <c r="Z172" s="3">
        <f ca="1">'ETF price'!AA174-'ETF price'!AA173</f>
        <v>0.12000000000000455</v>
      </c>
      <c r="AA172" s="3">
        <f ca="1">'ETF price'!AB174-'ETF price'!AB173</f>
        <v>1.3300000000000054</v>
      </c>
      <c r="AB172" s="3">
        <f ca="1">'ETF price'!AC174-'ETF price'!AC173</f>
        <v>0.92999999999999972</v>
      </c>
      <c r="AC172" s="3">
        <f ca="1">'ETF price'!AD174-'ETF price'!AD173</f>
        <v>0.12999999999999989</v>
      </c>
      <c r="AD172" s="3">
        <f ca="1">'ETF price'!AE174-'ETF price'!AE173</f>
        <v>0.24000000000000021</v>
      </c>
      <c r="AE172" s="3">
        <f ca="1">'ETF price'!AF174-'ETF price'!AF173</f>
        <v>-6.0000000000000053E-2</v>
      </c>
      <c r="AF172" s="3">
        <f ca="1">'ETF price'!AG174-'ETF price'!AG173</f>
        <v>1.759999999999998</v>
      </c>
    </row>
    <row r="173" spans="1:32" ht="12.75" x14ac:dyDescent="0.2">
      <c r="A173" s="3">
        <f ca="1">'ETF price'!B175-'ETF price'!B174</f>
        <v>2.6599999999999966</v>
      </c>
      <c r="B173" s="3">
        <f ca="1">'ETF price'!C175-'ETF price'!C174</f>
        <v>7.5</v>
      </c>
      <c r="C173" s="3">
        <f ca="1">'ETF price'!D175-'ETF price'!D174</f>
        <v>2.0300000000000011</v>
      </c>
      <c r="D173" s="3">
        <f ca="1">'ETF price'!E175-'ETF price'!E174</f>
        <v>2.9399999999999977</v>
      </c>
      <c r="E173" s="3">
        <f ca="1">'ETF price'!F175-'ETF price'!F174</f>
        <v>1.5500000000000043</v>
      </c>
      <c r="F173" s="3">
        <f ca="1">'ETF price'!G175-'ETF price'!G174</f>
        <v>0.60000000000000142</v>
      </c>
      <c r="G173" s="3">
        <f ca="1">'ETF price'!H175-'ETF price'!H174</f>
        <v>0.51999999999999957</v>
      </c>
      <c r="H173" s="3">
        <f ca="1">'ETF price'!I175-'ETF price'!I174</f>
        <v>1.1399999999999864</v>
      </c>
      <c r="I173" s="3">
        <f ca="1">'ETF price'!J175-'ETF price'!J174</f>
        <v>2.2299999999999898</v>
      </c>
      <c r="J173" s="3">
        <f ca="1">'ETF price'!K175-'ETF price'!K174</f>
        <v>1.4200000000000017</v>
      </c>
      <c r="K173" s="3">
        <f ca="1">'ETF price'!L175-'ETF price'!L174</f>
        <v>0.59000000000000341</v>
      </c>
      <c r="L173" s="3">
        <f ca="1">'ETF price'!M175-'ETF price'!M174</f>
        <v>0.81000000000000227</v>
      </c>
      <c r="M173" s="3">
        <f ca="1">'ETF price'!N175-'ETF price'!N174</f>
        <v>0.57999999999999829</v>
      </c>
      <c r="N173" s="3">
        <f ca="1">'ETF price'!O175-'ETF price'!O174</f>
        <v>0.76999999999999602</v>
      </c>
      <c r="O173" s="3">
        <f ca="1">'ETF price'!P175-'ETF price'!P174</f>
        <v>1.9599999999999937</v>
      </c>
      <c r="P173" s="3">
        <f ca="1">'ETF price'!Q175-'ETF price'!Q174</f>
        <v>2.8299999999999983</v>
      </c>
      <c r="Q173" s="3">
        <f ca="1">'ETF price'!R175-'ETF price'!R174</f>
        <v>1.1599999999999966</v>
      </c>
      <c r="R173" s="3">
        <f ca="1">'ETF price'!S175-'ETF price'!S174</f>
        <v>1.8500000000000014</v>
      </c>
      <c r="S173" s="3">
        <f ca="1">'ETF price'!T175-'ETF price'!T174</f>
        <v>0.69999999999999929</v>
      </c>
      <c r="T173" s="3">
        <f ca="1">'ETF price'!U175-'ETF price'!U174</f>
        <v>3.0099999999999909</v>
      </c>
      <c r="U173" s="3">
        <f ca="1">'ETF price'!V175-'ETF price'!V174</f>
        <v>4.0000000000006253E-2</v>
      </c>
      <c r="V173" s="3">
        <f ca="1">'ETF price'!W175-'ETF price'!W174</f>
        <v>0.31000000000000227</v>
      </c>
      <c r="W173" s="3">
        <f ca="1">'ETF price'!X175-'ETF price'!X174</f>
        <v>0.85999999999999943</v>
      </c>
      <c r="X173" s="3">
        <f ca="1">'ETF price'!Y175-'ETF price'!Y174</f>
        <v>0.70999999999999375</v>
      </c>
      <c r="Y173" s="3">
        <f ca="1">'ETF price'!Z175-'ETF price'!Z174</f>
        <v>0.71999999999999886</v>
      </c>
      <c r="Z173" s="3">
        <f ca="1">'ETF price'!AA175-'ETF price'!AA174</f>
        <v>0.40999999999999659</v>
      </c>
      <c r="AA173" s="3">
        <f ca="1">'ETF price'!AB175-'ETF price'!AB174</f>
        <v>0.77999999999999403</v>
      </c>
      <c r="AB173" s="3">
        <f ca="1">'ETF price'!AC175-'ETF price'!AC174</f>
        <v>0.71999999999999886</v>
      </c>
      <c r="AC173" s="3">
        <f ca="1">'ETF price'!AD175-'ETF price'!AD174</f>
        <v>0.80000000000000071</v>
      </c>
      <c r="AD173" s="3">
        <f ca="1">'ETF price'!AE175-'ETF price'!AE174</f>
        <v>1.2699999999999996</v>
      </c>
      <c r="AE173" s="3">
        <f ca="1">'ETF price'!AF175-'ETF price'!AF174</f>
        <v>0.16000000000000014</v>
      </c>
      <c r="AF173" s="3">
        <f ca="1">'ETF price'!AG175-'ETF price'!AG174</f>
        <v>2.16</v>
      </c>
    </row>
    <row r="174" spans="1:32" ht="12.75" x14ac:dyDescent="0.2">
      <c r="A174" s="3">
        <f ca="1">'ETF price'!B176-'ETF price'!B175</f>
        <v>2.2000000000000171</v>
      </c>
      <c r="B174" s="3">
        <f ca="1">'ETF price'!C176-'ETF price'!C175</f>
        <v>5.6199999999999477</v>
      </c>
      <c r="C174" s="3">
        <f ca="1">'ETF price'!D176-'ETF price'!D175</f>
        <v>1.1700000000000017</v>
      </c>
      <c r="D174" s="3">
        <f ca="1">'ETF price'!E176-'ETF price'!E175</f>
        <v>0.60999999999999943</v>
      </c>
      <c r="E174" s="3">
        <f ca="1">'ETF price'!F176-'ETF price'!F175</f>
        <v>0.78000000000000114</v>
      </c>
      <c r="F174" s="3">
        <f ca="1">'ETF price'!G176-'ETF price'!G175</f>
        <v>0.23999999999999844</v>
      </c>
      <c r="G174" s="3">
        <f ca="1">'ETF price'!H176-'ETF price'!H175</f>
        <v>0.14999999999999858</v>
      </c>
      <c r="H174" s="3">
        <f ca="1">'ETF price'!I176-'ETF price'!I175</f>
        <v>0.87000000000000455</v>
      </c>
      <c r="I174" s="3">
        <f ca="1">'ETF price'!J176-'ETF price'!J175</f>
        <v>1.5200000000000102</v>
      </c>
      <c r="J174" s="3">
        <f ca="1">'ETF price'!K176-'ETF price'!K175</f>
        <v>0.22999999999998977</v>
      </c>
      <c r="K174" s="3">
        <f ca="1">'ETF price'!L176-'ETF price'!L175</f>
        <v>0.67000000000000171</v>
      </c>
      <c r="L174" s="3">
        <f ca="1">'ETF price'!M176-'ETF price'!M175</f>
        <v>0.14000000000000057</v>
      </c>
      <c r="M174" s="3">
        <f ca="1">'ETF price'!N176-'ETF price'!N175</f>
        <v>0.42000000000000171</v>
      </c>
      <c r="N174" s="3">
        <f ca="1">'ETF price'!O176-'ETF price'!O175</f>
        <v>0.35999999999999943</v>
      </c>
      <c r="O174" s="3">
        <f ca="1">'ETF price'!P176-'ETF price'!P175</f>
        <v>1.480000000000004</v>
      </c>
      <c r="P174" s="3">
        <f ca="1">'ETF price'!Q176-'ETF price'!Q175</f>
        <v>1.9699999999999989</v>
      </c>
      <c r="Q174" s="3">
        <f ca="1">'ETF price'!R176-'ETF price'!R175</f>
        <v>0.73000000000000398</v>
      </c>
      <c r="R174" s="3">
        <f ca="1">'ETF price'!S176-'ETF price'!S175</f>
        <v>-3.0000000000001137E-2</v>
      </c>
      <c r="S174" s="3">
        <f ca="1">'ETF price'!T176-'ETF price'!T175</f>
        <v>0.34999999999999787</v>
      </c>
      <c r="T174" s="3">
        <f ca="1">'ETF price'!U176-'ETF price'!U175</f>
        <v>1.2700000000000102</v>
      </c>
      <c r="U174" s="3">
        <f ca="1">'ETF price'!V176-'ETF price'!V175</f>
        <v>0.40999999999999659</v>
      </c>
      <c r="V174" s="3">
        <f ca="1">'ETF price'!W176-'ETF price'!W175</f>
        <v>0.28000000000000114</v>
      </c>
      <c r="W174" s="3">
        <f ca="1">'ETF price'!X176-'ETF price'!X175</f>
        <v>0.75999999999999091</v>
      </c>
      <c r="X174" s="3">
        <f ca="1">'ETF price'!Y176-'ETF price'!Y175</f>
        <v>0.54000000000000625</v>
      </c>
      <c r="Y174" s="3">
        <f ca="1">'ETF price'!Z176-'ETF price'!Z175</f>
        <v>0.61999999999999034</v>
      </c>
      <c r="Z174" s="3">
        <f ca="1">'ETF price'!AA176-'ETF price'!AA175</f>
        <v>0.35999999999999943</v>
      </c>
      <c r="AA174" s="3">
        <f ca="1">'ETF price'!AB176-'ETF price'!AB175</f>
        <v>0.64000000000000057</v>
      </c>
      <c r="AB174" s="3">
        <f ca="1">'ETF price'!AC176-'ETF price'!AC175</f>
        <v>0.48000000000000398</v>
      </c>
      <c r="AC174" s="3">
        <f ca="1">'ETF price'!AD176-'ETF price'!AD175</f>
        <v>0.42999999999999972</v>
      </c>
      <c r="AD174" s="3">
        <f ca="1">'ETF price'!AE176-'ETF price'!AE175</f>
        <v>0.67999999999999972</v>
      </c>
      <c r="AE174" s="3">
        <f ca="1">'ETF price'!AF176-'ETF price'!AF175</f>
        <v>0.21999999999999975</v>
      </c>
      <c r="AF174" s="3">
        <f ca="1">'ETF price'!AG176-'ETF price'!AG175</f>
        <v>0.92000000000000171</v>
      </c>
    </row>
    <row r="175" spans="1:32" ht="12.75" x14ac:dyDescent="0.2">
      <c r="A175" s="3">
        <f ca="1">'ETF price'!B177-'ETF price'!B176</f>
        <v>-7.4000000000000057</v>
      </c>
      <c r="B175" s="3">
        <f ca="1">'ETF price'!C177-'ETF price'!C176</f>
        <v>-18.869999999999948</v>
      </c>
      <c r="C175" s="3">
        <f ca="1">'ETF price'!D177-'ETF price'!D176</f>
        <v>-4.9099999999999966</v>
      </c>
      <c r="D175" s="3">
        <f ca="1">'ETF price'!E177-'ETF price'!E176</f>
        <v>-7.8200000000000074</v>
      </c>
      <c r="E175" s="3">
        <f ca="1">'ETF price'!F177-'ETF price'!F176</f>
        <v>-1.980000000000004</v>
      </c>
      <c r="F175" s="3">
        <f ca="1">'ETF price'!G177-'ETF price'!G176</f>
        <v>-1.1799999999999997</v>
      </c>
      <c r="G175" s="3">
        <f ca="1">'ETF price'!H177-'ETF price'!H176</f>
        <v>-1.0899999999999999</v>
      </c>
      <c r="H175" s="3">
        <f ca="1">'ETF price'!I177-'ETF price'!I176</f>
        <v>-4.3400000000000034</v>
      </c>
      <c r="I175" s="3">
        <f ca="1">'ETF price'!J177-'ETF price'!J176</f>
        <v>-8.0900000000000034</v>
      </c>
      <c r="J175" s="3">
        <f ca="1">'ETF price'!K177-'ETF price'!K176</f>
        <v>-5.789999999999992</v>
      </c>
      <c r="K175" s="3">
        <f ca="1">'ETF price'!L177-'ETF price'!L176</f>
        <v>-4.5400000000000063</v>
      </c>
      <c r="L175" s="3">
        <f ca="1">'ETF price'!M177-'ETF price'!M176</f>
        <v>-2.6799999999999997</v>
      </c>
      <c r="M175" s="3">
        <f ca="1">'ETF price'!N177-'ETF price'!N176</f>
        <v>-2.1300000000000026</v>
      </c>
      <c r="N175" s="3">
        <f ca="1">'ETF price'!O177-'ETF price'!O176</f>
        <v>-3.4799999999999969</v>
      </c>
      <c r="O175" s="3">
        <f ca="1">'ETF price'!P177-'ETF price'!P176</f>
        <v>-2.0699999999999932</v>
      </c>
      <c r="P175" s="3">
        <f ca="1">'ETF price'!Q177-'ETF price'!Q176</f>
        <v>-2.9200000000000017</v>
      </c>
      <c r="Q175" s="3">
        <f ca="1">'ETF price'!R177-'ETF price'!R176</f>
        <v>-2.8100000000000023</v>
      </c>
      <c r="R175" s="3">
        <f ca="1">'ETF price'!S177-'ETF price'!S176</f>
        <v>-1.8399999999999963</v>
      </c>
      <c r="S175" s="3">
        <f ca="1">'ETF price'!T177-'ETF price'!T176</f>
        <v>-0.12999999999999901</v>
      </c>
      <c r="T175" s="3">
        <f ca="1">'ETF price'!U177-'ETF price'!U176</f>
        <v>-0.35999999999999943</v>
      </c>
      <c r="U175" s="3">
        <f ca="1">'ETF price'!V177-'ETF price'!V176</f>
        <v>-1.5400000000000063</v>
      </c>
      <c r="V175" s="3">
        <f ca="1">'ETF price'!W177-'ETF price'!W176</f>
        <v>-1.2899999999999991</v>
      </c>
      <c r="W175" s="3">
        <f ca="1">'ETF price'!X177-'ETF price'!X176</f>
        <v>-3.1700000000000017</v>
      </c>
      <c r="X175" s="3">
        <f ca="1">'ETF price'!Y177-'ETF price'!Y176</f>
        <v>-1.6400000000000006</v>
      </c>
      <c r="Y175" s="3">
        <f ca="1">'ETF price'!Z177-'ETF price'!Z176</f>
        <v>-2.8699999999999903</v>
      </c>
      <c r="Z175" s="3">
        <f ca="1">'ETF price'!AA177-'ETF price'!AA176</f>
        <v>-1.6499999999999986</v>
      </c>
      <c r="AA175" s="3">
        <f ca="1">'ETF price'!AB177-'ETF price'!AB176</f>
        <v>-2.0499999999999972</v>
      </c>
      <c r="AB175" s="3">
        <f ca="1">'ETF price'!AC177-'ETF price'!AC176</f>
        <v>-2.2100000000000009</v>
      </c>
      <c r="AC175" s="3">
        <f ca="1">'ETF price'!AD177-'ETF price'!AD176</f>
        <v>-0.84000000000000075</v>
      </c>
      <c r="AD175" s="3">
        <f ca="1">'ETF price'!AE177-'ETF price'!AE176</f>
        <v>-1.3599999999999994</v>
      </c>
      <c r="AE175" s="3">
        <f ca="1">'ETF price'!AF177-'ETF price'!AF176</f>
        <v>0.10000000000000009</v>
      </c>
      <c r="AF175" s="3">
        <f ca="1">'ETF price'!AG177-'ETF price'!AG176</f>
        <v>-2.9600000000000009</v>
      </c>
    </row>
    <row r="176" spans="1:32" ht="12.75" x14ac:dyDescent="0.2">
      <c r="A176" s="3">
        <f ca="1">'ETF price'!B178-'ETF price'!B177</f>
        <v>0.47999999999998977</v>
      </c>
      <c r="B176" s="3">
        <f ca="1">'ETF price'!C178-'ETF price'!C177</f>
        <v>1.4799999999999613</v>
      </c>
      <c r="C176" s="3">
        <f ca="1">'ETF price'!D178-'ETF price'!D177</f>
        <v>0.38999999999998636</v>
      </c>
      <c r="D176" s="3">
        <f ca="1">'ETF price'!E178-'ETF price'!E177</f>
        <v>1.3400000000000034</v>
      </c>
      <c r="E176" s="3">
        <f ca="1">'ETF price'!F178-'ETF price'!F177</f>
        <v>-0.11999999999999744</v>
      </c>
      <c r="F176" s="3">
        <f ca="1">'ETF price'!G178-'ETF price'!G177</f>
        <v>-1.9999999999999574E-2</v>
      </c>
      <c r="G176" s="3">
        <f ca="1">'ETF price'!H178-'ETF price'!H177</f>
        <v>-9.9999999999980105E-3</v>
      </c>
      <c r="H176" s="3">
        <f ca="1">'ETF price'!I178-'ETF price'!I177</f>
        <v>6.9999999999993179E-2</v>
      </c>
      <c r="I176" s="3">
        <f ca="1">'ETF price'!J178-'ETF price'!J177</f>
        <v>0.24000000000000909</v>
      </c>
      <c r="J176" s="3">
        <f ca="1">'ETF price'!K178-'ETF price'!K177</f>
        <v>1.0799999999999983</v>
      </c>
      <c r="K176" s="3">
        <f ca="1">'ETF price'!L178-'ETF price'!L177</f>
        <v>0.95000000000000284</v>
      </c>
      <c r="L176" s="3">
        <f ca="1">'ETF price'!M178-'ETF price'!M177</f>
        <v>0.53999999999999915</v>
      </c>
      <c r="M176" s="3">
        <f ca="1">'ETF price'!N178-'ETF price'!N177</f>
        <v>6.0000000000002274E-2</v>
      </c>
      <c r="N176" s="3">
        <f ca="1">'ETF price'!O178-'ETF price'!O177</f>
        <v>0.71999999999999886</v>
      </c>
      <c r="O176" s="3">
        <f ca="1">'ETF price'!P178-'ETF price'!P177</f>
        <v>2.2599999999999909</v>
      </c>
      <c r="P176" s="3">
        <f ca="1">'ETF price'!Q178-'ETF price'!Q177</f>
        <v>3.5100000000000051</v>
      </c>
      <c r="Q176" s="3">
        <f ca="1">'ETF price'!R178-'ETF price'!R177</f>
        <v>-0.92999999999999261</v>
      </c>
      <c r="R176" s="3">
        <f ca="1">'ETF price'!S178-'ETF price'!S177</f>
        <v>-1.490000000000002</v>
      </c>
      <c r="S176" s="3">
        <f ca="1">'ETF price'!T178-'ETF price'!T177</f>
        <v>0.10999999999999943</v>
      </c>
      <c r="T176" s="3">
        <f ca="1">'ETF price'!U178-'ETF price'!U177</f>
        <v>0.71999999999999886</v>
      </c>
      <c r="U176" s="3">
        <f ca="1">'ETF price'!V178-'ETF price'!V177</f>
        <v>1.6899999999999977</v>
      </c>
      <c r="V176" s="3">
        <f ca="1">'ETF price'!W178-'ETF price'!W177</f>
        <v>-0.10000000000000142</v>
      </c>
      <c r="W176" s="3">
        <f ca="1">'ETF price'!X178-'ETF price'!X177</f>
        <v>-5.9999999999988063E-2</v>
      </c>
      <c r="X176" s="3">
        <f ca="1">'ETF price'!Y178-'ETF price'!Y177</f>
        <v>7.0000000000000284E-2</v>
      </c>
      <c r="Y176" s="3">
        <f ca="1">'ETF price'!Z178-'ETF price'!Z177</f>
        <v>-0.12000000000000455</v>
      </c>
      <c r="Z176" s="3">
        <f ca="1">'ETF price'!AA178-'ETF price'!AA177</f>
        <v>-0.50999999999999801</v>
      </c>
      <c r="AA176" s="3">
        <f ca="1">'ETF price'!AB178-'ETF price'!AB177</f>
        <v>0.15999999999999659</v>
      </c>
      <c r="AB176" s="3">
        <f ca="1">'ETF price'!AC178-'ETF price'!AC177</f>
        <v>-0.13000000000000256</v>
      </c>
      <c r="AC176" s="3">
        <f ca="1">'ETF price'!AD178-'ETF price'!AD177</f>
        <v>-0.13999999999999968</v>
      </c>
      <c r="AD176" s="3">
        <f ca="1">'ETF price'!AE178-'ETF price'!AE177</f>
        <v>-0.21000000000000085</v>
      </c>
      <c r="AE176" s="3">
        <f ca="1">'ETF price'!AF178-'ETF price'!AF177</f>
        <v>4.0000000000000036E-2</v>
      </c>
      <c r="AF176" s="3">
        <f ca="1">'ETF price'!AG178-'ETF price'!AG177</f>
        <v>8.0000000000001847E-2</v>
      </c>
    </row>
    <row r="177" spans="1:32" ht="12.75" x14ac:dyDescent="0.2">
      <c r="A177" s="3">
        <f ca="1">'ETF price'!B179-'ETF price'!B178</f>
        <v>-3.0499999999999829</v>
      </c>
      <c r="B177" s="3">
        <f ca="1">'ETF price'!C179-'ETF price'!C178</f>
        <v>-7.6299999999999955</v>
      </c>
      <c r="C177" s="3">
        <f ca="1">'ETF price'!D179-'ETF price'!D178</f>
        <v>-1.8799999999999955</v>
      </c>
      <c r="D177" s="3">
        <f ca="1">'ETF price'!E179-'ETF price'!E178</f>
        <v>-1.980000000000004</v>
      </c>
      <c r="E177" s="3">
        <f ca="1">'ETF price'!F179-'ETF price'!F178</f>
        <v>-0.55000000000000426</v>
      </c>
      <c r="F177" s="3">
        <f ca="1">'ETF price'!G179-'ETF price'!G178</f>
        <v>-0.26000000000000156</v>
      </c>
      <c r="G177" s="3">
        <f ca="1">'ETF price'!H179-'ETF price'!H178</f>
        <v>-0.15000000000000213</v>
      </c>
      <c r="H177" s="3">
        <f ca="1">'ETF price'!I179-'ETF price'!I178</f>
        <v>0.71000000000000796</v>
      </c>
      <c r="I177" s="3">
        <f ca="1">'ETF price'!J179-'ETF price'!J178</f>
        <v>1.0699999999999932</v>
      </c>
      <c r="J177" s="3">
        <f ca="1">'ETF price'!K179-'ETF price'!K178</f>
        <v>0.12999999999999545</v>
      </c>
      <c r="K177" s="3">
        <f ca="1">'ETF price'!L179-'ETF price'!L178</f>
        <v>1.1099999999999994</v>
      </c>
      <c r="L177" s="3">
        <f ca="1">'ETF price'!M179-'ETF price'!M178</f>
        <v>0.29999999999999716</v>
      </c>
      <c r="M177" s="3">
        <f ca="1">'ETF price'!N179-'ETF price'!N178</f>
        <v>0.32999999999999829</v>
      </c>
      <c r="N177" s="3">
        <f ca="1">'ETF price'!O179-'ETF price'!O178</f>
        <v>1.1000000000000014</v>
      </c>
      <c r="O177" s="3">
        <f ca="1">'ETF price'!P179-'ETF price'!P178</f>
        <v>-2.1199999999999903</v>
      </c>
      <c r="P177" s="3">
        <f ca="1">'ETF price'!Q179-'ETF price'!Q178</f>
        <v>-2.9899999999999949</v>
      </c>
      <c r="Q177" s="3">
        <f ca="1">'ETF price'!R179-'ETF price'!R178</f>
        <v>-0.99000000000000909</v>
      </c>
      <c r="R177" s="3">
        <f ca="1">'ETF price'!S179-'ETF price'!S178</f>
        <v>-1.2999999999999972</v>
      </c>
      <c r="S177" s="3">
        <f ca="1">'ETF price'!T179-'ETF price'!T178</f>
        <v>-0.75</v>
      </c>
      <c r="T177" s="3">
        <f ca="1">'ETF price'!U179-'ETF price'!U178</f>
        <v>-2.9699999999999989</v>
      </c>
      <c r="U177" s="3">
        <f ca="1">'ETF price'!V179-'ETF price'!V178</f>
        <v>-3.3399999999999892</v>
      </c>
      <c r="V177" s="3">
        <f ca="1">'ETF price'!W179-'ETF price'!W178</f>
        <v>0.10999999999999943</v>
      </c>
      <c r="W177" s="3">
        <f ca="1">'ETF price'!X179-'ETF price'!X178</f>
        <v>0.25</v>
      </c>
      <c r="X177" s="3">
        <f ca="1">'ETF price'!Y179-'ETF price'!Y178</f>
        <v>0.50999999999999801</v>
      </c>
      <c r="Y177" s="3">
        <f ca="1">'ETF price'!Z179-'ETF price'!Z178</f>
        <v>0.18999999999999773</v>
      </c>
      <c r="Z177" s="3">
        <f ca="1">'ETF price'!AA179-'ETF price'!AA178</f>
        <v>-0.89999999999999858</v>
      </c>
      <c r="AA177" s="3">
        <f ca="1">'ETF price'!AB179-'ETF price'!AB178</f>
        <v>0.73000000000000398</v>
      </c>
      <c r="AB177" s="3">
        <f ca="1">'ETF price'!AC179-'ETF price'!AC178</f>
        <v>6.0000000000002274E-2</v>
      </c>
      <c r="AC177" s="3">
        <f ca="1">'ETF price'!AD179-'ETF price'!AD178</f>
        <v>-7.0000000000000284E-2</v>
      </c>
      <c r="AD177" s="3">
        <f ca="1">'ETF price'!AE179-'ETF price'!AE178</f>
        <v>-0.11999999999999922</v>
      </c>
      <c r="AE177" s="3">
        <f ca="1">'ETF price'!AF179-'ETF price'!AF178</f>
        <v>-0.22999999999999998</v>
      </c>
      <c r="AF177" s="3">
        <f ca="1">'ETF price'!AG179-'ETF price'!AG178</f>
        <v>-0.40000000000000213</v>
      </c>
    </row>
    <row r="178" spans="1:32" ht="12.75" x14ac:dyDescent="0.2">
      <c r="A178" s="3">
        <f ca="1">'ETF price'!B180-'ETF price'!B179</f>
        <v>-0.71999999999999886</v>
      </c>
      <c r="B178" s="3">
        <f ca="1">'ETF price'!C180-'ETF price'!C179</f>
        <v>-2.5099999999999909</v>
      </c>
      <c r="C178" s="3">
        <f ca="1">'ETF price'!D180-'ETF price'!D179</f>
        <v>-0.67000000000000171</v>
      </c>
      <c r="D178" s="3">
        <f ca="1">'ETF price'!E180-'ETF price'!E179</f>
        <v>0.71000000000000796</v>
      </c>
      <c r="E178" s="3">
        <f ca="1">'ETF price'!F180-'ETF price'!F179</f>
        <v>-0.9199999999999946</v>
      </c>
      <c r="F178" s="3">
        <f ca="1">'ETF price'!G180-'ETF price'!G179</f>
        <v>-0.35999999999999943</v>
      </c>
      <c r="G178" s="3">
        <f ca="1">'ETF price'!H180-'ETF price'!H179</f>
        <v>-0.39999999999999858</v>
      </c>
      <c r="H178" s="3">
        <f ca="1">'ETF price'!I180-'ETF price'!I179</f>
        <v>-0.35999999999999943</v>
      </c>
      <c r="I178" s="3">
        <f ca="1">'ETF price'!J180-'ETF price'!J179</f>
        <v>-1.1299999999999955</v>
      </c>
      <c r="J178" s="3">
        <f ca="1">'ETF price'!K180-'ETF price'!K179</f>
        <v>-1.0900000000000034</v>
      </c>
      <c r="K178" s="3">
        <f ca="1">'ETF price'!L180-'ETF price'!L179</f>
        <v>-2.9300000000000068</v>
      </c>
      <c r="L178" s="3">
        <f ca="1">'ETF price'!M180-'ETF price'!M179</f>
        <v>-0.54999999999999716</v>
      </c>
      <c r="M178" s="3">
        <f ca="1">'ETF price'!N180-'ETF price'!N179</f>
        <v>-0.54999999999999716</v>
      </c>
      <c r="N178" s="3">
        <f ca="1">'ETF price'!O180-'ETF price'!O179</f>
        <v>-2.1799999999999997</v>
      </c>
      <c r="O178" s="3">
        <f ca="1">'ETF price'!P180-'ETF price'!P179</f>
        <v>-1.710000000000008</v>
      </c>
      <c r="P178" s="3">
        <f ca="1">'ETF price'!Q180-'ETF price'!Q179</f>
        <v>-2.6500000000000057</v>
      </c>
      <c r="Q178" s="3">
        <f ca="1">'ETF price'!R180-'ETF price'!R179</f>
        <v>-1.1699999999999875</v>
      </c>
      <c r="R178" s="3">
        <f ca="1">'ETF price'!S180-'ETF price'!S179</f>
        <v>-0.56000000000000227</v>
      </c>
      <c r="S178" s="3">
        <f ca="1">'ETF price'!T180-'ETF price'!T179</f>
        <v>-8.9999999999999858E-2</v>
      </c>
      <c r="T178" s="3">
        <f ca="1">'ETF price'!U180-'ETF price'!U179</f>
        <v>0.14000000000000057</v>
      </c>
      <c r="U178" s="3">
        <f ca="1">'ETF price'!V180-'ETF price'!V179</f>
        <v>-3.0000000000001137E-2</v>
      </c>
      <c r="V178" s="3">
        <f ca="1">'ETF price'!W180-'ETF price'!W179</f>
        <v>-0.29999999999999716</v>
      </c>
      <c r="W178" s="3">
        <f ca="1">'ETF price'!X180-'ETF price'!X179</f>
        <v>-0.79000000000000625</v>
      </c>
      <c r="X178" s="3">
        <f ca="1">'ETF price'!Y180-'ETF price'!Y179</f>
        <v>-0.46999999999999886</v>
      </c>
      <c r="Y178" s="3">
        <f ca="1">'ETF price'!Z180-'ETF price'!Z179</f>
        <v>-0.76000000000000512</v>
      </c>
      <c r="Z178" s="3">
        <f ca="1">'ETF price'!AA180-'ETF price'!AA179</f>
        <v>9.9999999999980105E-3</v>
      </c>
      <c r="AA178" s="3">
        <f ca="1">'ETF price'!AB180-'ETF price'!AB179</f>
        <v>-0.57999999999999829</v>
      </c>
      <c r="AB178" s="3">
        <f ca="1">'ETF price'!AC180-'ETF price'!AC179</f>
        <v>-0.53999999999999915</v>
      </c>
      <c r="AC178" s="3">
        <f ca="1">'ETF price'!AD180-'ETF price'!AD179</f>
        <v>-5.9999999999999609E-2</v>
      </c>
      <c r="AD178" s="3">
        <f ca="1">'ETF price'!AE180-'ETF price'!AE179</f>
        <v>-9.9999999999999645E-2</v>
      </c>
      <c r="AE178" s="3">
        <f ca="1">'ETF price'!AF180-'ETF price'!AF179</f>
        <v>0</v>
      </c>
      <c r="AF178" s="3">
        <f ca="1">'ETF price'!AG180-'ETF price'!AG179</f>
        <v>-1.4399999999999977</v>
      </c>
    </row>
    <row r="179" spans="1:32" ht="12.75" x14ac:dyDescent="0.2">
      <c r="A179" s="3">
        <f ca="1">'ETF price'!B181-'ETF price'!B180</f>
        <v>0.72999999999998977</v>
      </c>
      <c r="B179" s="3">
        <f ca="1">'ETF price'!C181-'ETF price'!C180</f>
        <v>2.6100000000000136</v>
      </c>
      <c r="C179" s="3">
        <f ca="1">'ETF price'!D181-'ETF price'!D180</f>
        <v>0.68999999999999773</v>
      </c>
      <c r="D179" s="3">
        <f ca="1">'ETF price'!E181-'ETF price'!E180</f>
        <v>0.62000000000000455</v>
      </c>
      <c r="E179" s="3">
        <f ca="1">'ETF price'!F181-'ETF price'!F180</f>
        <v>0.53999999999999915</v>
      </c>
      <c r="F179" s="3">
        <f ca="1">'ETF price'!G181-'ETF price'!G180</f>
        <v>3.0000000000001137E-2</v>
      </c>
      <c r="G179" s="3">
        <f ca="1">'ETF price'!H181-'ETF price'!H180</f>
        <v>9.9999999999997868E-2</v>
      </c>
      <c r="H179" s="3">
        <f ca="1">'ETF price'!I181-'ETF price'!I180</f>
        <v>-1.1899999999999977</v>
      </c>
      <c r="I179" s="3">
        <f ca="1">'ETF price'!J181-'ETF price'!J180</f>
        <v>-1.410000000000025</v>
      </c>
      <c r="J179" s="3">
        <f ca="1">'ETF price'!K181-'ETF price'!K180</f>
        <v>-1.1599999999999966</v>
      </c>
      <c r="K179" s="3">
        <f ca="1">'ETF price'!L181-'ETF price'!L180</f>
        <v>-1.039999999999992</v>
      </c>
      <c r="L179" s="3">
        <f ca="1">'ETF price'!M181-'ETF price'!M180</f>
        <v>-0.3300000000000054</v>
      </c>
      <c r="M179" s="3">
        <f ca="1">'ETF price'!N181-'ETF price'!N180</f>
        <v>-0.32000000000000028</v>
      </c>
      <c r="N179" s="3">
        <f ca="1">'ETF price'!O181-'ETF price'!O180</f>
        <v>-0.67999999999999972</v>
      </c>
      <c r="O179" s="3">
        <f ca="1">'ETF price'!P181-'ETF price'!P180</f>
        <v>-0.79999999999999716</v>
      </c>
      <c r="P179" s="3">
        <f ca="1">'ETF price'!Q181-'ETF price'!Q180</f>
        <v>0.21999999999999886</v>
      </c>
      <c r="Q179" s="3">
        <f ca="1">'ETF price'!R181-'ETF price'!R180</f>
        <v>0.78999999999999204</v>
      </c>
      <c r="R179" s="3">
        <f ca="1">'ETF price'!S181-'ETF price'!S180</f>
        <v>1.5300000000000011</v>
      </c>
      <c r="S179" s="3">
        <f ca="1">'ETF price'!T181-'ETF price'!T180</f>
        <v>8.0000000000001847E-2</v>
      </c>
      <c r="T179" s="3">
        <f ca="1">'ETF price'!U181-'ETF price'!U180</f>
        <v>0.14999999999999147</v>
      </c>
      <c r="U179" s="3">
        <f ca="1">'ETF price'!V181-'ETF price'!V180</f>
        <v>-0.68999999999999773</v>
      </c>
      <c r="V179" s="3">
        <f ca="1">'ETF price'!W181-'ETF price'!W180</f>
        <v>0.19999999999999574</v>
      </c>
      <c r="W179" s="3">
        <f ca="1">'ETF price'!X181-'ETF price'!X180</f>
        <v>0.93999999999999773</v>
      </c>
      <c r="X179" s="3">
        <f ca="1">'ETF price'!Y181-'ETF price'!Y180</f>
        <v>0.46000000000000085</v>
      </c>
      <c r="Y179" s="3">
        <f ca="1">'ETF price'!Z181-'ETF price'!Z180</f>
        <v>0.83000000000001251</v>
      </c>
      <c r="Z179" s="3">
        <f ca="1">'ETF price'!AA181-'ETF price'!AA180</f>
        <v>-0.44000000000000483</v>
      </c>
      <c r="AA179" s="3">
        <f ca="1">'ETF price'!AB181-'ETF price'!AB180</f>
        <v>0.69999999999999574</v>
      </c>
      <c r="AB179" s="3">
        <f ca="1">'ETF price'!AC181-'ETF price'!AC180</f>
        <v>0.42000000000000171</v>
      </c>
      <c r="AC179" s="3">
        <f ca="1">'ETF price'!AD181-'ETF price'!AD180</f>
        <v>-4.0000000000000036E-2</v>
      </c>
      <c r="AD179" s="3">
        <f ca="1">'ETF price'!AE181-'ETF price'!AE180</f>
        <v>-6.0000000000000497E-2</v>
      </c>
      <c r="AE179" s="3">
        <f ca="1">'ETF price'!AF181-'ETF price'!AF180</f>
        <v>-0.10000000000000009</v>
      </c>
      <c r="AF179" s="3">
        <f ca="1">'ETF price'!AG181-'ETF price'!AG180</f>
        <v>-0.56000000000000227</v>
      </c>
    </row>
    <row r="180" spans="1:32" ht="12.75" x14ac:dyDescent="0.2">
      <c r="A180" s="3">
        <f ca="1">'ETF price'!B182-'ETF price'!B181</f>
        <v>-0.75999999999999091</v>
      </c>
      <c r="B180" s="3">
        <f ca="1">'ETF price'!C182-'ETF price'!C181</f>
        <v>-2.0800000000000409</v>
      </c>
      <c r="C180" s="3">
        <f ca="1">'ETF price'!D182-'ETF price'!D181</f>
        <v>-0.66999999999998749</v>
      </c>
      <c r="D180" s="3">
        <f ca="1">'ETF price'!E182-'ETF price'!E181</f>
        <v>-1.5800000000000125</v>
      </c>
      <c r="E180" s="3">
        <f ca="1">'ETF price'!F182-'ETF price'!F181</f>
        <v>-0.42999999999999972</v>
      </c>
      <c r="F180" s="3">
        <f ca="1">'ETF price'!G182-'ETF price'!G181</f>
        <v>-0.21000000000000085</v>
      </c>
      <c r="G180" s="3">
        <f ca="1">'ETF price'!H182-'ETF price'!H181</f>
        <v>-0.48999999999999844</v>
      </c>
      <c r="H180" s="3">
        <f ca="1">'ETF price'!I182-'ETF price'!I181</f>
        <v>-1.480000000000004</v>
      </c>
      <c r="I180" s="3">
        <f ca="1">'ETF price'!J182-'ETF price'!J181</f>
        <v>-2.5199999999999818</v>
      </c>
      <c r="J180" s="3">
        <f ca="1">'ETF price'!K182-'ETF price'!K181</f>
        <v>-1.25</v>
      </c>
      <c r="K180" s="3">
        <f ca="1">'ETF price'!L182-'ETF price'!L181</f>
        <v>-0.24000000000000909</v>
      </c>
      <c r="L180" s="3">
        <f ca="1">'ETF price'!M182-'ETF price'!M181</f>
        <v>-0.68999999999999773</v>
      </c>
      <c r="M180" s="3">
        <f ca="1">'ETF price'!N182-'ETF price'!N181</f>
        <v>-0.68999999999999773</v>
      </c>
      <c r="N180" s="3">
        <f ca="1">'ETF price'!O182-'ETF price'!O181</f>
        <v>-0.35999999999999943</v>
      </c>
      <c r="O180" s="3">
        <f ca="1">'ETF price'!P182-'ETF price'!P181</f>
        <v>-0.54000000000000625</v>
      </c>
      <c r="P180" s="3">
        <f ca="1">'ETF price'!Q182-'ETF price'!Q181</f>
        <v>-0.84999999999999432</v>
      </c>
      <c r="Q180" s="3">
        <f ca="1">'ETF price'!R182-'ETF price'!R181</f>
        <v>-1.3999999999999915</v>
      </c>
      <c r="R180" s="3">
        <f ca="1">'ETF price'!S182-'ETF price'!S181</f>
        <v>-1.25</v>
      </c>
      <c r="S180" s="3">
        <f ca="1">'ETF price'!T182-'ETF price'!T181</f>
        <v>-3.0000000000001137E-2</v>
      </c>
      <c r="T180" s="3">
        <f ca="1">'ETF price'!U182-'ETF price'!U181</f>
        <v>-0.82999999999999829</v>
      </c>
      <c r="U180" s="3">
        <f ca="1">'ETF price'!V182-'ETF price'!V181</f>
        <v>-2.6300000000000097</v>
      </c>
      <c r="V180" s="3">
        <f ca="1">'ETF price'!W182-'ETF price'!W181</f>
        <v>-0.48999999999999488</v>
      </c>
      <c r="W180" s="3">
        <f ca="1">'ETF price'!X182-'ETF price'!X181</f>
        <v>-1.1599999999999966</v>
      </c>
      <c r="X180" s="3">
        <f ca="1">'ETF price'!Y182-'ETF price'!Y181</f>
        <v>-0.35000000000000142</v>
      </c>
      <c r="Y180" s="3">
        <f ca="1">'ETF price'!Z182-'ETF price'!Z181</f>
        <v>-1.1500000000000057</v>
      </c>
      <c r="Z180" s="3">
        <f ca="1">'ETF price'!AA182-'ETF price'!AA181</f>
        <v>-1.0499999999999972</v>
      </c>
      <c r="AA180" s="3">
        <f ca="1">'ETF price'!AB182-'ETF price'!AB181</f>
        <v>-0.21000000000000085</v>
      </c>
      <c r="AB180" s="3">
        <f ca="1">'ETF price'!AC182-'ETF price'!AC181</f>
        <v>-0.75</v>
      </c>
      <c r="AC180" s="3">
        <f ca="1">'ETF price'!AD182-'ETF price'!AD181</f>
        <v>-0.20000000000000018</v>
      </c>
      <c r="AD180" s="3">
        <f ca="1">'ETF price'!AE182-'ETF price'!AE181</f>
        <v>-0.34999999999999964</v>
      </c>
      <c r="AE180" s="3">
        <f ca="1">'ETF price'!AF182-'ETF price'!AF181</f>
        <v>-0.20999999999999996</v>
      </c>
      <c r="AF180" s="3">
        <f ca="1">'ETF price'!AG182-'ETF price'!AG181</f>
        <v>-0.96000000000000085</v>
      </c>
    </row>
    <row r="181" spans="1:32" ht="12.75" x14ac:dyDescent="0.2">
      <c r="A181" s="3">
        <f ca="1">'ETF price'!B183-'ETF price'!B182</f>
        <v>-2.0100000000000051</v>
      </c>
      <c r="B181" s="3">
        <f ca="1">'ETF price'!C183-'ETF price'!C182</f>
        <v>-5.0499999999999545</v>
      </c>
      <c r="C181" s="3">
        <f ca="1">'ETF price'!D183-'ETF price'!D182</f>
        <v>-1.1900000000000119</v>
      </c>
      <c r="D181" s="3">
        <f ca="1">'ETF price'!E183-'ETF price'!E182</f>
        <v>-1.1799999999999926</v>
      </c>
      <c r="E181" s="3">
        <f ca="1">'ETF price'!F183-'ETF price'!F182</f>
        <v>-0.39999999999999858</v>
      </c>
      <c r="F181" s="3">
        <f ca="1">'ETF price'!G183-'ETF price'!G182</f>
        <v>-0.21999999999999886</v>
      </c>
      <c r="G181" s="3">
        <f ca="1">'ETF price'!H183-'ETF price'!H182</f>
        <v>-0.41000000000000014</v>
      </c>
      <c r="H181" s="3">
        <f ca="1">'ETF price'!I183-'ETF price'!I182</f>
        <v>-2.0700000000000074</v>
      </c>
      <c r="I181" s="3">
        <f ca="1">'ETF price'!J183-'ETF price'!J182</f>
        <v>-4.1500000000000057</v>
      </c>
      <c r="J181" s="3">
        <f ca="1">'ETF price'!K183-'ETF price'!K182</f>
        <v>-2.6400000000000006</v>
      </c>
      <c r="K181" s="3">
        <f ca="1">'ETF price'!L183-'ETF price'!L182</f>
        <v>-2.8599999999999994</v>
      </c>
      <c r="L181" s="3">
        <f ca="1">'ETF price'!M183-'ETF price'!M182</f>
        <v>-1.5300000000000011</v>
      </c>
      <c r="M181" s="3">
        <f ca="1">'ETF price'!N183-'ETF price'!N182</f>
        <v>-1.0500000000000043</v>
      </c>
      <c r="N181" s="3">
        <f ca="1">'ETF price'!O183-'ETF price'!O182</f>
        <v>-1.8800000000000026</v>
      </c>
      <c r="O181" s="3">
        <f ca="1">'ETF price'!P183-'ETF price'!P182</f>
        <v>-1.1299999999999955</v>
      </c>
      <c r="P181" s="3">
        <f ca="1">'ETF price'!Q183-'ETF price'!Q182</f>
        <v>-1.7000000000000028</v>
      </c>
      <c r="Q181" s="3">
        <f ca="1">'ETF price'!R183-'ETF price'!R182</f>
        <v>-1.5800000000000125</v>
      </c>
      <c r="R181" s="3">
        <f ca="1">'ETF price'!S183-'ETF price'!S182</f>
        <v>-0.96000000000000085</v>
      </c>
      <c r="S181" s="3">
        <f ca="1">'ETF price'!T183-'ETF price'!T182</f>
        <v>-0.14999999999999858</v>
      </c>
      <c r="T181" s="3">
        <f ca="1">'ETF price'!U183-'ETF price'!U182</f>
        <v>-0.53999999999999204</v>
      </c>
      <c r="U181" s="3">
        <f ca="1">'ETF price'!V183-'ETF price'!V182</f>
        <v>-0.42999999999999261</v>
      </c>
      <c r="V181" s="3">
        <f ca="1">'ETF price'!W183-'ETF price'!W182</f>
        <v>-0.67999999999999972</v>
      </c>
      <c r="W181" s="3">
        <f ca="1">'ETF price'!X183-'ETF price'!X182</f>
        <v>-1.5799999999999983</v>
      </c>
      <c r="X181" s="3">
        <f ca="1">'ETF price'!Y183-'ETF price'!Y182</f>
        <v>-0.62000000000000455</v>
      </c>
      <c r="Y181" s="3">
        <f ca="1">'ETF price'!Z183-'ETF price'!Z182</f>
        <v>-1.4399999999999977</v>
      </c>
      <c r="Z181" s="3">
        <f ca="1">'ETF price'!AA183-'ETF price'!AA182</f>
        <v>-0.57000000000000028</v>
      </c>
      <c r="AA181" s="3">
        <f ca="1">'ETF price'!AB183-'ETF price'!AB182</f>
        <v>-0.75</v>
      </c>
      <c r="AB181" s="3">
        <f ca="1">'ETF price'!AC183-'ETF price'!AC182</f>
        <v>-1.0900000000000034</v>
      </c>
      <c r="AC181" s="3">
        <f ca="1">'ETF price'!AD183-'ETF price'!AD182</f>
        <v>1.9999999999999574E-2</v>
      </c>
      <c r="AD181" s="3">
        <f ca="1">'ETF price'!AE183-'ETF price'!AE182</f>
        <v>1.9999999999999574E-2</v>
      </c>
      <c r="AE181" s="3">
        <f ca="1">'ETF price'!AF183-'ETF price'!AF182</f>
        <v>4.9999999999999822E-2</v>
      </c>
      <c r="AF181" s="3">
        <f ca="1">'ETF price'!AG183-'ETF price'!AG182</f>
        <v>0.12000000000000099</v>
      </c>
    </row>
    <row r="182" spans="1:32" ht="12.75" x14ac:dyDescent="0.2">
      <c r="A182" s="3">
        <f ca="1">'ETF price'!B184-'ETF price'!B183</f>
        <v>-1.2900000000000063</v>
      </c>
      <c r="B182" s="3">
        <f ca="1">'ETF price'!C184-'ETF price'!C183</f>
        <v>-4.3199999999999932</v>
      </c>
      <c r="C182" s="3">
        <f ca="1">'ETF price'!D184-'ETF price'!D183</f>
        <v>-0.85999999999999943</v>
      </c>
      <c r="D182" s="3">
        <f ca="1">'ETF price'!E184-'ETF price'!E183</f>
        <v>-3.1599999999999966</v>
      </c>
      <c r="E182" s="3">
        <f ca="1">'ETF price'!F184-'ETF price'!F183</f>
        <v>-1.0500000000000043</v>
      </c>
      <c r="F182" s="3">
        <f ca="1">'ETF price'!G184-'ETF price'!G183</f>
        <v>-0.38000000000000256</v>
      </c>
      <c r="G182" s="3">
        <f ca="1">'ETF price'!H184-'ETF price'!H183</f>
        <v>-0.60999999999999943</v>
      </c>
      <c r="H182" s="3">
        <f ca="1">'ETF price'!I184-'ETF price'!I183</f>
        <v>0.65000000000000568</v>
      </c>
      <c r="I182" s="3">
        <f ca="1">'ETF price'!J184-'ETF price'!J183</f>
        <v>0.18000000000000682</v>
      </c>
      <c r="J182" s="3">
        <f ca="1">'ETF price'!K184-'ETF price'!K183</f>
        <v>-1.1799999999999926</v>
      </c>
      <c r="K182" s="3">
        <f ca="1">'ETF price'!L184-'ETF price'!L183</f>
        <v>-1.039999999999992</v>
      </c>
      <c r="L182" s="3">
        <f ca="1">'ETF price'!M184-'ETF price'!M183</f>
        <v>-0.35000000000000142</v>
      </c>
      <c r="M182" s="3">
        <f ca="1">'ETF price'!N184-'ETF price'!N183</f>
        <v>0.10000000000000142</v>
      </c>
      <c r="N182" s="3">
        <f ca="1">'ETF price'!O184-'ETF price'!O183</f>
        <v>-1.3599999999999994</v>
      </c>
      <c r="O182" s="3">
        <f ca="1">'ETF price'!P184-'ETF price'!P183</f>
        <v>-0.26999999999999602</v>
      </c>
      <c r="P182" s="3">
        <f ca="1">'ETF price'!Q184-'ETF price'!Q183</f>
        <v>-0.65999999999999659</v>
      </c>
      <c r="Q182" s="3">
        <f ca="1">'ETF price'!R184-'ETF price'!R183</f>
        <v>-0.84999999999999432</v>
      </c>
      <c r="R182" s="3">
        <f ca="1">'ETF price'!S184-'ETF price'!S183</f>
        <v>-0.75999999999999801</v>
      </c>
      <c r="S182" s="3">
        <f ca="1">'ETF price'!T184-'ETF price'!T183</f>
        <v>7.0000000000000284E-2</v>
      </c>
      <c r="T182" s="3">
        <f ca="1">'ETF price'!U184-'ETF price'!U183</f>
        <v>0.28999999999999204</v>
      </c>
      <c r="U182" s="3">
        <f ca="1">'ETF price'!V184-'ETF price'!V183</f>
        <v>-2.7600000000000051</v>
      </c>
      <c r="V182" s="3">
        <f ca="1">'ETF price'!W184-'ETF price'!W183</f>
        <v>-0.5400000000000027</v>
      </c>
      <c r="W182" s="3">
        <f ca="1">'ETF price'!X184-'ETF price'!X183</f>
        <v>-1.480000000000004</v>
      </c>
      <c r="X182" s="3">
        <f ca="1">'ETF price'!Y184-'ETF price'!Y183</f>
        <v>-1.0899999999999963</v>
      </c>
      <c r="Y182" s="3">
        <f ca="1">'ETF price'!Z184-'ETF price'!Z183</f>
        <v>-1.2600000000000051</v>
      </c>
      <c r="Z182" s="3">
        <f ca="1">'ETF price'!AA184-'ETF price'!AA183</f>
        <v>-0.35999999999999943</v>
      </c>
      <c r="AA182" s="3">
        <f ca="1">'ETF price'!AB184-'ETF price'!AB183</f>
        <v>-1.4299999999999997</v>
      </c>
      <c r="AB182" s="3">
        <f ca="1">'ETF price'!AC184-'ETF price'!AC183</f>
        <v>-1.0499999999999972</v>
      </c>
      <c r="AC182" s="3">
        <f ca="1">'ETF price'!AD184-'ETF price'!AD183</f>
        <v>0.10000000000000053</v>
      </c>
      <c r="AD182" s="3">
        <f ca="1">'ETF price'!AE184-'ETF price'!AE183</f>
        <v>0.19999999999999929</v>
      </c>
      <c r="AE182" s="3">
        <f ca="1">'ETF price'!AF184-'ETF price'!AF183</f>
        <v>-7.9999999999999627E-2</v>
      </c>
      <c r="AF182" s="3">
        <f ca="1">'ETF price'!AG184-'ETF price'!AG183</f>
        <v>-1.0399999999999991</v>
      </c>
    </row>
    <row r="183" spans="1:32" ht="12.75" x14ac:dyDescent="0.2">
      <c r="A183" s="3">
        <f ca="1">'ETF price'!B185-'ETF price'!B184</f>
        <v>-1.6400000000000006</v>
      </c>
      <c r="B183" s="3">
        <f ca="1">'ETF price'!C185-'ETF price'!C184</f>
        <v>-4.5900000000000318</v>
      </c>
      <c r="C183" s="3">
        <f ca="1">'ETF price'!D185-'ETF price'!D184</f>
        <v>-1.0300000000000011</v>
      </c>
      <c r="D183" s="3">
        <f ca="1">'ETF price'!E185-'ETF price'!E184</f>
        <v>-1.5100000000000051</v>
      </c>
      <c r="E183" s="3">
        <f ca="1">'ETF price'!F185-'ETF price'!F184</f>
        <v>-0.88000000000000256</v>
      </c>
      <c r="F183" s="3">
        <f ca="1">'ETF price'!G185-'ETF price'!G184</f>
        <v>-0.32999999999999829</v>
      </c>
      <c r="G183" s="3">
        <f ca="1">'ETF price'!H185-'ETF price'!H184</f>
        <v>-0.44000000000000128</v>
      </c>
      <c r="H183" s="3">
        <f ca="1">'ETF price'!I185-'ETF price'!I184</f>
        <v>-0.62999999999999545</v>
      </c>
      <c r="I183" s="3">
        <f ca="1">'ETF price'!J185-'ETF price'!J184</f>
        <v>-1.1899999999999977</v>
      </c>
      <c r="J183" s="3">
        <f ca="1">'ETF price'!K185-'ETF price'!K184</f>
        <v>-1.4100000000000108</v>
      </c>
      <c r="K183" s="3">
        <f ca="1">'ETF price'!L185-'ETF price'!L184</f>
        <v>-1.4399999999999977</v>
      </c>
      <c r="L183" s="3">
        <f ca="1">'ETF price'!M185-'ETF price'!M184</f>
        <v>-0.75</v>
      </c>
      <c r="M183" s="3">
        <f ca="1">'ETF price'!N185-'ETF price'!N184</f>
        <v>-0.42999999999999972</v>
      </c>
      <c r="N183" s="3">
        <f ca="1">'ETF price'!O185-'ETF price'!O184</f>
        <v>-1.3599999999999994</v>
      </c>
      <c r="O183" s="3">
        <f ca="1">'ETF price'!P185-'ETF price'!P184</f>
        <v>-5.2199999999999989</v>
      </c>
      <c r="P183" s="3">
        <f ca="1">'ETF price'!Q185-'ETF price'!Q184</f>
        <v>-7.4900000000000091</v>
      </c>
      <c r="Q183" s="3">
        <f ca="1">'ETF price'!R185-'ETF price'!R184</f>
        <v>-1.4299999999999926</v>
      </c>
      <c r="R183" s="3">
        <f ca="1">'ETF price'!S185-'ETF price'!S184</f>
        <v>-2.3299999999999983</v>
      </c>
      <c r="S183" s="3">
        <f ca="1">'ETF price'!T185-'ETF price'!T184</f>
        <v>-0.83999999999999986</v>
      </c>
      <c r="T183" s="3">
        <f ca="1">'ETF price'!U185-'ETF price'!U184</f>
        <v>-3.6500000000000057</v>
      </c>
      <c r="U183" s="3">
        <f ca="1">'ETF price'!V185-'ETF price'!V184</f>
        <v>-2.769999999999996</v>
      </c>
      <c r="V183" s="3">
        <f ca="1">'ETF price'!W185-'ETF price'!W184</f>
        <v>-0.5</v>
      </c>
      <c r="W183" s="3">
        <f ca="1">'ETF price'!X185-'ETF price'!X184</f>
        <v>-1.3400000000000034</v>
      </c>
      <c r="X183" s="3">
        <f ca="1">'ETF price'!Y185-'ETF price'!Y184</f>
        <v>-0.82999999999999829</v>
      </c>
      <c r="Y183" s="3">
        <f ca="1">'ETF price'!Z185-'ETF price'!Z184</f>
        <v>-1.1799999999999926</v>
      </c>
      <c r="Z183" s="3">
        <f ca="1">'ETF price'!AA185-'ETF price'!AA184</f>
        <v>-0.46999999999999886</v>
      </c>
      <c r="AA183" s="3">
        <f ca="1">'ETF price'!AB185-'ETF price'!AB184</f>
        <v>-0.96000000000000085</v>
      </c>
      <c r="AB183" s="3">
        <f ca="1">'ETF price'!AC185-'ETF price'!AC184</f>
        <v>-0.92999999999999972</v>
      </c>
      <c r="AC183" s="3">
        <f ca="1">'ETF price'!AD185-'ETF price'!AD184</f>
        <v>-0.20000000000000018</v>
      </c>
      <c r="AD183" s="3">
        <f ca="1">'ETF price'!AE185-'ETF price'!AE184</f>
        <v>-0.31999999999999851</v>
      </c>
      <c r="AE183" s="3">
        <f ca="1">'ETF price'!AF185-'ETF price'!AF184</f>
        <v>-7.0000000000000284E-2</v>
      </c>
      <c r="AF183" s="3">
        <f ca="1">'ETF price'!AG185-'ETF price'!AG184</f>
        <v>-0.87999999999999901</v>
      </c>
    </row>
    <row r="184" spans="1:32" ht="12.75" x14ac:dyDescent="0.2">
      <c r="A184" s="3">
        <f ca="1">'ETF price'!B186-'ETF price'!B185</f>
        <v>-0.85999999999999943</v>
      </c>
      <c r="B184" s="3">
        <f ca="1">'ETF price'!C186-'ETF price'!C185</f>
        <v>-2.0799999999999841</v>
      </c>
      <c r="C184" s="3">
        <f ca="1">'ETF price'!D186-'ETF price'!D185</f>
        <v>-0.72999999999998977</v>
      </c>
      <c r="D184" s="3">
        <f ca="1">'ETF price'!E186-'ETF price'!E185</f>
        <v>-2.2600000000000051</v>
      </c>
      <c r="E184" s="3">
        <f ca="1">'ETF price'!F186-'ETF price'!F185</f>
        <v>-0.22999999999999687</v>
      </c>
      <c r="F184" s="3">
        <f ca="1">'ETF price'!G186-'ETF price'!G185</f>
        <v>-0.10999999999999943</v>
      </c>
      <c r="G184" s="3">
        <f ca="1">'ETF price'!H186-'ETF price'!H185</f>
        <v>-0.30000000000000071</v>
      </c>
      <c r="H184" s="3">
        <f ca="1">'ETF price'!I186-'ETF price'!I185</f>
        <v>-1.1700000000000017</v>
      </c>
      <c r="I184" s="3">
        <f ca="1">'ETF price'!J186-'ETF price'!J185</f>
        <v>-2.3700000000000045</v>
      </c>
      <c r="J184" s="3">
        <f ca="1">'ETF price'!K186-'ETF price'!K185</f>
        <v>-1.8999999999999915</v>
      </c>
      <c r="K184" s="3">
        <f ca="1">'ETF price'!L186-'ETF price'!L185</f>
        <v>-1.5900000000000034</v>
      </c>
      <c r="L184" s="3">
        <f ca="1">'ETF price'!M186-'ETF price'!M185</f>
        <v>-0.68999999999999773</v>
      </c>
      <c r="M184" s="3">
        <f ca="1">'ETF price'!N186-'ETF price'!N185</f>
        <v>-0.56000000000000227</v>
      </c>
      <c r="N184" s="3">
        <f ca="1">'ETF price'!O186-'ETF price'!O185</f>
        <v>-0.71999999999999886</v>
      </c>
      <c r="O184" s="3">
        <f ca="1">'ETF price'!P186-'ETF price'!P185</f>
        <v>-1.730000000000004</v>
      </c>
      <c r="P184" s="3">
        <f ca="1">'ETF price'!Q186-'ETF price'!Q185</f>
        <v>-2.6199999999999903</v>
      </c>
      <c r="Q184" s="3">
        <f ca="1">'ETF price'!R186-'ETF price'!R185</f>
        <v>-1.1100000000000136</v>
      </c>
      <c r="R184" s="3">
        <f ca="1">'ETF price'!S186-'ETF price'!S185</f>
        <v>-0.65000000000000568</v>
      </c>
      <c r="S184" s="3">
        <f ca="1">'ETF price'!T186-'ETF price'!T185</f>
        <v>-0.56000000000000227</v>
      </c>
      <c r="T184" s="3">
        <f ca="1">'ETF price'!U186-'ETF price'!U185</f>
        <v>-2.1199999999999903</v>
      </c>
      <c r="U184" s="3">
        <f ca="1">'ETF price'!V186-'ETF price'!V185</f>
        <v>-1.3500000000000085</v>
      </c>
      <c r="V184" s="3">
        <f ca="1">'ETF price'!W186-'ETF price'!W185</f>
        <v>-0.49000000000000199</v>
      </c>
      <c r="W184" s="3">
        <f ca="1">'ETF price'!X186-'ETF price'!X185</f>
        <v>-1.2800000000000011</v>
      </c>
      <c r="X184" s="3">
        <f ca="1">'ETF price'!Y186-'ETF price'!Y185</f>
        <v>-0.57000000000000028</v>
      </c>
      <c r="Y184" s="3">
        <f ca="1">'ETF price'!Z186-'ETF price'!Z185</f>
        <v>-1.5</v>
      </c>
      <c r="Z184" s="3">
        <f ca="1">'ETF price'!AA186-'ETF price'!AA185</f>
        <v>-1.009999999999998</v>
      </c>
      <c r="AA184" s="3">
        <f ca="1">'ETF price'!AB186-'ETF price'!AB185</f>
        <v>-0.51999999999999602</v>
      </c>
      <c r="AB184" s="3">
        <f ca="1">'ETF price'!AC186-'ETF price'!AC185</f>
        <v>-1.0500000000000043</v>
      </c>
      <c r="AC184" s="3">
        <f ca="1">'ETF price'!AD186-'ETF price'!AD185</f>
        <v>0.16000000000000014</v>
      </c>
      <c r="AD184" s="3">
        <f ca="1">'ETF price'!AE186-'ETF price'!AE185</f>
        <v>0.25999999999999979</v>
      </c>
      <c r="AE184" s="3">
        <f ca="1">'ETF price'!AF186-'ETF price'!AF185</f>
        <v>-6.999999999999984E-2</v>
      </c>
      <c r="AF184" s="3">
        <f ca="1">'ETF price'!AG186-'ETF price'!AG185</f>
        <v>0.16000000000000014</v>
      </c>
    </row>
    <row r="185" spans="1:32" ht="12.75" x14ac:dyDescent="0.2">
      <c r="A185" s="3">
        <f ca="1">'ETF price'!B187-'ETF price'!B186</f>
        <v>0.1600000000000108</v>
      </c>
      <c r="B185" s="3">
        <f ca="1">'ETF price'!C187-'ETF price'!C186</f>
        <v>1.1399999999999864</v>
      </c>
      <c r="C185" s="3">
        <f ca="1">'ETF price'!D187-'ETF price'!D186</f>
        <v>0.25999999999999091</v>
      </c>
      <c r="D185" s="3">
        <f ca="1">'ETF price'!E187-'ETF price'!E186</f>
        <v>1.0200000000000102</v>
      </c>
      <c r="E185" s="3">
        <f ca="1">'ETF price'!F187-'ETF price'!F186</f>
        <v>0.28999999999999915</v>
      </c>
      <c r="F185" s="3">
        <f ca="1">'ETF price'!G187-'ETF price'!G186</f>
        <v>1.9999999999999574E-2</v>
      </c>
      <c r="G185" s="3">
        <f ca="1">'ETF price'!H187-'ETF price'!H186</f>
        <v>0.19000000000000128</v>
      </c>
      <c r="H185" s="3">
        <f ca="1">'ETF price'!I187-'ETF price'!I186</f>
        <v>-0.37000000000000455</v>
      </c>
      <c r="I185" s="3">
        <f ca="1">'ETF price'!J187-'ETF price'!J186</f>
        <v>-0.18999999999999773</v>
      </c>
      <c r="J185" s="3">
        <f ca="1">'ETF price'!K187-'ETF price'!K186</f>
        <v>1.3999999999999915</v>
      </c>
      <c r="K185" s="3">
        <f ca="1">'ETF price'!L187-'ETF price'!L186</f>
        <v>2.1599999999999966</v>
      </c>
      <c r="L185" s="3">
        <f ca="1">'ETF price'!M187-'ETF price'!M186</f>
        <v>0.68999999999999773</v>
      </c>
      <c r="M185" s="3">
        <f ca="1">'ETF price'!N187-'ETF price'!N186</f>
        <v>-7.0000000000000284E-2</v>
      </c>
      <c r="N185" s="3">
        <f ca="1">'ETF price'!O187-'ETF price'!O186</f>
        <v>1</v>
      </c>
      <c r="O185" s="3">
        <f ca="1">'ETF price'!P187-'ETF price'!P186</f>
        <v>0.76999999999999602</v>
      </c>
      <c r="P185" s="3">
        <f ca="1">'ETF price'!Q187-'ETF price'!Q186</f>
        <v>1.2799999999999869</v>
      </c>
      <c r="Q185" s="3">
        <f ca="1">'ETF price'!R187-'ETF price'!R186</f>
        <v>0.15000000000000568</v>
      </c>
      <c r="R185" s="3">
        <f ca="1">'ETF price'!S187-'ETF price'!S186</f>
        <v>1.1600000000000037</v>
      </c>
      <c r="S185" s="3">
        <f ca="1">'ETF price'!T187-'ETF price'!T186</f>
        <v>0.25</v>
      </c>
      <c r="T185" s="3">
        <f ca="1">'ETF price'!U187-'ETF price'!U186</f>
        <v>1.2199999999999989</v>
      </c>
      <c r="U185" s="3">
        <f ca="1">'ETF price'!V187-'ETF price'!V186</f>
        <v>1.5700000000000074</v>
      </c>
      <c r="V185" s="3">
        <f ca="1">'ETF price'!W187-'ETF price'!W186</f>
        <v>-0.12999999999999901</v>
      </c>
      <c r="W185" s="3">
        <f ca="1">'ETF price'!X187-'ETF price'!X186</f>
        <v>-0.32999999999999829</v>
      </c>
      <c r="X185" s="3">
        <f ca="1">'ETF price'!Y187-'ETF price'!Y186</f>
        <v>-0.45000000000000284</v>
      </c>
      <c r="Y185" s="3">
        <f ca="1">'ETF price'!Z187-'ETF price'!Z186</f>
        <v>-0.24000000000000909</v>
      </c>
      <c r="Z185" s="3">
        <f ca="1">'ETF price'!AA187-'ETF price'!AA186</f>
        <v>-0.48000000000000398</v>
      </c>
      <c r="AA185" s="3">
        <f ca="1">'ETF price'!AB187-'ETF price'!AB186</f>
        <v>-0.71000000000000085</v>
      </c>
      <c r="AB185" s="3">
        <f ca="1">'ETF price'!AC187-'ETF price'!AC186</f>
        <v>-0.43999999999999773</v>
      </c>
      <c r="AC185" s="3">
        <f ca="1">'ETF price'!AD187-'ETF price'!AD186</f>
        <v>-4.0000000000000036E-2</v>
      </c>
      <c r="AD185" s="3">
        <f ca="1">'ETF price'!AE187-'ETF price'!AE186</f>
        <v>-7.0000000000000284E-2</v>
      </c>
      <c r="AE185" s="3">
        <f ca="1">'ETF price'!AF187-'ETF price'!AF186</f>
        <v>0.12999999999999989</v>
      </c>
      <c r="AF185" s="3">
        <f ca="1">'ETF price'!AG187-'ETF price'!AG186</f>
        <v>0.43999999999999773</v>
      </c>
    </row>
    <row r="186" spans="1:32" ht="12.75" x14ac:dyDescent="0.2">
      <c r="A186" s="3">
        <f ca="1">'ETF price'!B188-'ETF price'!B187</f>
        <v>1.2999999999999972</v>
      </c>
      <c r="B186" s="3">
        <f ca="1">'ETF price'!C188-'ETF price'!C187</f>
        <v>2.9200000000000159</v>
      </c>
      <c r="C186" s="3">
        <f ca="1">'ETF price'!D188-'ETF price'!D187</f>
        <v>1.0400000000000063</v>
      </c>
      <c r="D186" s="3">
        <f ca="1">'ETF price'!E188-'ETF price'!E187</f>
        <v>1.5599999999999881</v>
      </c>
      <c r="E186" s="3">
        <f ca="1">'ETF price'!F188-'ETF price'!F187</f>
        <v>0.85999999999999943</v>
      </c>
      <c r="F186" s="3">
        <f ca="1">'ETF price'!G188-'ETF price'!G187</f>
        <v>0.46999999999999886</v>
      </c>
      <c r="G186" s="3">
        <f ca="1">'ETF price'!H188-'ETF price'!H187</f>
        <v>0.60000000000000142</v>
      </c>
      <c r="H186" s="3">
        <f ca="1">'ETF price'!I188-'ETF price'!I187</f>
        <v>2.6500000000000057</v>
      </c>
      <c r="I186" s="3">
        <f ca="1">'ETF price'!J188-'ETF price'!J187</f>
        <v>4.4000000000000057</v>
      </c>
      <c r="J186" s="3">
        <f ca="1">'ETF price'!K188-'ETF price'!K187</f>
        <v>4.5100000000000051</v>
      </c>
      <c r="K186" s="3">
        <f ca="1">'ETF price'!L188-'ETF price'!L187</f>
        <v>3.980000000000004</v>
      </c>
      <c r="L186" s="3">
        <f ca="1">'ETF price'!M188-'ETF price'!M187</f>
        <v>2.8300000000000054</v>
      </c>
      <c r="M186" s="3">
        <f ca="1">'ETF price'!N188-'ETF price'!N187</f>
        <v>1.3599999999999994</v>
      </c>
      <c r="N186" s="3">
        <f ca="1">'ETF price'!O188-'ETF price'!O187</f>
        <v>2.1999999999999957</v>
      </c>
      <c r="O186" s="3">
        <f ca="1">'ETF price'!P188-'ETF price'!P187</f>
        <v>3.0799999999999983</v>
      </c>
      <c r="P186" s="3">
        <f ca="1">'ETF price'!Q188-'ETF price'!Q187</f>
        <v>3.3599999999999994</v>
      </c>
      <c r="Q186" s="3">
        <f ca="1">'ETF price'!R188-'ETF price'!R187</f>
        <v>1.7399999999999949</v>
      </c>
      <c r="R186" s="3">
        <f ca="1">'ETF price'!S188-'ETF price'!S187</f>
        <v>1.9499999999999957</v>
      </c>
      <c r="S186" s="3">
        <f ca="1">'ETF price'!T188-'ETF price'!T187</f>
        <v>0.66000000000000014</v>
      </c>
      <c r="T186" s="3">
        <f ca="1">'ETF price'!U188-'ETF price'!U187</f>
        <v>2.7099999999999937</v>
      </c>
      <c r="U186" s="3">
        <f ca="1">'ETF price'!V188-'ETF price'!V187</f>
        <v>1.4099999999999966</v>
      </c>
      <c r="V186" s="3">
        <f ca="1">'ETF price'!W188-'ETF price'!W187</f>
        <v>0.60000000000000142</v>
      </c>
      <c r="W186" s="3">
        <f ca="1">'ETF price'!X188-'ETF price'!X187</f>
        <v>1.0100000000000051</v>
      </c>
      <c r="X186" s="3">
        <f ca="1">'ETF price'!Y188-'ETF price'!Y187</f>
        <v>0.80000000000000426</v>
      </c>
      <c r="Y186" s="3">
        <f ca="1">'ETF price'!Z188-'ETF price'!Z187</f>
        <v>1.3100000000000023</v>
      </c>
      <c r="Z186" s="3">
        <f ca="1">'ETF price'!AA188-'ETF price'!AA187</f>
        <v>0.67999999999999972</v>
      </c>
      <c r="AA186" s="3">
        <f ca="1">'ETF price'!AB188-'ETF price'!AB187</f>
        <v>1.0200000000000031</v>
      </c>
      <c r="AB186" s="3">
        <f ca="1">'ETF price'!AC188-'ETF price'!AC187</f>
        <v>0.93999999999999773</v>
      </c>
      <c r="AC186" s="3">
        <f ca="1">'ETF price'!AD188-'ETF price'!AD187</f>
        <v>0.1899999999999995</v>
      </c>
      <c r="AD186" s="3">
        <f ca="1">'ETF price'!AE188-'ETF price'!AE187</f>
        <v>0.3100000000000005</v>
      </c>
      <c r="AE186" s="3">
        <f ca="1">'ETF price'!AF188-'ETF price'!AF187</f>
        <v>-6.999999999999984E-2</v>
      </c>
      <c r="AF186" s="3">
        <f ca="1">'ETF price'!AG188-'ETF price'!AG187</f>
        <v>1.4800000000000004</v>
      </c>
    </row>
    <row r="187" spans="1:32" ht="12.75" x14ac:dyDescent="0.2">
      <c r="A187" s="3">
        <f ca="1">'ETF price'!B189-'ETF price'!B188</f>
        <v>-3.2400000000000091</v>
      </c>
      <c r="B187" s="3">
        <f ca="1">'ETF price'!C189-'ETF price'!C188</f>
        <v>-8.25</v>
      </c>
      <c r="C187" s="3">
        <f ca="1">'ETF price'!D189-'ETF price'!D188</f>
        <v>-2.0700000000000074</v>
      </c>
      <c r="D187" s="3">
        <f ca="1">'ETF price'!E189-'ETF price'!E188</f>
        <v>-3.4699999999999989</v>
      </c>
      <c r="E187" s="3">
        <f ca="1">'ETF price'!F189-'ETF price'!F188</f>
        <v>-0.55999999999999517</v>
      </c>
      <c r="F187" s="3">
        <f ca="1">'ETF price'!G189-'ETF price'!G188</f>
        <v>-0.5</v>
      </c>
      <c r="G187" s="3">
        <f ca="1">'ETF price'!H189-'ETF price'!H188</f>
        <v>-0.5400000000000027</v>
      </c>
      <c r="H187" s="3">
        <f ca="1">'ETF price'!I189-'ETF price'!I188</f>
        <v>-1.0400000000000063</v>
      </c>
      <c r="I187" s="3">
        <f ca="1">'ETF price'!J189-'ETF price'!J188</f>
        <v>-2.210000000000008</v>
      </c>
      <c r="J187" s="3">
        <f ca="1">'ETF price'!K189-'ETF price'!K188</f>
        <v>-1.730000000000004</v>
      </c>
      <c r="K187" s="3">
        <f ca="1">'ETF price'!L189-'ETF price'!L188</f>
        <v>-2.3400000000000034</v>
      </c>
      <c r="L187" s="3">
        <f ca="1">'ETF price'!M189-'ETF price'!M188</f>
        <v>-1.0600000000000023</v>
      </c>
      <c r="M187" s="3">
        <f ca="1">'ETF price'!N189-'ETF price'!N188</f>
        <v>-0.51999999999999602</v>
      </c>
      <c r="N187" s="3">
        <f ca="1">'ETF price'!O189-'ETF price'!O188</f>
        <v>-1.6000000000000014</v>
      </c>
      <c r="O187" s="3">
        <f ca="1">'ETF price'!P189-'ETF price'!P188</f>
        <v>0</v>
      </c>
      <c r="P187" s="3">
        <f ca="1">'ETF price'!Q189-'ETF price'!Q188</f>
        <v>-0.18999999999999773</v>
      </c>
      <c r="Q187" s="3">
        <f ca="1">'ETF price'!R189-'ETF price'!R188</f>
        <v>-1.019999999999996</v>
      </c>
      <c r="R187" s="3">
        <f ca="1">'ETF price'!S189-'ETF price'!S188</f>
        <v>-0.80999999999999517</v>
      </c>
      <c r="S187" s="3">
        <f ca="1">'ETF price'!T189-'ETF price'!T188</f>
        <v>-0.14999999999999858</v>
      </c>
      <c r="T187" s="3">
        <f ca="1">'ETF price'!U189-'ETF price'!U188</f>
        <v>-0.35999999999999943</v>
      </c>
      <c r="U187" s="3">
        <f ca="1">'ETF price'!V189-'ETF price'!V188</f>
        <v>-4.0600000000000023</v>
      </c>
      <c r="V187" s="3">
        <f ca="1">'ETF price'!W189-'ETF price'!W188</f>
        <v>-0.39000000000000057</v>
      </c>
      <c r="W187" s="3">
        <f ca="1">'ETF price'!X189-'ETF price'!X188</f>
        <v>-1.0300000000000011</v>
      </c>
      <c r="X187" s="3">
        <f ca="1">'ETF price'!Y189-'ETF price'!Y188</f>
        <v>-0.75</v>
      </c>
      <c r="Y187" s="3">
        <f ca="1">'ETF price'!Z189-'ETF price'!Z188</f>
        <v>-0.89999999999999147</v>
      </c>
      <c r="Z187" s="3">
        <f ca="1">'ETF price'!AA189-'ETF price'!AA188</f>
        <v>-1.019999999999996</v>
      </c>
      <c r="AA187" s="3">
        <f ca="1">'ETF price'!AB189-'ETF price'!AB188</f>
        <v>-0.98000000000000398</v>
      </c>
      <c r="AB187" s="3">
        <f ca="1">'ETF price'!AC189-'ETF price'!AC188</f>
        <v>-0.67999999999999972</v>
      </c>
      <c r="AC187" s="3">
        <f ca="1">'ETF price'!AD189-'ETF price'!AD188</f>
        <v>-4.9999999999999822E-2</v>
      </c>
      <c r="AD187" s="3">
        <f ca="1">'ETF price'!AE189-'ETF price'!AE188</f>
        <v>-8.9999999999999858E-2</v>
      </c>
      <c r="AE187" s="3">
        <f ca="1">'ETF price'!AF189-'ETF price'!AF188</f>
        <v>0.1599999999999997</v>
      </c>
      <c r="AF187" s="3">
        <f ca="1">'ETF price'!AG189-'ETF price'!AG188</f>
        <v>-1.0799999999999983</v>
      </c>
    </row>
    <row r="188" spans="1:32" ht="12.75" x14ac:dyDescent="0.2">
      <c r="A188" s="3">
        <f ca="1">'ETF price'!B190-'ETF price'!B189</f>
        <v>-2.3199999999999932</v>
      </c>
      <c r="B188" s="3">
        <f ca="1">'ETF price'!C190-'ETF price'!C189</f>
        <v>-5.6800000000000068</v>
      </c>
      <c r="C188" s="3">
        <f ca="1">'ETF price'!D190-'ETF price'!D189</f>
        <v>-1.3399999999999892</v>
      </c>
      <c r="D188" s="3">
        <f ca="1">'ETF price'!E190-'ETF price'!E189</f>
        <v>-1.8599999999999994</v>
      </c>
      <c r="E188" s="3">
        <f ca="1">'ETF price'!F190-'ETF price'!F189</f>
        <v>-0.40000000000000568</v>
      </c>
      <c r="F188" s="3">
        <f ca="1">'ETF price'!G190-'ETF price'!G189</f>
        <v>-0.12000000000000099</v>
      </c>
      <c r="G188" s="3">
        <f ca="1">'ETF price'!H190-'ETF price'!H189</f>
        <v>-0.25</v>
      </c>
      <c r="H188" s="3">
        <f ca="1">'ETF price'!I190-'ETF price'!I189</f>
        <v>-1.6899999999999977</v>
      </c>
      <c r="I188" s="3">
        <f ca="1">'ETF price'!J190-'ETF price'!J189</f>
        <v>-2.6400000000000148</v>
      </c>
      <c r="J188" s="3">
        <f ca="1">'ETF price'!K190-'ETF price'!K189</f>
        <v>-0.64000000000000057</v>
      </c>
      <c r="K188" s="3">
        <f ca="1">'ETF price'!L190-'ETF price'!L189</f>
        <v>0.45999999999999375</v>
      </c>
      <c r="L188" s="3">
        <f ca="1">'ETF price'!M190-'ETF price'!M189</f>
        <v>9.9999999999980105E-3</v>
      </c>
      <c r="M188" s="3">
        <f ca="1">'ETF price'!N190-'ETF price'!N189</f>
        <v>-0.74000000000000199</v>
      </c>
      <c r="N188" s="3">
        <f ca="1">'ETF price'!O190-'ETF price'!O189</f>
        <v>0.40000000000000568</v>
      </c>
      <c r="O188" s="3">
        <f ca="1">'ETF price'!P190-'ETF price'!P189</f>
        <v>-0.57999999999999829</v>
      </c>
      <c r="P188" s="3">
        <f ca="1">'ETF price'!Q190-'ETF price'!Q189</f>
        <v>-0.54999999999999716</v>
      </c>
      <c r="Q188" s="3">
        <f ca="1">'ETF price'!R190-'ETF price'!R189</f>
        <v>-0.17999999999999261</v>
      </c>
      <c r="R188" s="3">
        <f ca="1">'ETF price'!S190-'ETF price'!S189</f>
        <v>-0.75</v>
      </c>
      <c r="S188" s="3">
        <f ca="1">'ETF price'!T190-'ETF price'!T189</f>
        <v>-0.30000000000000071</v>
      </c>
      <c r="T188" s="3">
        <f ca="1">'ETF price'!U190-'ETF price'!U189</f>
        <v>-1.4899999999999949</v>
      </c>
      <c r="U188" s="3">
        <f ca="1">'ETF price'!V190-'ETF price'!V189</f>
        <v>0.34000000000000341</v>
      </c>
      <c r="V188" s="3">
        <f ca="1">'ETF price'!W190-'ETF price'!W189</f>
        <v>-0.28000000000000114</v>
      </c>
      <c r="W188" s="3">
        <f ca="1">'ETF price'!X190-'ETF price'!X189</f>
        <v>-0.70000000000000284</v>
      </c>
      <c r="X188" s="3">
        <f ca="1">'ETF price'!Y190-'ETF price'!Y189</f>
        <v>-0.23000000000000398</v>
      </c>
      <c r="Y188" s="3">
        <f ca="1">'ETF price'!Z190-'ETF price'!Z189</f>
        <v>-0.63000000000000966</v>
      </c>
      <c r="Z188" s="3">
        <f ca="1">'ETF price'!AA190-'ETF price'!AA189</f>
        <v>0.37999999999999545</v>
      </c>
      <c r="AA188" s="3">
        <f ca="1">'ETF price'!AB190-'ETF price'!AB189</f>
        <v>-0.22999999999999687</v>
      </c>
      <c r="AB188" s="3">
        <f ca="1">'ETF price'!AC190-'ETF price'!AC189</f>
        <v>-0.5</v>
      </c>
      <c r="AC188" s="3">
        <f ca="1">'ETF price'!AD190-'ETF price'!AD189</f>
        <v>2.0000000000000462E-2</v>
      </c>
      <c r="AD188" s="3">
        <f ca="1">'ETF price'!AE190-'ETF price'!AE189</f>
        <v>2.9999999999999361E-2</v>
      </c>
      <c r="AE188" s="3">
        <f ca="1">'ETF price'!AF190-'ETF price'!AF189</f>
        <v>-9.9999999999999645E-2</v>
      </c>
      <c r="AF188" s="3">
        <f ca="1">'ETF price'!AG190-'ETF price'!AG189</f>
        <v>3.9999999999999147E-2</v>
      </c>
    </row>
    <row r="189" spans="1:32" ht="12.75" x14ac:dyDescent="0.2">
      <c r="A189" s="3">
        <f ca="1">'ETF price'!B191-'ETF price'!B190</f>
        <v>3.6799999999999926</v>
      </c>
      <c r="B189" s="3">
        <f ca="1">'ETF price'!C191-'ETF price'!C190</f>
        <v>9.3299999999999841</v>
      </c>
      <c r="C189" s="3">
        <f ca="1">'ETF price'!D191-'ETF price'!D190</f>
        <v>2.289999999999992</v>
      </c>
      <c r="D189" s="3">
        <f ca="1">'ETF price'!E191-'ETF price'!E190</f>
        <v>3.6800000000000068</v>
      </c>
      <c r="E189" s="3">
        <f ca="1">'ETF price'!F191-'ETF price'!F190</f>
        <v>1.1500000000000057</v>
      </c>
      <c r="F189" s="3">
        <f ca="1">'ETF price'!G191-'ETF price'!G190</f>
        <v>0.5400000000000027</v>
      </c>
      <c r="G189" s="3">
        <f ca="1">'ETF price'!H191-'ETF price'!H190</f>
        <v>0.69000000000000128</v>
      </c>
      <c r="H189" s="3">
        <f ca="1">'ETF price'!I191-'ETF price'!I190</f>
        <v>2.4899999999999949</v>
      </c>
      <c r="I189" s="3">
        <f ca="1">'ETF price'!J191-'ETF price'!J190</f>
        <v>4.1800000000000068</v>
      </c>
      <c r="J189" s="3">
        <f ca="1">'ETF price'!K191-'ETF price'!K190</f>
        <v>2.2800000000000011</v>
      </c>
      <c r="K189" s="3">
        <f ca="1">'ETF price'!L191-'ETF price'!L190</f>
        <v>0.6600000000000108</v>
      </c>
      <c r="L189" s="3">
        <f ca="1">'ETF price'!M191-'ETF price'!M190</f>
        <v>1.0100000000000051</v>
      </c>
      <c r="M189" s="3">
        <f ca="1">'ETF price'!N191-'ETF price'!N190</f>
        <v>1.1000000000000014</v>
      </c>
      <c r="N189" s="3">
        <f ca="1">'ETF price'!O191-'ETF price'!O190</f>
        <v>0.11999999999999744</v>
      </c>
      <c r="O189" s="3">
        <f ca="1">'ETF price'!P191-'ETF price'!P190</f>
        <v>4.0700000000000074</v>
      </c>
      <c r="P189" s="3">
        <f ca="1">'ETF price'!Q191-'ETF price'!Q190</f>
        <v>5.5499999999999972</v>
      </c>
      <c r="Q189" s="3">
        <f ca="1">'ETF price'!R191-'ETF price'!R190</f>
        <v>2.2099999999999937</v>
      </c>
      <c r="R189" s="3">
        <f ca="1">'ETF price'!S191-'ETF price'!S190</f>
        <v>3.0700000000000003</v>
      </c>
      <c r="S189" s="3">
        <f ca="1">'ETF price'!T191-'ETF price'!T190</f>
        <v>0.53999999999999915</v>
      </c>
      <c r="T189" s="3">
        <f ca="1">'ETF price'!U191-'ETF price'!U190</f>
        <v>2.6099999999999994</v>
      </c>
      <c r="U189" s="3">
        <f ca="1">'ETF price'!V191-'ETF price'!V190</f>
        <v>1.7600000000000051</v>
      </c>
      <c r="V189" s="3">
        <f ca="1">'ETF price'!W191-'ETF price'!W190</f>
        <v>0.82000000000000028</v>
      </c>
      <c r="W189" s="3">
        <f ca="1">'ETF price'!X191-'ETF price'!X190</f>
        <v>1.9699999999999989</v>
      </c>
      <c r="X189" s="3">
        <f ca="1">'ETF price'!Y191-'ETF price'!Y190</f>
        <v>1.1600000000000037</v>
      </c>
      <c r="Y189" s="3">
        <f ca="1">'ETF price'!Z191-'ETF price'!Z190</f>
        <v>1.8200000000000074</v>
      </c>
      <c r="Z189" s="3">
        <f ca="1">'ETF price'!AA191-'ETF price'!AA190</f>
        <v>0.67000000000000171</v>
      </c>
      <c r="AA189" s="3">
        <f ca="1">'ETF price'!AB191-'ETF price'!AB190</f>
        <v>1.3499999999999943</v>
      </c>
      <c r="AB189" s="3">
        <f ca="1">'ETF price'!AC191-'ETF price'!AC190</f>
        <v>1.2600000000000051</v>
      </c>
      <c r="AC189" s="3">
        <f ca="1">'ETF price'!AD191-'ETF price'!AD190</f>
        <v>2.9999999999999361E-2</v>
      </c>
      <c r="AD189" s="3">
        <f ca="1">'ETF price'!AE191-'ETF price'!AE190</f>
        <v>7.0000000000000284E-2</v>
      </c>
      <c r="AE189" s="3">
        <f ca="1">'ETF price'!AF191-'ETF price'!AF190</f>
        <v>0</v>
      </c>
      <c r="AF189" s="3">
        <f ca="1">'ETF price'!AG191-'ETF price'!AG190</f>
        <v>0.42999999999999972</v>
      </c>
    </row>
    <row r="190" spans="1:32" ht="12.75" x14ac:dyDescent="0.2">
      <c r="A190" s="3">
        <f ca="1">'ETF price'!B192-'ETF price'!B191</f>
        <v>4.1099999999999994</v>
      </c>
      <c r="B190" s="3">
        <f ca="1">'ETF price'!C192-'ETF price'!C191</f>
        <v>11.090000000000032</v>
      </c>
      <c r="C190" s="3">
        <f ca="1">'ETF price'!D192-'ETF price'!D191</f>
        <v>2.6700000000000017</v>
      </c>
      <c r="D190" s="3">
        <f ca="1">'ETF price'!E192-'ETF price'!E191</f>
        <v>5.1499999999999915</v>
      </c>
      <c r="E190" s="3">
        <f ca="1">'ETF price'!F192-'ETF price'!F191</f>
        <v>1.4499999999999957</v>
      </c>
      <c r="F190" s="3">
        <f ca="1">'ETF price'!G192-'ETF price'!G191</f>
        <v>0.91000000000000014</v>
      </c>
      <c r="G190" s="3">
        <f ca="1">'ETF price'!H192-'ETF price'!H191</f>
        <v>0.83999999999999986</v>
      </c>
      <c r="H190" s="3">
        <f ca="1">'ETF price'!I192-'ETF price'!I191</f>
        <v>2.8700000000000045</v>
      </c>
      <c r="I190" s="3">
        <f ca="1">'ETF price'!J192-'ETF price'!J191</f>
        <v>5.6500000000000057</v>
      </c>
      <c r="J190" s="3">
        <f ca="1">'ETF price'!K192-'ETF price'!K191</f>
        <v>3.4100000000000108</v>
      </c>
      <c r="K190" s="3">
        <f ca="1">'ETF price'!L192-'ETF price'!L191</f>
        <v>3.019999999999996</v>
      </c>
      <c r="L190" s="3">
        <f ca="1">'ETF price'!M192-'ETF price'!M191</f>
        <v>1.3399999999999963</v>
      </c>
      <c r="M190" s="3">
        <f ca="1">'ETF price'!N192-'ETF price'!N191</f>
        <v>1.5</v>
      </c>
      <c r="N190" s="3">
        <f ca="1">'ETF price'!O192-'ETF price'!O191</f>
        <v>2.5200000000000031</v>
      </c>
      <c r="O190" s="3">
        <f ca="1">'ETF price'!P192-'ETF price'!P191</f>
        <v>3.269999999999996</v>
      </c>
      <c r="P190" s="3">
        <f ca="1">'ETF price'!Q192-'ETF price'!Q191</f>
        <v>4.5900000000000034</v>
      </c>
      <c r="Q190" s="3">
        <f ca="1">'ETF price'!R192-'ETF price'!R191</f>
        <v>2.5799999999999983</v>
      </c>
      <c r="R190" s="3">
        <f ca="1">'ETF price'!S192-'ETF price'!S191</f>
        <v>1.7299999999999969</v>
      </c>
      <c r="S190" s="3">
        <f ca="1">'ETF price'!T192-'ETF price'!T191</f>
        <v>0.66000000000000014</v>
      </c>
      <c r="T190" s="3">
        <f ca="1">'ETF price'!U192-'ETF price'!U191</f>
        <v>2.3900000000000006</v>
      </c>
      <c r="U190" s="3">
        <f ca="1">'ETF price'!V192-'ETF price'!V191</f>
        <v>2.9899999999999949</v>
      </c>
      <c r="V190" s="3">
        <f ca="1">'ETF price'!W192-'ETF price'!W191</f>
        <v>1.1600000000000037</v>
      </c>
      <c r="W190" s="3">
        <f ca="1">'ETF price'!X192-'ETF price'!X191</f>
        <v>3.1200000000000045</v>
      </c>
      <c r="X190" s="3">
        <f ca="1">'ETF price'!Y192-'ETF price'!Y191</f>
        <v>2.0599999999999952</v>
      </c>
      <c r="Y190" s="3">
        <f ca="1">'ETF price'!Z192-'ETF price'!Z191</f>
        <v>2.789999999999992</v>
      </c>
      <c r="Z190" s="3">
        <f ca="1">'ETF price'!AA192-'ETF price'!AA191</f>
        <v>0.57999999999999829</v>
      </c>
      <c r="AA190" s="3">
        <f ca="1">'ETF price'!AB192-'ETF price'!AB191</f>
        <v>2.6400000000000006</v>
      </c>
      <c r="AB190" s="3">
        <f ca="1">'ETF price'!AC192-'ETF price'!AC191</f>
        <v>1.9899999999999949</v>
      </c>
      <c r="AC190" s="3">
        <f ca="1">'ETF price'!AD192-'ETF price'!AD191</f>
        <v>0.30000000000000071</v>
      </c>
      <c r="AD190" s="3">
        <f ca="1">'ETF price'!AE192-'ETF price'!AE191</f>
        <v>0.45999999999999908</v>
      </c>
      <c r="AE190" s="3">
        <f ca="1">'ETF price'!AF192-'ETF price'!AF191</f>
        <v>0.12999999999999989</v>
      </c>
      <c r="AF190" s="3">
        <f ca="1">'ETF price'!AG192-'ETF price'!AG191</f>
        <v>2.2100000000000009</v>
      </c>
    </row>
    <row r="191" spans="1:32" ht="12.75" x14ac:dyDescent="0.2">
      <c r="A191" s="3">
        <f ca="1">'ETF price'!B193-'ETF price'!B192</f>
        <v>0.42000000000000171</v>
      </c>
      <c r="B191" s="3">
        <f ca="1">'ETF price'!C193-'ETF price'!C192</f>
        <v>1.0399999999999636</v>
      </c>
      <c r="C191" s="3">
        <f ca="1">'ETF price'!D193-'ETF price'!D192</f>
        <v>0.21999999999999886</v>
      </c>
      <c r="D191" s="3">
        <f ca="1">'ETF price'!E193-'ETF price'!E192</f>
        <v>0.94000000000001194</v>
      </c>
      <c r="E191" s="3">
        <f ca="1">'ETF price'!F193-'ETF price'!F192</f>
        <v>9.0000000000003411E-2</v>
      </c>
      <c r="F191" s="3">
        <f ca="1">'ETF price'!G193-'ETF price'!G192</f>
        <v>-0.20000000000000284</v>
      </c>
      <c r="G191" s="3">
        <f ca="1">'ETF price'!H193-'ETF price'!H192</f>
        <v>-0.12000000000000099</v>
      </c>
      <c r="H191" s="3">
        <f ca="1">'ETF price'!I193-'ETF price'!I192</f>
        <v>0.42000000000000171</v>
      </c>
      <c r="I191" s="3">
        <f ca="1">'ETF price'!J193-'ETF price'!J192</f>
        <v>0.5</v>
      </c>
      <c r="J191" s="3">
        <f ca="1">'ETF price'!K193-'ETF price'!K192</f>
        <v>0.21999999999999886</v>
      </c>
      <c r="K191" s="3">
        <f ca="1">'ETF price'!L193-'ETF price'!L192</f>
        <v>-0.32999999999999829</v>
      </c>
      <c r="L191" s="3">
        <f ca="1">'ETF price'!M193-'ETF price'!M192</f>
        <v>5.0000000000004263E-2</v>
      </c>
      <c r="M191" s="3">
        <f ca="1">'ETF price'!N193-'ETF price'!N192</f>
        <v>0.11999999999999744</v>
      </c>
      <c r="N191" s="3">
        <f ca="1">'ETF price'!O193-'ETF price'!O192</f>
        <v>-0.28000000000000114</v>
      </c>
      <c r="O191" s="3">
        <f ca="1">'ETF price'!P193-'ETF price'!P192</f>
        <v>1.6400000000000006</v>
      </c>
      <c r="P191" s="3">
        <f ca="1">'ETF price'!Q193-'ETF price'!Q192</f>
        <v>2.3200000000000074</v>
      </c>
      <c r="Q191" s="3">
        <f ca="1">'ETF price'!R193-'ETF price'!R192</f>
        <v>-0.81999999999999318</v>
      </c>
      <c r="R191" s="3">
        <f ca="1">'ETF price'!S193-'ETF price'!S192</f>
        <v>-0.15999999999999659</v>
      </c>
      <c r="S191" s="3">
        <f ca="1">'ETF price'!T193-'ETF price'!T192</f>
        <v>0.44999999999999929</v>
      </c>
      <c r="T191" s="3">
        <f ca="1">'ETF price'!U193-'ETF price'!U192</f>
        <v>1.6599999999999966</v>
      </c>
      <c r="U191" s="3">
        <f ca="1">'ETF price'!V193-'ETF price'!V192</f>
        <v>-3.0999999999999943</v>
      </c>
      <c r="V191" s="3">
        <f ca="1">'ETF price'!W193-'ETF price'!W192</f>
        <v>-0.25</v>
      </c>
      <c r="W191" s="3">
        <f ca="1">'ETF price'!X193-'ETF price'!X192</f>
        <v>-0.62999999999999545</v>
      </c>
      <c r="X191" s="3">
        <f ca="1">'ETF price'!Y193-'ETF price'!Y192</f>
        <v>-0.36999999999999744</v>
      </c>
      <c r="Y191" s="3">
        <f ca="1">'ETF price'!Z193-'ETF price'!Z192</f>
        <v>-0.54999999999999716</v>
      </c>
      <c r="Z191" s="3">
        <f ca="1">'ETF price'!AA193-'ETF price'!AA192</f>
        <v>-0.68999999999999773</v>
      </c>
      <c r="AA191" s="3">
        <f ca="1">'ETF price'!AB193-'ETF price'!AB192</f>
        <v>-0.51999999999999602</v>
      </c>
      <c r="AB191" s="3">
        <f ca="1">'ETF price'!AC193-'ETF price'!AC192</f>
        <v>-0.29999999999999716</v>
      </c>
      <c r="AC191" s="3">
        <f ca="1">'ETF price'!AD193-'ETF price'!AD192</f>
        <v>-5.0000000000000711E-2</v>
      </c>
      <c r="AD191" s="3">
        <f ca="1">'ETF price'!AE193-'ETF price'!AE192</f>
        <v>-0.10999999999999943</v>
      </c>
      <c r="AE191" s="3">
        <f ca="1">'ETF price'!AF193-'ETF price'!AF192</f>
        <v>0.16999999999999993</v>
      </c>
      <c r="AF191" s="3">
        <f ca="1">'ETF price'!AG193-'ETF price'!AG192</f>
        <v>-0.28000000000000114</v>
      </c>
    </row>
    <row r="192" spans="1:32" ht="12.75" x14ac:dyDescent="0.2">
      <c r="A192" s="3">
        <f ca="1">'ETF price'!B194-'ETF price'!B193</f>
        <v>-1.039999999999992</v>
      </c>
      <c r="B192" s="3">
        <f ca="1">'ETF price'!C194-'ETF price'!C193</f>
        <v>-2.4900000000000091</v>
      </c>
      <c r="C192" s="3">
        <f ca="1">'ETF price'!D194-'ETF price'!D193</f>
        <v>-0.45000000000000284</v>
      </c>
      <c r="D192" s="3">
        <f ca="1">'ETF price'!E194-'ETF price'!E193</f>
        <v>-0.46000000000000796</v>
      </c>
      <c r="E192" s="3">
        <f ca="1">'ETF price'!F194-'ETF price'!F193</f>
        <v>-0.31000000000000227</v>
      </c>
      <c r="F192" s="3">
        <f ca="1">'ETF price'!G194-'ETF price'!G193</f>
        <v>-0.14999999999999858</v>
      </c>
      <c r="G192" s="3">
        <f ca="1">'ETF price'!H194-'ETF price'!H193</f>
        <v>-0.16999999999999815</v>
      </c>
      <c r="H192" s="3">
        <f ca="1">'ETF price'!I194-'ETF price'!I193</f>
        <v>-1.6200000000000045</v>
      </c>
      <c r="I192" s="3">
        <f ca="1">'ETF price'!J194-'ETF price'!J193</f>
        <v>-2.710000000000008</v>
      </c>
      <c r="J192" s="3">
        <f ca="1">'ETF price'!K194-'ETF price'!K193</f>
        <v>-0.60000000000000853</v>
      </c>
      <c r="K192" s="3">
        <f ca="1">'ETF price'!L194-'ETF price'!L193</f>
        <v>0</v>
      </c>
      <c r="L192" s="3">
        <f ca="1">'ETF price'!M194-'ETF price'!M193</f>
        <v>-0.19000000000000483</v>
      </c>
      <c r="M192" s="3">
        <f ca="1">'ETF price'!N194-'ETF price'!N193</f>
        <v>-0.6699999999999946</v>
      </c>
      <c r="N192" s="3">
        <f ca="1">'ETF price'!O194-'ETF price'!O193</f>
        <v>0.35999999999999943</v>
      </c>
      <c r="O192" s="3">
        <f ca="1">'ETF price'!P194-'ETF price'!P193</f>
        <v>1.4399999999999977</v>
      </c>
      <c r="P192" s="3">
        <f ca="1">'ETF price'!Q194-'ETF price'!Q193</f>
        <v>1.8799999999999955</v>
      </c>
      <c r="Q192" s="3">
        <f ca="1">'ETF price'!R194-'ETF price'!R193</f>
        <v>-0.76000000000000512</v>
      </c>
      <c r="R192" s="3">
        <f ca="1">'ETF price'!S194-'ETF price'!S193</f>
        <v>-0.21000000000000085</v>
      </c>
      <c r="S192" s="3">
        <f ca="1">'ETF price'!T194-'ETF price'!T193</f>
        <v>0.16000000000000014</v>
      </c>
      <c r="T192" s="3">
        <f ca="1">'ETF price'!U194-'ETF price'!U193</f>
        <v>1.0499999999999972</v>
      </c>
      <c r="U192" s="3">
        <f ca="1">'ETF price'!V194-'ETF price'!V193</f>
        <v>-2.1200000000000045</v>
      </c>
      <c r="V192" s="3">
        <f ca="1">'ETF price'!W194-'ETF price'!W193</f>
        <v>-0.45000000000000284</v>
      </c>
      <c r="W192" s="3">
        <f ca="1">'ETF price'!X194-'ETF price'!X193</f>
        <v>-1</v>
      </c>
      <c r="X192" s="3">
        <f ca="1">'ETF price'!Y194-'ETF price'!Y193</f>
        <v>-0.50999999999999801</v>
      </c>
      <c r="Y192" s="3">
        <f ca="1">'ETF price'!Z194-'ETF price'!Z193</f>
        <v>-0.96999999999999886</v>
      </c>
      <c r="Z192" s="3">
        <f ca="1">'ETF price'!AA194-'ETF price'!AA193</f>
        <v>-1.2000000000000028</v>
      </c>
      <c r="AA192" s="3">
        <f ca="1">'ETF price'!AB194-'ETF price'!AB193</f>
        <v>-0.60000000000000142</v>
      </c>
      <c r="AB192" s="3">
        <f ca="1">'ETF price'!AC194-'ETF price'!AC193</f>
        <v>-0.71000000000000085</v>
      </c>
      <c r="AC192" s="3">
        <f ca="1">'ETF price'!AD194-'ETF price'!AD193</f>
        <v>-5.9999999999999609E-2</v>
      </c>
      <c r="AD192" s="3">
        <f ca="1">'ETF price'!AE194-'ETF price'!AE193</f>
        <v>-6.0000000000000497E-2</v>
      </c>
      <c r="AE192" s="3">
        <f ca="1">'ETF price'!AF194-'ETF price'!AF193</f>
        <v>0</v>
      </c>
      <c r="AF192" s="3">
        <f ca="1">'ETF price'!AG194-'ETF price'!AG193</f>
        <v>0</v>
      </c>
    </row>
    <row r="193" spans="1:32" ht="12.75" x14ac:dyDescent="0.2">
      <c r="A193" s="3">
        <f ca="1">'ETF price'!B195-'ETF price'!B194</f>
        <v>-5.1800000000000068</v>
      </c>
      <c r="B193" s="3">
        <f ca="1">'ETF price'!C195-'ETF price'!C194</f>
        <v>-13.579999999999984</v>
      </c>
      <c r="C193" s="3">
        <f ca="1">'ETF price'!D195-'ETF price'!D194</f>
        <v>-3.3900000000000006</v>
      </c>
      <c r="D193" s="3">
        <f ca="1">'ETF price'!E195-'ETF price'!E194</f>
        <v>-6.9299999999999926</v>
      </c>
      <c r="E193" s="3">
        <f ca="1">'ETF price'!F195-'ETF price'!F194</f>
        <v>-1.6000000000000014</v>
      </c>
      <c r="F193" s="3">
        <f ca="1">'ETF price'!G195-'ETF price'!G194</f>
        <v>-0.62000000000000099</v>
      </c>
      <c r="G193" s="3">
        <f ca="1">'ETF price'!H195-'ETF price'!H194</f>
        <v>-0.80000000000000071</v>
      </c>
      <c r="H193" s="3">
        <f ca="1">'ETF price'!I195-'ETF price'!I194</f>
        <v>-2.6499999999999915</v>
      </c>
      <c r="I193" s="3">
        <f ca="1">'ETF price'!J195-'ETF price'!J194</f>
        <v>-5.2800000000000011</v>
      </c>
      <c r="J193" s="3">
        <f ca="1">'ETF price'!K195-'ETF price'!K194</f>
        <v>-3.4299999999999926</v>
      </c>
      <c r="K193" s="3">
        <f ca="1">'ETF price'!L195-'ETF price'!L194</f>
        <v>-3.5700000000000074</v>
      </c>
      <c r="L193" s="3">
        <f ca="1">'ETF price'!M195-'ETF price'!M194</f>
        <v>-1.519999999999996</v>
      </c>
      <c r="M193" s="3">
        <f ca="1">'ETF price'!N195-'ETF price'!N194</f>
        <v>-1.3900000000000006</v>
      </c>
      <c r="N193" s="3">
        <f ca="1">'ETF price'!O195-'ETF price'!O194</f>
        <v>-2.8800000000000026</v>
      </c>
      <c r="O193" s="3">
        <f ca="1">'ETF price'!P195-'ETF price'!P194</f>
        <v>-0.64000000000000057</v>
      </c>
      <c r="P193" s="3">
        <f ca="1">'ETF price'!Q195-'ETF price'!Q194</f>
        <v>-0.93999999999999773</v>
      </c>
      <c r="Q193" s="3">
        <f ca="1">'ETF price'!R195-'ETF price'!R194</f>
        <v>-1.7600000000000051</v>
      </c>
      <c r="R193" s="3">
        <f ca="1">'ETF price'!S195-'ETF price'!S194</f>
        <v>-1.3299999999999983</v>
      </c>
      <c r="S193" s="3">
        <f ca="1">'ETF price'!T195-'ETF price'!T194</f>
        <v>0.26999999999999957</v>
      </c>
      <c r="T193" s="3">
        <f ca="1">'ETF price'!U195-'ETF price'!U194</f>
        <v>2.1099999999999994</v>
      </c>
      <c r="U193" s="3">
        <f ca="1">'ETF price'!V195-'ETF price'!V194</f>
        <v>-2.0900000000000034</v>
      </c>
      <c r="V193" s="3">
        <f ca="1">'ETF price'!W195-'ETF price'!W194</f>
        <v>-0.75</v>
      </c>
      <c r="W193" s="3">
        <f ca="1">'ETF price'!X195-'ETF price'!X194</f>
        <v>-1.9300000000000068</v>
      </c>
      <c r="X193" s="3">
        <f ca="1">'ETF price'!Y195-'ETF price'!Y194</f>
        <v>-1.0700000000000003</v>
      </c>
      <c r="Y193" s="3">
        <f ca="1">'ETF price'!Z195-'ETF price'!Z194</f>
        <v>-1.6800000000000068</v>
      </c>
      <c r="Z193" s="3">
        <f ca="1">'ETF price'!AA195-'ETF price'!AA194</f>
        <v>-0.83999999999999631</v>
      </c>
      <c r="AA193" s="3">
        <f ca="1">'ETF price'!AB195-'ETF price'!AB194</f>
        <v>-1.4099999999999966</v>
      </c>
      <c r="AB193" s="3">
        <f ca="1">'ETF price'!AC195-'ETF price'!AC194</f>
        <v>-1.1600000000000037</v>
      </c>
      <c r="AC193" s="3">
        <f ca="1">'ETF price'!AD195-'ETF price'!AD194</f>
        <v>-0.24000000000000021</v>
      </c>
      <c r="AD193" s="3">
        <f ca="1">'ETF price'!AE195-'ETF price'!AE194</f>
        <v>-0.38999999999999879</v>
      </c>
      <c r="AE193" s="3">
        <f ca="1">'ETF price'!AF195-'ETF price'!AF194</f>
        <v>0</v>
      </c>
      <c r="AF193" s="3">
        <f ca="1">'ETF price'!AG195-'ETF price'!AG194</f>
        <v>-2.3599999999999994</v>
      </c>
    </row>
    <row r="194" spans="1:32" ht="12.75" x14ac:dyDescent="0.2">
      <c r="A194" s="3">
        <f ca="1">'ETF price'!B196-'ETF price'!B195</f>
        <v>-2.0300000000000011</v>
      </c>
      <c r="B194" s="3">
        <f ca="1">'ETF price'!C196-'ETF price'!C195</f>
        <v>-5.6499999999999773</v>
      </c>
      <c r="C194" s="3">
        <f ca="1">'ETF price'!D196-'ETF price'!D195</f>
        <v>-1.4299999999999926</v>
      </c>
      <c r="D194" s="3">
        <f ca="1">'ETF price'!E196-'ETF price'!E195</f>
        <v>-3.7000000000000028</v>
      </c>
      <c r="E194" s="3">
        <f ca="1">'ETF price'!F196-'ETF price'!F195</f>
        <v>-1.1099999999999994</v>
      </c>
      <c r="F194" s="3">
        <f ca="1">'ETF price'!G196-'ETF price'!G195</f>
        <v>-0.27999999999999758</v>
      </c>
      <c r="G194" s="3">
        <f ca="1">'ETF price'!H196-'ETF price'!H195</f>
        <v>-0.33999999999999986</v>
      </c>
      <c r="H194" s="3">
        <f ca="1">'ETF price'!I196-'ETF price'!I195</f>
        <v>-0.77000000000001023</v>
      </c>
      <c r="I194" s="3">
        <f ca="1">'ETF price'!J196-'ETF price'!J195</f>
        <v>-1.8899999999999864</v>
      </c>
      <c r="J194" s="3">
        <f ca="1">'ETF price'!K196-'ETF price'!K195</f>
        <v>-0.89000000000000057</v>
      </c>
      <c r="K194" s="3">
        <f ca="1">'ETF price'!L196-'ETF price'!L195</f>
        <v>-1.4499999999999886</v>
      </c>
      <c r="L194" s="3">
        <f ca="1">'ETF price'!M196-'ETF price'!M195</f>
        <v>-0.38000000000000256</v>
      </c>
      <c r="M194" s="3">
        <f ca="1">'ETF price'!N196-'ETF price'!N195</f>
        <v>-0.51000000000000512</v>
      </c>
      <c r="N194" s="3">
        <f ca="1">'ETF price'!O196-'ETF price'!O195</f>
        <v>-1.2800000000000011</v>
      </c>
      <c r="O194" s="3">
        <f ca="1">'ETF price'!P196-'ETF price'!P195</f>
        <v>-1.6799999999999926</v>
      </c>
      <c r="P194" s="3">
        <f ca="1">'ETF price'!Q196-'ETF price'!Q195</f>
        <v>-2.3599999999999994</v>
      </c>
      <c r="Q194" s="3">
        <f ca="1">'ETF price'!R196-'ETF price'!R195</f>
        <v>0.15000000000000568</v>
      </c>
      <c r="R194" s="3">
        <f ca="1">'ETF price'!S196-'ETF price'!S195</f>
        <v>0.38999999999999346</v>
      </c>
      <c r="S194" s="3">
        <f ca="1">'ETF price'!T196-'ETF price'!T195</f>
        <v>-0.28999999999999915</v>
      </c>
      <c r="T194" s="3">
        <f ca="1">'ETF price'!U196-'ETF price'!U195</f>
        <v>-1.3199999999999932</v>
      </c>
      <c r="U194" s="3">
        <f ca="1">'ETF price'!V196-'ETF price'!V195</f>
        <v>-0.95999999999999375</v>
      </c>
      <c r="V194" s="3">
        <f ca="1">'ETF price'!W196-'ETF price'!W195</f>
        <v>-0.14000000000000057</v>
      </c>
      <c r="W194" s="3">
        <f ca="1">'ETF price'!X196-'ETF price'!X195</f>
        <v>-0.28000000000000114</v>
      </c>
      <c r="X194" s="3">
        <f ca="1">'ETF price'!Y196-'ETF price'!Y195</f>
        <v>-0.21999999999999886</v>
      </c>
      <c r="Y194" s="3">
        <f ca="1">'ETF price'!Z196-'ETF price'!Z195</f>
        <v>-0.29999999999999716</v>
      </c>
      <c r="Z194" s="3">
        <f ca="1">'ETF price'!AA196-'ETF price'!AA195</f>
        <v>-0.39000000000000057</v>
      </c>
      <c r="AA194" s="3">
        <f ca="1">'ETF price'!AB196-'ETF price'!AB195</f>
        <v>-0.13000000000000256</v>
      </c>
      <c r="AB194" s="3">
        <f ca="1">'ETF price'!AC196-'ETF price'!AC195</f>
        <v>-0.36999999999999744</v>
      </c>
      <c r="AC194" s="3">
        <f ca="1">'ETF price'!AD196-'ETF price'!AD195</f>
        <v>-0.10999999999999943</v>
      </c>
      <c r="AD194" s="3">
        <f ca="1">'ETF price'!AE196-'ETF price'!AE195</f>
        <v>-0.17000000000000171</v>
      </c>
      <c r="AE194" s="3">
        <f ca="1">'ETF price'!AF196-'ETF price'!AF195</f>
        <v>-0.2200000000000002</v>
      </c>
      <c r="AF194" s="3">
        <f ca="1">'ETF price'!AG196-'ETF price'!AG195</f>
        <v>-0.83999999999999986</v>
      </c>
    </row>
    <row r="195" spans="1:32" ht="12.75" x14ac:dyDescent="0.2">
      <c r="A195" s="3">
        <f ca="1">'ETF price'!B197-'ETF price'!B196</f>
        <v>-1.8199999999999932</v>
      </c>
      <c r="B195" s="3">
        <f ca="1">'ETF price'!C197-'ETF price'!C196</f>
        <v>-5</v>
      </c>
      <c r="C195" s="3">
        <f ca="1">'ETF price'!D197-'ETF price'!D196</f>
        <v>-1.2199999999999989</v>
      </c>
      <c r="D195" s="3">
        <f ca="1">'ETF price'!E197-'ETF price'!E196</f>
        <v>-2.9500000000000028</v>
      </c>
      <c r="E195" s="3">
        <f ca="1">'ETF price'!F197-'ETF price'!F196</f>
        <v>-0.71999999999999886</v>
      </c>
      <c r="F195" s="3">
        <f ca="1">'ETF price'!G197-'ETF price'!G196</f>
        <v>-0.24000000000000199</v>
      </c>
      <c r="G195" s="3">
        <f ca="1">'ETF price'!H197-'ETF price'!H196</f>
        <v>-0.28000000000000114</v>
      </c>
      <c r="H195" s="3">
        <f ca="1">'ETF price'!I197-'ETF price'!I196</f>
        <v>0.65000000000000568</v>
      </c>
      <c r="I195" s="3">
        <f ca="1">'ETF price'!J197-'ETF price'!J196</f>
        <v>1.2399999999999807</v>
      </c>
      <c r="J195" s="3">
        <f ca="1">'ETF price'!K197-'ETF price'!K196</f>
        <v>0.21999999999999886</v>
      </c>
      <c r="K195" s="3">
        <f ca="1">'ETF price'!L197-'ETF price'!L196</f>
        <v>0.61999999999999034</v>
      </c>
      <c r="L195" s="3">
        <f ca="1">'ETF price'!M197-'ETF price'!M196</f>
        <v>0.32999999999999829</v>
      </c>
      <c r="M195" s="3">
        <f ca="1">'ETF price'!N197-'ETF price'!N196</f>
        <v>0.31000000000000227</v>
      </c>
      <c r="N195" s="3">
        <f ca="1">'ETF price'!O197-'ETF price'!O196</f>
        <v>-0.29999999999999716</v>
      </c>
      <c r="O195" s="3">
        <f ca="1">'ETF price'!P197-'ETF price'!P196</f>
        <v>-0.64000000000000057</v>
      </c>
      <c r="P195" s="3">
        <f ca="1">'ETF price'!Q197-'ETF price'!Q196</f>
        <v>-0.84000000000000341</v>
      </c>
      <c r="Q195" s="3">
        <f ca="1">'ETF price'!R197-'ETF price'!R196</f>
        <v>-0.54000000000000625</v>
      </c>
      <c r="R195" s="3">
        <f ca="1">'ETF price'!S197-'ETF price'!S196</f>
        <v>-0.42999999999999972</v>
      </c>
      <c r="S195" s="3">
        <f ca="1">'ETF price'!T197-'ETF price'!T196</f>
        <v>-0.37000000000000099</v>
      </c>
      <c r="T195" s="3">
        <f ca="1">'ETF price'!U197-'ETF price'!U196</f>
        <v>-2.0300000000000011</v>
      </c>
      <c r="U195" s="3">
        <f ca="1">'ETF price'!V197-'ETF price'!V196</f>
        <v>-0.96999999999999886</v>
      </c>
      <c r="V195" s="3">
        <f ca="1">'ETF price'!W197-'ETF price'!W196</f>
        <v>-0.39000000000000057</v>
      </c>
      <c r="W195" s="3">
        <f ca="1">'ETF price'!X197-'ETF price'!X196</f>
        <v>-0.84999999999999432</v>
      </c>
      <c r="X195" s="3">
        <f ca="1">'ETF price'!Y197-'ETF price'!Y196</f>
        <v>-0.26000000000000512</v>
      </c>
      <c r="Y195" s="3">
        <f ca="1">'ETF price'!Z197-'ETF price'!Z196</f>
        <v>-0.89000000000000057</v>
      </c>
      <c r="Z195" s="3">
        <f ca="1">'ETF price'!AA197-'ETF price'!AA196</f>
        <v>0.32000000000000028</v>
      </c>
      <c r="AA195" s="3">
        <f ca="1">'ETF price'!AB197-'ETF price'!AB196</f>
        <v>-0.25999999999999801</v>
      </c>
      <c r="AB195" s="3">
        <f ca="1">'ETF price'!AC197-'ETF price'!AC196</f>
        <v>-0.86999999999999744</v>
      </c>
      <c r="AC195" s="3">
        <f ca="1">'ETF price'!AD197-'ETF price'!AD196</f>
        <v>-7.0000000000000284E-2</v>
      </c>
      <c r="AD195" s="3">
        <f ca="1">'ETF price'!AE197-'ETF price'!AE196</f>
        <v>-0.12999999999999901</v>
      </c>
      <c r="AE195" s="3">
        <f ca="1">'ETF price'!AF197-'ETF price'!AF196</f>
        <v>-4.9999999999999822E-2</v>
      </c>
      <c r="AF195" s="3">
        <f ca="1">'ETF price'!AG197-'ETF price'!AG196</f>
        <v>-0.24000000000000199</v>
      </c>
    </row>
    <row r="196" spans="1:32" ht="12.75" x14ac:dyDescent="0.2">
      <c r="A196" s="3">
        <f ca="1">'ETF price'!B198-'ETF price'!B197</f>
        <v>-0.35999999999999943</v>
      </c>
      <c r="B196" s="3">
        <f ca="1">'ETF price'!C198-'ETF price'!C197</f>
        <v>-1.0800000000000409</v>
      </c>
      <c r="C196" s="3">
        <f ca="1">'ETF price'!D198-'ETF price'!D197</f>
        <v>-0.15999999999999659</v>
      </c>
      <c r="D196" s="3">
        <f ca="1">'ETF price'!E198-'ETF price'!E197</f>
        <v>-0.98999999999999488</v>
      </c>
      <c r="E196" s="3">
        <f ca="1">'ETF price'!F198-'ETF price'!F197</f>
        <v>-0.22999999999999687</v>
      </c>
      <c r="F196" s="3">
        <f ca="1">'ETF price'!G198-'ETF price'!G197</f>
        <v>-2.9999999999997584E-2</v>
      </c>
      <c r="G196" s="3">
        <f ca="1">'ETF price'!H198-'ETF price'!H197</f>
        <v>-4.9999999999997158E-2</v>
      </c>
      <c r="H196" s="3">
        <f ca="1">'ETF price'!I198-'ETF price'!I197</f>
        <v>-0.59999999999999432</v>
      </c>
      <c r="I196" s="3">
        <f ca="1">'ETF price'!J198-'ETF price'!J197</f>
        <v>-1.1899999999999977</v>
      </c>
      <c r="J196" s="3">
        <f ca="1">'ETF price'!K198-'ETF price'!K197</f>
        <v>0.85999999999999943</v>
      </c>
      <c r="K196" s="3">
        <f ca="1">'ETF price'!L198-'ETF price'!L197</f>
        <v>0.43000000000000682</v>
      </c>
      <c r="L196" s="3">
        <f ca="1">'ETF price'!M198-'ETF price'!M197</f>
        <v>1.0000000000005116E-2</v>
      </c>
      <c r="M196" s="3">
        <f ca="1">'ETF price'!N198-'ETF price'!N197</f>
        <v>-0.25</v>
      </c>
      <c r="N196" s="3">
        <f ca="1">'ETF price'!O198-'ETF price'!O197</f>
        <v>0.97999999999999687</v>
      </c>
      <c r="O196" s="3">
        <f ca="1">'ETF price'!P198-'ETF price'!P197</f>
        <v>0.64000000000000057</v>
      </c>
      <c r="P196" s="3">
        <f ca="1">'ETF price'!Q198-'ETF price'!Q197</f>
        <v>0.89000000000000057</v>
      </c>
      <c r="Q196" s="3">
        <f ca="1">'ETF price'!R198-'ETF price'!R197</f>
        <v>-0.51999999999999602</v>
      </c>
      <c r="R196" s="3">
        <f ca="1">'ETF price'!S198-'ETF price'!S197</f>
        <v>0</v>
      </c>
      <c r="S196" s="3">
        <f ca="1">'ETF price'!T198-'ETF price'!T197</f>
        <v>0</v>
      </c>
      <c r="T196" s="3">
        <f ca="1">'ETF price'!U198-'ETF price'!U197</f>
        <v>-0.81999999999999318</v>
      </c>
      <c r="U196" s="3">
        <f ca="1">'ETF price'!V198-'ETF price'!V197</f>
        <v>-2.230000000000004</v>
      </c>
      <c r="V196" s="3">
        <f ca="1">'ETF price'!W198-'ETF price'!W197</f>
        <v>-7.0000000000000284E-2</v>
      </c>
      <c r="W196" s="3">
        <f ca="1">'ETF price'!X198-'ETF price'!X197</f>
        <v>-0.14000000000000057</v>
      </c>
      <c r="X196" s="3">
        <f ca="1">'ETF price'!Y198-'ETF price'!Y197</f>
        <v>-0.11999999999999744</v>
      </c>
      <c r="Y196" s="3">
        <f ca="1">'ETF price'!Z198-'ETF price'!Z197</f>
        <v>-0.12999999999999545</v>
      </c>
      <c r="Z196" s="3">
        <f ca="1">'ETF price'!AA198-'ETF price'!AA197</f>
        <v>-0.46000000000000085</v>
      </c>
      <c r="AA196" s="3">
        <f ca="1">'ETF price'!AB198-'ETF price'!AB197</f>
        <v>-0.13000000000000256</v>
      </c>
      <c r="AB196" s="3">
        <f ca="1">'ETF price'!AC198-'ETF price'!AC197</f>
        <v>1.9999999999996021E-2</v>
      </c>
      <c r="AC196" s="3">
        <f ca="1">'ETF price'!AD198-'ETF price'!AD197</f>
        <v>7.0000000000000284E-2</v>
      </c>
      <c r="AD196" s="3">
        <f ca="1">'ETF price'!AE198-'ETF price'!AE197</f>
        <v>0.10999999999999943</v>
      </c>
      <c r="AE196" s="3">
        <f ca="1">'ETF price'!AF198-'ETF price'!AF197</f>
        <v>1.0000000000000231E-2</v>
      </c>
      <c r="AF196" s="3">
        <f ca="1">'ETF price'!AG198-'ETF price'!AG197</f>
        <v>-5.9999999999998721E-2</v>
      </c>
    </row>
    <row r="197" spans="1:32" ht="12.75" x14ac:dyDescent="0.2">
      <c r="A197" s="3">
        <f ca="1">'ETF price'!B199-'ETF price'!B198</f>
        <v>3.6200000000000045</v>
      </c>
      <c r="B197" s="3">
        <f ca="1">'ETF price'!C199-'ETF price'!C198</f>
        <v>8.6200000000000045</v>
      </c>
      <c r="C197" s="3">
        <f ca="1">'ETF price'!D199-'ETF price'!D198</f>
        <v>1.8399999999999892</v>
      </c>
      <c r="D197" s="3">
        <f ca="1">'ETF price'!E199-'ETF price'!E198</f>
        <v>2.9099999999999966</v>
      </c>
      <c r="E197" s="3">
        <f ca="1">'ETF price'!F199-'ETF price'!F198</f>
        <v>0.46999999999999886</v>
      </c>
      <c r="F197" s="3">
        <f ca="1">'ETF price'!G199-'ETF price'!G198</f>
        <v>0.30999999999999872</v>
      </c>
      <c r="G197" s="3">
        <f ca="1">'ETF price'!H199-'ETF price'!H198</f>
        <v>0.33999999999999986</v>
      </c>
      <c r="H197" s="3">
        <f ca="1">'ETF price'!I199-'ETF price'!I198</f>
        <v>2.8399999999999892</v>
      </c>
      <c r="I197" s="3">
        <f ca="1">'ETF price'!J199-'ETF price'!J198</f>
        <v>5.1300000000000239</v>
      </c>
      <c r="J197" s="3">
        <f ca="1">'ETF price'!K199-'ETF price'!K198</f>
        <v>2.3799999999999955</v>
      </c>
      <c r="K197" s="3">
        <f ca="1">'ETF price'!L199-'ETF price'!L198</f>
        <v>1.3699999999999903</v>
      </c>
      <c r="L197" s="3">
        <f ca="1">'ETF price'!M199-'ETF price'!M198</f>
        <v>1.3299999999999983</v>
      </c>
      <c r="M197" s="3">
        <f ca="1">'ETF price'!N199-'ETF price'!N198</f>
        <v>1.2800000000000011</v>
      </c>
      <c r="N197" s="3">
        <f ca="1">'ETF price'!O199-'ETF price'!O198</f>
        <v>0.52000000000000313</v>
      </c>
      <c r="O197" s="3">
        <f ca="1">'ETF price'!P199-'ETF price'!P198</f>
        <v>3.269999999999996</v>
      </c>
      <c r="P197" s="3">
        <f ca="1">'ETF price'!Q199-'ETF price'!Q198</f>
        <v>4.5300000000000011</v>
      </c>
      <c r="Q197" s="3">
        <f ca="1">'ETF price'!R199-'ETF price'!R198</f>
        <v>2.0100000000000051</v>
      </c>
      <c r="R197" s="3">
        <f ca="1">'ETF price'!S199-'ETF price'!S198</f>
        <v>0.76000000000000512</v>
      </c>
      <c r="S197" s="3">
        <f ca="1">'ETF price'!T199-'ETF price'!T198</f>
        <v>0.35000000000000142</v>
      </c>
      <c r="T197" s="3">
        <f ca="1">'ETF price'!U199-'ETF price'!U198</f>
        <v>1.5899999999999892</v>
      </c>
      <c r="U197" s="3">
        <f ca="1">'ETF price'!V199-'ETF price'!V198</f>
        <v>0.67999999999999261</v>
      </c>
      <c r="V197" s="3">
        <f ca="1">'ETF price'!W199-'ETF price'!W198</f>
        <v>1.25</v>
      </c>
      <c r="W197" s="3">
        <f ca="1">'ETF price'!X199-'ETF price'!X198</f>
        <v>2.9299999999999926</v>
      </c>
      <c r="X197" s="3">
        <f ca="1">'ETF price'!Y199-'ETF price'!Y198</f>
        <v>1.8900000000000006</v>
      </c>
      <c r="Y197" s="3">
        <f ca="1">'ETF price'!Z199-'ETF price'!Z198</f>
        <v>2.5699999999999932</v>
      </c>
      <c r="Z197" s="3">
        <f ca="1">'ETF price'!AA199-'ETF price'!AA198</f>
        <v>0.64000000000000057</v>
      </c>
      <c r="AA197" s="3">
        <f ca="1">'ETF price'!AB199-'ETF price'!AB198</f>
        <v>2.6499999999999986</v>
      </c>
      <c r="AB197" s="3">
        <f ca="1">'ETF price'!AC199-'ETF price'!AC198</f>
        <v>1.8500000000000014</v>
      </c>
      <c r="AC197" s="3">
        <f ca="1">'ETF price'!AD199-'ETF price'!AD198</f>
        <v>9.9999999999999645E-2</v>
      </c>
      <c r="AD197" s="3">
        <f ca="1">'ETF price'!AE199-'ETF price'!AE198</f>
        <v>0.17999999999999972</v>
      </c>
      <c r="AE197" s="3">
        <f ca="1">'ETF price'!AF199-'ETF price'!AF198</f>
        <v>-3.0000000000000249E-2</v>
      </c>
      <c r="AF197" s="3">
        <f ca="1">'ETF price'!AG199-'ETF price'!AG198</f>
        <v>0.41000000000000014</v>
      </c>
    </row>
    <row r="198" spans="1:32" ht="12.75" x14ac:dyDescent="0.2">
      <c r="A198" s="3">
        <f ca="1">'ETF price'!B200-'ETF price'!B199</f>
        <v>-3.3800000000000097</v>
      </c>
      <c r="B198" s="3">
        <f ca="1">'ETF price'!C200-'ETF price'!C199</f>
        <v>-8.8100000000000023</v>
      </c>
      <c r="C198" s="3">
        <f ca="1">'ETF price'!D200-'ETF price'!D199</f>
        <v>-2.2199999999999989</v>
      </c>
      <c r="D198" s="3">
        <f ca="1">'ETF price'!E200-'ETF price'!E199</f>
        <v>-4.3299999999999983</v>
      </c>
      <c r="E198" s="3">
        <f ca="1">'ETF price'!F200-'ETF price'!F199</f>
        <v>-1.0600000000000023</v>
      </c>
      <c r="F198" s="3">
        <f ca="1">'ETF price'!G200-'ETF price'!G199</f>
        <v>-0.64999999999999858</v>
      </c>
      <c r="G198" s="3">
        <f ca="1">'ETF price'!H200-'ETF price'!H199</f>
        <v>-0.61000000000000298</v>
      </c>
      <c r="H198" s="3">
        <f ca="1">'ETF price'!I200-'ETF price'!I199</f>
        <v>-0.8399999999999892</v>
      </c>
      <c r="I198" s="3">
        <f ca="1">'ETF price'!J200-'ETF price'!J199</f>
        <v>-2.3100000000000023</v>
      </c>
      <c r="J198" s="3">
        <f ca="1">'ETF price'!K200-'ETF price'!K199</f>
        <v>-1.8299999999999983</v>
      </c>
      <c r="K198" s="3">
        <f ca="1">'ETF price'!L200-'ETF price'!L199</f>
        <v>-2.25</v>
      </c>
      <c r="L198" s="3">
        <f ca="1">'ETF price'!M200-'ETF price'!M199</f>
        <v>-0.69000000000000483</v>
      </c>
      <c r="M198" s="3">
        <f ca="1">'ETF price'!N200-'ETF price'!N199</f>
        <v>-0.57999999999999829</v>
      </c>
      <c r="N198" s="3">
        <f ca="1">'ETF price'!O200-'ETF price'!O199</f>
        <v>-1.3599999999999994</v>
      </c>
      <c r="O198" s="3">
        <f ca="1">'ETF price'!P200-'ETF price'!P199</f>
        <v>-3.1099999999999994</v>
      </c>
      <c r="P198" s="3">
        <f ca="1">'ETF price'!Q200-'ETF price'!Q199</f>
        <v>-4.4000000000000057</v>
      </c>
      <c r="Q198" s="3">
        <f ca="1">'ETF price'!R200-'ETF price'!R199</f>
        <v>-2.3799999999999955</v>
      </c>
      <c r="R198" s="3">
        <f ca="1">'ETF price'!S200-'ETF price'!S199</f>
        <v>-2.1400000000000006</v>
      </c>
      <c r="S198" s="3">
        <f ca="1">'ETF price'!T200-'ETF price'!T199</f>
        <v>-0.50999999999999801</v>
      </c>
      <c r="T198" s="3">
        <f ca="1">'ETF price'!U200-'ETF price'!U199</f>
        <v>-2.3499999999999943</v>
      </c>
      <c r="U198" s="3">
        <f ca="1">'ETF price'!V200-'ETF price'!V199</f>
        <v>-1.5699999999999932</v>
      </c>
      <c r="V198" s="3">
        <f ca="1">'ETF price'!W200-'ETF price'!W199</f>
        <v>-0.52999999999999758</v>
      </c>
      <c r="W198" s="3">
        <f ca="1">'ETF price'!X200-'ETF price'!X199</f>
        <v>-1.2399999999999949</v>
      </c>
      <c r="X198" s="3">
        <f ca="1">'ETF price'!Y200-'ETF price'!Y199</f>
        <v>-0.64999999999999858</v>
      </c>
      <c r="Y198" s="3">
        <f ca="1">'ETF price'!Z200-'ETF price'!Z199</f>
        <v>-1.1899999999999977</v>
      </c>
      <c r="Z198" s="3">
        <f ca="1">'ETF price'!AA200-'ETF price'!AA199</f>
        <v>-0.86999999999999744</v>
      </c>
      <c r="AA198" s="3">
        <f ca="1">'ETF price'!AB200-'ETF price'!AB199</f>
        <v>-0.96000000000000085</v>
      </c>
      <c r="AB198" s="3">
        <f ca="1">'ETF price'!AC200-'ETF price'!AC199</f>
        <v>-0.78000000000000114</v>
      </c>
      <c r="AC198" s="3">
        <f ca="1">'ETF price'!AD200-'ETF price'!AD199</f>
        <v>-8.9999999999999858E-2</v>
      </c>
      <c r="AD198" s="3">
        <f ca="1">'ETF price'!AE200-'ETF price'!AE199</f>
        <v>-0.14999999999999858</v>
      </c>
      <c r="AE198" s="3">
        <f ca="1">'ETF price'!AF200-'ETF price'!AF199</f>
        <v>8.9999999999999858E-2</v>
      </c>
      <c r="AF198" s="3">
        <f ca="1">'ETF price'!AG200-'ETF price'!AG199</f>
        <v>-1.3900000000000006</v>
      </c>
    </row>
    <row r="199" spans="1:32" ht="12.75" x14ac:dyDescent="0.2">
      <c r="A199" s="3">
        <f ca="1">'ETF price'!B201-'ETF price'!B200</f>
        <v>3.5600000000000023</v>
      </c>
      <c r="B199" s="3">
        <f ca="1">'ETF price'!C201-'ETF price'!C200</f>
        <v>9.5100000000000477</v>
      </c>
      <c r="C199" s="3">
        <f ca="1">'ETF price'!D201-'ETF price'!D200</f>
        <v>2.4300000000000068</v>
      </c>
      <c r="D199" s="3">
        <f ca="1">'ETF price'!E201-'ETF price'!E200</f>
        <v>2.1099999999999994</v>
      </c>
      <c r="E199" s="3">
        <f ca="1">'ETF price'!F201-'ETF price'!F200</f>
        <v>1.5200000000000031</v>
      </c>
      <c r="F199" s="3">
        <f ca="1">'ETF price'!G201-'ETF price'!G200</f>
        <v>0.64999999999999858</v>
      </c>
      <c r="G199" s="3">
        <f ca="1">'ETF price'!H201-'ETF price'!H200</f>
        <v>0.60000000000000142</v>
      </c>
      <c r="H199" s="3">
        <f ca="1">'ETF price'!I201-'ETF price'!I200</f>
        <v>1.9899999999999949</v>
      </c>
      <c r="I199" s="3">
        <f ca="1">'ETF price'!J201-'ETF price'!J200</f>
        <v>4.2999999999999829</v>
      </c>
      <c r="J199" s="3">
        <f ca="1">'ETF price'!K201-'ETF price'!K200</f>
        <v>2.9099999999999966</v>
      </c>
      <c r="K199" s="3">
        <f ca="1">'ETF price'!L201-'ETF price'!L200</f>
        <v>2.8800000000000097</v>
      </c>
      <c r="L199" s="3">
        <f ca="1">'ETF price'!M201-'ETF price'!M200</f>
        <v>1.5400000000000063</v>
      </c>
      <c r="M199" s="3">
        <f ca="1">'ETF price'!N201-'ETF price'!N200</f>
        <v>1.0799999999999983</v>
      </c>
      <c r="N199" s="3">
        <f ca="1">'ETF price'!O201-'ETF price'!O200</f>
        <v>1.7800000000000011</v>
      </c>
      <c r="O199" s="3">
        <f ca="1">'ETF price'!P201-'ETF price'!P200</f>
        <v>1</v>
      </c>
      <c r="P199" s="3">
        <f ca="1">'ETF price'!Q201-'ETF price'!Q200</f>
        <v>1.5</v>
      </c>
      <c r="Q199" s="3">
        <f ca="1">'ETF price'!R201-'ETF price'!R200</f>
        <v>1.6999999999999886</v>
      </c>
      <c r="R199" s="3">
        <f ca="1">'ETF price'!S201-'ETF price'!S200</f>
        <v>1.7100000000000009</v>
      </c>
      <c r="S199" s="3">
        <f ca="1">'ETF price'!T201-'ETF price'!T200</f>
        <v>-6.0000000000002274E-2</v>
      </c>
      <c r="T199" s="3">
        <f ca="1">'ETF price'!U201-'ETF price'!U200</f>
        <v>-4.0000000000006253E-2</v>
      </c>
      <c r="U199" s="3">
        <f ca="1">'ETF price'!V201-'ETF price'!V200</f>
        <v>0.60999999999999943</v>
      </c>
      <c r="V199" s="3">
        <f ca="1">'ETF price'!W201-'ETF price'!W200</f>
        <v>0.77999999999999758</v>
      </c>
      <c r="W199" s="3">
        <f ca="1">'ETF price'!X201-'ETF price'!X200</f>
        <v>1.8400000000000034</v>
      </c>
      <c r="X199" s="3">
        <f ca="1">'ETF price'!Y201-'ETF price'!Y200</f>
        <v>1.2399999999999949</v>
      </c>
      <c r="Y199" s="3">
        <f ca="1">'ETF price'!Z201-'ETF price'!Z200</f>
        <v>1.730000000000004</v>
      </c>
      <c r="Z199" s="3">
        <f ca="1">'ETF price'!AA201-'ETF price'!AA200</f>
        <v>1.259999999999998</v>
      </c>
      <c r="AA199" s="3">
        <f ca="1">'ETF price'!AB201-'ETF price'!AB200</f>
        <v>1.6099999999999994</v>
      </c>
      <c r="AB199" s="3">
        <f ca="1">'ETF price'!AC201-'ETF price'!AC200</f>
        <v>1.25</v>
      </c>
      <c r="AC199" s="3">
        <f ca="1">'ETF price'!AD201-'ETF price'!AD200</f>
        <v>0.14999999999999947</v>
      </c>
      <c r="AD199" s="3">
        <f ca="1">'ETF price'!AE201-'ETF price'!AE200</f>
        <v>0.25</v>
      </c>
      <c r="AE199" s="3">
        <f ca="1">'ETF price'!AF201-'ETF price'!AF200</f>
        <v>-0.1599999999999997</v>
      </c>
      <c r="AF199" s="3">
        <f ca="1">'ETF price'!AG201-'ETF price'!AG200</f>
        <v>1.3200000000000003</v>
      </c>
    </row>
    <row r="200" spans="1:32" ht="12.75" x14ac:dyDescent="0.2">
      <c r="A200" s="3">
        <f ca="1">'ETF price'!B202-'ETF price'!B201</f>
        <v>1.019999999999996</v>
      </c>
      <c r="B200" s="3">
        <f ca="1">'ETF price'!C202-'ETF price'!C201</f>
        <v>3.1899999999999977</v>
      </c>
      <c r="C200" s="3">
        <f ca="1">'ETF price'!D202-'ETF price'!D201</f>
        <v>0.65999999999999659</v>
      </c>
      <c r="D200" s="3">
        <f ca="1">'ETF price'!E202-'ETF price'!E201</f>
        <v>0.34999999999999432</v>
      </c>
      <c r="E200" s="3">
        <f ca="1">'ETF price'!F202-'ETF price'!F201</f>
        <v>1.1099999999999994</v>
      </c>
      <c r="F200" s="3">
        <f ca="1">'ETF price'!G202-'ETF price'!G201</f>
        <v>0.25</v>
      </c>
      <c r="G200" s="3">
        <f ca="1">'ETF price'!H202-'ETF price'!H201</f>
        <v>0.26999999999999957</v>
      </c>
      <c r="H200" s="3">
        <f ca="1">'ETF price'!I202-'ETF price'!I201</f>
        <v>0.70000000000000284</v>
      </c>
      <c r="I200" s="3">
        <f ca="1">'ETF price'!J202-'ETF price'!J201</f>
        <v>1.2900000000000205</v>
      </c>
      <c r="J200" s="3">
        <f ca="1">'ETF price'!K202-'ETF price'!K201</f>
        <v>0.21999999999999886</v>
      </c>
      <c r="K200" s="3">
        <f ca="1">'ETF price'!L202-'ETF price'!L201</f>
        <v>0.37999999999999545</v>
      </c>
      <c r="L200" s="3">
        <f ca="1">'ETF price'!M202-'ETF price'!M201</f>
        <v>9.9999999999994316E-2</v>
      </c>
      <c r="M200" s="3">
        <f ca="1">'ETF price'!N202-'ETF price'!N201</f>
        <v>0.35999999999999943</v>
      </c>
      <c r="N200" s="3">
        <f ca="1">'ETF price'!O202-'ETF price'!O201</f>
        <v>0.5</v>
      </c>
      <c r="O200" s="3">
        <f ca="1">'ETF price'!P202-'ETF price'!P201</f>
        <v>0.70999999999999375</v>
      </c>
      <c r="P200" s="3">
        <f ca="1">'ETF price'!Q202-'ETF price'!Q201</f>
        <v>0.90999999999999659</v>
      </c>
      <c r="Q200" s="3">
        <f ca="1">'ETF price'!R202-'ETF price'!R201</f>
        <v>1.3700000000000045</v>
      </c>
      <c r="R200" s="3">
        <f ca="1">'ETF price'!S202-'ETF price'!S201</f>
        <v>0.57999999999999829</v>
      </c>
      <c r="S200" s="3">
        <f ca="1">'ETF price'!T202-'ETF price'!T201</f>
        <v>-0.26999999999999957</v>
      </c>
      <c r="T200" s="3">
        <f ca="1">'ETF price'!U202-'ETF price'!U201</f>
        <v>-1.4299999999999926</v>
      </c>
      <c r="U200" s="3">
        <f ca="1">'ETF price'!V202-'ETF price'!V201</f>
        <v>1.8499999999999943</v>
      </c>
      <c r="V200" s="3">
        <f ca="1">'ETF price'!W202-'ETF price'!W201</f>
        <v>0.50999999999999801</v>
      </c>
      <c r="W200" s="3">
        <f ca="1">'ETF price'!X202-'ETF price'!X201</f>
        <v>1.2000000000000028</v>
      </c>
      <c r="X200" s="3">
        <f ca="1">'ETF price'!Y202-'ETF price'!Y201</f>
        <v>0.13000000000000256</v>
      </c>
      <c r="Y200" s="3">
        <f ca="1">'ETF price'!Z202-'ETF price'!Z201</f>
        <v>1.0499999999999972</v>
      </c>
      <c r="Z200" s="3">
        <f ca="1">'ETF price'!AA202-'ETF price'!AA201</f>
        <v>0.46000000000000085</v>
      </c>
      <c r="AA200" s="3">
        <f ca="1">'ETF price'!AB202-'ETF price'!AB201</f>
        <v>-3.9999999999999147E-2</v>
      </c>
      <c r="AB200" s="3">
        <f ca="1">'ETF price'!AC202-'ETF price'!AC201</f>
        <v>0.81000000000000227</v>
      </c>
      <c r="AC200" s="3">
        <f ca="1">'ETF price'!AD202-'ETF price'!AD201</f>
        <v>-0.12999999999999989</v>
      </c>
      <c r="AD200" s="3">
        <f ca="1">'ETF price'!AE202-'ETF price'!AE201</f>
        <v>-0.21000000000000085</v>
      </c>
      <c r="AE200" s="3">
        <f ca="1">'ETF price'!AF202-'ETF price'!AF201</f>
        <v>0.16999999999999993</v>
      </c>
      <c r="AF200" s="3">
        <f ca="1">'ETF price'!AG202-'ETF price'!AG201</f>
        <v>-0.39999999999999858</v>
      </c>
    </row>
    <row r="201" spans="1:32" ht="12.75" x14ac:dyDescent="0.2">
      <c r="A201" s="3">
        <f ca="1">'ETF price'!B203-'ETF price'!B202</f>
        <v>-0.34999999999999432</v>
      </c>
      <c r="B201" s="3">
        <f ca="1">'ETF price'!C203-'ETF price'!C202</f>
        <v>-1.5400000000000205</v>
      </c>
      <c r="C201" s="3">
        <f ca="1">'ETF price'!D203-'ETF price'!D202</f>
        <v>-0.34999999999999432</v>
      </c>
      <c r="D201" s="3">
        <f ca="1">'ETF price'!E203-'ETF price'!E202</f>
        <v>0.65000000000000568</v>
      </c>
      <c r="E201" s="3">
        <f ca="1">'ETF price'!F203-'ETF price'!F202</f>
        <v>-0.46000000000000085</v>
      </c>
      <c r="F201" s="3">
        <f ca="1">'ETF price'!G203-'ETF price'!G202</f>
        <v>-0.16000000000000014</v>
      </c>
      <c r="G201" s="3">
        <f ca="1">'ETF price'!H203-'ETF price'!H202</f>
        <v>-0.46000000000000085</v>
      </c>
      <c r="H201" s="3">
        <f ca="1">'ETF price'!I203-'ETF price'!I202</f>
        <v>-1.7700000000000102</v>
      </c>
      <c r="I201" s="3">
        <f ca="1">'ETF price'!J203-'ETF price'!J202</f>
        <v>-3.7700000000000102</v>
      </c>
      <c r="J201" s="3">
        <f ca="1">'ETF price'!K203-'ETF price'!K202</f>
        <v>-4.1799999999999926</v>
      </c>
      <c r="K201" s="3">
        <f ca="1">'ETF price'!L203-'ETF price'!L202</f>
        <v>-3.9699999999999989</v>
      </c>
      <c r="L201" s="3">
        <f ca="1">'ETF price'!M203-'ETF price'!M202</f>
        <v>-2.1699999999999946</v>
      </c>
      <c r="M201" s="3">
        <f ca="1">'ETF price'!N203-'ETF price'!N202</f>
        <v>-1.0499999999999972</v>
      </c>
      <c r="N201" s="3">
        <f ca="1">'ETF price'!O203-'ETF price'!O202</f>
        <v>-2.4000000000000057</v>
      </c>
      <c r="O201" s="3">
        <f ca="1">'ETF price'!P203-'ETF price'!P202</f>
        <v>2.4200000000000017</v>
      </c>
      <c r="P201" s="3">
        <f ca="1">'ETF price'!Q203-'ETF price'!Q202</f>
        <v>3.2200000000000131</v>
      </c>
      <c r="Q201" s="3">
        <f ca="1">'ETF price'!R203-'ETF price'!R202</f>
        <v>-0.84000000000000341</v>
      </c>
      <c r="R201" s="3">
        <f ca="1">'ETF price'!S203-'ETF price'!S202</f>
        <v>-1.1099999999999994</v>
      </c>
      <c r="S201" s="3">
        <f ca="1">'ETF price'!T203-'ETF price'!T202</f>
        <v>-1.0000000000001563E-2</v>
      </c>
      <c r="T201" s="3">
        <f ca="1">'ETF price'!U203-'ETF price'!U202</f>
        <v>1.3400000000000034</v>
      </c>
      <c r="U201" s="3">
        <f ca="1">'ETF price'!V203-'ETF price'!V202</f>
        <v>-2.3599999999999994</v>
      </c>
      <c r="V201" s="3">
        <f ca="1">'ETF price'!W203-'ETF price'!W202</f>
        <v>-0.52999999999999758</v>
      </c>
      <c r="W201" s="3">
        <f ca="1">'ETF price'!X203-'ETF price'!X202</f>
        <v>-1.2800000000000011</v>
      </c>
      <c r="X201" s="3">
        <f ca="1">'ETF price'!Y203-'ETF price'!Y202</f>
        <v>-1.0300000000000011</v>
      </c>
      <c r="Y201" s="3">
        <f ca="1">'ETF price'!Z203-'ETF price'!Z202</f>
        <v>-1.1299999999999955</v>
      </c>
      <c r="Z201" s="3">
        <f ca="1">'ETF price'!AA203-'ETF price'!AA202</f>
        <v>-0.89000000000000057</v>
      </c>
      <c r="AA201" s="3">
        <f ca="1">'ETF price'!AB203-'ETF price'!AB202</f>
        <v>-1.3099999999999952</v>
      </c>
      <c r="AB201" s="3">
        <f ca="1">'ETF price'!AC203-'ETF price'!AC202</f>
        <v>-1</v>
      </c>
      <c r="AC201" s="3">
        <f ca="1">'ETF price'!AD203-'ETF price'!AD202</f>
        <v>1.0000000000000675E-2</v>
      </c>
      <c r="AD201" s="3">
        <f ca="1">'ETF price'!AE203-'ETF price'!AE202</f>
        <v>0</v>
      </c>
      <c r="AE201" s="3">
        <f ca="1">'ETF price'!AF203-'ETF price'!AF202</f>
        <v>-0.10999999999999988</v>
      </c>
      <c r="AF201" s="3">
        <f ca="1">'ETF price'!AG203-'ETF price'!AG202</f>
        <v>-0.76000000000000156</v>
      </c>
    </row>
    <row r="202" spans="1:32" ht="12.75" x14ac:dyDescent="0.2">
      <c r="A202" s="3">
        <f ca="1">'ETF price'!B204-'ETF price'!B203</f>
        <v>6.9999999999993179E-2</v>
      </c>
      <c r="B202" s="3">
        <f ca="1">'ETF price'!C204-'ETF price'!C203</f>
        <v>0.17000000000001592</v>
      </c>
      <c r="C202" s="3">
        <f ca="1">'ETF price'!D204-'ETF price'!D203</f>
        <v>0.22999999999998977</v>
      </c>
      <c r="D202" s="3">
        <f ca="1">'ETF price'!E204-'ETF price'!E203</f>
        <v>0.64000000000000057</v>
      </c>
      <c r="E202" s="3">
        <f ca="1">'ETF price'!F204-'ETF price'!F203</f>
        <v>0.25</v>
      </c>
      <c r="F202" s="3">
        <f ca="1">'ETF price'!G204-'ETF price'!G203</f>
        <v>-8.0000000000001847E-2</v>
      </c>
      <c r="G202" s="3">
        <f ca="1">'ETF price'!H204-'ETF price'!H203</f>
        <v>-8.9999999999999858E-2</v>
      </c>
      <c r="H202" s="3">
        <f ca="1">'ETF price'!I204-'ETF price'!I203</f>
        <v>-1.0599999999999881</v>
      </c>
      <c r="I202" s="3">
        <f ca="1">'ETF price'!J204-'ETF price'!J203</f>
        <v>-1.9300000000000068</v>
      </c>
      <c r="J202" s="3">
        <f ca="1">'ETF price'!K204-'ETF price'!K203</f>
        <v>-0.95000000000000284</v>
      </c>
      <c r="K202" s="3">
        <f ca="1">'ETF price'!L204-'ETF price'!L203</f>
        <v>-0.39000000000000057</v>
      </c>
      <c r="L202" s="3">
        <f ca="1">'ETF price'!M204-'ETF price'!M203</f>
        <v>-0.31000000000000227</v>
      </c>
      <c r="M202" s="3">
        <f ca="1">'ETF price'!N204-'ETF price'!N203</f>
        <v>-0.42999999999999972</v>
      </c>
      <c r="N202" s="3">
        <f ca="1">'ETF price'!O204-'ETF price'!O203</f>
        <v>-0.1699999999999946</v>
      </c>
      <c r="O202" s="3">
        <f ca="1">'ETF price'!P204-'ETF price'!P203</f>
        <v>7.9999999999998295E-2</v>
      </c>
      <c r="P202" s="3">
        <f ca="1">'ETF price'!Q204-'ETF price'!Q203</f>
        <v>5.9999999999988063E-2</v>
      </c>
      <c r="Q202" s="3">
        <f ca="1">'ETF price'!R204-'ETF price'!R203</f>
        <v>-0.50999999999999091</v>
      </c>
      <c r="R202" s="3">
        <f ca="1">'ETF price'!S204-'ETF price'!S203</f>
        <v>0.24000000000000199</v>
      </c>
      <c r="S202" s="3">
        <f ca="1">'ETF price'!T204-'ETF price'!T203</f>
        <v>2.0000000000003126E-2</v>
      </c>
      <c r="T202" s="3">
        <f ca="1">'ETF price'!U204-'ETF price'!U203</f>
        <v>0.14000000000000057</v>
      </c>
      <c r="U202" s="3">
        <f ca="1">'ETF price'!V204-'ETF price'!V203</f>
        <v>-0.72999999999998977</v>
      </c>
      <c r="V202" s="3">
        <f ca="1">'ETF price'!W204-'ETF price'!W203</f>
        <v>-0.50999999999999801</v>
      </c>
      <c r="W202" s="3">
        <f ca="1">'ETF price'!X204-'ETF price'!X203</f>
        <v>-1.4000000000000057</v>
      </c>
      <c r="X202" s="3">
        <f ca="1">'ETF price'!Y204-'ETF price'!Y203</f>
        <v>-1.4299999999999997</v>
      </c>
      <c r="Y202" s="3">
        <f ca="1">'ETF price'!Z204-'ETF price'!Z203</f>
        <v>-1.2800000000000011</v>
      </c>
      <c r="Z202" s="3">
        <f ca="1">'ETF price'!AA204-'ETF price'!AA203</f>
        <v>-0.17000000000000171</v>
      </c>
      <c r="AA202" s="3">
        <f ca="1">'ETF price'!AB204-'ETF price'!AB203</f>
        <v>-2.1100000000000065</v>
      </c>
      <c r="AB202" s="3">
        <f ca="1">'ETF price'!AC204-'ETF price'!AC203</f>
        <v>-0.57000000000000028</v>
      </c>
      <c r="AC202" s="3">
        <f ca="1">'ETF price'!AD204-'ETF price'!AD203</f>
        <v>-6.0000000000000497E-2</v>
      </c>
      <c r="AD202" s="3">
        <f ca="1">'ETF price'!AE204-'ETF price'!AE203</f>
        <v>-9.9999999999999645E-2</v>
      </c>
      <c r="AE202" s="3">
        <f ca="1">'ETF price'!AF204-'ETF price'!AF203</f>
        <v>-0.10000000000000009</v>
      </c>
      <c r="AF202" s="3">
        <f ca="1">'ETF price'!AG204-'ETF price'!AG203</f>
        <v>-7.9999999999998295E-2</v>
      </c>
    </row>
    <row r="203" spans="1:32" ht="12.75" x14ac:dyDescent="0.2">
      <c r="A203" s="3">
        <f ca="1">'ETF price'!B205-'ETF price'!B204</f>
        <v>3.2400000000000091</v>
      </c>
      <c r="B203" s="3">
        <f ca="1">'ETF price'!C205-'ETF price'!C204</f>
        <v>8.2199999999999704</v>
      </c>
      <c r="C203" s="3">
        <f ca="1">'ETF price'!D205-'ETF price'!D204</f>
        <v>1.710000000000008</v>
      </c>
      <c r="D203" s="3">
        <f ca="1">'ETF price'!E205-'ETF price'!E204</f>
        <v>3.8400000000000034</v>
      </c>
      <c r="E203" s="3">
        <f ca="1">'ETF price'!F205-'ETF price'!F204</f>
        <v>0.71000000000000085</v>
      </c>
      <c r="F203" s="3">
        <f ca="1">'ETF price'!G205-'ETF price'!G204</f>
        <v>0.40000000000000213</v>
      </c>
      <c r="G203" s="3">
        <f ca="1">'ETF price'!H205-'ETF price'!H204</f>
        <v>0.55000000000000071</v>
      </c>
      <c r="H203" s="3">
        <f ca="1">'ETF price'!I205-'ETF price'!I204</f>
        <v>2.7800000000000011</v>
      </c>
      <c r="I203" s="3">
        <f ca="1">'ETF price'!J205-'ETF price'!J204</f>
        <v>4.9000000000000057</v>
      </c>
      <c r="J203" s="3">
        <f ca="1">'ETF price'!K205-'ETF price'!K204</f>
        <v>3.3200000000000074</v>
      </c>
      <c r="K203" s="3">
        <f ca="1">'ETF price'!L205-'ETF price'!L204</f>
        <v>2.1200000000000045</v>
      </c>
      <c r="L203" s="3">
        <f ca="1">'ETF price'!M205-'ETF price'!M204</f>
        <v>1.2800000000000011</v>
      </c>
      <c r="M203" s="3">
        <f ca="1">'ETF price'!N205-'ETF price'!N204</f>
        <v>1.25</v>
      </c>
      <c r="N203" s="3">
        <f ca="1">'ETF price'!O205-'ETF price'!O204</f>
        <v>1.6099999999999994</v>
      </c>
      <c r="O203" s="3">
        <f ca="1">'ETF price'!P205-'ETF price'!P204</f>
        <v>2.4400000000000119</v>
      </c>
      <c r="P203" s="3">
        <f ca="1">'ETF price'!Q205-'ETF price'!Q204</f>
        <v>3.2000000000000028</v>
      </c>
      <c r="Q203" s="3">
        <f ca="1">'ETF price'!R205-'ETF price'!R204</f>
        <v>2.4199999999999875</v>
      </c>
      <c r="R203" s="3">
        <f ca="1">'ETF price'!S205-'ETF price'!S204</f>
        <v>2.5699999999999932</v>
      </c>
      <c r="S203" s="3">
        <f ca="1">'ETF price'!T205-'ETF price'!T204</f>
        <v>2.9999999999997584E-2</v>
      </c>
      <c r="T203" s="3">
        <f ca="1">'ETF price'!U205-'ETF price'!U204</f>
        <v>0.38999999999998636</v>
      </c>
      <c r="U203" s="3">
        <f ca="1">'ETF price'!V205-'ETF price'!V204</f>
        <v>1.1799999999999926</v>
      </c>
      <c r="V203" s="3">
        <f ca="1">'ETF price'!W205-'ETF price'!W204</f>
        <v>0.92999999999999616</v>
      </c>
      <c r="W203" s="3">
        <f ca="1">'ETF price'!X205-'ETF price'!X204</f>
        <v>2.0499999999999972</v>
      </c>
      <c r="X203" s="3">
        <f ca="1">'ETF price'!Y205-'ETF price'!Y204</f>
        <v>0.67999999999999972</v>
      </c>
      <c r="Y203" s="3">
        <f ca="1">'ETF price'!Z205-'ETF price'!Z204</f>
        <v>1.9899999999999949</v>
      </c>
      <c r="Z203" s="3">
        <f ca="1">'ETF price'!AA205-'ETF price'!AA204</f>
        <v>0.24000000000000199</v>
      </c>
      <c r="AA203" s="3">
        <f ca="1">'ETF price'!AB205-'ETF price'!AB204</f>
        <v>0.78000000000000114</v>
      </c>
      <c r="AB203" s="3">
        <f ca="1">'ETF price'!AC205-'ETF price'!AC204</f>
        <v>1.3100000000000023</v>
      </c>
      <c r="AC203" s="3">
        <f ca="1">'ETF price'!AD205-'ETF price'!AD204</f>
        <v>6.0000000000000497E-2</v>
      </c>
      <c r="AD203" s="3">
        <f ca="1">'ETF price'!AE205-'ETF price'!AE204</f>
        <v>9.9999999999999645E-2</v>
      </c>
      <c r="AE203" s="3">
        <f ca="1">'ETF price'!AF205-'ETF price'!AF204</f>
        <v>-2.0000000000000018E-2</v>
      </c>
      <c r="AF203" s="3">
        <f ca="1">'ETF price'!AG205-'ETF price'!AG204</f>
        <v>0.88999999999999702</v>
      </c>
    </row>
    <row r="204" spans="1:32" ht="12.75" x14ac:dyDescent="0.2">
      <c r="A204" s="3">
        <f ca="1">'ETF price'!B206-'ETF price'!B205</f>
        <v>1.7199999999999989</v>
      </c>
      <c r="B204" s="3">
        <f ca="1">'ETF price'!C206-'ETF price'!C205</f>
        <v>3.7800000000000296</v>
      </c>
      <c r="C204" s="3">
        <f ca="1">'ETF price'!D206-'ETF price'!D205</f>
        <v>2.6099999999999994</v>
      </c>
      <c r="D204" s="3">
        <f ca="1">'ETF price'!E206-'ETF price'!E205</f>
        <v>0.45999999999999375</v>
      </c>
      <c r="E204" s="3">
        <f ca="1">'ETF price'!F206-'ETF price'!F205</f>
        <v>0.12999999999999545</v>
      </c>
      <c r="F204" s="3">
        <f ca="1">'ETF price'!G206-'ETF price'!G205</f>
        <v>3.0000000000001137E-2</v>
      </c>
      <c r="G204" s="3">
        <f ca="1">'ETF price'!H206-'ETF price'!H205</f>
        <v>3.9999999999999147E-2</v>
      </c>
      <c r="H204" s="3">
        <f ca="1">'ETF price'!I206-'ETF price'!I205</f>
        <v>2.4399999999999835</v>
      </c>
      <c r="I204" s="3">
        <f ca="1">'ETF price'!J206-'ETF price'!J205</f>
        <v>3.75</v>
      </c>
      <c r="J204" s="3">
        <f ca="1">'ETF price'!K206-'ETF price'!K205</f>
        <v>1.2800000000000011</v>
      </c>
      <c r="K204" s="3">
        <f ca="1">'ETF price'!L206-'ETF price'!L205</f>
        <v>-0.35999999999999943</v>
      </c>
      <c r="L204" s="3">
        <f ca="1">'ETF price'!M206-'ETF price'!M205</f>
        <v>0.67999999999999972</v>
      </c>
      <c r="M204" s="3">
        <f ca="1">'ETF price'!N206-'ETF price'!N205</f>
        <v>0.94999999999999574</v>
      </c>
      <c r="N204" s="3">
        <f ca="1">'ETF price'!O206-'ETF price'!O205</f>
        <v>-0.84000000000000341</v>
      </c>
      <c r="O204" s="3">
        <f ca="1">'ETF price'!P206-'ETF price'!P205</f>
        <v>0.40999999999999659</v>
      </c>
      <c r="P204" s="3">
        <f ca="1">'ETF price'!Q206-'ETF price'!Q205</f>
        <v>0.32999999999999829</v>
      </c>
      <c r="Q204" s="3">
        <f ca="1">'ETF price'!R206-'ETF price'!R205</f>
        <v>-0.41999999999998749</v>
      </c>
      <c r="R204" s="3">
        <f ca="1">'ETF price'!S206-'ETF price'!S205</f>
        <v>-0.32999999999999829</v>
      </c>
      <c r="S204" s="3">
        <f ca="1">'ETF price'!T206-'ETF price'!T205</f>
        <v>7.0000000000000284E-2</v>
      </c>
      <c r="T204" s="3">
        <f ca="1">'ETF price'!U206-'ETF price'!U205</f>
        <v>-0.18999999999999773</v>
      </c>
      <c r="U204" s="3">
        <f ca="1">'ETF price'!V206-'ETF price'!V205</f>
        <v>-1.6899999999999977</v>
      </c>
      <c r="V204" s="3">
        <f ca="1">'ETF price'!W206-'ETF price'!W205</f>
        <v>0.42999999999999972</v>
      </c>
      <c r="W204" s="3">
        <f ca="1">'ETF price'!X206-'ETF price'!X205</f>
        <v>1.0400000000000063</v>
      </c>
      <c r="X204" s="3">
        <f ca="1">'ETF price'!Y206-'ETF price'!Y205</f>
        <v>0.77000000000000313</v>
      </c>
      <c r="Y204" s="3">
        <f ca="1">'ETF price'!Z206-'ETF price'!Z205</f>
        <v>0.90000000000000568</v>
      </c>
      <c r="Z204" s="3">
        <f ca="1">'ETF price'!AA206-'ETF price'!AA205</f>
        <v>-2.0000000000003126E-2</v>
      </c>
      <c r="AA204" s="3">
        <f ca="1">'ETF price'!AB206-'ETF price'!AB205</f>
        <v>1.0300000000000011</v>
      </c>
      <c r="AB204" s="3">
        <f ca="1">'ETF price'!AC206-'ETF price'!AC205</f>
        <v>1.5599999999999952</v>
      </c>
      <c r="AC204" s="3">
        <f ca="1">'ETF price'!AD206-'ETF price'!AD205</f>
        <v>5.9999999999999609E-2</v>
      </c>
      <c r="AD204" s="3">
        <f ca="1">'ETF price'!AE206-'ETF price'!AE205</f>
        <v>9.9999999999999645E-2</v>
      </c>
      <c r="AE204" s="3">
        <f ca="1">'ETF price'!AF206-'ETF price'!AF205</f>
        <v>0.10000000000000009</v>
      </c>
      <c r="AF204" s="3">
        <f ca="1">'ETF price'!AG206-'ETF price'!AG205</f>
        <v>0.51000000000000156</v>
      </c>
    </row>
    <row r="205" spans="1:32" ht="12.75" x14ac:dyDescent="0.2">
      <c r="A205" s="3">
        <f ca="1">'ETF price'!B207-'ETF price'!B206</f>
        <v>2.4099999999999966</v>
      </c>
      <c r="B205" s="3">
        <f ca="1">'ETF price'!C207-'ETF price'!C206</f>
        <v>7.0999999999999659</v>
      </c>
      <c r="C205" s="3">
        <f ca="1">'ETF price'!D207-'ETF price'!D206</f>
        <v>-2.6700000000000017</v>
      </c>
      <c r="D205" s="3">
        <f ca="1">'ETF price'!E207-'ETF price'!E206</f>
        <v>2.4599999999999937</v>
      </c>
      <c r="E205" s="3">
        <f ca="1">'ETF price'!F207-'ETF price'!F206</f>
        <v>1.2700000000000031</v>
      </c>
      <c r="F205" s="3">
        <f ca="1">'ETF price'!G207-'ETF price'!G206</f>
        <v>0.81999999999999673</v>
      </c>
      <c r="G205" s="3">
        <f ca="1">'ETF price'!H207-'ETF price'!H206</f>
        <v>0.70000000000000284</v>
      </c>
      <c r="H205" s="3">
        <f ca="1">'ETF price'!I207-'ETF price'!I206</f>
        <v>0.98000000000001819</v>
      </c>
      <c r="I205" s="3">
        <f ca="1">'ETF price'!J207-'ETF price'!J206</f>
        <v>2.4699999999999989</v>
      </c>
      <c r="J205" s="3">
        <f ca="1">'ETF price'!K207-'ETF price'!K206</f>
        <v>2.4499999999999886</v>
      </c>
      <c r="K205" s="3">
        <f ca="1">'ETF price'!L207-'ETF price'!L206</f>
        <v>2.0999999999999943</v>
      </c>
      <c r="L205" s="3">
        <f ca="1">'ETF price'!M207-'ETF price'!M206</f>
        <v>0.83999999999999631</v>
      </c>
      <c r="M205" s="3">
        <f ca="1">'ETF price'!N207-'ETF price'!N206</f>
        <v>0.67999999999999972</v>
      </c>
      <c r="N205" s="3">
        <f ca="1">'ETF price'!O207-'ETF price'!O206</f>
        <v>1.9600000000000009</v>
      </c>
      <c r="O205" s="3">
        <f ca="1">'ETF price'!P207-'ETF price'!P206</f>
        <v>9.0000000000003411E-2</v>
      </c>
      <c r="P205" s="3">
        <f ca="1">'ETF price'!Q207-'ETF price'!Q206</f>
        <v>0.14000000000000057</v>
      </c>
      <c r="Q205" s="3">
        <f ca="1">'ETF price'!R207-'ETF price'!R206</f>
        <v>1.7800000000000011</v>
      </c>
      <c r="R205" s="3">
        <f ca="1">'ETF price'!S207-'ETF price'!S206</f>
        <v>0.85999999999999943</v>
      </c>
      <c r="S205" s="3">
        <f ca="1">'ETF price'!T207-'ETF price'!T206</f>
        <v>0.14000000000000057</v>
      </c>
      <c r="T205" s="3">
        <f ca="1">'ETF price'!U207-'ETF price'!U206</f>
        <v>0.23000000000000398</v>
      </c>
      <c r="U205" s="3">
        <f ca="1">'ETF price'!V207-'ETF price'!V206</f>
        <v>3.1299999999999955</v>
      </c>
      <c r="V205" s="3">
        <f ca="1">'ETF price'!W207-'ETF price'!W206</f>
        <v>0.39000000000000057</v>
      </c>
      <c r="W205" s="3">
        <f ca="1">'ETF price'!X207-'ETF price'!X206</f>
        <v>1.0999999999999943</v>
      </c>
      <c r="X205" s="3">
        <f ca="1">'ETF price'!Y207-'ETF price'!Y206</f>
        <v>0.75999999999999801</v>
      </c>
      <c r="Y205" s="3">
        <f ca="1">'ETF price'!Z207-'ETF price'!Z206</f>
        <v>1</v>
      </c>
      <c r="Z205" s="3">
        <f ca="1">'ETF price'!AA207-'ETF price'!AA206</f>
        <v>1.3700000000000045</v>
      </c>
      <c r="AA205" s="3">
        <f ca="1">'ETF price'!AB207-'ETF price'!AB206</f>
        <v>0.89000000000000057</v>
      </c>
      <c r="AB205" s="3">
        <f ca="1">'ETF price'!AC207-'ETF price'!AC206</f>
        <v>0.47000000000000597</v>
      </c>
      <c r="AC205" s="3">
        <f ca="1">'ETF price'!AD207-'ETF price'!AD206</f>
        <v>0.36000000000000032</v>
      </c>
      <c r="AD205" s="3">
        <f ca="1">'ETF price'!AE207-'ETF price'!AE206</f>
        <v>0.59999999999999964</v>
      </c>
      <c r="AE205" s="3">
        <f ca="1">'ETF price'!AF207-'ETF price'!AF206</f>
        <v>2.9999999999999805E-2</v>
      </c>
      <c r="AF205" s="3">
        <f ca="1">'ETF price'!AG207-'ETF price'!AG206</f>
        <v>2.4800000000000004</v>
      </c>
    </row>
    <row r="206" spans="1:32" ht="12.75" x14ac:dyDescent="0.2">
      <c r="A206" s="3">
        <f ca="1">'ETF price'!B208-'ETF price'!B207</f>
        <v>-2.8599999999999994</v>
      </c>
      <c r="B206" s="3">
        <f ca="1">'ETF price'!C208-'ETF price'!C207</f>
        <v>-6.6599999999999682</v>
      </c>
      <c r="C206" s="3">
        <f ca="1">'ETF price'!D208-'ETF price'!D207</f>
        <v>-1.7099999999999937</v>
      </c>
      <c r="D206" s="3">
        <f ca="1">'ETF price'!E208-'ETF price'!E207</f>
        <v>-1.0799999999999983</v>
      </c>
      <c r="E206" s="3">
        <f ca="1">'ETF price'!F208-'ETF price'!F207</f>
        <v>-0.24000000000000199</v>
      </c>
      <c r="F206" s="3">
        <f ca="1">'ETF price'!G208-'ETF price'!G207</f>
        <v>2.0000000000003126E-2</v>
      </c>
      <c r="G206" s="3">
        <f ca="1">'ETF price'!H208-'ETF price'!H207</f>
        <v>9.9999999999997868E-2</v>
      </c>
      <c r="H206" s="3">
        <f ca="1">'ETF price'!I208-'ETF price'!I207</f>
        <v>1.4399999999999977</v>
      </c>
      <c r="I206" s="3">
        <f ca="1">'ETF price'!J208-'ETF price'!J207</f>
        <v>2.8499999999999943</v>
      </c>
      <c r="J206" s="3">
        <f ca="1">'ETF price'!K208-'ETF price'!K207</f>
        <v>1.9699999999999989</v>
      </c>
      <c r="K206" s="3">
        <f ca="1">'ETF price'!L208-'ETF price'!L207</f>
        <v>1.3400000000000034</v>
      </c>
      <c r="L206" s="3">
        <f ca="1">'ETF price'!M208-'ETF price'!M207</f>
        <v>0.90000000000000568</v>
      </c>
      <c r="M206" s="3">
        <f ca="1">'ETF price'!N208-'ETF price'!N207</f>
        <v>0.69000000000000483</v>
      </c>
      <c r="N206" s="3">
        <f ca="1">'ETF price'!O208-'ETF price'!O207</f>
        <v>1.6400000000000006</v>
      </c>
      <c r="O206" s="3">
        <f ca="1">'ETF price'!P208-'ETF price'!P207</f>
        <v>1.1899999999999977</v>
      </c>
      <c r="P206" s="3">
        <f ca="1">'ETF price'!Q208-'ETF price'!Q207</f>
        <v>1.7800000000000011</v>
      </c>
      <c r="Q206" s="3">
        <f ca="1">'ETF price'!R208-'ETF price'!R207</f>
        <v>0.51999999999999602</v>
      </c>
      <c r="R206" s="3">
        <f ca="1">'ETF price'!S208-'ETF price'!S207</f>
        <v>0.53999999999999915</v>
      </c>
      <c r="S206" s="3">
        <f ca="1">'ETF price'!T208-'ETF price'!T207</f>
        <v>0.46999999999999886</v>
      </c>
      <c r="T206" s="3">
        <f ca="1">'ETF price'!U208-'ETF price'!U207</f>
        <v>2.3599999999999994</v>
      </c>
      <c r="U206" s="3">
        <f ca="1">'ETF price'!V208-'ETF price'!V207</f>
        <v>2.8400000000000034</v>
      </c>
      <c r="V206" s="3">
        <f ca="1">'ETF price'!W208-'ETF price'!W207</f>
        <v>8.00000000000054E-2</v>
      </c>
      <c r="W206" s="3">
        <f ca="1">'ETF price'!X208-'ETF price'!X207</f>
        <v>0.21000000000000796</v>
      </c>
      <c r="X206" s="3">
        <f ca="1">'ETF price'!Y208-'ETF price'!Y207</f>
        <v>-7.9999999999998295E-2</v>
      </c>
      <c r="Y206" s="3">
        <f ca="1">'ETF price'!Z208-'ETF price'!Z207</f>
        <v>0.21999999999999886</v>
      </c>
      <c r="Z206" s="3">
        <f ca="1">'ETF price'!AA208-'ETF price'!AA207</f>
        <v>-7.0000000000000284E-2</v>
      </c>
      <c r="AA206" s="3">
        <f ca="1">'ETF price'!AB208-'ETF price'!AB207</f>
        <v>-7.0000000000000284E-2</v>
      </c>
      <c r="AB206" s="3">
        <f ca="1">'ETF price'!AC208-'ETF price'!AC207</f>
        <v>0.34999999999999432</v>
      </c>
      <c r="AC206" s="3">
        <f ca="1">'ETF price'!AD208-'ETF price'!AD207</f>
        <v>0.19999999999999929</v>
      </c>
      <c r="AD206" s="3">
        <f ca="1">'ETF price'!AE208-'ETF price'!AE207</f>
        <v>0.30000000000000071</v>
      </c>
      <c r="AE206" s="3">
        <f ca="1">'ETF price'!AF208-'ETF price'!AF207</f>
        <v>0.18000000000000016</v>
      </c>
      <c r="AF206" s="3">
        <f ca="1">'ETF price'!AG208-'ETF price'!AG207</f>
        <v>0</v>
      </c>
    </row>
    <row r="207" spans="1:32" ht="12.75" x14ac:dyDescent="0.2">
      <c r="A207" s="3">
        <f ca="1">'ETF price'!B209-'ETF price'!B208</f>
        <v>-1.4299999999999926</v>
      </c>
      <c r="B207" s="3">
        <f ca="1">'ETF price'!C209-'ETF price'!C208</f>
        <v>-3.3600000000000136</v>
      </c>
      <c r="C207" s="3">
        <f ca="1">'ETF price'!D209-'ETF price'!D208</f>
        <v>3.039999999999992</v>
      </c>
      <c r="D207" s="3">
        <f ca="1">'ETF price'!E209-'ETF price'!E208</f>
        <v>-1.9399999999999977</v>
      </c>
      <c r="E207" s="3">
        <f ca="1">'ETF price'!F209-'ETF price'!F208</f>
        <v>0.46999999999999886</v>
      </c>
      <c r="F207" s="3">
        <f ca="1">'ETF price'!G209-'ETF price'!G208</f>
        <v>-8.0000000000001847E-2</v>
      </c>
      <c r="G207" s="3">
        <f ca="1">'ETF price'!H209-'ETF price'!H208</f>
        <v>-0.12999999999999901</v>
      </c>
      <c r="H207" s="3">
        <f ca="1">'ETF price'!I209-'ETF price'!I208</f>
        <v>-0.68999999999999773</v>
      </c>
      <c r="I207" s="3">
        <f ca="1">'ETF price'!J209-'ETF price'!J208</f>
        <v>-1.5699999999999932</v>
      </c>
      <c r="J207" s="3">
        <f ca="1">'ETF price'!K209-'ETF price'!K208</f>
        <v>-1.7199999999999989</v>
      </c>
      <c r="K207" s="3">
        <f ca="1">'ETF price'!L209-'ETF price'!L208</f>
        <v>-1.0100000000000051</v>
      </c>
      <c r="L207" s="3">
        <f ca="1">'ETF price'!M209-'ETF price'!M208</f>
        <v>-1.1700000000000017</v>
      </c>
      <c r="M207" s="3">
        <f ca="1">'ETF price'!N209-'ETF price'!N208</f>
        <v>-0.44000000000000483</v>
      </c>
      <c r="N207" s="3">
        <f ca="1">'ETF price'!O209-'ETF price'!O208</f>
        <v>-1.3999999999999986</v>
      </c>
      <c r="O207" s="3">
        <f ca="1">'ETF price'!P209-'ETF price'!P208</f>
        <v>0.31999999999999318</v>
      </c>
      <c r="P207" s="3">
        <f ca="1">'ETF price'!Q209-'ETF price'!Q208</f>
        <v>0.39000000000000057</v>
      </c>
      <c r="Q207" s="3">
        <f ca="1">'ETF price'!R209-'ETF price'!R208</f>
        <v>-0.18999999999999773</v>
      </c>
      <c r="R207" s="3">
        <f ca="1">'ETF price'!S209-'ETF price'!S208</f>
        <v>-0.12999999999999545</v>
      </c>
      <c r="S207" s="3">
        <f ca="1">'ETF price'!T209-'ETF price'!T208</f>
        <v>4.00000000000027E-2</v>
      </c>
      <c r="T207" s="3">
        <f ca="1">'ETF price'!U209-'ETF price'!U208</f>
        <v>0.65000000000000568</v>
      </c>
      <c r="U207" s="3">
        <f ca="1">'ETF price'!V209-'ETF price'!V208</f>
        <v>0.76000000000000512</v>
      </c>
      <c r="V207" s="3">
        <f ca="1">'ETF price'!W209-'ETF price'!W208</f>
        <v>0.26999999999999602</v>
      </c>
      <c r="W207" s="3">
        <f ca="1">'ETF price'!X209-'ETF price'!X208</f>
        <v>0.67999999999999261</v>
      </c>
      <c r="X207" s="3">
        <f ca="1">'ETF price'!Y209-'ETF price'!Y208</f>
        <v>5.9999999999995168E-2</v>
      </c>
      <c r="Y207" s="3">
        <f ca="1">'ETF price'!Z209-'ETF price'!Z208</f>
        <v>0.59999999999999432</v>
      </c>
      <c r="Z207" s="3">
        <f ca="1">'ETF price'!AA209-'ETF price'!AA208</f>
        <v>1.9999999999996021E-2</v>
      </c>
      <c r="AA207" s="3">
        <f ca="1">'ETF price'!AB209-'ETF price'!AB208</f>
        <v>2.0000000000003126E-2</v>
      </c>
      <c r="AB207" s="3">
        <f ca="1">'ETF price'!AC209-'ETF price'!AC208</f>
        <v>1.1400000000000006</v>
      </c>
      <c r="AC207" s="3">
        <f ca="1">'ETF price'!AD209-'ETF price'!AD208</f>
        <v>-4.9999999999999822E-2</v>
      </c>
      <c r="AD207" s="3">
        <f ca="1">'ETF price'!AE209-'ETF price'!AE208</f>
        <v>-5.0000000000000711E-2</v>
      </c>
      <c r="AE207" s="3">
        <f ca="1">'ETF price'!AF209-'ETF price'!AF208</f>
        <v>9.9999999999997868E-3</v>
      </c>
      <c r="AF207" s="3">
        <f ca="1">'ETF price'!AG209-'ETF price'!AG208</f>
        <v>-0.80000000000000071</v>
      </c>
    </row>
    <row r="208" spans="1:32" ht="12.75" x14ac:dyDescent="0.2">
      <c r="A208" s="3">
        <f ca="1">'ETF price'!B210-'ETF price'!B209</f>
        <v>5.4000000000000057</v>
      </c>
      <c r="B208" s="3">
        <f ca="1">'ETF price'!C210-'ETF price'!C209</f>
        <v>12.930000000000007</v>
      </c>
      <c r="C208" s="3">
        <f ca="1">'ETF price'!D210-'ETF price'!D209</f>
        <v>-1.0799999999999983</v>
      </c>
      <c r="D208" s="3">
        <f ca="1">'ETF price'!E210-'ETF price'!E209</f>
        <v>4.2000000000000028</v>
      </c>
      <c r="E208" s="3">
        <f ca="1">'ETF price'!F210-'ETF price'!F209</f>
        <v>0.87000000000000455</v>
      </c>
      <c r="F208" s="3">
        <f ca="1">'ETF price'!G210-'ETF price'!G209</f>
        <v>0.26000000000000156</v>
      </c>
      <c r="G208" s="3">
        <f ca="1">'ETF price'!H210-'ETF price'!H209</f>
        <v>0.41000000000000014</v>
      </c>
      <c r="H208" s="3">
        <f ca="1">'ETF price'!I210-'ETF price'!I209</f>
        <v>2.1500000000000057</v>
      </c>
      <c r="I208" s="3">
        <f ca="1">'ETF price'!J210-'ETF price'!J209</f>
        <v>3.9399999999999977</v>
      </c>
      <c r="J208" s="3">
        <f ca="1">'ETF price'!K210-'ETF price'!K209</f>
        <v>4.8000000000000114</v>
      </c>
      <c r="K208" s="3">
        <f ca="1">'ETF price'!L210-'ETF price'!L209</f>
        <v>2.8500000000000085</v>
      </c>
      <c r="L208" s="3">
        <f ca="1">'ETF price'!M210-'ETF price'!M209</f>
        <v>2.1599999999999966</v>
      </c>
      <c r="M208" s="3">
        <f ca="1">'ETF price'!N210-'ETF price'!N209</f>
        <v>1.1000000000000014</v>
      </c>
      <c r="N208" s="3">
        <f ca="1">'ETF price'!O210-'ETF price'!O209</f>
        <v>2.0399999999999991</v>
      </c>
      <c r="O208" s="3">
        <f ca="1">'ETF price'!P210-'ETF price'!P209</f>
        <v>0.31000000000000227</v>
      </c>
      <c r="P208" s="3">
        <f ca="1">'ETF price'!Q210-'ETF price'!Q209</f>
        <v>0.54999999999999716</v>
      </c>
      <c r="Q208" s="3">
        <f ca="1">'ETF price'!R210-'ETF price'!R209</f>
        <v>0.73999999999999488</v>
      </c>
      <c r="R208" s="3">
        <f ca="1">'ETF price'!S210-'ETF price'!S209</f>
        <v>-0.60999999999999943</v>
      </c>
      <c r="S208" s="3">
        <f ca="1">'ETF price'!T210-'ETF price'!T209</f>
        <v>-0.30000000000000071</v>
      </c>
      <c r="T208" s="3">
        <f ca="1">'ETF price'!U210-'ETF price'!U209</f>
        <v>-0.80000000000001137</v>
      </c>
      <c r="U208" s="3">
        <f ca="1">'ETF price'!V210-'ETF price'!V209</f>
        <v>-0.71000000000000796</v>
      </c>
      <c r="V208" s="3">
        <f ca="1">'ETF price'!W210-'ETF price'!W209</f>
        <v>0.82999999999999829</v>
      </c>
      <c r="W208" s="3">
        <f ca="1">'ETF price'!X210-'ETF price'!X209</f>
        <v>2.1099999999999994</v>
      </c>
      <c r="X208" s="3">
        <f ca="1">'ETF price'!Y210-'ETF price'!Y209</f>
        <v>1.230000000000004</v>
      </c>
      <c r="Y208" s="3">
        <f ca="1">'ETF price'!Z210-'ETF price'!Z209</f>
        <v>1.8100000000000023</v>
      </c>
      <c r="Z208" s="3">
        <f ca="1">'ETF price'!AA210-'ETF price'!AA209</f>
        <v>0.85000000000000142</v>
      </c>
      <c r="AA208" s="3">
        <f ca="1">'ETF price'!AB210-'ETF price'!AB209</f>
        <v>1.5399999999999991</v>
      </c>
      <c r="AB208" s="3">
        <f ca="1">'ETF price'!AC210-'ETF price'!AC209</f>
        <v>-0.35000000000000142</v>
      </c>
      <c r="AC208" s="3">
        <f ca="1">'ETF price'!AD210-'ETF price'!AD209</f>
        <v>-1.9999999999999574E-2</v>
      </c>
      <c r="AD208" s="3">
        <f ca="1">'ETF price'!AE210-'ETF price'!AE209</f>
        <v>-4.9999999999998934E-2</v>
      </c>
      <c r="AE208" s="3">
        <f ca="1">'ETF price'!AF210-'ETF price'!AF209</f>
        <v>-0.1599999999999997</v>
      </c>
      <c r="AF208" s="3">
        <f ca="1">'ETF price'!AG210-'ETF price'!AG209</f>
        <v>0.19999999999999929</v>
      </c>
    </row>
    <row r="209" spans="1:32" ht="12.75" x14ac:dyDescent="0.2">
      <c r="A209" s="3">
        <f ca="1">'ETF price'!B211-'ETF price'!B210</f>
        <v>-1.710000000000008</v>
      </c>
      <c r="B209" s="3">
        <f ca="1">'ETF price'!C211-'ETF price'!C210</f>
        <v>-3.9800000000000182</v>
      </c>
      <c r="C209" s="3">
        <f ca="1">'ETF price'!D211-'ETF price'!D210</f>
        <v>-0.85999999999999943</v>
      </c>
      <c r="D209" s="3">
        <f ca="1">'ETF price'!E211-'ETF price'!E210</f>
        <v>-2.4200000000000017</v>
      </c>
      <c r="E209" s="3">
        <f ca="1">'ETF price'!F211-'ETF price'!F210</f>
        <v>-0.13000000000000256</v>
      </c>
      <c r="F209" s="3">
        <f ca="1">'ETF price'!G211-'ETF price'!G210</f>
        <v>-0.16000000000000014</v>
      </c>
      <c r="G209" s="3">
        <f ca="1">'ETF price'!H211-'ETF price'!H210</f>
        <v>-0.14000000000000057</v>
      </c>
      <c r="H209" s="3">
        <f ca="1">'ETF price'!I211-'ETF price'!I210</f>
        <v>-0.11000000000001364</v>
      </c>
      <c r="I209" s="3">
        <f ca="1">'ETF price'!J211-'ETF price'!J210</f>
        <v>-0.21999999999999886</v>
      </c>
      <c r="J209" s="3">
        <f ca="1">'ETF price'!K211-'ETF price'!K210</f>
        <v>-1.0900000000000034</v>
      </c>
      <c r="K209" s="3">
        <f ca="1">'ETF price'!L211-'ETF price'!L210</f>
        <v>-1.6099999999999994</v>
      </c>
      <c r="L209" s="3">
        <f ca="1">'ETF price'!M211-'ETF price'!M210</f>
        <v>-0.64999999999999858</v>
      </c>
      <c r="M209" s="3">
        <f ca="1">'ETF price'!N211-'ETF price'!N210</f>
        <v>-7.0000000000000284E-2</v>
      </c>
      <c r="N209" s="3">
        <f ca="1">'ETF price'!O211-'ETF price'!O210</f>
        <v>-0.71999999999999886</v>
      </c>
      <c r="O209" s="3">
        <f ca="1">'ETF price'!P211-'ETF price'!P210</f>
        <v>0.75</v>
      </c>
      <c r="P209" s="3">
        <f ca="1">'ETF price'!Q211-'ETF price'!Q210</f>
        <v>1.1000000000000085</v>
      </c>
      <c r="Q209" s="3">
        <f ca="1">'ETF price'!R211-'ETF price'!R210</f>
        <v>-0.67000000000000171</v>
      </c>
      <c r="R209" s="3">
        <f ca="1">'ETF price'!S211-'ETF price'!S210</f>
        <v>9.9999999999980105E-3</v>
      </c>
      <c r="S209" s="3">
        <f ca="1">'ETF price'!T211-'ETF price'!T210</f>
        <v>-0.17999999999999972</v>
      </c>
      <c r="T209" s="3">
        <f ca="1">'ETF price'!U211-'ETF price'!U210</f>
        <v>-1.289999999999992</v>
      </c>
      <c r="U209" s="3">
        <f ca="1">'ETF price'!V211-'ETF price'!V210</f>
        <v>0.40000000000000568</v>
      </c>
      <c r="V209" s="3">
        <f ca="1">'ETF price'!W211-'ETF price'!W210</f>
        <v>-0.21000000000000085</v>
      </c>
      <c r="W209" s="3">
        <f ca="1">'ETF price'!X211-'ETF price'!X210</f>
        <v>-0.45999999999999375</v>
      </c>
      <c r="X209" s="3">
        <f ca="1">'ETF price'!Y211-'ETF price'!Y210</f>
        <v>1.9999999999996021E-2</v>
      </c>
      <c r="Y209" s="3">
        <f ca="1">'ETF price'!Z211-'ETF price'!Z210</f>
        <v>-0.42999999999999261</v>
      </c>
      <c r="Z209" s="3">
        <f ca="1">'ETF price'!AA211-'ETF price'!AA210</f>
        <v>-9.0000000000003411E-2</v>
      </c>
      <c r="AA209" s="3">
        <f ca="1">'ETF price'!AB211-'ETF price'!AB210</f>
        <v>0.10000000000000142</v>
      </c>
      <c r="AB209" s="3">
        <f ca="1">'ETF price'!AC211-'ETF price'!AC210</f>
        <v>0.34000000000000341</v>
      </c>
      <c r="AC209" s="3">
        <f ca="1">'ETF price'!AD211-'ETF price'!AD210</f>
        <v>-0.11000000000000032</v>
      </c>
      <c r="AD209" s="3">
        <f ca="1">'ETF price'!AE211-'ETF price'!AE210</f>
        <v>-0.16999999999999993</v>
      </c>
      <c r="AE209" s="3">
        <f ca="1">'ETF price'!AF211-'ETF price'!AF210</f>
        <v>8.9999999999999858E-2</v>
      </c>
      <c r="AF209" s="3">
        <f ca="1">'ETF price'!AG211-'ETF price'!AG210</f>
        <v>-1.3599999999999994</v>
      </c>
    </row>
    <row r="210" spans="1:32" ht="12.75" x14ac:dyDescent="0.2">
      <c r="A210" s="3">
        <f ca="1">'ETF price'!B212-'ETF price'!B211</f>
        <v>-1.0700000000000074</v>
      </c>
      <c r="B210" s="3">
        <f ca="1">'ETF price'!C212-'ETF price'!C211</f>
        <v>-2.5500000000000114</v>
      </c>
      <c r="C210" s="3">
        <f ca="1">'ETF price'!D212-'ETF price'!D211</f>
        <v>-2.8799999999999955</v>
      </c>
      <c r="D210" s="3">
        <f ca="1">'ETF price'!E212-'ETF price'!E211</f>
        <v>0.87000000000000455</v>
      </c>
      <c r="E210" s="3">
        <f ca="1">'ETF price'!F212-'ETF price'!F211</f>
        <v>-0.39999999999999858</v>
      </c>
      <c r="F210" s="3">
        <f ca="1">'ETF price'!G212-'ETF price'!G211</f>
        <v>0.17999999999999972</v>
      </c>
      <c r="G210" s="3">
        <f ca="1">'ETF price'!H212-'ETF price'!H211</f>
        <v>0.10999999999999943</v>
      </c>
      <c r="H210" s="3">
        <f ca="1">'ETF price'!I212-'ETF price'!I211</f>
        <v>8.0000000000012506E-2</v>
      </c>
      <c r="I210" s="3">
        <f ca="1">'ETF price'!J212-'ETF price'!J211</f>
        <v>0.18999999999999773</v>
      </c>
      <c r="J210" s="3">
        <f ca="1">'ETF price'!K212-'ETF price'!K211</f>
        <v>1.1599999999999966</v>
      </c>
      <c r="K210" s="3">
        <f ca="1">'ETF price'!L212-'ETF price'!L211</f>
        <v>0.66999999999998749</v>
      </c>
      <c r="L210" s="3">
        <f ca="1">'ETF price'!M212-'ETF price'!M211</f>
        <v>0.86000000000000654</v>
      </c>
      <c r="M210" s="3">
        <f ca="1">'ETF price'!N212-'ETF price'!N211</f>
        <v>7.9999999999998295E-2</v>
      </c>
      <c r="N210" s="3">
        <f ca="1">'ETF price'!O212-'ETF price'!O211</f>
        <v>0.47999999999999687</v>
      </c>
      <c r="O210" s="3">
        <f ca="1">'ETF price'!P212-'ETF price'!P211</f>
        <v>0.87000000000000455</v>
      </c>
      <c r="P210" s="3">
        <f ca="1">'ETF price'!Q212-'ETF price'!Q211</f>
        <v>1.1700000000000017</v>
      </c>
      <c r="Q210" s="3">
        <f ca="1">'ETF price'!R212-'ETF price'!R211</f>
        <v>0.18999999999999773</v>
      </c>
      <c r="R210" s="3">
        <f ca="1">'ETF price'!S212-'ETF price'!S211</f>
        <v>0.74000000000000199</v>
      </c>
      <c r="S210" s="3">
        <f ca="1">'ETF price'!T212-'ETF price'!T211</f>
        <v>0.37999999999999901</v>
      </c>
      <c r="T210" s="3">
        <f ca="1">'ETF price'!U212-'ETF price'!U211</f>
        <v>1.5900000000000034</v>
      </c>
      <c r="U210" s="3">
        <f ca="1">'ETF price'!V212-'ETF price'!V211</f>
        <v>0.46999999999999886</v>
      </c>
      <c r="V210" s="3">
        <f ca="1">'ETF price'!W212-'ETF price'!W211</f>
        <v>9.0000000000003411E-2</v>
      </c>
      <c r="W210" s="3">
        <f ca="1">'ETF price'!X212-'ETF price'!X211</f>
        <v>0.34999999999999432</v>
      </c>
      <c r="X210" s="3">
        <f ca="1">'ETF price'!Y212-'ETF price'!Y211</f>
        <v>7.0000000000000284E-2</v>
      </c>
      <c r="Y210" s="3">
        <f ca="1">'ETF price'!Z212-'ETF price'!Z211</f>
        <v>0.35999999999999943</v>
      </c>
      <c r="Z210" s="3">
        <f ca="1">'ETF price'!AA212-'ETF price'!AA211</f>
        <v>-5.9999999999995168E-2</v>
      </c>
      <c r="AA210" s="3">
        <f ca="1">'ETF price'!AB212-'ETF price'!AB211</f>
        <v>3.9999999999999147E-2</v>
      </c>
      <c r="AB210" s="3">
        <f ca="1">'ETF price'!AC212-'ETF price'!AC211</f>
        <v>-0.89999999999999858</v>
      </c>
      <c r="AC210" s="3">
        <f ca="1">'ETF price'!AD212-'ETF price'!AD211</f>
        <v>4.0000000000000036E-2</v>
      </c>
      <c r="AD210" s="3">
        <f ca="1">'ETF price'!AE212-'ETF price'!AE211</f>
        <v>6.0000000000000497E-2</v>
      </c>
      <c r="AE210" s="3">
        <f ca="1">'ETF price'!AF212-'ETF price'!AF211</f>
        <v>-8.0000000000000071E-2</v>
      </c>
      <c r="AF210" s="3">
        <f ca="1">'ETF price'!AG212-'ETF price'!AG211</f>
        <v>-0.96000000000000085</v>
      </c>
    </row>
    <row r="211" spans="1:32" ht="12.75" x14ac:dyDescent="0.2">
      <c r="A211" s="3">
        <f ca="1">'ETF price'!B213-'ETF price'!B212</f>
        <v>-4.3799999999999955</v>
      </c>
      <c r="B211" s="3">
        <f ca="1">'ETF price'!C213-'ETF price'!C212</f>
        <v>-12.120000000000005</v>
      </c>
      <c r="C211" s="3">
        <f ca="1">'ETF price'!D213-'ETF price'!D212</f>
        <v>-1.9300000000000068</v>
      </c>
      <c r="D211" s="3">
        <f ca="1">'ETF price'!E213-'ETF price'!E212</f>
        <v>-3.460000000000008</v>
      </c>
      <c r="E211" s="3">
        <f ca="1">'ETF price'!F213-'ETF price'!F212</f>
        <v>-1.759999999999998</v>
      </c>
      <c r="F211" s="3">
        <f ca="1">'ETF price'!G213-'ETF price'!G212</f>
        <v>-0.85000000000000142</v>
      </c>
      <c r="G211" s="3">
        <f ca="1">'ETF price'!H213-'ETF price'!H212</f>
        <v>-0.80999999999999872</v>
      </c>
      <c r="H211" s="3">
        <f ca="1">'ETF price'!I213-'ETF price'!I212</f>
        <v>-2.2600000000000193</v>
      </c>
      <c r="I211" s="3">
        <f ca="1">'ETF price'!J213-'ETF price'!J212</f>
        <v>-4.1200000000000045</v>
      </c>
      <c r="J211" s="3">
        <f ca="1">'ETF price'!K213-'ETF price'!K212</f>
        <v>-2.1700000000000017</v>
      </c>
      <c r="K211" s="3">
        <f ca="1">'ETF price'!L213-'ETF price'!L212</f>
        <v>-1.6399999999999864</v>
      </c>
      <c r="L211" s="3">
        <f ca="1">'ETF price'!M213-'ETF price'!M212</f>
        <v>-1.0000000000000071</v>
      </c>
      <c r="M211" s="3">
        <f ca="1">'ETF price'!N213-'ETF price'!N212</f>
        <v>-1.1599999999999966</v>
      </c>
      <c r="N211" s="3">
        <f ca="1">'ETF price'!O213-'ETF price'!O212</f>
        <v>-1.1999999999999957</v>
      </c>
      <c r="O211" s="3">
        <f ca="1">'ETF price'!P213-'ETF price'!P212</f>
        <v>-2.1899999999999977</v>
      </c>
      <c r="P211" s="3">
        <f ca="1">'ETF price'!Q213-'ETF price'!Q212</f>
        <v>-2.7600000000000051</v>
      </c>
      <c r="Q211" s="3">
        <f ca="1">'ETF price'!R213-'ETF price'!R212</f>
        <v>-1.9299999999999926</v>
      </c>
      <c r="R211" s="3">
        <f ca="1">'ETF price'!S213-'ETF price'!S212</f>
        <v>-3</v>
      </c>
      <c r="S211" s="3">
        <f ca="1">'ETF price'!T213-'ETF price'!T212</f>
        <v>0.23000000000000043</v>
      </c>
      <c r="T211" s="3">
        <f ca="1">'ETF price'!U213-'ETF price'!U212</f>
        <v>0.95999999999999375</v>
      </c>
      <c r="U211" s="3">
        <f ca="1">'ETF price'!V213-'ETF price'!V212</f>
        <v>-1.8199999999999932</v>
      </c>
      <c r="V211" s="3">
        <f ca="1">'ETF price'!W213-'ETF price'!W212</f>
        <v>-0.42999999999999972</v>
      </c>
      <c r="W211" s="3">
        <f ca="1">'ETF price'!X213-'ETF price'!X212</f>
        <v>-1.1499999999999915</v>
      </c>
      <c r="X211" s="3">
        <f ca="1">'ETF price'!Y213-'ETF price'!Y212</f>
        <v>-1.1099999999999994</v>
      </c>
      <c r="Y211" s="3">
        <f ca="1">'ETF price'!Z213-'ETF price'!Z212</f>
        <v>-0.99000000000000909</v>
      </c>
      <c r="Z211" s="3">
        <f ca="1">'ETF price'!AA213-'ETF price'!AA212</f>
        <v>-0.96000000000000085</v>
      </c>
      <c r="AA211" s="3">
        <f ca="1">'ETF price'!AB213-'ETF price'!AB212</f>
        <v>-1.6200000000000045</v>
      </c>
      <c r="AB211" s="3">
        <f ca="1">'ETF price'!AC213-'ETF price'!AC212</f>
        <v>-0.71999999999999886</v>
      </c>
      <c r="AC211" s="3">
        <f ca="1">'ETF price'!AD213-'ETF price'!AD212</f>
        <v>-8.9999999999999858E-2</v>
      </c>
      <c r="AD211" s="3">
        <f ca="1">'ETF price'!AE213-'ETF price'!AE212</f>
        <v>-0.16000000000000014</v>
      </c>
      <c r="AE211" s="3">
        <f ca="1">'ETF price'!AF213-'ETF price'!AF212</f>
        <v>-6.0000000000000053E-2</v>
      </c>
      <c r="AF211" s="3">
        <f ca="1">'ETF price'!AG213-'ETF price'!AG212</f>
        <v>-1.1999999999999993</v>
      </c>
    </row>
    <row r="212" spans="1:32" ht="12.75" x14ac:dyDescent="0.2">
      <c r="A212" s="3">
        <f ca="1">'ETF price'!B214-'ETF price'!B213</f>
        <v>-3.6000000000000085</v>
      </c>
      <c r="B212" s="3">
        <f ca="1">'ETF price'!C214-'ETF price'!C213</f>
        <v>-8.9799999999999613</v>
      </c>
      <c r="C212" s="3">
        <f ca="1">'ETF price'!D214-'ETF price'!D213</f>
        <v>0.96000000000000796</v>
      </c>
      <c r="D212" s="3">
        <f ca="1">'ETF price'!E214-'ETF price'!E213</f>
        <v>-1.4200000000000017</v>
      </c>
      <c r="E212" s="3">
        <f ca="1">'ETF price'!F214-'ETF price'!F213</f>
        <v>-1.220000000000006</v>
      </c>
      <c r="F212" s="3">
        <f ca="1">'ETF price'!G214-'ETF price'!G213</f>
        <v>-7.9999999999998295E-2</v>
      </c>
      <c r="G212" s="3">
        <f ca="1">'ETF price'!H214-'ETF price'!H213</f>
        <v>2.9999999999997584E-2</v>
      </c>
      <c r="H212" s="3">
        <f ca="1">'ETF price'!I214-'ETF price'!I213</f>
        <v>-0.54999999999998295</v>
      </c>
      <c r="I212" s="3">
        <f ca="1">'ETF price'!J214-'ETF price'!J213</f>
        <v>-1.0099999999999909</v>
      </c>
      <c r="J212" s="3">
        <f ca="1">'ETF price'!K214-'ETF price'!K213</f>
        <v>0.44000000000001194</v>
      </c>
      <c r="K212" s="3">
        <f ca="1">'ETF price'!L214-'ETF price'!L213</f>
        <v>-0.55000000000001137</v>
      </c>
      <c r="L212" s="3">
        <f ca="1">'ETF price'!M214-'ETF price'!M213</f>
        <v>-3.0000000000001137E-2</v>
      </c>
      <c r="M212" s="3">
        <f ca="1">'ETF price'!N214-'ETF price'!N213</f>
        <v>-0.20000000000000284</v>
      </c>
      <c r="N212" s="3">
        <f ca="1">'ETF price'!O214-'ETF price'!O213</f>
        <v>-0.40000000000000568</v>
      </c>
      <c r="O212" s="3">
        <f ca="1">'ETF price'!P214-'ETF price'!P213</f>
        <v>1.6399999999999864</v>
      </c>
      <c r="P212" s="3">
        <f ca="1">'ETF price'!Q214-'ETF price'!Q213</f>
        <v>2.3900000000000006</v>
      </c>
      <c r="Q212" s="3">
        <f ca="1">'ETF price'!R214-'ETF price'!R213</f>
        <v>0.54999999999999716</v>
      </c>
      <c r="R212" s="3">
        <f ca="1">'ETF price'!S214-'ETF price'!S213</f>
        <v>-0.13000000000000256</v>
      </c>
      <c r="S212" s="3">
        <f ca="1">'ETF price'!T214-'ETF price'!T213</f>
        <v>-1.9999999999999574E-2</v>
      </c>
      <c r="T212" s="3">
        <f ca="1">'ETF price'!U214-'ETF price'!U213</f>
        <v>-0.78999999999999204</v>
      </c>
      <c r="U212" s="3">
        <f ca="1">'ETF price'!V214-'ETF price'!V213</f>
        <v>2.5899999999999892</v>
      </c>
      <c r="V212" s="3">
        <f ca="1">'ETF price'!W214-'ETF price'!W213</f>
        <v>-0.34000000000000341</v>
      </c>
      <c r="W212" s="3">
        <f ca="1">'ETF price'!X214-'ETF price'!X213</f>
        <v>-0.90000000000000568</v>
      </c>
      <c r="X212" s="3">
        <f ca="1">'ETF price'!Y214-'ETF price'!Y213</f>
        <v>-0.47999999999999687</v>
      </c>
      <c r="Y212" s="3">
        <f ca="1">'ETF price'!Z214-'ETF price'!Z213</f>
        <v>-0.75</v>
      </c>
      <c r="Z212" s="3">
        <f ca="1">'ETF price'!AA214-'ETF price'!AA213</f>
        <v>-2.0000000000003126E-2</v>
      </c>
      <c r="AA212" s="3">
        <f ca="1">'ETF price'!AB214-'ETF price'!AB213</f>
        <v>-0.46000000000000085</v>
      </c>
      <c r="AB212" s="3">
        <f ca="1">'ETF price'!AC214-'ETF price'!AC213</f>
        <v>1.1400000000000006</v>
      </c>
      <c r="AC212" s="3">
        <f ca="1">'ETF price'!AD214-'ETF price'!AD213</f>
        <v>1.9999999999999574E-2</v>
      </c>
      <c r="AD212" s="3">
        <f ca="1">'ETF price'!AE214-'ETF price'!AE213</f>
        <v>2.9999999999999361E-2</v>
      </c>
      <c r="AE212" s="3">
        <f ca="1">'ETF price'!AF214-'ETF price'!AF213</f>
        <v>-0.14000000000000012</v>
      </c>
      <c r="AF212" s="3">
        <f ca="1">'ETF price'!AG214-'ETF price'!AG213</f>
        <v>-0.67999999999999972</v>
      </c>
    </row>
    <row r="213" spans="1:32" ht="12.75" x14ac:dyDescent="0.2">
      <c r="A213" s="3">
        <f ca="1">'ETF price'!B215-'ETF price'!B214</f>
        <v>2.1700000000000017</v>
      </c>
      <c r="B213" s="3">
        <f ca="1">'ETF price'!C215-'ETF price'!C214</f>
        <v>3.9799999999999613</v>
      </c>
      <c r="C213" s="3">
        <f ca="1">'ETF price'!D215-'ETF price'!D214</f>
        <v>1.25</v>
      </c>
      <c r="D213" s="3">
        <f ca="1">'ETF price'!E215-'ETF price'!E214</f>
        <v>4.8500000000000085</v>
      </c>
      <c r="E213" s="3">
        <f ca="1">'ETF price'!F215-'ETF price'!F214</f>
        <v>-1.019999999999996</v>
      </c>
      <c r="F213" s="3">
        <f ca="1">'ETF price'!G215-'ETF price'!G214</f>
        <v>0.55999999999999872</v>
      </c>
      <c r="G213" s="3">
        <f ca="1">'ETF price'!H215-'ETF price'!H214</f>
        <v>0.12000000000000099</v>
      </c>
      <c r="H213" s="3">
        <f ca="1">'ETF price'!I215-'ETF price'!I214</f>
        <v>0.78999999999999204</v>
      </c>
      <c r="I213" s="3">
        <f ca="1">'ETF price'!J215-'ETF price'!J214</f>
        <v>1</v>
      </c>
      <c r="J213" s="3">
        <f ca="1">'ETF price'!K215-'ETF price'!K214</f>
        <v>0.31999999999999318</v>
      </c>
      <c r="K213" s="3">
        <f ca="1">'ETF price'!L215-'ETF price'!L214</f>
        <v>-0.67000000000000171</v>
      </c>
      <c r="L213" s="3">
        <f ca="1">'ETF price'!M215-'ETF price'!M214</f>
        <v>-0.28000000000000114</v>
      </c>
      <c r="M213" s="3">
        <f ca="1">'ETF price'!N215-'ETF price'!N214</f>
        <v>0.23000000000000398</v>
      </c>
      <c r="N213" s="3">
        <f ca="1">'ETF price'!O215-'ETF price'!O214</f>
        <v>-0.63999999999999346</v>
      </c>
      <c r="O213" s="3">
        <f ca="1">'ETF price'!P215-'ETF price'!P214</f>
        <v>1.1000000000000085</v>
      </c>
      <c r="P213" s="3">
        <f ca="1">'ETF price'!Q215-'ETF price'!Q214</f>
        <v>1.4499999999999886</v>
      </c>
      <c r="Q213" s="3">
        <f ca="1">'ETF price'!R215-'ETF price'!R214</f>
        <v>2.5300000000000011</v>
      </c>
      <c r="R213" s="3">
        <f ca="1">'ETF price'!S215-'ETF price'!S214</f>
        <v>3.3400000000000034</v>
      </c>
      <c r="S213" s="3">
        <f ca="1">'ETF price'!T215-'ETF price'!T214</f>
        <v>0.86999999999999744</v>
      </c>
      <c r="T213" s="3">
        <f ca="1">'ETF price'!U215-'ETF price'!U214</f>
        <v>3.5299999999999869</v>
      </c>
      <c r="U213" s="3">
        <f ca="1">'ETF price'!V215-'ETF price'!V214</f>
        <v>-0.15999999999999659</v>
      </c>
      <c r="V213" s="3">
        <f ca="1">'ETF price'!W215-'ETF price'!W214</f>
        <v>0.60999999999999943</v>
      </c>
      <c r="W213" s="3">
        <f ca="1">'ETF price'!X215-'ETF price'!X214</f>
        <v>1.6599999999999966</v>
      </c>
      <c r="X213" s="3">
        <f ca="1">'ETF price'!Y215-'ETF price'!Y214</f>
        <v>1.1099999999999994</v>
      </c>
      <c r="Y213" s="3">
        <f ca="1">'ETF price'!Z215-'ETF price'!Z214</f>
        <v>1.4000000000000057</v>
      </c>
      <c r="Z213" s="3">
        <f ca="1">'ETF price'!AA215-'ETF price'!AA214</f>
        <v>0.5</v>
      </c>
      <c r="AA213" s="3">
        <f ca="1">'ETF price'!AB215-'ETF price'!AB214</f>
        <v>1.4600000000000009</v>
      </c>
      <c r="AB213" s="3">
        <f ca="1">'ETF price'!AC215-'ETF price'!AC214</f>
        <v>0.59999999999999432</v>
      </c>
      <c r="AC213" s="3">
        <f ca="1">'ETF price'!AD215-'ETF price'!AD214</f>
        <v>0.35000000000000053</v>
      </c>
      <c r="AD213" s="3">
        <f ca="1">'ETF price'!AE215-'ETF price'!AE214</f>
        <v>0.5600000000000005</v>
      </c>
      <c r="AE213" s="3">
        <f ca="1">'ETF price'!AF215-'ETF price'!AF214</f>
        <v>-2.9999999999999805E-2</v>
      </c>
      <c r="AF213" s="3">
        <f ca="1">'ETF price'!AG215-'ETF price'!AG214</f>
        <v>0.64000000000000057</v>
      </c>
    </row>
    <row r="214" spans="1:32" ht="12.75" x14ac:dyDescent="0.2">
      <c r="A214" s="3">
        <f ca="1">'ETF price'!B216-'ETF price'!B215</f>
        <v>2.0200000000000102</v>
      </c>
      <c r="B214" s="3">
        <f ca="1">'ETF price'!C216-'ETF price'!C215</f>
        <v>4.6000000000000227</v>
      </c>
      <c r="C214" s="3">
        <f ca="1">'ETF price'!D216-'ETF price'!D215</f>
        <v>0.72999999999998977</v>
      </c>
      <c r="D214" s="3">
        <f ca="1">'ETF price'!E216-'ETF price'!E215</f>
        <v>2.3700000000000045</v>
      </c>
      <c r="E214" s="3">
        <f ca="1">'ETF price'!F216-'ETF price'!F215</f>
        <v>9.9999999999980105E-3</v>
      </c>
      <c r="F214" s="3">
        <f ca="1">'ETF price'!G216-'ETF price'!G215</f>
        <v>0.25</v>
      </c>
      <c r="G214" s="3">
        <f ca="1">'ETF price'!H216-'ETF price'!H215</f>
        <v>0.12999999999999901</v>
      </c>
      <c r="H214" s="3">
        <f ca="1">'ETF price'!I216-'ETF price'!I215</f>
        <v>1.4000000000000057</v>
      </c>
      <c r="I214" s="3">
        <f ca="1">'ETF price'!J216-'ETF price'!J215</f>
        <v>2.3100000000000023</v>
      </c>
      <c r="J214" s="3">
        <f ca="1">'ETF price'!K216-'ETF price'!K215</f>
        <v>0.74000000000000909</v>
      </c>
      <c r="K214" s="3">
        <f ca="1">'ETF price'!L216-'ETF price'!L215</f>
        <v>-0.8399999999999892</v>
      </c>
      <c r="L214" s="3">
        <f ca="1">'ETF price'!M216-'ETF price'!M215</f>
        <v>0.27000000000000313</v>
      </c>
      <c r="M214" s="3">
        <f ca="1">'ETF price'!N216-'ETF price'!N215</f>
        <v>0.55999999999999517</v>
      </c>
      <c r="N214" s="3">
        <f ca="1">'ETF price'!O216-'ETF price'!O215</f>
        <v>-0.76000000000000512</v>
      </c>
      <c r="O214" s="3">
        <f ca="1">'ETF price'!P216-'ETF price'!P215</f>
        <v>1.5699999999999932</v>
      </c>
      <c r="P214" s="3">
        <f ca="1">'ETF price'!Q216-'ETF price'!Q215</f>
        <v>2.5500000000000114</v>
      </c>
      <c r="Q214" s="3">
        <f ca="1">'ETF price'!R216-'ETF price'!R215</f>
        <v>0.59000000000000341</v>
      </c>
      <c r="R214" s="3">
        <f ca="1">'ETF price'!S216-'ETF price'!S215</f>
        <v>0.45999999999999375</v>
      </c>
      <c r="S214" s="3">
        <f ca="1">'ETF price'!T216-'ETF price'!T215</f>
        <v>-0.22999999999999687</v>
      </c>
      <c r="T214" s="3">
        <f ca="1">'ETF price'!U216-'ETF price'!U215</f>
        <v>-0.25999999999999091</v>
      </c>
      <c r="U214" s="3">
        <f ca="1">'ETF price'!V216-'ETF price'!V215</f>
        <v>-0.95000000000000284</v>
      </c>
      <c r="V214" s="3">
        <f ca="1">'ETF price'!W216-'ETF price'!W215</f>
        <v>0.34000000000000341</v>
      </c>
      <c r="W214" s="3">
        <f ca="1">'ETF price'!X216-'ETF price'!X215</f>
        <v>0.79999999999999716</v>
      </c>
      <c r="X214" s="3">
        <f ca="1">'ETF price'!Y216-'ETF price'!Y215</f>
        <v>0.35000000000000142</v>
      </c>
      <c r="Y214" s="3">
        <f ca="1">'ETF price'!Z216-'ETF price'!Z215</f>
        <v>0.70999999999999375</v>
      </c>
      <c r="Z214" s="3">
        <f ca="1">'ETF price'!AA216-'ETF price'!AA215</f>
        <v>-9.9999999999980105E-3</v>
      </c>
      <c r="AA214" s="3">
        <f ca="1">'ETF price'!AB216-'ETF price'!AB215</f>
        <v>0.37000000000000455</v>
      </c>
      <c r="AB214" s="3">
        <f ca="1">'ETF price'!AC216-'ETF price'!AC215</f>
        <v>0.30000000000000426</v>
      </c>
      <c r="AC214" s="3">
        <f ca="1">'ETF price'!AD216-'ETF price'!AD215</f>
        <v>-0.14000000000000057</v>
      </c>
      <c r="AD214" s="3">
        <f ca="1">'ETF price'!AE216-'ETF price'!AE215</f>
        <v>-0.21000000000000085</v>
      </c>
      <c r="AE214" s="3">
        <f ca="1">'ETF price'!AF216-'ETF price'!AF215</f>
        <v>9.9999999999997868E-3</v>
      </c>
      <c r="AF214" s="3">
        <f ca="1">'ETF price'!AG216-'ETF price'!AG215</f>
        <v>-0.12000000000000099</v>
      </c>
    </row>
    <row r="215" spans="1:32" ht="12.75" x14ac:dyDescent="0.2">
      <c r="A215" s="3">
        <f ca="1">'ETF price'!B217-'ETF price'!B216</f>
        <v>1.1799999999999926</v>
      </c>
      <c r="B215" s="3">
        <f ca="1">'ETF price'!C217-'ETF price'!C216</f>
        <v>2.9300000000000068</v>
      </c>
      <c r="C215" s="3">
        <f ca="1">'ETF price'!D217-'ETF price'!D216</f>
        <v>-1.7399999999999949</v>
      </c>
      <c r="D215" s="3">
        <f ca="1">'ETF price'!E217-'ETF price'!E216</f>
        <v>2.4599999999999937</v>
      </c>
      <c r="E215" s="3">
        <f ca="1">'ETF price'!F217-'ETF price'!F216</f>
        <v>0.85999999999999943</v>
      </c>
      <c r="F215" s="3">
        <f ca="1">'ETF price'!G217-'ETF price'!G216</f>
        <v>0.26000000000000156</v>
      </c>
      <c r="G215" s="3">
        <f ca="1">'ETF price'!H217-'ETF price'!H216</f>
        <v>0.14000000000000057</v>
      </c>
      <c r="H215" s="3">
        <f ca="1">'ETF price'!I217-'ETF price'!I216</f>
        <v>0.65999999999999659</v>
      </c>
      <c r="I215" s="3">
        <f ca="1">'ETF price'!J217-'ETF price'!J216</f>
        <v>0.88999999999998636</v>
      </c>
      <c r="J215" s="3">
        <f ca="1">'ETF price'!K217-'ETF price'!K216</f>
        <v>1.2699999999999818</v>
      </c>
      <c r="K215" s="3">
        <f ca="1">'ETF price'!L217-'ETF price'!L216</f>
        <v>0.73999999999999488</v>
      </c>
      <c r="L215" s="3">
        <f ca="1">'ETF price'!M217-'ETF price'!M216</f>
        <v>0.5</v>
      </c>
      <c r="M215" s="3">
        <f ca="1">'ETF price'!N217-'ETF price'!N216</f>
        <v>0.3300000000000054</v>
      </c>
      <c r="N215" s="3">
        <f ca="1">'ETF price'!O217-'ETF price'!O216</f>
        <v>0.64000000000000057</v>
      </c>
      <c r="O215" s="3">
        <f ca="1">'ETF price'!P217-'ETF price'!P216</f>
        <v>9.0000000000003411E-2</v>
      </c>
      <c r="P215" s="3">
        <f ca="1">'ETF price'!Q217-'ETF price'!Q216</f>
        <v>9.9999999999909051E-3</v>
      </c>
      <c r="Q215" s="3">
        <f ca="1">'ETF price'!R217-'ETF price'!R216</f>
        <v>1.3099999999999881</v>
      </c>
      <c r="R215" s="3">
        <f ca="1">'ETF price'!S217-'ETF price'!S216</f>
        <v>0.94000000000000483</v>
      </c>
      <c r="S215" s="3">
        <f ca="1">'ETF price'!T217-'ETF price'!T216</f>
        <v>-0.32000000000000028</v>
      </c>
      <c r="T215" s="3">
        <f ca="1">'ETF price'!U217-'ETF price'!U216</f>
        <v>-2.0900000000000034</v>
      </c>
      <c r="U215" s="3">
        <f ca="1">'ETF price'!V217-'ETF price'!V216</f>
        <v>2.480000000000004</v>
      </c>
      <c r="V215" s="3">
        <f ca="1">'ETF price'!W217-'ETF price'!W216</f>
        <v>0.20000000000000284</v>
      </c>
      <c r="W215" s="3">
        <f ca="1">'ETF price'!X217-'ETF price'!X216</f>
        <v>0.30000000000001137</v>
      </c>
      <c r="X215" s="3">
        <f ca="1">'ETF price'!Y217-'ETF price'!Y216</f>
        <v>-8.00000000000054E-2</v>
      </c>
      <c r="Y215" s="3">
        <f ca="1">'ETF price'!Z217-'ETF price'!Z216</f>
        <v>0.33000000000001251</v>
      </c>
      <c r="Z215" s="3">
        <f ca="1">'ETF price'!AA217-'ETF price'!AA216</f>
        <v>0.21999999999999886</v>
      </c>
      <c r="AA215" s="3">
        <f ca="1">'ETF price'!AB217-'ETF price'!AB216</f>
        <v>-0.19000000000000483</v>
      </c>
      <c r="AB215" s="3">
        <f ca="1">'ETF price'!AC217-'ETF price'!AC216</f>
        <v>-1.1799999999999997</v>
      </c>
      <c r="AC215" s="3">
        <f ca="1">'ETF price'!AD217-'ETF price'!AD216</f>
        <v>-1.0799999999999992</v>
      </c>
      <c r="AD215" s="3">
        <f ca="1">'ETF price'!AE217-'ETF price'!AE216</f>
        <v>-1.7199999999999989</v>
      </c>
      <c r="AE215" s="3">
        <f ca="1">'ETF price'!AF217-'ETF price'!AF216</f>
        <v>-0.12999999999999989</v>
      </c>
      <c r="AF215" s="3">
        <f ca="1">'ETF price'!AG217-'ETF price'!AG216</f>
        <v>-1.4399999999999977</v>
      </c>
    </row>
    <row r="216" spans="1:32" ht="12.75" x14ac:dyDescent="0.2">
      <c r="A216" s="3">
        <f ca="1">'ETF price'!B218-'ETF price'!B217</f>
        <v>-3.230000000000004</v>
      </c>
      <c r="B216" s="3">
        <f ca="1">'ETF price'!C218-'ETF price'!C217</f>
        <v>-8.4700000000000273</v>
      </c>
      <c r="C216" s="3">
        <f ca="1">'ETF price'!D218-'ETF price'!D217</f>
        <v>6.3599999999999994</v>
      </c>
      <c r="D216" s="3">
        <f ca="1">'ETF price'!E218-'ETF price'!E217</f>
        <v>-3.6599999999999966</v>
      </c>
      <c r="E216" s="3">
        <f ca="1">'ETF price'!F218-'ETF price'!F217</f>
        <v>-0.64999999999999858</v>
      </c>
      <c r="F216" s="3">
        <f ca="1">'ETF price'!G218-'ETF price'!G217</f>
        <v>-0.51999999999999957</v>
      </c>
      <c r="G216" s="3">
        <f ca="1">'ETF price'!H218-'ETF price'!H217</f>
        <v>-0.5</v>
      </c>
      <c r="H216" s="3">
        <f ca="1">'ETF price'!I218-'ETF price'!I217</f>
        <v>-1.4300000000000068</v>
      </c>
      <c r="I216" s="3">
        <f ca="1">'ETF price'!J218-'ETF price'!J217</f>
        <v>-2.8100000000000023</v>
      </c>
      <c r="J216" s="3">
        <f ca="1">'ETF price'!K218-'ETF price'!K217</f>
        <v>-1.2999999999999829</v>
      </c>
      <c r="K216" s="3">
        <f ca="1">'ETF price'!L218-'ETF price'!L217</f>
        <v>-2.6599999999999966</v>
      </c>
      <c r="L216" s="3">
        <f ca="1">'ETF price'!M218-'ETF price'!M217</f>
        <v>-1.2999999999999972</v>
      </c>
      <c r="M216" s="3">
        <f ca="1">'ETF price'!N218-'ETF price'!N217</f>
        <v>-0.75</v>
      </c>
      <c r="N216" s="3">
        <f ca="1">'ETF price'!O218-'ETF price'!O217</f>
        <v>-1.8799999999999955</v>
      </c>
      <c r="O216" s="3">
        <f ca="1">'ETF price'!P218-'ETF price'!P217</f>
        <v>-4.5499999999999972</v>
      </c>
      <c r="P216" s="3">
        <f ca="1">'ETF price'!Q218-'ETF price'!Q217</f>
        <v>-6.6899999999999977</v>
      </c>
      <c r="Q216" s="3">
        <f ca="1">'ETF price'!R218-'ETF price'!R217</f>
        <v>-1.25</v>
      </c>
      <c r="R216" s="3">
        <f ca="1">'ETF price'!S218-'ETF price'!S217</f>
        <v>-2.759999999999998</v>
      </c>
      <c r="S216" s="3">
        <f ca="1">'ETF price'!T218-'ETF price'!T217</f>
        <v>-0.60000000000000142</v>
      </c>
      <c r="T216" s="3">
        <f ca="1">'ETF price'!U218-'ETF price'!U217</f>
        <v>-2.7999999999999972</v>
      </c>
      <c r="U216" s="3">
        <f ca="1">'ETF price'!V218-'ETF price'!V217</f>
        <v>0.70000000000000284</v>
      </c>
      <c r="V216" s="3">
        <f ca="1">'ETF price'!W218-'ETF price'!W217</f>
        <v>-0.5800000000000054</v>
      </c>
      <c r="W216" s="3">
        <f ca="1">'ETF price'!X218-'ETF price'!X217</f>
        <v>-1.4700000000000131</v>
      </c>
      <c r="X216" s="3">
        <f ca="1">'ETF price'!Y218-'ETF price'!Y217</f>
        <v>-0.83999999999999631</v>
      </c>
      <c r="Y216" s="3">
        <f ca="1">'ETF price'!Z218-'ETF price'!Z217</f>
        <v>-1.3700000000000045</v>
      </c>
      <c r="Z216" s="3">
        <f ca="1">'ETF price'!AA218-'ETF price'!AA217</f>
        <v>-0.39999999999999858</v>
      </c>
      <c r="AA216" s="3">
        <f ca="1">'ETF price'!AB218-'ETF price'!AB217</f>
        <v>-0.97999999999999687</v>
      </c>
      <c r="AB216" s="3">
        <f ca="1">'ETF price'!AC218-'ETF price'!AC217</f>
        <v>3.1799999999999997</v>
      </c>
      <c r="AC216" s="3">
        <f ca="1">'ETF price'!AD218-'ETF price'!AD217</f>
        <v>-0.94000000000000039</v>
      </c>
      <c r="AD216" s="3">
        <f ca="1">'ETF price'!AE218-'ETF price'!AE217</f>
        <v>-1.4700000000000006</v>
      </c>
      <c r="AE216" s="3">
        <f ca="1">'ETF price'!AF218-'ETF price'!AF217</f>
        <v>-0.17999999999999972</v>
      </c>
      <c r="AF216" s="3">
        <f ca="1">'ETF price'!AG218-'ETF price'!AG217</f>
        <v>-1.620000000000001</v>
      </c>
    </row>
    <row r="217" spans="1:32" ht="12.75" x14ac:dyDescent="0.2">
      <c r="A217" s="3">
        <f ca="1">'ETF price'!B219-'ETF price'!B218</f>
        <v>9.9400000000000119</v>
      </c>
      <c r="B217" s="3">
        <f ca="1">'ETF price'!C219-'ETF price'!C218</f>
        <v>26.230000000000018</v>
      </c>
      <c r="C217" s="3">
        <f ca="1">'ETF price'!D219-'ETF price'!D218</f>
        <v>1.9399999999999977</v>
      </c>
      <c r="D217" s="3">
        <f ca="1">'ETF price'!E219-'ETF price'!E218</f>
        <v>11.469999999999999</v>
      </c>
      <c r="E217" s="3">
        <f ca="1">'ETF price'!F219-'ETF price'!F218</f>
        <v>2.5</v>
      </c>
      <c r="F217" s="3">
        <f ca="1">'ETF price'!G219-'ETF price'!G218</f>
        <v>1.5499999999999972</v>
      </c>
      <c r="G217" s="3">
        <f ca="1">'ETF price'!H219-'ETF price'!H218</f>
        <v>1.6500000000000021</v>
      </c>
      <c r="H217" s="3">
        <f ca="1">'ETF price'!I219-'ETF price'!I218</f>
        <v>3.3400000000000034</v>
      </c>
      <c r="I217" s="3">
        <f ca="1">'ETF price'!J219-'ETF price'!J218</f>
        <v>7.0500000000000114</v>
      </c>
      <c r="J217" s="3">
        <f ca="1">'ETF price'!K219-'ETF price'!K218</f>
        <v>4.5300000000000011</v>
      </c>
      <c r="K217" s="3">
        <f ca="1">'ETF price'!L219-'ETF price'!L218</f>
        <v>5.9200000000000017</v>
      </c>
      <c r="L217" s="3">
        <f ca="1">'ETF price'!M219-'ETF price'!M218</f>
        <v>2.7599999999999909</v>
      </c>
      <c r="M217" s="3">
        <f ca="1">'ETF price'!N219-'ETF price'!N218</f>
        <v>1.75</v>
      </c>
      <c r="N217" s="3">
        <f ca="1">'ETF price'!O219-'ETF price'!O218</f>
        <v>4.279999999999994</v>
      </c>
      <c r="O217" s="3">
        <f ca="1">'ETF price'!P219-'ETF price'!P218</f>
        <v>1.9699999999999989</v>
      </c>
      <c r="P217" s="3">
        <f ca="1">'ETF price'!Q219-'ETF price'!Q218</f>
        <v>2.9000000000000057</v>
      </c>
      <c r="Q217" s="3">
        <f ca="1">'ETF price'!R219-'ETF price'!R218</f>
        <v>4.210000000000008</v>
      </c>
      <c r="R217" s="3">
        <f ca="1">'ETF price'!S219-'ETF price'!S218</f>
        <v>2.6399999999999935</v>
      </c>
      <c r="S217" s="3">
        <f ca="1">'ETF price'!T219-'ETF price'!T218</f>
        <v>0.23000000000000043</v>
      </c>
      <c r="T217" s="3">
        <f ca="1">'ETF price'!U219-'ETF price'!U218</f>
        <v>0.56999999999999318</v>
      </c>
      <c r="U217" s="3">
        <f ca="1">'ETF price'!V219-'ETF price'!V218</f>
        <v>6.8900000000000006</v>
      </c>
      <c r="V217" s="3">
        <f ca="1">'ETF price'!W219-'ETF price'!W218</f>
        <v>1.7100000000000009</v>
      </c>
      <c r="W217" s="3">
        <f ca="1">'ETF price'!X219-'ETF price'!X218</f>
        <v>4.3400000000000034</v>
      </c>
      <c r="X217" s="3">
        <f ca="1">'ETF price'!Y219-'ETF price'!Y218</f>
        <v>2.4200000000000017</v>
      </c>
      <c r="Y217" s="3">
        <f ca="1">'ETF price'!Z219-'ETF price'!Z218</f>
        <v>3.9399999999999977</v>
      </c>
      <c r="Z217" s="3">
        <f ca="1">'ETF price'!AA219-'ETF price'!AA218</f>
        <v>2.759999999999998</v>
      </c>
      <c r="AA217" s="3">
        <f ca="1">'ETF price'!AB219-'ETF price'!AB218</f>
        <v>2.9199999999999946</v>
      </c>
      <c r="AB217" s="3">
        <f ca="1">'ETF price'!AC219-'ETF price'!AC218</f>
        <v>0.51999999999999602</v>
      </c>
      <c r="AC217" s="3">
        <f ca="1">'ETF price'!AD219-'ETF price'!AD218</f>
        <v>0.82000000000000028</v>
      </c>
      <c r="AD217" s="3">
        <f ca="1">'ETF price'!AE219-'ETF price'!AE218</f>
        <v>1.1999999999999993</v>
      </c>
      <c r="AE217" s="3">
        <f ca="1">'ETF price'!AF219-'ETF price'!AF218</f>
        <v>-0.17000000000000037</v>
      </c>
      <c r="AF217" s="3">
        <f ca="1">'ETF price'!AG219-'ETF price'!AG218</f>
        <v>1.379999999999999</v>
      </c>
    </row>
    <row r="218" spans="1:32" ht="12.75" x14ac:dyDescent="0.2">
      <c r="A218" s="3">
        <f ca="1">'ETF price'!B220-'ETF price'!B219</f>
        <v>2.2399999999999807</v>
      </c>
      <c r="B218" s="3">
        <f ca="1">'ETF price'!C220-'ETF price'!C219</f>
        <v>6.8500000000000227</v>
      </c>
      <c r="C218" s="3">
        <f ca="1">'ETF price'!D220-'ETF price'!D219</f>
        <v>-0.84000000000000341</v>
      </c>
      <c r="D218" s="3">
        <f ca="1">'ETF price'!E220-'ETF price'!E219</f>
        <v>3.75</v>
      </c>
      <c r="E218" s="3">
        <f ca="1">'ETF price'!F220-'ETF price'!F219</f>
        <v>0.64000000000000057</v>
      </c>
      <c r="F218" s="3">
        <f ca="1">'ETF price'!G220-'ETF price'!G219</f>
        <v>0.7900000000000027</v>
      </c>
      <c r="G218" s="3">
        <f ca="1">'ETF price'!H220-'ETF price'!H219</f>
        <v>0.5</v>
      </c>
      <c r="H218" s="3">
        <f ca="1">'ETF price'!I220-'ETF price'!I219</f>
        <v>-1.6500000000000057</v>
      </c>
      <c r="I218" s="3">
        <f ca="1">'ETF price'!J220-'ETF price'!J219</f>
        <v>-2.1299999999999955</v>
      </c>
      <c r="J218" s="3">
        <f ca="1">'ETF price'!K220-'ETF price'!K219</f>
        <v>0.66999999999998749</v>
      </c>
      <c r="K218" s="3">
        <f ca="1">'ETF price'!L220-'ETF price'!L219</f>
        <v>1.6400000000000006</v>
      </c>
      <c r="L218" s="3">
        <f ca="1">'ETF price'!M220-'ETF price'!M219</f>
        <v>-0.10999999999999943</v>
      </c>
      <c r="M218" s="3">
        <f ca="1">'ETF price'!N220-'ETF price'!N219</f>
        <v>-0.56000000000000227</v>
      </c>
      <c r="N218" s="3">
        <f ca="1">'ETF price'!O220-'ETF price'!O219</f>
        <v>2.1200000000000045</v>
      </c>
      <c r="O218" s="3">
        <f ca="1">'ETF price'!P220-'ETF price'!P219</f>
        <v>2.6299999999999955</v>
      </c>
      <c r="P218" s="3">
        <f ca="1">'ETF price'!Q220-'ETF price'!Q219</f>
        <v>3.7199999999999989</v>
      </c>
      <c r="Q218" s="3">
        <f ca="1">'ETF price'!R220-'ETF price'!R219</f>
        <v>0.96999999999999886</v>
      </c>
      <c r="R218" s="3">
        <f ca="1">'ETF price'!S220-'ETF price'!S219</f>
        <v>0.66000000000000369</v>
      </c>
      <c r="S218" s="3">
        <f ca="1">'ETF price'!T220-'ETF price'!T219</f>
        <v>0.48999999999999844</v>
      </c>
      <c r="T218" s="3">
        <f ca="1">'ETF price'!U220-'ETF price'!U219</f>
        <v>2.1400000000000006</v>
      </c>
      <c r="U218" s="3">
        <f ca="1">'ETF price'!V220-'ETF price'!V219</f>
        <v>-2</v>
      </c>
      <c r="V218" s="3">
        <f ca="1">'ETF price'!W220-'ETF price'!W219</f>
        <v>0.28999999999999915</v>
      </c>
      <c r="W218" s="3">
        <f ca="1">'ETF price'!X220-'ETF price'!X219</f>
        <v>0.54999999999999716</v>
      </c>
      <c r="X218" s="3">
        <f ca="1">'ETF price'!Y220-'ETF price'!Y219</f>
        <v>-0.20000000000000284</v>
      </c>
      <c r="Y218" s="3">
        <f ca="1">'ETF price'!Z220-'ETF price'!Z219</f>
        <v>0.62000000000000455</v>
      </c>
      <c r="Z218" s="3">
        <f ca="1">'ETF price'!AA220-'ETF price'!AA219</f>
        <v>-1.9999999999996021E-2</v>
      </c>
      <c r="AA218" s="3">
        <f ca="1">'ETF price'!AB220-'ETF price'!AB219</f>
        <v>-0.45999999999999375</v>
      </c>
      <c r="AB218" s="3">
        <f ca="1">'ETF price'!AC220-'ETF price'!AC219</f>
        <v>-0.98999999999999488</v>
      </c>
      <c r="AC218" s="3">
        <f ca="1">'ETF price'!AD220-'ETF price'!AD219</f>
        <v>-0.69000000000000039</v>
      </c>
      <c r="AD218" s="3">
        <f ca="1">'ETF price'!AE220-'ETF price'!AE219</f>
        <v>-1.08</v>
      </c>
      <c r="AE218" s="3">
        <f ca="1">'ETF price'!AF220-'ETF price'!AF219</f>
        <v>0</v>
      </c>
      <c r="AF218" s="3">
        <f ca="1">'ETF price'!AG220-'ETF price'!AG219</f>
        <v>0.48000000000000043</v>
      </c>
    </row>
    <row r="219" spans="1:32" ht="12.75" x14ac:dyDescent="0.2">
      <c r="A219" s="3">
        <f ca="1">'ETF price'!B221-'ETF price'!B220</f>
        <v>-1.1399999999999864</v>
      </c>
      <c r="B219" s="3">
        <f ca="1">'ETF price'!C221-'ETF price'!C220</f>
        <v>-3.2700000000000387</v>
      </c>
      <c r="C219" s="3">
        <f ca="1">'ETF price'!D221-'ETF price'!D220</f>
        <v>1.4500000000000028</v>
      </c>
      <c r="D219" s="3">
        <f ca="1">'ETF price'!E221-'ETF price'!E220</f>
        <v>-1.3799999999999955</v>
      </c>
      <c r="E219" s="3">
        <f ca="1">'ETF price'!F221-'ETF price'!F220</f>
        <v>-0.59000000000000341</v>
      </c>
      <c r="F219" s="3">
        <f ca="1">'ETF price'!G221-'ETF price'!G220</f>
        <v>-0.41000000000000014</v>
      </c>
      <c r="G219" s="3">
        <f ca="1">'ETF price'!H221-'ETF price'!H220</f>
        <v>-0.26000000000000156</v>
      </c>
      <c r="H219" s="3">
        <f ca="1">'ETF price'!I221-'ETF price'!I220</f>
        <v>0.12000000000000455</v>
      </c>
      <c r="I219" s="3">
        <f ca="1">'ETF price'!J221-'ETF price'!J220</f>
        <v>-0.34000000000000341</v>
      </c>
      <c r="J219" s="3">
        <f ca="1">'ETF price'!K221-'ETF price'!K220</f>
        <v>0.43000000000000682</v>
      </c>
      <c r="K219" s="3">
        <f ca="1">'ETF price'!L221-'ETF price'!L220</f>
        <v>-0.69000000000001194</v>
      </c>
      <c r="L219" s="3">
        <f ca="1">'ETF price'!M221-'ETF price'!M220</f>
        <v>-9.9999999999909051E-3</v>
      </c>
      <c r="M219" s="3">
        <f ca="1">'ETF price'!N221-'ETF price'!N220</f>
        <v>3.0000000000001137E-2</v>
      </c>
      <c r="N219" s="3">
        <f ca="1">'ETF price'!O221-'ETF price'!O220</f>
        <v>-1</v>
      </c>
      <c r="O219" s="3">
        <f ca="1">'ETF price'!P221-'ETF price'!P220</f>
        <v>-3.0000000000001137E-2</v>
      </c>
      <c r="P219" s="3">
        <f ca="1">'ETF price'!Q221-'ETF price'!Q220</f>
        <v>-0.43999999999999773</v>
      </c>
      <c r="Q219" s="3">
        <f ca="1">'ETF price'!R221-'ETF price'!R220</f>
        <v>-0.10999999999999943</v>
      </c>
      <c r="R219" s="3">
        <f ca="1">'ETF price'!S221-'ETF price'!S220</f>
        <v>0.46000000000000085</v>
      </c>
      <c r="S219" s="3">
        <f ca="1">'ETF price'!T221-'ETF price'!T220</f>
        <v>-0.38999999999999702</v>
      </c>
      <c r="T219" s="3">
        <f ca="1">'ETF price'!U221-'ETF price'!U220</f>
        <v>-2.4699999999999989</v>
      </c>
      <c r="U219" s="3">
        <f ca="1">'ETF price'!V221-'ETF price'!V220</f>
        <v>-0.23000000000000398</v>
      </c>
      <c r="V219" s="3">
        <f ca="1">'ETF price'!W221-'ETF price'!W220</f>
        <v>-0.50999999999999801</v>
      </c>
      <c r="W219" s="3">
        <f ca="1">'ETF price'!X221-'ETF price'!X220</f>
        <v>-1.4699999999999989</v>
      </c>
      <c r="X219" s="3">
        <f ca="1">'ETF price'!Y221-'ETF price'!Y220</f>
        <v>-0.83999999999999631</v>
      </c>
      <c r="Y219" s="3">
        <f ca="1">'ETF price'!Z221-'ETF price'!Z220</f>
        <v>-1.4000000000000057</v>
      </c>
      <c r="Z219" s="3">
        <f ca="1">'ETF price'!AA221-'ETF price'!AA220</f>
        <v>-1.0300000000000011</v>
      </c>
      <c r="AA219" s="3">
        <f ca="1">'ETF price'!AB221-'ETF price'!AB220</f>
        <v>-0.92000000000000171</v>
      </c>
      <c r="AB219" s="3">
        <f ca="1">'ETF price'!AC221-'ETF price'!AC220</f>
        <v>0.22999999999999687</v>
      </c>
      <c r="AC219" s="3">
        <f ca="1">'ETF price'!AD221-'ETF price'!AD220</f>
        <v>2.0000000000000462E-2</v>
      </c>
      <c r="AD219" s="3">
        <f ca="1">'ETF price'!AE221-'ETF price'!AE220</f>
        <v>3.0000000000001137E-2</v>
      </c>
      <c r="AE219" s="3">
        <f ca="1">'ETF price'!AF221-'ETF price'!AF220</f>
        <v>3.0000000000000249E-2</v>
      </c>
      <c r="AF219" s="3">
        <f ca="1">'ETF price'!AG221-'ETF price'!AG220</f>
        <v>-0.60000000000000142</v>
      </c>
    </row>
    <row r="220" spans="1:32" ht="12.75" x14ac:dyDescent="0.2">
      <c r="A220" s="3">
        <f ca="1">'ETF price'!B222-'ETF price'!B221</f>
        <v>1.5999999999999943</v>
      </c>
      <c r="B220" s="3">
        <f ca="1">'ETF price'!C222-'ETF price'!C221</f>
        <v>4.9000000000000341</v>
      </c>
      <c r="C220" s="3">
        <f ca="1">'ETF price'!D222-'ETF price'!D221</f>
        <v>-1.539999999999992</v>
      </c>
      <c r="D220" s="3">
        <f ca="1">'ETF price'!E222-'ETF price'!E221</f>
        <v>3.6099999999999852</v>
      </c>
      <c r="E220" s="3">
        <f ca="1">'ETF price'!F222-'ETF price'!F221</f>
        <v>0.74000000000000199</v>
      </c>
      <c r="F220" s="3">
        <f ca="1">'ETF price'!G222-'ETF price'!G221</f>
        <v>0.32000000000000028</v>
      </c>
      <c r="G220" s="3">
        <f ca="1">'ETF price'!H222-'ETF price'!H221</f>
        <v>0.5</v>
      </c>
      <c r="H220" s="3">
        <f ca="1">'ETF price'!I222-'ETF price'!I221</f>
        <v>-0.16999999999998749</v>
      </c>
      <c r="I220" s="3">
        <f ca="1">'ETF price'!J222-'ETF price'!J221</f>
        <v>0.18999999999999773</v>
      </c>
      <c r="J220" s="3">
        <f ca="1">'ETF price'!K222-'ETF price'!K221</f>
        <v>0.43000000000000682</v>
      </c>
      <c r="K220" s="3">
        <f ca="1">'ETF price'!L222-'ETF price'!L221</f>
        <v>-0.21999999999999886</v>
      </c>
      <c r="L220" s="3">
        <f ca="1">'ETF price'!M222-'ETF price'!M221</f>
        <v>0.25</v>
      </c>
      <c r="M220" s="3">
        <f ca="1">'ETF price'!N222-'ETF price'!N221</f>
        <v>-2.0000000000003126E-2</v>
      </c>
      <c r="N220" s="3">
        <f ca="1">'ETF price'!O222-'ETF price'!O221</f>
        <v>0.64000000000000057</v>
      </c>
      <c r="O220" s="3">
        <f ca="1">'ETF price'!P222-'ETF price'!P221</f>
        <v>0.98000000000000398</v>
      </c>
      <c r="P220" s="3">
        <f ca="1">'ETF price'!Q222-'ETF price'!Q221</f>
        <v>1.5999999999999943</v>
      </c>
      <c r="Q220" s="3">
        <f ca="1">'ETF price'!R222-'ETF price'!R221</f>
        <v>-0.12000000000000455</v>
      </c>
      <c r="R220" s="3">
        <f ca="1">'ETF price'!S222-'ETF price'!S221</f>
        <v>0.43999999999999773</v>
      </c>
      <c r="S220" s="3">
        <f ca="1">'ETF price'!T222-'ETF price'!T221</f>
        <v>0.29999999999999716</v>
      </c>
      <c r="T220" s="3">
        <f ca="1">'ETF price'!U222-'ETF price'!U221</f>
        <v>1.3400000000000034</v>
      </c>
      <c r="U220" s="3">
        <f ca="1">'ETF price'!V222-'ETF price'!V221</f>
        <v>2.5699999999999932</v>
      </c>
      <c r="V220" s="3">
        <f ca="1">'ETF price'!W222-'ETF price'!W221</f>
        <v>7.9999999999998295E-2</v>
      </c>
      <c r="W220" s="3">
        <f ca="1">'ETF price'!X222-'ETF price'!X221</f>
        <v>0.23000000000000398</v>
      </c>
      <c r="X220" s="3">
        <f ca="1">'ETF price'!Y222-'ETF price'!Y221</f>
        <v>0.28999999999999915</v>
      </c>
      <c r="Y220" s="3">
        <f ca="1">'ETF price'!Z222-'ETF price'!Z221</f>
        <v>0.28000000000000114</v>
      </c>
      <c r="Z220" s="3">
        <f ca="1">'ETF price'!AA222-'ETF price'!AA221</f>
        <v>0.46999999999999886</v>
      </c>
      <c r="AA220" s="3">
        <f ca="1">'ETF price'!AB222-'ETF price'!AB221</f>
        <v>0.43000000000000682</v>
      </c>
      <c r="AB220" s="3">
        <f ca="1">'ETF price'!AC222-'ETF price'!AC221</f>
        <v>-0.46999999999999886</v>
      </c>
      <c r="AC220" s="3">
        <f ca="1">'ETF price'!AD222-'ETF price'!AD221</f>
        <v>0.26999999999999957</v>
      </c>
      <c r="AD220" s="3">
        <f ca="1">'ETF price'!AE222-'ETF price'!AE221</f>
        <v>0.45999999999999908</v>
      </c>
      <c r="AE220" s="3">
        <f ca="1">'ETF price'!AF222-'ETF price'!AF221</f>
        <v>2.9999999999999805E-2</v>
      </c>
      <c r="AF220" s="3">
        <f ca="1">'ETF price'!AG222-'ETF price'!AG221</f>
        <v>0.60000000000000142</v>
      </c>
    </row>
    <row r="221" spans="1:32" ht="12.75" x14ac:dyDescent="0.2">
      <c r="A221" s="3">
        <f ca="1">'ETF price'!B223-'ETF price'!B222</f>
        <v>-1.8299999999999841</v>
      </c>
      <c r="B221" s="3">
        <f ca="1">'ETF price'!C223-'ETF price'!C222</f>
        <v>-5.8700000000000045</v>
      </c>
      <c r="C221" s="3">
        <f ca="1">'ETF price'!D223-'ETF price'!D222</f>
        <v>-0.18000000000000682</v>
      </c>
      <c r="D221" s="3">
        <f ca="1">'ETF price'!E223-'ETF price'!E222</f>
        <v>-5.2999999999999972</v>
      </c>
      <c r="E221" s="3">
        <f ca="1">'ETF price'!F223-'ETF price'!F222</f>
        <v>-0.57000000000000028</v>
      </c>
      <c r="F221" s="3">
        <f ca="1">'ETF price'!G223-'ETF price'!G222</f>
        <v>-0.45000000000000284</v>
      </c>
      <c r="G221" s="3">
        <f ca="1">'ETF price'!H223-'ETF price'!H222</f>
        <v>-0.57000000000000028</v>
      </c>
      <c r="H221" s="3">
        <f ca="1">'ETF price'!I223-'ETF price'!I222</f>
        <v>-6.0000000000002274E-2</v>
      </c>
      <c r="I221" s="3">
        <f ca="1">'ETF price'!J223-'ETF price'!J222</f>
        <v>-0.80000000000001137</v>
      </c>
      <c r="J221" s="3">
        <f ca="1">'ETF price'!K223-'ETF price'!K222</f>
        <v>-0.90000000000000568</v>
      </c>
      <c r="K221" s="3">
        <f ca="1">'ETF price'!L223-'ETF price'!L222</f>
        <v>-2.3599999999999994</v>
      </c>
      <c r="L221" s="3">
        <f ca="1">'ETF price'!M223-'ETF price'!M222</f>
        <v>-0.93999999999999773</v>
      </c>
      <c r="M221" s="3">
        <f ca="1">'ETF price'!N223-'ETF price'!N222</f>
        <v>-0.15999999999999659</v>
      </c>
      <c r="N221" s="3">
        <f ca="1">'ETF price'!O223-'ETF price'!O222</f>
        <v>-1.2000000000000028</v>
      </c>
      <c r="O221" s="3">
        <f ca="1">'ETF price'!P223-'ETF price'!P222</f>
        <v>-1.9200000000000017</v>
      </c>
      <c r="P221" s="3">
        <f ca="1">'ETF price'!Q223-'ETF price'!Q222</f>
        <v>-2.6800000000000068</v>
      </c>
      <c r="Q221" s="3">
        <f ca="1">'ETF price'!R223-'ETF price'!R222</f>
        <v>-0.78999999999999204</v>
      </c>
      <c r="R221" s="3">
        <f ca="1">'ETF price'!S223-'ETF price'!S222</f>
        <v>-1.0700000000000003</v>
      </c>
      <c r="S221" s="3">
        <f ca="1">'ETF price'!T223-'ETF price'!T222</f>
        <v>-0.28999999999999915</v>
      </c>
      <c r="T221" s="3">
        <f ca="1">'ETF price'!U223-'ETF price'!U222</f>
        <v>-1.2099999999999937</v>
      </c>
      <c r="U221" s="3">
        <f ca="1">'ETF price'!V223-'ETF price'!V222</f>
        <v>-0.27999999999998693</v>
      </c>
      <c r="V221" s="3">
        <f ca="1">'ETF price'!W223-'ETF price'!W222</f>
        <v>-0.1699999999999946</v>
      </c>
      <c r="W221" s="3">
        <f ca="1">'ETF price'!X223-'ETF price'!X222</f>
        <v>-0.59000000000000341</v>
      </c>
      <c r="X221" s="3">
        <f ca="1">'ETF price'!Y223-'ETF price'!Y222</f>
        <v>-0.78000000000000114</v>
      </c>
      <c r="Y221" s="3">
        <f ca="1">'ETF price'!Z223-'ETF price'!Z222</f>
        <v>-0.51999999999999602</v>
      </c>
      <c r="Z221" s="3">
        <f ca="1">'ETF price'!AA223-'ETF price'!AA222</f>
        <v>-0.27000000000000313</v>
      </c>
      <c r="AA221" s="3">
        <f ca="1">'ETF price'!AB223-'ETF price'!AB222</f>
        <v>-1.0500000000000043</v>
      </c>
      <c r="AB221" s="3">
        <f ca="1">'ETF price'!AC223-'ETF price'!AC222</f>
        <v>-0.42999999999999972</v>
      </c>
      <c r="AC221" s="3">
        <f ca="1">'ETF price'!AD223-'ETF price'!AD222</f>
        <v>-0.15000000000000036</v>
      </c>
      <c r="AD221" s="3">
        <f ca="1">'ETF price'!AE223-'ETF price'!AE222</f>
        <v>-0.26999999999999957</v>
      </c>
      <c r="AE221" s="3">
        <f ca="1">'ETF price'!AF223-'ETF price'!AF222</f>
        <v>-2.9999999999999805E-2</v>
      </c>
      <c r="AF221" s="3">
        <f ca="1">'ETF price'!AG223-'ETF price'!AG222</f>
        <v>-1.5599999999999987</v>
      </c>
    </row>
    <row r="222" spans="1:32" ht="12.75" x14ac:dyDescent="0.2">
      <c r="A222" s="3">
        <f ca="1">'ETF price'!B224-'ETF price'!B223</f>
        <v>0.16999999999998749</v>
      </c>
      <c r="B222" s="3">
        <f ca="1">'ETF price'!C224-'ETF price'!C223</f>
        <v>-0.18999999999999773</v>
      </c>
      <c r="C222" s="3">
        <f ca="1">'ETF price'!D224-'ETF price'!D223</f>
        <v>-0.12999999999999545</v>
      </c>
      <c r="D222" s="3">
        <f ca="1">'ETF price'!E224-'ETF price'!E223</f>
        <v>0.96999999999999886</v>
      </c>
      <c r="E222" s="3">
        <f ca="1">'ETF price'!F224-'ETF price'!F223</f>
        <v>-0.5</v>
      </c>
      <c r="F222" s="3">
        <f ca="1">'ETF price'!G224-'ETF price'!G223</f>
        <v>-0.23000000000000043</v>
      </c>
      <c r="G222" s="3">
        <f ca="1">'ETF price'!H224-'ETF price'!H223</f>
        <v>-0.14999999999999858</v>
      </c>
      <c r="H222" s="3">
        <f ca="1">'ETF price'!I224-'ETF price'!I223</f>
        <v>-6.0000000000002274E-2</v>
      </c>
      <c r="I222" s="3">
        <f ca="1">'ETF price'!J224-'ETF price'!J223</f>
        <v>-0.46999999999999886</v>
      </c>
      <c r="J222" s="3">
        <f ca="1">'ETF price'!K224-'ETF price'!K223</f>
        <v>-0.93000000000000682</v>
      </c>
      <c r="K222" s="3">
        <f ca="1">'ETF price'!L224-'ETF price'!L223</f>
        <v>-0.94999999999998863</v>
      </c>
      <c r="L222" s="3">
        <f ca="1">'ETF price'!M224-'ETF price'!M223</f>
        <v>-0.18000000000000682</v>
      </c>
      <c r="M222" s="3">
        <f ca="1">'ETF price'!N224-'ETF price'!N223</f>
        <v>-0.13000000000000256</v>
      </c>
      <c r="N222" s="3">
        <f ca="1">'ETF price'!O224-'ETF price'!O223</f>
        <v>-1.240000000000002</v>
      </c>
      <c r="O222" s="3">
        <f ca="1">'ETF price'!P224-'ETF price'!P223</f>
        <v>0.20000000000000284</v>
      </c>
      <c r="P222" s="3">
        <f ca="1">'ETF price'!Q224-'ETF price'!Q223</f>
        <v>0.10000000000002274</v>
      </c>
      <c r="Q222" s="3">
        <f ca="1">'ETF price'!R224-'ETF price'!R223</f>
        <v>-0.77000000000001023</v>
      </c>
      <c r="R222" s="3">
        <f ca="1">'ETF price'!S224-'ETF price'!S223</f>
        <v>-0.67000000000000171</v>
      </c>
      <c r="S222" s="3">
        <f ca="1">'ETF price'!T224-'ETF price'!T223</f>
        <v>-0.42999999999999972</v>
      </c>
      <c r="T222" s="3">
        <f ca="1">'ETF price'!U224-'ETF price'!U223</f>
        <v>-1.9000000000000057</v>
      </c>
      <c r="U222" s="3">
        <f ca="1">'ETF price'!V224-'ETF price'!V223</f>
        <v>1.0799999999999983</v>
      </c>
      <c r="V222" s="3">
        <f ca="1">'ETF price'!W224-'ETF price'!W223</f>
        <v>-0.19000000000000483</v>
      </c>
      <c r="W222" s="3">
        <f ca="1">'ETF price'!X224-'ETF price'!X223</f>
        <v>-0.54999999999999716</v>
      </c>
      <c r="X222" s="3">
        <f ca="1">'ETF price'!Y224-'ETF price'!Y223</f>
        <v>-0.67000000000000171</v>
      </c>
      <c r="Y222" s="3">
        <f ca="1">'ETF price'!Z224-'ETF price'!Z223</f>
        <v>-0.45000000000000284</v>
      </c>
      <c r="Z222" s="3">
        <f ca="1">'ETF price'!AA224-'ETF price'!AA223</f>
        <v>-0.33999999999999631</v>
      </c>
      <c r="AA222" s="3">
        <f ca="1">'ETF price'!AB224-'ETF price'!AB223</f>
        <v>-0.94000000000000483</v>
      </c>
      <c r="AB222" s="3">
        <f ca="1">'ETF price'!AC224-'ETF price'!AC223</f>
        <v>0.35000000000000142</v>
      </c>
      <c r="AC222" s="3">
        <f ca="1">'ETF price'!AD224-'ETF price'!AD223</f>
        <v>9.0000000000000746E-2</v>
      </c>
      <c r="AD222" s="3">
        <f ca="1">'ETF price'!AE224-'ETF price'!AE223</f>
        <v>0.16000000000000014</v>
      </c>
      <c r="AE222" s="3">
        <f ca="1">'ETF price'!AF224-'ETF price'!AF223</f>
        <v>-0.13000000000000012</v>
      </c>
      <c r="AF222" s="3">
        <f ca="1">'ETF price'!AG224-'ETF price'!AG223</f>
        <v>-0.35999999999999943</v>
      </c>
    </row>
    <row r="223" spans="1:32" ht="12.75" x14ac:dyDescent="0.2">
      <c r="A223" s="3">
        <f ca="1">'ETF price'!B225-'ETF price'!B224</f>
        <v>0.15000000000000568</v>
      </c>
      <c r="B223" s="3">
        <f ca="1">'ETF price'!C225-'ETF price'!C224</f>
        <v>0.37999999999999545</v>
      </c>
      <c r="C223" s="3">
        <f ca="1">'ETF price'!D225-'ETF price'!D224</f>
        <v>-1.0300000000000011</v>
      </c>
      <c r="D223" s="3">
        <f ca="1">'ETF price'!E225-'ETF price'!E224</f>
        <v>0.27000000000001023</v>
      </c>
      <c r="E223" s="3">
        <f ca="1">'ETF price'!F225-'ETF price'!F224</f>
        <v>0.18999999999999773</v>
      </c>
      <c r="F223" s="3">
        <f ca="1">'ETF price'!G225-'ETF price'!G224</f>
        <v>-7.9999999999998295E-2</v>
      </c>
      <c r="G223" s="3">
        <f ca="1">'ETF price'!H225-'ETF price'!H224</f>
        <v>7.9999999999998295E-2</v>
      </c>
      <c r="H223" s="3">
        <f ca="1">'ETF price'!I225-'ETF price'!I224</f>
        <v>1.6099999999999852</v>
      </c>
      <c r="I223" s="3">
        <f ca="1">'ETF price'!J225-'ETF price'!J224</f>
        <v>2.8600000000000136</v>
      </c>
      <c r="J223" s="3">
        <f ca="1">'ETF price'!K225-'ETF price'!K224</f>
        <v>0.46000000000000796</v>
      </c>
      <c r="K223" s="3">
        <f ca="1">'ETF price'!L225-'ETF price'!L224</f>
        <v>0.46999999999999886</v>
      </c>
      <c r="L223" s="3">
        <f ca="1">'ETF price'!M225-'ETF price'!M224</f>
        <v>0.31000000000000227</v>
      </c>
      <c r="M223" s="3">
        <f ca="1">'ETF price'!N225-'ETF price'!N224</f>
        <v>0.68999999999999773</v>
      </c>
      <c r="N223" s="3">
        <f ca="1">'ETF price'!O225-'ETF price'!O224</f>
        <v>-0.35999999999999943</v>
      </c>
      <c r="O223" s="3">
        <f ca="1">'ETF price'!P225-'ETF price'!P224</f>
        <v>-0.73000000000000398</v>
      </c>
      <c r="P223" s="3">
        <f ca="1">'ETF price'!Q225-'ETF price'!Q224</f>
        <v>-1.0500000000000114</v>
      </c>
      <c r="Q223" s="3">
        <f ca="1">'ETF price'!R225-'ETF price'!R224</f>
        <v>0.53000000000000114</v>
      </c>
      <c r="R223" s="3">
        <f ca="1">'ETF price'!S225-'ETF price'!S224</f>
        <v>-0.11999999999999744</v>
      </c>
      <c r="S223" s="3">
        <f ca="1">'ETF price'!T225-'ETF price'!T224</f>
        <v>-0.17999999999999972</v>
      </c>
      <c r="T223" s="3">
        <f ca="1">'ETF price'!U225-'ETF price'!U224</f>
        <v>-1.1099999999999994</v>
      </c>
      <c r="U223" s="3">
        <f ca="1">'ETF price'!V225-'ETF price'!V224</f>
        <v>-1.1099999999999994</v>
      </c>
      <c r="V223" s="3">
        <f ca="1">'ETF price'!W225-'ETF price'!W224</f>
        <v>0.28999999999999915</v>
      </c>
      <c r="W223" s="3">
        <f ca="1">'ETF price'!X225-'ETF price'!X224</f>
        <v>0.60000000000000853</v>
      </c>
      <c r="X223" s="3">
        <f ca="1">'ETF price'!Y225-'ETF price'!Y224</f>
        <v>0.38000000000000256</v>
      </c>
      <c r="Y223" s="3">
        <f ca="1">'ETF price'!Z225-'ETF price'!Z224</f>
        <v>0.54999999999999716</v>
      </c>
      <c r="Z223" s="3">
        <f ca="1">'ETF price'!AA225-'ETF price'!AA224</f>
        <v>0.47999999999999687</v>
      </c>
      <c r="AA223" s="3">
        <f ca="1">'ETF price'!AB225-'ETF price'!AB224</f>
        <v>0.40000000000000568</v>
      </c>
      <c r="AB223" s="3">
        <f ca="1">'ETF price'!AC225-'ETF price'!AC224</f>
        <v>-0.15000000000000568</v>
      </c>
      <c r="AC223" s="3">
        <f ca="1">'ETF price'!AD225-'ETF price'!AD224</f>
        <v>9.9999999999997868E-3</v>
      </c>
      <c r="AD223" s="3">
        <f ca="1">'ETF price'!AE225-'ETF price'!AE224</f>
        <v>-1.9999999999999574E-2</v>
      </c>
      <c r="AE223" s="3">
        <f ca="1">'ETF price'!AF225-'ETF price'!AF224</f>
        <v>0</v>
      </c>
      <c r="AF223" s="3">
        <f ca="1">'ETF price'!AG225-'ETF price'!AG224</f>
        <v>-0.60000000000000142</v>
      </c>
    </row>
    <row r="224" spans="1:32" ht="12.75" x14ac:dyDescent="0.2">
      <c r="A224" s="3">
        <f ca="1">'ETF price'!B226-'ETF price'!B225</f>
        <v>-1.4200000000000159</v>
      </c>
      <c r="B224" s="3">
        <f ca="1">'ETF price'!C226-'ETF price'!C225</f>
        <v>-4.0300000000000296</v>
      </c>
      <c r="C224" s="3">
        <f ca="1">'ETF price'!D226-'ETF price'!D225</f>
        <v>1.4599999999999937</v>
      </c>
      <c r="D224" s="3">
        <f ca="1">'ETF price'!E226-'ETF price'!E225</f>
        <v>-2.0600000000000023</v>
      </c>
      <c r="E224" s="3">
        <f ca="1">'ETF price'!F226-'ETF price'!F225</f>
        <v>0.10000000000000142</v>
      </c>
      <c r="F224" s="3">
        <f ca="1">'ETF price'!G226-'ETF price'!G225</f>
        <v>-0.23000000000000043</v>
      </c>
      <c r="G224" s="3">
        <f ca="1">'ETF price'!H226-'ETF price'!H225</f>
        <v>-0.23999999999999844</v>
      </c>
      <c r="H224" s="3">
        <f ca="1">'ETF price'!I226-'ETF price'!I225</f>
        <v>6.0000000000002274E-2</v>
      </c>
      <c r="I224" s="3">
        <f ca="1">'ETF price'!J226-'ETF price'!J225</f>
        <v>-9.9999999999994316E-2</v>
      </c>
      <c r="J224" s="3">
        <f ca="1">'ETF price'!K226-'ETF price'!K225</f>
        <v>-0.74000000000000909</v>
      </c>
      <c r="K224" s="3">
        <f ca="1">'ETF price'!L226-'ETF price'!L225</f>
        <v>-1.1400000000000006</v>
      </c>
      <c r="L224" s="3">
        <f ca="1">'ETF price'!M226-'ETF price'!M225</f>
        <v>-7.9999999999998295E-2</v>
      </c>
      <c r="M224" s="3">
        <f ca="1">'ETF price'!N226-'ETF price'!N225</f>
        <v>0</v>
      </c>
      <c r="N224" s="3">
        <f ca="1">'ETF price'!O226-'ETF price'!O225</f>
        <v>-0.71999999999999886</v>
      </c>
      <c r="O224" s="3">
        <f ca="1">'ETF price'!P226-'ETF price'!P225</f>
        <v>-1.2399999999999949</v>
      </c>
      <c r="P224" s="3">
        <f ca="1">'ETF price'!Q226-'ETF price'!Q225</f>
        <v>-1.9300000000000068</v>
      </c>
      <c r="Q224" s="3">
        <f ca="1">'ETF price'!R226-'ETF price'!R225</f>
        <v>0.27000000000001023</v>
      </c>
      <c r="R224" s="3">
        <f ca="1">'ETF price'!S226-'ETF price'!S225</f>
        <v>0.47999999999999687</v>
      </c>
      <c r="S224" s="3">
        <f ca="1">'ETF price'!T226-'ETF price'!T225</f>
        <v>-8.9999999999999858E-2</v>
      </c>
      <c r="T224" s="3">
        <f ca="1">'ETF price'!U226-'ETF price'!U225</f>
        <v>0</v>
      </c>
      <c r="U224" s="3">
        <f ca="1">'ETF price'!V226-'ETF price'!V225</f>
        <v>-0.70000000000000284</v>
      </c>
      <c r="V224" s="3">
        <f ca="1">'ETF price'!W226-'ETF price'!W225</f>
        <v>0.10999999999999943</v>
      </c>
      <c r="W224" s="3">
        <f ca="1">'ETF price'!X226-'ETF price'!X225</f>
        <v>0.26999999999999602</v>
      </c>
      <c r="X224" s="3">
        <f ca="1">'ETF price'!Y226-'ETF price'!Y225</f>
        <v>0.22999999999999687</v>
      </c>
      <c r="Y224" s="3">
        <f ca="1">'ETF price'!Z226-'ETF price'!Z225</f>
        <v>0.28000000000000114</v>
      </c>
      <c r="Z224" s="3">
        <f ca="1">'ETF price'!AA226-'ETF price'!AA225</f>
        <v>0.27000000000000313</v>
      </c>
      <c r="AA224" s="3">
        <f ca="1">'ETF price'!AB226-'ETF price'!AB225</f>
        <v>0.33999999999999631</v>
      </c>
      <c r="AB224" s="3">
        <f ca="1">'ETF price'!AC226-'ETF price'!AC225</f>
        <v>0.66000000000000369</v>
      </c>
      <c r="AC224" s="3">
        <f ca="1">'ETF price'!AD226-'ETF price'!AD225</f>
        <v>-0.35000000000000053</v>
      </c>
      <c r="AD224" s="3">
        <f ca="1">'ETF price'!AE226-'ETF price'!AE225</f>
        <v>-0.55000000000000071</v>
      </c>
      <c r="AE224" s="3">
        <f ca="1">'ETF price'!AF226-'ETF price'!AF225</f>
        <v>-8.9999999999999858E-2</v>
      </c>
      <c r="AF224" s="3">
        <f ca="1">'ETF price'!AG226-'ETF price'!AG225</f>
        <v>-1.4800000000000004</v>
      </c>
    </row>
    <row r="225" spans="1:32" ht="12.75" x14ac:dyDescent="0.2">
      <c r="A225" s="3">
        <f ca="1">'ETF price'!B227-'ETF price'!B226</f>
        <v>2.5300000000000011</v>
      </c>
      <c r="B225" s="3">
        <f ca="1">'ETF price'!C227-'ETF price'!C226</f>
        <v>5.9900000000000091</v>
      </c>
      <c r="C225" s="3">
        <f ca="1">'ETF price'!D227-'ETF price'!D226</f>
        <v>0.92000000000000171</v>
      </c>
      <c r="D225" s="3">
        <f ca="1">'ETF price'!E227-'ETF price'!E226</f>
        <v>3.6400000000000006</v>
      </c>
      <c r="E225" s="3">
        <f ca="1">'ETF price'!F227-'ETF price'!F226</f>
        <v>0.21999999999999886</v>
      </c>
      <c r="F225" s="3">
        <f ca="1">'ETF price'!G227-'ETF price'!G226</f>
        <v>0.28999999999999915</v>
      </c>
      <c r="G225" s="3">
        <f ca="1">'ETF price'!H227-'ETF price'!H226</f>
        <v>0.25</v>
      </c>
      <c r="H225" s="3">
        <f ca="1">'ETF price'!I227-'ETF price'!I226</f>
        <v>1.1700000000000159</v>
      </c>
      <c r="I225" s="3">
        <f ca="1">'ETF price'!J227-'ETF price'!J226</f>
        <v>2.1799999999999784</v>
      </c>
      <c r="J225" s="3">
        <f ca="1">'ETF price'!K227-'ETF price'!K226</f>
        <v>1.0500000000000114</v>
      </c>
      <c r="K225" s="3">
        <f ca="1">'ETF price'!L227-'ETF price'!L226</f>
        <v>1.0999999999999943</v>
      </c>
      <c r="L225" s="3">
        <f ca="1">'ETF price'!M227-'ETF price'!M226</f>
        <v>0.57999999999999829</v>
      </c>
      <c r="M225" s="3">
        <f ca="1">'ETF price'!N227-'ETF price'!N226</f>
        <v>0.52000000000000313</v>
      </c>
      <c r="N225" s="3">
        <f ca="1">'ETF price'!O227-'ETF price'!O226</f>
        <v>0.39999999999999858</v>
      </c>
      <c r="O225" s="3">
        <f ca="1">'ETF price'!P227-'ETF price'!P226</f>
        <v>2.8299999999999983</v>
      </c>
      <c r="P225" s="3">
        <f ca="1">'ETF price'!Q227-'ETF price'!Q226</f>
        <v>4.2400000000000091</v>
      </c>
      <c r="Q225" s="3">
        <f ca="1">'ETF price'!R227-'ETF price'!R226</f>
        <v>1.8199999999999932</v>
      </c>
      <c r="R225" s="3">
        <f ca="1">'ETF price'!S227-'ETF price'!S226</f>
        <v>1.6400000000000006</v>
      </c>
      <c r="S225" s="3">
        <f ca="1">'ETF price'!T227-'ETF price'!T226</f>
        <v>0.25999999999999801</v>
      </c>
      <c r="T225" s="3">
        <f ca="1">'ETF price'!U227-'ETF price'!U226</f>
        <v>0.95000000000000284</v>
      </c>
      <c r="U225" s="3">
        <f ca="1">'ETF price'!V227-'ETF price'!V226</f>
        <v>0.67999999999999261</v>
      </c>
      <c r="V225" s="3">
        <f ca="1">'ETF price'!W227-'ETF price'!W226</f>
        <v>0.36000000000000654</v>
      </c>
      <c r="W225" s="3">
        <f ca="1">'ETF price'!X227-'ETF price'!X226</f>
        <v>0.90999999999999659</v>
      </c>
      <c r="X225" s="3">
        <f ca="1">'ETF price'!Y227-'ETF price'!Y226</f>
        <v>0.60000000000000142</v>
      </c>
      <c r="Y225" s="3">
        <f ca="1">'ETF price'!Z227-'ETF price'!Z226</f>
        <v>0.75</v>
      </c>
      <c r="Z225" s="3">
        <f ca="1">'ETF price'!AA227-'ETF price'!AA226</f>
        <v>0.18999999999999773</v>
      </c>
      <c r="AA225" s="3">
        <f ca="1">'ETF price'!AB227-'ETF price'!AB226</f>
        <v>0.68999999999999773</v>
      </c>
      <c r="AB225" s="3">
        <f ca="1">'ETF price'!AC227-'ETF price'!AC226</f>
        <v>0.28999999999999915</v>
      </c>
      <c r="AC225" s="3">
        <f ca="1">'ETF price'!AD227-'ETF price'!AD226</f>
        <v>0.16000000000000014</v>
      </c>
      <c r="AD225" s="3">
        <f ca="1">'ETF price'!AE227-'ETF price'!AE226</f>
        <v>0.19999999999999929</v>
      </c>
      <c r="AE225" s="3">
        <f ca="1">'ETF price'!AF227-'ETF price'!AF226</f>
        <v>-9.000000000000008E-2</v>
      </c>
      <c r="AF225" s="3">
        <f ca="1">'ETF price'!AG227-'ETF price'!AG226</f>
        <v>8.0000000000000071E-2</v>
      </c>
    </row>
    <row r="226" spans="1:32" ht="12.75" x14ac:dyDescent="0.2">
      <c r="A226" s="3">
        <f ca="1">'ETF price'!B228-'ETF price'!B227</f>
        <v>1.1800000000000068</v>
      </c>
      <c r="B226" s="3">
        <f ca="1">'ETF price'!C228-'ETF price'!C227</f>
        <v>3.6400000000000432</v>
      </c>
      <c r="C226" s="3">
        <f ca="1">'ETF price'!D228-'ETF price'!D227</f>
        <v>-0.62999999999999545</v>
      </c>
      <c r="D226" s="3">
        <f ca="1">'ETF price'!E228-'ETF price'!E227</f>
        <v>1.519999999999996</v>
      </c>
      <c r="E226" s="3">
        <f ca="1">'ETF price'!F228-'ETF price'!F227</f>
        <v>0.46000000000000085</v>
      </c>
      <c r="F226" s="3">
        <f ca="1">'ETF price'!G228-'ETF price'!G227</f>
        <v>0.32000000000000028</v>
      </c>
      <c r="G226" s="3">
        <f ca="1">'ETF price'!H228-'ETF price'!H227</f>
        <v>0.26999999999999957</v>
      </c>
      <c r="H226" s="3">
        <f ca="1">'ETF price'!I228-'ETF price'!I227</f>
        <v>0.53999999999999204</v>
      </c>
      <c r="I226" s="3">
        <f ca="1">'ETF price'!J228-'ETF price'!J227</f>
        <v>1.0800000000000125</v>
      </c>
      <c r="J226" s="3">
        <f ca="1">'ETF price'!K228-'ETF price'!K227</f>
        <v>-0.5</v>
      </c>
      <c r="K226" s="3">
        <f ca="1">'ETF price'!L228-'ETF price'!L227</f>
        <v>3.0000000000001137E-2</v>
      </c>
      <c r="L226" s="3">
        <f ca="1">'ETF price'!M228-'ETF price'!M227</f>
        <v>-4.0000000000006253E-2</v>
      </c>
      <c r="M226" s="3">
        <f ca="1">'ETF price'!N228-'ETF price'!N227</f>
        <v>0.31000000000000227</v>
      </c>
      <c r="N226" s="3">
        <f ca="1">'ETF price'!O228-'ETF price'!O227</f>
        <v>0.35999999999999943</v>
      </c>
      <c r="O226" s="3">
        <f ca="1">'ETF price'!P228-'ETF price'!P227</f>
        <v>-1.0100000000000051</v>
      </c>
      <c r="P226" s="3">
        <f ca="1">'ETF price'!Q228-'ETF price'!Q227</f>
        <v>-1.5900000000000034</v>
      </c>
      <c r="Q226" s="3">
        <f ca="1">'ETF price'!R228-'ETF price'!R227</f>
        <v>0.32000000000000739</v>
      </c>
      <c r="R226" s="3">
        <f ca="1">'ETF price'!S228-'ETF price'!S227</f>
        <v>0.17999999999999972</v>
      </c>
      <c r="S226" s="3">
        <f ca="1">'ETF price'!T228-'ETF price'!T227</f>
        <v>-0.34999999999999787</v>
      </c>
      <c r="T226" s="3">
        <f ca="1">'ETF price'!U228-'ETF price'!U227</f>
        <v>-2.5700000000000074</v>
      </c>
      <c r="U226" s="3">
        <f ca="1">'ETF price'!V228-'ETF price'!V227</f>
        <v>0.85999999999999943</v>
      </c>
      <c r="V226" s="3">
        <f ca="1">'ETF price'!W228-'ETF price'!W227</f>
        <v>0.14999999999999858</v>
      </c>
      <c r="W226" s="3">
        <f ca="1">'ETF price'!X228-'ETF price'!X227</f>
        <v>0.29999999999999716</v>
      </c>
      <c r="X226" s="3">
        <f ca="1">'ETF price'!Y228-'ETF price'!Y227</f>
        <v>0</v>
      </c>
      <c r="Y226" s="3">
        <f ca="1">'ETF price'!Z228-'ETF price'!Z227</f>
        <v>0.32999999999999829</v>
      </c>
      <c r="Z226" s="3">
        <f ca="1">'ETF price'!AA228-'ETF price'!AA227</f>
        <v>6.0000000000002274E-2</v>
      </c>
      <c r="AA226" s="3">
        <f ca="1">'ETF price'!AB228-'ETF price'!AB227</f>
        <v>-9.9999999999980105E-3</v>
      </c>
      <c r="AB226" s="3">
        <f ca="1">'ETF price'!AC228-'ETF price'!AC227</f>
        <v>0.21999999999999886</v>
      </c>
      <c r="AC226" s="3">
        <f ca="1">'ETF price'!AD228-'ETF price'!AD227</f>
        <v>0.23000000000000043</v>
      </c>
      <c r="AD226" s="3">
        <f ca="1">'ETF price'!AE228-'ETF price'!AE227</f>
        <v>0.40000000000000036</v>
      </c>
      <c r="AE226" s="3">
        <f ca="1">'ETF price'!AF228-'ETF price'!AF227</f>
        <v>5.0000000000000044E-2</v>
      </c>
      <c r="AF226" s="3">
        <f ca="1">'ETF price'!AG228-'ETF price'!AG227</f>
        <v>0.47999999999999865</v>
      </c>
    </row>
    <row r="227" spans="1:32" ht="12.75" x14ac:dyDescent="0.2">
      <c r="A227" s="3">
        <f ca="1">'ETF price'!B229-'ETF price'!B228</f>
        <v>-0.78000000000000114</v>
      </c>
      <c r="B227" s="3">
        <f ca="1">'ETF price'!C229-'ETF price'!C228</f>
        <v>-2.160000000000025</v>
      </c>
      <c r="C227" s="3">
        <f ca="1">'ETF price'!D229-'ETF price'!D228</f>
        <v>-1.730000000000004</v>
      </c>
      <c r="D227" s="3">
        <f ca="1">'ETF price'!E229-'ETF price'!E228</f>
        <v>-1.6899999999999977</v>
      </c>
      <c r="E227" s="3">
        <f ca="1">'ETF price'!F229-'ETF price'!F228</f>
        <v>3.9999999999999147E-2</v>
      </c>
      <c r="F227" s="3">
        <f ca="1">'ETF price'!G229-'ETF price'!G228</f>
        <v>8.0000000000001847E-2</v>
      </c>
      <c r="G227" s="3">
        <f ca="1">'ETF price'!H229-'ETF price'!H228</f>
        <v>0</v>
      </c>
      <c r="H227" s="3">
        <f ca="1">'ETF price'!I229-'ETF price'!I228</f>
        <v>0.81000000000000227</v>
      </c>
      <c r="I227" s="3">
        <f ca="1">'ETF price'!J229-'ETF price'!J228</f>
        <v>1.4699999999999989</v>
      </c>
      <c r="J227" s="3">
        <f ca="1">'ETF price'!K229-'ETF price'!K228</f>
        <v>0.26999999999998181</v>
      </c>
      <c r="K227" s="3">
        <f ca="1">'ETF price'!L229-'ETF price'!L228</f>
        <v>6.0000000000002274E-2</v>
      </c>
      <c r="L227" s="3">
        <f ca="1">'ETF price'!M229-'ETF price'!M228</f>
        <v>-8.99999999999892E-2</v>
      </c>
      <c r="M227" s="3">
        <f ca="1">'ETF price'!N229-'ETF price'!N228</f>
        <v>0.35999999999999943</v>
      </c>
      <c r="N227" s="3">
        <f ca="1">'ETF price'!O229-'ETF price'!O228</f>
        <v>3.9999999999999147E-2</v>
      </c>
      <c r="O227" s="3">
        <f ca="1">'ETF price'!P229-'ETF price'!P228</f>
        <v>-0.3399999999999892</v>
      </c>
      <c r="P227" s="3">
        <f ca="1">'ETF price'!Q229-'ETF price'!Q228</f>
        <v>-0.21000000000000796</v>
      </c>
      <c r="Q227" s="3">
        <f ca="1">'ETF price'!R229-'ETF price'!R228</f>
        <v>-3.0000000000001137E-2</v>
      </c>
      <c r="R227" s="3">
        <f ca="1">'ETF price'!S229-'ETF price'!S228</f>
        <v>-0.26999999999999602</v>
      </c>
      <c r="S227" s="3">
        <f ca="1">'ETF price'!T229-'ETF price'!T228</f>
        <v>-0.21999999999999886</v>
      </c>
      <c r="T227" s="3">
        <f ca="1">'ETF price'!U229-'ETF price'!U228</f>
        <v>-0.45000000000000284</v>
      </c>
      <c r="U227" s="3">
        <f ca="1">'ETF price'!V229-'ETF price'!V228</f>
        <v>0.14000000000000057</v>
      </c>
      <c r="V227" s="3">
        <f ca="1">'ETF price'!W229-'ETF price'!W228</f>
        <v>0.11999999999999744</v>
      </c>
      <c r="W227" s="3">
        <f ca="1">'ETF price'!X229-'ETF price'!X228</f>
        <v>0.39000000000000057</v>
      </c>
      <c r="X227" s="3">
        <f ca="1">'ETF price'!Y229-'ETF price'!Y228</f>
        <v>0.35999999999999943</v>
      </c>
      <c r="Y227" s="3">
        <f ca="1">'ETF price'!Z229-'ETF price'!Z228</f>
        <v>0.39000000000000057</v>
      </c>
      <c r="Z227" s="3">
        <f ca="1">'ETF price'!AA229-'ETF price'!AA228</f>
        <v>0.22999999999999687</v>
      </c>
      <c r="AA227" s="3">
        <f ca="1">'ETF price'!AB229-'ETF price'!AB228</f>
        <v>0.48000000000000398</v>
      </c>
      <c r="AB227" s="3">
        <f ca="1">'ETF price'!AC229-'ETF price'!AC228</f>
        <v>-0.99000000000000199</v>
      </c>
      <c r="AC227" s="3">
        <f ca="1">'ETF price'!AD229-'ETF price'!AD228</f>
        <v>1.9999999999999574E-2</v>
      </c>
      <c r="AD227" s="3">
        <f ca="1">'ETF price'!AE229-'ETF price'!AE228</f>
        <v>0</v>
      </c>
      <c r="AE227" s="3">
        <f ca="1">'ETF price'!AF229-'ETF price'!AF228</f>
        <v>2.0000000000000018E-2</v>
      </c>
      <c r="AF227" s="3">
        <f ca="1">'ETF price'!AG229-'ETF price'!AG228</f>
        <v>-3.9999999999999147E-2</v>
      </c>
    </row>
    <row r="228" spans="1:32" ht="12.75" x14ac:dyDescent="0.2">
      <c r="A228" s="3">
        <f ca="1">'ETF price'!B230-'ETF price'!B229</f>
        <v>-2.8599999999999852</v>
      </c>
      <c r="B228" s="3">
        <f ca="1">'ETF price'!C230-'ETF price'!C229</f>
        <v>-7.2300000000000182</v>
      </c>
      <c r="C228" s="3">
        <f ca="1">'ETF price'!D230-'ETF price'!D229</f>
        <v>-0.73999999999999488</v>
      </c>
      <c r="D228" s="3">
        <f ca="1">'ETF price'!E230-'ETF price'!E229</f>
        <v>-3.1400000000000006</v>
      </c>
      <c r="E228" s="3">
        <f ca="1">'ETF price'!F230-'ETF price'!F229</f>
        <v>-0.45999999999999375</v>
      </c>
      <c r="F228" s="3">
        <f ca="1">'ETF price'!G230-'ETF price'!G229</f>
        <v>-0.42999999999999972</v>
      </c>
      <c r="G228" s="3">
        <f ca="1">'ETF price'!H230-'ETF price'!H229</f>
        <v>-0.39000000000000057</v>
      </c>
      <c r="H228" s="3">
        <f ca="1">'ETF price'!I230-'ETF price'!I229</f>
        <v>-1.0300000000000011</v>
      </c>
      <c r="I228" s="3">
        <f ca="1">'ETF price'!J230-'ETF price'!J229</f>
        <v>-2.1200000000000045</v>
      </c>
      <c r="J228" s="3">
        <f ca="1">'ETF price'!K230-'ETF price'!K229</f>
        <v>-0.93000000000000682</v>
      </c>
      <c r="K228" s="3">
        <f ca="1">'ETF price'!L230-'ETF price'!L229</f>
        <v>-1.4099999999999966</v>
      </c>
      <c r="L228" s="3">
        <f ca="1">'ETF price'!M230-'ETF price'!M229</f>
        <v>-0.4100000000000108</v>
      </c>
      <c r="M228" s="3">
        <f ca="1">'ETF price'!N230-'ETF price'!N229</f>
        <v>-0.54000000000000625</v>
      </c>
      <c r="N228" s="3">
        <f ca="1">'ETF price'!O230-'ETF price'!O229</f>
        <v>-0.63999999999999346</v>
      </c>
      <c r="O228" s="3">
        <f ca="1">'ETF price'!P230-'ETF price'!P229</f>
        <v>-2.5200000000000102</v>
      </c>
      <c r="P228" s="3">
        <f ca="1">'ETF price'!Q230-'ETF price'!Q229</f>
        <v>-3.6399999999999864</v>
      </c>
      <c r="Q228" s="3">
        <f ca="1">'ETF price'!R230-'ETF price'!R229</f>
        <v>-1.8400000000000034</v>
      </c>
      <c r="R228" s="3">
        <f ca="1">'ETF price'!S230-'ETF price'!S229</f>
        <v>-1.6600000000000037</v>
      </c>
      <c r="S228" s="3">
        <f ca="1">'ETF price'!T230-'ETF price'!T229</f>
        <v>-0.15000000000000213</v>
      </c>
      <c r="T228" s="3">
        <f ca="1">'ETF price'!U230-'ETF price'!U229</f>
        <v>-7.9999999999998295E-2</v>
      </c>
      <c r="U228" s="3">
        <f ca="1">'ETF price'!V230-'ETF price'!V229</f>
        <v>-2.0300000000000011</v>
      </c>
      <c r="V228" s="3">
        <f ca="1">'ETF price'!W230-'ETF price'!W229</f>
        <v>-0.61999999999999744</v>
      </c>
      <c r="W228" s="3">
        <f ca="1">'ETF price'!X230-'ETF price'!X229</f>
        <v>-1.5999999999999943</v>
      </c>
      <c r="X228" s="3">
        <f ca="1">'ETF price'!Y230-'ETF price'!Y229</f>
        <v>-1.0899999999999963</v>
      </c>
      <c r="Y228" s="3">
        <f ca="1">'ETF price'!Z230-'ETF price'!Z229</f>
        <v>-1.4399999999999977</v>
      </c>
      <c r="Z228" s="3">
        <f ca="1">'ETF price'!AA230-'ETF price'!AA229</f>
        <v>-1.0899999999999963</v>
      </c>
      <c r="AA228" s="3">
        <f ca="1">'ETF price'!AB230-'ETF price'!AB229</f>
        <v>-1.4400000000000048</v>
      </c>
      <c r="AB228" s="3">
        <f ca="1">'ETF price'!AC230-'ETF price'!AC229</f>
        <v>0.19000000000000483</v>
      </c>
      <c r="AC228" s="3">
        <f ca="1">'ETF price'!AD230-'ETF price'!AD229</f>
        <v>-0.13999999999999968</v>
      </c>
      <c r="AD228" s="3">
        <f ca="1">'ETF price'!AE230-'ETF price'!AE229</f>
        <v>-0.19999999999999929</v>
      </c>
      <c r="AE228" s="3">
        <f ca="1">'ETF price'!AF230-'ETF price'!AF229</f>
        <v>-4.0000000000000036E-2</v>
      </c>
      <c r="AF228" s="3">
        <f ca="1">'ETF price'!AG230-'ETF price'!AG229</f>
        <v>-0.79999999999999893</v>
      </c>
    </row>
    <row r="229" spans="1:32" ht="12.75" x14ac:dyDescent="0.2">
      <c r="A229" s="3">
        <f ca="1">'ETF price'!B231-'ETF price'!B230</f>
        <v>-1.2800000000000011</v>
      </c>
      <c r="B229" s="3">
        <f ca="1">'ETF price'!C231-'ETF price'!C230</f>
        <v>-3.0999999999999659</v>
      </c>
      <c r="C229" s="3">
        <f ca="1">'ETF price'!D231-'ETF price'!D230</f>
        <v>4.1899999999999977</v>
      </c>
      <c r="D229" s="3">
        <f ca="1">'ETF price'!E231-'ETF price'!E230</f>
        <v>-0.48000000000000398</v>
      </c>
      <c r="E229" s="3">
        <f ca="1">'ETF price'!F231-'ETF price'!F230</f>
        <v>-0.30000000000000426</v>
      </c>
      <c r="F229" s="3">
        <f ca="1">'ETF price'!G231-'ETF price'!G230</f>
        <v>-0.26000000000000156</v>
      </c>
      <c r="G229" s="3">
        <f ca="1">'ETF price'!H231-'ETF price'!H230</f>
        <v>0</v>
      </c>
      <c r="H229" s="3">
        <f ca="1">'ETF price'!I231-'ETF price'!I230</f>
        <v>-0.34000000000000341</v>
      </c>
      <c r="I229" s="3">
        <f ca="1">'ETF price'!J231-'ETF price'!J230</f>
        <v>-0.59000000000000341</v>
      </c>
      <c r="J229" s="3">
        <f ca="1">'ETF price'!K231-'ETF price'!K230</f>
        <v>-0.61999999999997613</v>
      </c>
      <c r="K229" s="3">
        <f ca="1">'ETF price'!L231-'ETF price'!L230</f>
        <v>0.32999999999999829</v>
      </c>
      <c r="L229" s="3">
        <f ca="1">'ETF price'!M231-'ETF price'!M230</f>
        <v>-0.20999999999999375</v>
      </c>
      <c r="M229" s="3">
        <f ca="1">'ETF price'!N231-'ETF price'!N230</f>
        <v>-0.21999999999999886</v>
      </c>
      <c r="N229" s="3">
        <f ca="1">'ETF price'!O231-'ETF price'!O230</f>
        <v>-0.40000000000000568</v>
      </c>
      <c r="O229" s="3">
        <f ca="1">'ETF price'!P231-'ETF price'!P230</f>
        <v>1.3500000000000085</v>
      </c>
      <c r="P229" s="3">
        <f ca="1">'ETF price'!Q231-'ETF price'!Q230</f>
        <v>1.6799999999999926</v>
      </c>
      <c r="Q229" s="3">
        <f ca="1">'ETF price'!R231-'ETF price'!R230</f>
        <v>0.26999999999999602</v>
      </c>
      <c r="R229" s="3">
        <f ca="1">'ETF price'!S231-'ETF price'!S230</f>
        <v>1.1799999999999997</v>
      </c>
      <c r="S229" s="3">
        <f ca="1">'ETF price'!T231-'ETF price'!T230</f>
        <v>0.32000000000000028</v>
      </c>
      <c r="T229" s="3">
        <f ca="1">'ETF price'!U231-'ETF price'!U230</f>
        <v>1.460000000000008</v>
      </c>
      <c r="U229" s="3">
        <f ca="1">'ETF price'!V231-'ETF price'!V230</f>
        <v>-0.96999999999999886</v>
      </c>
      <c r="V229" s="3">
        <f ca="1">'ETF price'!W231-'ETF price'!W230</f>
        <v>0.21000000000000085</v>
      </c>
      <c r="W229" s="3">
        <f ca="1">'ETF price'!X231-'ETF price'!X230</f>
        <v>0.59999999999999432</v>
      </c>
      <c r="X229" s="3">
        <f ca="1">'ETF price'!Y231-'ETF price'!Y230</f>
        <v>0.36999999999999744</v>
      </c>
      <c r="Y229" s="3">
        <f ca="1">'ETF price'!Z231-'ETF price'!Z230</f>
        <v>0.40999999999999659</v>
      </c>
      <c r="Z229" s="3">
        <f ca="1">'ETF price'!AA231-'ETF price'!AA230</f>
        <v>0.63000000000000256</v>
      </c>
      <c r="AA229" s="3">
        <f ca="1">'ETF price'!AB231-'ETF price'!AB230</f>
        <v>0.38000000000000256</v>
      </c>
      <c r="AB229" s="3">
        <f ca="1">'ETF price'!AC231-'ETF price'!AC230</f>
        <v>1.2299999999999969</v>
      </c>
      <c r="AC229" s="3">
        <f ca="1">'ETF price'!AD231-'ETF price'!AD230</f>
        <v>0.12999999999999989</v>
      </c>
      <c r="AD229" s="3">
        <f ca="1">'ETF price'!AE231-'ETF price'!AE230</f>
        <v>0.16999999999999993</v>
      </c>
      <c r="AE229" s="3">
        <f ca="1">'ETF price'!AF231-'ETF price'!AF230</f>
        <v>-1.0000000000000009E-2</v>
      </c>
      <c r="AF229" s="3">
        <f ca="1">'ETF price'!AG231-'ETF price'!AG230</f>
        <v>8.0000000000000071E-2</v>
      </c>
    </row>
    <row r="230" spans="1:32" ht="12.75" x14ac:dyDescent="0.2">
      <c r="A230" s="3">
        <f ca="1">'ETF price'!B232-'ETF price'!B231</f>
        <v>6.5</v>
      </c>
      <c r="B230" s="3">
        <f ca="1">'ETF price'!C232-'ETF price'!C231</f>
        <v>16.20999999999998</v>
      </c>
      <c r="C230" s="3">
        <f ca="1">'ETF price'!D232-'ETF price'!D231</f>
        <v>0.29999999999999716</v>
      </c>
      <c r="D230" s="3">
        <f ca="1">'ETF price'!E232-'ETF price'!E231</f>
        <v>7.3200000000000074</v>
      </c>
      <c r="E230" s="3">
        <f ca="1">'ETF price'!F232-'ETF price'!F231</f>
        <v>0.68999999999999773</v>
      </c>
      <c r="F230" s="3">
        <f ca="1">'ETF price'!G232-'ETF price'!G231</f>
        <v>0.75</v>
      </c>
      <c r="G230" s="3">
        <f ca="1">'ETF price'!H232-'ETF price'!H231</f>
        <v>0.94000000000000128</v>
      </c>
      <c r="H230" s="3">
        <f ca="1">'ETF price'!I232-'ETF price'!I231</f>
        <v>3.2400000000000091</v>
      </c>
      <c r="I230" s="3">
        <f ca="1">'ETF price'!J232-'ETF price'!J231</f>
        <v>6.5900000000000034</v>
      </c>
      <c r="J230" s="3">
        <f ca="1">'ETF price'!K232-'ETF price'!K231</f>
        <v>4.2599999999999909</v>
      </c>
      <c r="K230" s="3">
        <f ca="1">'ETF price'!L232-'ETF price'!L231</f>
        <v>3.6400000000000006</v>
      </c>
      <c r="L230" s="3">
        <f ca="1">'ETF price'!M232-'ETF price'!M231</f>
        <v>2.3400000000000034</v>
      </c>
      <c r="M230" s="3">
        <f ca="1">'ETF price'!N232-'ETF price'!N231</f>
        <v>1.769999999999996</v>
      </c>
      <c r="N230" s="3">
        <f ca="1">'ETF price'!O232-'ETF price'!O231</f>
        <v>2.8800000000000026</v>
      </c>
      <c r="O230" s="3">
        <f ca="1">'ETF price'!P232-'ETF price'!P231</f>
        <v>0.45000000000000284</v>
      </c>
      <c r="P230" s="3">
        <f ca="1">'ETF price'!Q232-'ETF price'!Q231</f>
        <v>0.82999999999999829</v>
      </c>
      <c r="Q230" s="3">
        <f ca="1">'ETF price'!R232-'ETF price'!R231</f>
        <v>1.9500000000000028</v>
      </c>
      <c r="R230" s="3">
        <f ca="1">'ETF price'!S232-'ETF price'!S231</f>
        <v>1.9500000000000028</v>
      </c>
      <c r="S230" s="3">
        <f ca="1">'ETF price'!T232-'ETF price'!T231</f>
        <v>0.55999999999999872</v>
      </c>
      <c r="T230" s="3">
        <f ca="1">'ETF price'!U232-'ETF price'!U231</f>
        <v>1.8900000000000006</v>
      </c>
      <c r="U230" s="3">
        <f ca="1">'ETF price'!V232-'ETF price'!V231</f>
        <v>4.4900000000000091</v>
      </c>
      <c r="V230" s="3">
        <f ca="1">'ETF price'!W232-'ETF price'!W231</f>
        <v>0.60999999999999943</v>
      </c>
      <c r="W230" s="3">
        <f ca="1">'ETF price'!X232-'ETF price'!X231</f>
        <v>1.5499999999999972</v>
      </c>
      <c r="X230" s="3">
        <f ca="1">'ETF price'!Y232-'ETF price'!Y231</f>
        <v>0.88000000000000256</v>
      </c>
      <c r="Y230" s="3">
        <f ca="1">'ETF price'!Z232-'ETF price'!Z231</f>
        <v>1.4699999999999989</v>
      </c>
      <c r="Z230" s="3">
        <f ca="1">'ETF price'!AA232-'ETF price'!AA231</f>
        <v>0.89999999999999858</v>
      </c>
      <c r="AA230" s="3">
        <f ca="1">'ETF price'!AB232-'ETF price'!AB231</f>
        <v>1.1299999999999955</v>
      </c>
      <c r="AB230" s="3">
        <f ca="1">'ETF price'!AC232-'ETF price'!AC231</f>
        <v>-0.25999999999999801</v>
      </c>
      <c r="AC230" s="3">
        <f ca="1">'ETF price'!AD232-'ETF price'!AD231</f>
        <v>0.3100000000000005</v>
      </c>
      <c r="AD230" s="3">
        <f ca="1">'ETF price'!AE232-'ETF price'!AE231</f>
        <v>0.53999999999999915</v>
      </c>
      <c r="AE230" s="3">
        <f ca="1">'ETF price'!AF232-'ETF price'!AF231</f>
        <v>2.0000000000000018E-2</v>
      </c>
      <c r="AF230" s="3">
        <f ca="1">'ETF price'!AG232-'ETF price'!AG231</f>
        <v>0.87999999999999901</v>
      </c>
    </row>
    <row r="231" spans="1:32" ht="12.75" x14ac:dyDescent="0.2">
      <c r="A231" s="3">
        <f ca="1">'ETF price'!B233-'ETF price'!B232</f>
        <v>0.18999999999999773</v>
      </c>
      <c r="B231" s="3">
        <f ca="1">'ETF price'!C233-'ETF price'!C232</f>
        <v>1.2300000000000182</v>
      </c>
      <c r="C231" s="3">
        <f ca="1">'ETF price'!D233-'ETF price'!D232</f>
        <v>-0.59000000000000341</v>
      </c>
      <c r="D231" s="3">
        <f ca="1">'ETF price'!E233-'ETF price'!E232</f>
        <v>-0.93000000000000682</v>
      </c>
      <c r="E231" s="3">
        <f ca="1">'ETF price'!F233-'ETF price'!F232</f>
        <v>1.5500000000000043</v>
      </c>
      <c r="F231" s="3">
        <f ca="1">'ETF price'!G233-'ETF price'!G232</f>
        <v>0.30999999999999872</v>
      </c>
      <c r="G231" s="3">
        <f ca="1">'ETF price'!H233-'ETF price'!H232</f>
        <v>0.19999999999999929</v>
      </c>
      <c r="H231" s="3">
        <f ca="1">'ETF price'!I233-'ETF price'!I232</f>
        <v>0.39999999999997726</v>
      </c>
      <c r="I231" s="3">
        <f ca="1">'ETF price'!J233-'ETF price'!J232</f>
        <v>0.89000000000001478</v>
      </c>
      <c r="J231" s="3">
        <f ca="1">'ETF price'!K233-'ETF price'!K232</f>
        <v>0.62999999999999545</v>
      </c>
      <c r="K231" s="3">
        <f ca="1">'ETF price'!L233-'ETF price'!L232</f>
        <v>-0.53000000000000114</v>
      </c>
      <c r="L231" s="3">
        <f ca="1">'ETF price'!M233-'ETF price'!M232</f>
        <v>0.25</v>
      </c>
      <c r="M231" s="3">
        <f ca="1">'ETF price'!N233-'ETF price'!N232</f>
        <v>0.21000000000000796</v>
      </c>
      <c r="N231" s="3">
        <f ca="1">'ETF price'!O233-'ETF price'!O232</f>
        <v>3.9999999999999147E-2</v>
      </c>
      <c r="O231" s="3">
        <f ca="1">'ETF price'!P233-'ETF price'!P232</f>
        <v>-0.30000000000001137</v>
      </c>
      <c r="P231" s="3">
        <f ca="1">'ETF price'!Q233-'ETF price'!Q232</f>
        <v>-0.70999999999999375</v>
      </c>
      <c r="Q231" s="3">
        <f ca="1">'ETF price'!R233-'ETF price'!R232</f>
        <v>9.9999999999994316E-2</v>
      </c>
      <c r="R231" s="3">
        <f ca="1">'ETF price'!S233-'ETF price'!S232</f>
        <v>-0.42000000000000171</v>
      </c>
      <c r="S231" s="3">
        <f ca="1">'ETF price'!T233-'ETF price'!T232</f>
        <v>-0.12999999999999901</v>
      </c>
      <c r="T231" s="3">
        <f ca="1">'ETF price'!U233-'ETF price'!U232</f>
        <v>0.21999999999999886</v>
      </c>
      <c r="U231" s="3">
        <f ca="1">'ETF price'!V233-'ETF price'!V232</f>
        <v>-2.480000000000004</v>
      </c>
      <c r="V231" s="3">
        <f ca="1">'ETF price'!W233-'ETF price'!W232</f>
        <v>-0.21000000000000085</v>
      </c>
      <c r="W231" s="3">
        <f ca="1">'ETF price'!X233-'ETF price'!X232</f>
        <v>-0.64000000000000057</v>
      </c>
      <c r="X231" s="3">
        <f ca="1">'ETF price'!Y233-'ETF price'!Y232</f>
        <v>-0.34000000000000341</v>
      </c>
      <c r="Y231" s="3">
        <f ca="1">'ETF price'!Z233-'ETF price'!Z232</f>
        <v>-0.47999999999998977</v>
      </c>
      <c r="Z231" s="3">
        <f ca="1">'ETF price'!AA233-'ETF price'!AA232</f>
        <v>-8.00000000000054E-2</v>
      </c>
      <c r="AA231" s="3">
        <f ca="1">'ETF price'!AB233-'ETF price'!AB232</f>
        <v>-0.45000000000000284</v>
      </c>
      <c r="AB231" s="3">
        <f ca="1">'ETF price'!AC233-'ETF price'!AC232</f>
        <v>-0.34000000000000341</v>
      </c>
      <c r="AC231" s="3">
        <f ca="1">'ETF price'!AD233-'ETF price'!AD232</f>
        <v>-0.11000000000000032</v>
      </c>
      <c r="AD231" s="3">
        <f ca="1">'ETF price'!AE233-'ETF price'!AE232</f>
        <v>-0.16000000000000014</v>
      </c>
      <c r="AE231" s="3">
        <f ca="1">'ETF price'!AF233-'ETF price'!AF232</f>
        <v>6.0000000000000053E-2</v>
      </c>
      <c r="AF231" s="3">
        <f ca="1">'ETF price'!AG233-'ETF price'!AG232</f>
        <v>0.12000000000000099</v>
      </c>
    </row>
    <row r="232" spans="1:32" ht="12.75" x14ac:dyDescent="0.2">
      <c r="A232" s="3">
        <f ca="1">'ETF price'!B234-'ETF price'!B233</f>
        <v>-0.78999999999999204</v>
      </c>
      <c r="B232" s="3">
        <f ca="1">'ETF price'!C234-'ETF price'!C233</f>
        <v>-1.9600000000000364</v>
      </c>
      <c r="C232" s="3">
        <f ca="1">'ETF price'!D234-'ETF price'!D233</f>
        <v>-1.4899999999999949</v>
      </c>
      <c r="D232" s="3">
        <f ca="1">'ETF price'!E234-'ETF price'!E233</f>
        <v>-1.4500000000000028</v>
      </c>
      <c r="E232" s="3">
        <f ca="1">'ETF price'!F234-'ETF price'!F233</f>
        <v>-0.64999999999999858</v>
      </c>
      <c r="F232" s="3">
        <f ca="1">'ETF price'!G234-'ETF price'!G233</f>
        <v>-1.9999999999999574E-2</v>
      </c>
      <c r="G232" s="3">
        <f ca="1">'ETF price'!H234-'ETF price'!H233</f>
        <v>7.0000000000000284E-2</v>
      </c>
      <c r="H232" s="3">
        <f ca="1">'ETF price'!I234-'ETF price'!I233</f>
        <v>0.36000000000001364</v>
      </c>
      <c r="I232" s="3">
        <f ca="1">'ETF price'!J234-'ETF price'!J233</f>
        <v>0.71999999999999886</v>
      </c>
      <c r="J232" s="3">
        <f ca="1">'ETF price'!K234-'ETF price'!K233</f>
        <v>1.2700000000000102</v>
      </c>
      <c r="K232" s="3">
        <f ca="1">'ETF price'!L234-'ETF price'!L233</f>
        <v>2.5699999999999932</v>
      </c>
      <c r="L232" s="3">
        <f ca="1">'ETF price'!M234-'ETF price'!M233</f>
        <v>1.1599999999999966</v>
      </c>
      <c r="M232" s="3">
        <f ca="1">'ETF price'!N234-'ETF price'!N233</f>
        <v>0.23999999999999488</v>
      </c>
      <c r="N232" s="3">
        <f ca="1">'ETF price'!O234-'ETF price'!O233</f>
        <v>0.75999999999999801</v>
      </c>
      <c r="O232" s="3">
        <f ca="1">'ETF price'!P234-'ETF price'!P233</f>
        <v>-0.53999999999999204</v>
      </c>
      <c r="P232" s="3">
        <f ca="1">'ETF price'!Q234-'ETF price'!Q233</f>
        <v>-0.64000000000000057</v>
      </c>
      <c r="Q232" s="3">
        <f ca="1">'ETF price'!R234-'ETF price'!R233</f>
        <v>0.9100000000000108</v>
      </c>
      <c r="R232" s="3">
        <f ca="1">'ETF price'!S234-'ETF price'!S233</f>
        <v>1.2800000000000011</v>
      </c>
      <c r="S232" s="3">
        <f ca="1">'ETF price'!T234-'ETF price'!T233</f>
        <v>-0.26999999999999957</v>
      </c>
      <c r="T232" s="3">
        <f ca="1">'ETF price'!U234-'ETF price'!U233</f>
        <v>-0.60999999999999943</v>
      </c>
      <c r="U232" s="3">
        <f ca="1">'ETF price'!V234-'ETF price'!V233</f>
        <v>2.2600000000000051</v>
      </c>
      <c r="V232" s="3">
        <f ca="1">'ETF price'!W234-'ETF price'!W233</f>
        <v>-0.17000000000000171</v>
      </c>
      <c r="W232" s="3">
        <f ca="1">'ETF price'!X234-'ETF price'!X233</f>
        <v>-0.31999999999999318</v>
      </c>
      <c r="X232" s="3">
        <f ca="1">'ETF price'!Y234-'ETF price'!Y233</f>
        <v>-0.21000000000000085</v>
      </c>
      <c r="Y232" s="3">
        <f ca="1">'ETF price'!Z234-'ETF price'!Z233</f>
        <v>-0.34000000000000341</v>
      </c>
      <c r="Z232" s="3">
        <f ca="1">'ETF price'!AA234-'ETF price'!AA233</f>
        <v>-0.18999999999999773</v>
      </c>
      <c r="AA232" s="3">
        <f ca="1">'ETF price'!AB234-'ETF price'!AB233</f>
        <v>-0.11999999999999034</v>
      </c>
      <c r="AB232" s="3">
        <f ca="1">'ETF price'!AC234-'ETF price'!AC233</f>
        <v>-1.5499999999999972</v>
      </c>
      <c r="AC232" s="3">
        <f ca="1">'ETF price'!AD234-'ETF price'!AD233</f>
        <v>7.0000000000000284E-2</v>
      </c>
      <c r="AD232" s="3">
        <f ca="1">'ETF price'!AE234-'ETF price'!AE233</f>
        <v>0.10000000000000142</v>
      </c>
      <c r="AE232" s="3">
        <f ca="1">'ETF price'!AF234-'ETF price'!AF233</f>
        <v>-3.0000000000000027E-2</v>
      </c>
      <c r="AF232" s="3">
        <f ca="1">'ETF price'!AG234-'ETF price'!AG233</f>
        <v>0.32000000000000028</v>
      </c>
    </row>
    <row r="233" spans="1:32" ht="12.75" x14ac:dyDescent="0.2">
      <c r="A233" s="3">
        <f ca="1">'ETF price'!B235-'ETF price'!B234</f>
        <v>-2.25</v>
      </c>
      <c r="B233" s="3">
        <f ca="1">'ETF price'!C235-'ETF price'!C234</f>
        <v>-6.6099999999999568</v>
      </c>
      <c r="C233" s="3">
        <f ca="1">'ETF price'!D235-'ETF price'!D234</f>
        <v>-1.8400000000000034</v>
      </c>
      <c r="D233" s="3">
        <f ca="1">'ETF price'!E235-'ETF price'!E234</f>
        <v>-1.5999999999999943</v>
      </c>
      <c r="E233" s="3">
        <f ca="1">'ETF price'!F235-'ETF price'!F234</f>
        <v>-1.1600000000000037</v>
      </c>
      <c r="F233" s="3">
        <f ca="1">'ETF price'!G235-'ETF price'!G234</f>
        <v>-0.42999999999999972</v>
      </c>
      <c r="G233" s="3">
        <f ca="1">'ETF price'!H235-'ETF price'!H234</f>
        <v>-0.55999999999999872</v>
      </c>
      <c r="H233" s="3">
        <f ca="1">'ETF price'!I235-'ETF price'!I234</f>
        <v>-1.3400000000000034</v>
      </c>
      <c r="I233" s="3">
        <f ca="1">'ETF price'!J235-'ETF price'!J234</f>
        <v>-2.9699999999999989</v>
      </c>
      <c r="J233" s="3">
        <f ca="1">'ETF price'!K235-'ETF price'!K234</f>
        <v>-2.9399999999999977</v>
      </c>
      <c r="K233" s="3">
        <f ca="1">'ETF price'!L235-'ETF price'!L234</f>
        <v>-2.7800000000000011</v>
      </c>
      <c r="L233" s="3">
        <f ca="1">'ETF price'!M235-'ETF price'!M234</f>
        <v>-1.6500000000000057</v>
      </c>
      <c r="M233" s="3">
        <f ca="1">'ETF price'!N235-'ETF price'!N234</f>
        <v>-0.81000000000000227</v>
      </c>
      <c r="N233" s="3">
        <f ca="1">'ETF price'!O235-'ETF price'!O234</f>
        <v>-1.9599999999999937</v>
      </c>
      <c r="O233" s="3">
        <f ca="1">'ETF price'!P235-'ETF price'!P234</f>
        <v>-2.6800000000000068</v>
      </c>
      <c r="P233" s="3">
        <f ca="1">'ETF price'!Q235-'ETF price'!Q234</f>
        <v>-4.0900000000000034</v>
      </c>
      <c r="Q233" s="3">
        <f ca="1">'ETF price'!R235-'ETF price'!R234</f>
        <v>-1.6600000000000108</v>
      </c>
      <c r="R233" s="3">
        <f ca="1">'ETF price'!S235-'ETF price'!S234</f>
        <v>-2.3200000000000003</v>
      </c>
      <c r="S233" s="3">
        <f ca="1">'ETF price'!T235-'ETF price'!T234</f>
        <v>-0.64999999999999858</v>
      </c>
      <c r="T233" s="3">
        <f ca="1">'ETF price'!U235-'ETF price'!U234</f>
        <v>-2.1200000000000045</v>
      </c>
      <c r="U233" s="3">
        <f ca="1">'ETF price'!V235-'ETF price'!V234</f>
        <v>-1.8599999999999994</v>
      </c>
      <c r="V233" s="3">
        <f ca="1">'ETF price'!W235-'ETF price'!W234</f>
        <v>-0.89000000000000057</v>
      </c>
      <c r="W233" s="3">
        <f ca="1">'ETF price'!X235-'ETF price'!X234</f>
        <v>-2.4300000000000068</v>
      </c>
      <c r="X233" s="3">
        <f ca="1">'ETF price'!Y235-'ETF price'!Y234</f>
        <v>-2.2999999999999972</v>
      </c>
      <c r="Y233" s="3">
        <f ca="1">'ETF price'!Z235-'ETF price'!Z234</f>
        <v>-2.210000000000008</v>
      </c>
      <c r="Z233" s="3">
        <f ca="1">'ETF price'!AA235-'ETF price'!AA234</f>
        <v>-0.65999999999999659</v>
      </c>
      <c r="AA233" s="3">
        <f ca="1">'ETF price'!AB235-'ETF price'!AB234</f>
        <v>-3.2000000000000028</v>
      </c>
      <c r="AB233" s="3">
        <f ca="1">'ETF price'!AC235-'ETF price'!AC234</f>
        <v>-0.78999999999999915</v>
      </c>
      <c r="AC233" s="3">
        <f ca="1">'ETF price'!AD235-'ETF price'!AD234</f>
        <v>-5.0000000000000711E-2</v>
      </c>
      <c r="AD233" s="3">
        <f ca="1">'ETF price'!AE235-'ETF price'!AE234</f>
        <v>-0.11000000000000121</v>
      </c>
      <c r="AE233" s="3">
        <f ca="1">'ETF price'!AF235-'ETF price'!AF234</f>
        <v>6.999999999999984E-2</v>
      </c>
      <c r="AF233" s="3">
        <f ca="1">'ETF price'!AG235-'ETF price'!AG234</f>
        <v>-0.96000000000000085</v>
      </c>
    </row>
    <row r="234" spans="1:32" ht="12.75" x14ac:dyDescent="0.2">
      <c r="A234" s="3">
        <f ca="1">'ETF price'!B236-'ETF price'!B235</f>
        <v>-2.8500000000000227</v>
      </c>
      <c r="B234" s="3">
        <f ca="1">'ETF price'!C236-'ETF price'!C235</f>
        <v>-7.4000000000000341</v>
      </c>
      <c r="C234" s="3">
        <f ca="1">'ETF price'!D236-'ETF price'!D235</f>
        <v>-0.53999999999999204</v>
      </c>
      <c r="D234" s="3">
        <f ca="1">'ETF price'!E236-'ETF price'!E235</f>
        <v>-2.6400000000000006</v>
      </c>
      <c r="E234" s="3">
        <f ca="1">'ETF price'!F236-'ETF price'!F235</f>
        <v>-0.49000000000000199</v>
      </c>
      <c r="F234" s="3">
        <f ca="1">'ETF price'!G236-'ETF price'!G235</f>
        <v>-0.41999999999999815</v>
      </c>
      <c r="G234" s="3">
        <f ca="1">'ETF price'!H236-'ETF price'!H235</f>
        <v>-0.55000000000000071</v>
      </c>
      <c r="H234" s="3">
        <f ca="1">'ETF price'!I236-'ETF price'!I235</f>
        <v>-1.0500000000000114</v>
      </c>
      <c r="I234" s="3">
        <f ca="1">'ETF price'!J236-'ETF price'!J235</f>
        <v>-2.4500000000000171</v>
      </c>
      <c r="J234" s="3">
        <f ca="1">'ETF price'!K236-'ETF price'!K235</f>
        <v>-2.2400000000000091</v>
      </c>
      <c r="K234" s="3">
        <f ca="1">'ETF price'!L236-'ETF price'!L235</f>
        <v>-2.289999999999992</v>
      </c>
      <c r="L234" s="3">
        <f ca="1">'ETF price'!M236-'ETF price'!M235</f>
        <v>-1.019999999999996</v>
      </c>
      <c r="M234" s="3">
        <f ca="1">'ETF price'!N236-'ETF price'!N235</f>
        <v>-0.64999999999999147</v>
      </c>
      <c r="N234" s="3">
        <f ca="1">'ETF price'!O236-'ETF price'!O235</f>
        <v>-1.1200000000000045</v>
      </c>
      <c r="O234" s="3">
        <f ca="1">'ETF price'!P236-'ETF price'!P235</f>
        <v>-2.3100000000000023</v>
      </c>
      <c r="P234" s="3">
        <f ca="1">'ETF price'!Q236-'ETF price'!Q235</f>
        <v>-3.2800000000000011</v>
      </c>
      <c r="Q234" s="3">
        <f ca="1">'ETF price'!R236-'ETF price'!R235</f>
        <v>-0.72999999999998977</v>
      </c>
      <c r="R234" s="3">
        <f ca="1">'ETF price'!S236-'ETF price'!S235</f>
        <v>0.13000000000000256</v>
      </c>
      <c r="S234" s="3">
        <f ca="1">'ETF price'!T236-'ETF price'!T235</f>
        <v>-0.39000000000000057</v>
      </c>
      <c r="T234" s="3">
        <f ca="1">'ETF price'!U236-'ETF price'!U235</f>
        <v>-2.4899999999999949</v>
      </c>
      <c r="U234" s="3">
        <f ca="1">'ETF price'!V236-'ETF price'!V235</f>
        <v>-2.8100000000000023</v>
      </c>
      <c r="V234" s="3">
        <f ca="1">'ETF price'!W236-'ETF price'!W235</f>
        <v>-0.31000000000000227</v>
      </c>
      <c r="W234" s="3">
        <f ca="1">'ETF price'!X236-'ETF price'!X235</f>
        <v>-0.71999999999999886</v>
      </c>
      <c r="X234" s="3">
        <f ca="1">'ETF price'!Y236-'ETF price'!Y235</f>
        <v>-0.48000000000000398</v>
      </c>
      <c r="Y234" s="3">
        <f ca="1">'ETF price'!Z236-'ETF price'!Z235</f>
        <v>-0.60999999999999943</v>
      </c>
      <c r="Z234" s="3">
        <f ca="1">'ETF price'!AA236-'ETF price'!AA235</f>
        <v>-0.28999999999999915</v>
      </c>
      <c r="AA234" s="3">
        <f ca="1">'ETF price'!AB236-'ETF price'!AB235</f>
        <v>-0.59000000000000341</v>
      </c>
      <c r="AB234" s="3">
        <f ca="1">'ETF price'!AC236-'ETF price'!AC235</f>
        <v>-0.23000000000000398</v>
      </c>
      <c r="AC234" s="3">
        <f ca="1">'ETF price'!AD236-'ETF price'!AD235</f>
        <v>3.0000000000000249E-2</v>
      </c>
      <c r="AD234" s="3">
        <f ca="1">'ETF price'!AE236-'ETF price'!AE235</f>
        <v>8.0000000000000071E-2</v>
      </c>
      <c r="AE234" s="3">
        <f ca="1">'ETF price'!AF236-'ETF price'!AF235</f>
        <v>-7.9999999999999849E-2</v>
      </c>
      <c r="AF234" s="3">
        <f ca="1">'ETF price'!AG236-'ETF price'!AG235</f>
        <v>-0.75999999999999979</v>
      </c>
    </row>
    <row r="235" spans="1:32" ht="12.75" x14ac:dyDescent="0.2">
      <c r="A235" s="3">
        <f ca="1">'ETF price'!B237-'ETF price'!B236</f>
        <v>-0.65999999999999659</v>
      </c>
      <c r="B235" s="3">
        <f ca="1">'ETF price'!C237-'ETF price'!C236</f>
        <v>-1.5199999999999818</v>
      </c>
      <c r="C235" s="3">
        <f ca="1">'ETF price'!D237-'ETF price'!D236</f>
        <v>1.2599999999999909</v>
      </c>
      <c r="D235" s="3">
        <f ca="1">'ETF price'!E237-'ETF price'!E236</f>
        <v>-0.26000000000000512</v>
      </c>
      <c r="E235" s="3">
        <f ca="1">'ETF price'!F237-'ETF price'!F236</f>
        <v>-0.29999999999999716</v>
      </c>
      <c r="F235" s="3">
        <f ca="1">'ETF price'!G237-'ETF price'!G236</f>
        <v>-3.0000000000001137E-2</v>
      </c>
      <c r="G235" s="3">
        <f ca="1">'ETF price'!H237-'ETF price'!H236</f>
        <v>-1.0000000000001563E-2</v>
      </c>
      <c r="H235" s="3">
        <f ca="1">'ETF price'!I237-'ETF price'!I236</f>
        <v>1.1300000000000239</v>
      </c>
      <c r="I235" s="3">
        <f ca="1">'ETF price'!J237-'ETF price'!J236</f>
        <v>1.8600000000000136</v>
      </c>
      <c r="J235" s="3">
        <f ca="1">'ETF price'!K237-'ETF price'!K236</f>
        <v>0.87999999999999545</v>
      </c>
      <c r="K235" s="3">
        <f ca="1">'ETF price'!L237-'ETF price'!L236</f>
        <v>0.5</v>
      </c>
      <c r="L235" s="3">
        <f ca="1">'ETF price'!M237-'ETF price'!M236</f>
        <v>0.35999999999999943</v>
      </c>
      <c r="M235" s="3">
        <f ca="1">'ETF price'!N237-'ETF price'!N236</f>
        <v>0.53999999999999204</v>
      </c>
      <c r="N235" s="3">
        <f ca="1">'ETF price'!O237-'ETF price'!O236</f>
        <v>0.28000000000000114</v>
      </c>
      <c r="O235" s="3">
        <f ca="1">'ETF price'!P237-'ETF price'!P236</f>
        <v>-0.19999999999998863</v>
      </c>
      <c r="P235" s="3">
        <f ca="1">'ETF price'!Q237-'ETF price'!Q236</f>
        <v>-0.32999999999999829</v>
      </c>
      <c r="Q235" s="3">
        <f ca="1">'ETF price'!R237-'ETF price'!R236</f>
        <v>-0.18000000000000682</v>
      </c>
      <c r="R235" s="3">
        <f ca="1">'ETF price'!S237-'ETF price'!S236</f>
        <v>-0.14999999999999858</v>
      </c>
      <c r="S235" s="3">
        <f ca="1">'ETF price'!T237-'ETF price'!T236</f>
        <v>-0.12000000000000099</v>
      </c>
      <c r="T235" s="3">
        <f ca="1">'ETF price'!U237-'ETF price'!U236</f>
        <v>-1.5800000000000054</v>
      </c>
      <c r="U235" s="3">
        <f ca="1">'ETF price'!V237-'ETF price'!V236</f>
        <v>-0.63000000000000966</v>
      </c>
      <c r="V235" s="3">
        <f ca="1">'ETF price'!W237-'ETF price'!W236</f>
        <v>-0.13999999999999346</v>
      </c>
      <c r="W235" s="3">
        <f ca="1">'ETF price'!X237-'ETF price'!X236</f>
        <v>-0.34999999999999432</v>
      </c>
      <c r="X235" s="3">
        <f ca="1">'ETF price'!Y237-'ETF price'!Y236</f>
        <v>0</v>
      </c>
      <c r="Y235" s="3">
        <f ca="1">'ETF price'!Z237-'ETF price'!Z236</f>
        <v>-0.42999999999999261</v>
      </c>
      <c r="Z235" s="3">
        <f ca="1">'ETF price'!AA237-'ETF price'!AA236</f>
        <v>7.9999999999998295E-2</v>
      </c>
      <c r="AA235" s="3">
        <f ca="1">'ETF price'!AB237-'ETF price'!AB236</f>
        <v>-3.9999999999999147E-2</v>
      </c>
      <c r="AB235" s="3">
        <f ca="1">'ETF price'!AC237-'ETF price'!AC236</f>
        <v>0.22000000000000597</v>
      </c>
      <c r="AC235" s="3">
        <f ca="1">'ETF price'!AD237-'ETF price'!AD236</f>
        <v>-8.0000000000000071E-2</v>
      </c>
      <c r="AD235" s="3">
        <f ca="1">'ETF price'!AE237-'ETF price'!AE236</f>
        <v>-0.13999999999999879</v>
      </c>
      <c r="AE235" s="3">
        <f ca="1">'ETF price'!AF237-'ETF price'!AF236</f>
        <v>-5.0000000000000044E-2</v>
      </c>
      <c r="AF235" s="3">
        <f ca="1">'ETF price'!AG237-'ETF price'!AG236</f>
        <v>-0.37000000000000099</v>
      </c>
    </row>
    <row r="236" spans="1:32" ht="12.75" x14ac:dyDescent="0.2">
      <c r="A236" s="3">
        <f ca="1">'ETF price'!B238-'ETF price'!B237</f>
        <v>2.1200000000000045</v>
      </c>
      <c r="B236" s="3">
        <f ca="1">'ETF price'!C238-'ETF price'!C237</f>
        <v>5.7799999999999727</v>
      </c>
      <c r="C236" s="3">
        <f ca="1">'ETF price'!D238-'ETF price'!D237</f>
        <v>-0.42000000000000171</v>
      </c>
      <c r="D236" s="3">
        <f ca="1">'ETF price'!E238-'ETF price'!E237</f>
        <v>3.5400000000000063</v>
      </c>
      <c r="E236" s="3">
        <f ca="1">'ETF price'!F238-'ETF price'!F237</f>
        <v>0.77000000000000313</v>
      </c>
      <c r="F236" s="3">
        <f ca="1">'ETF price'!G238-'ETF price'!G237</f>
        <v>0.37000000000000099</v>
      </c>
      <c r="G236" s="3">
        <f ca="1">'ETF price'!H238-'ETF price'!H237</f>
        <v>0.35999999999999943</v>
      </c>
      <c r="H236" s="3">
        <f ca="1">'ETF price'!I238-'ETF price'!I237</f>
        <v>1.25</v>
      </c>
      <c r="I236" s="3">
        <f ca="1">'ETF price'!J238-'ETF price'!J237</f>
        <v>2.5099999999999909</v>
      </c>
      <c r="J236" s="3">
        <f ca="1">'ETF price'!K238-'ETF price'!K237</f>
        <v>1.7599999999999909</v>
      </c>
      <c r="K236" s="3">
        <f ca="1">'ETF price'!L238-'ETF price'!L237</f>
        <v>0.48999999999999488</v>
      </c>
      <c r="L236" s="3">
        <f ca="1">'ETF price'!M238-'ETF price'!M237</f>
        <v>0.15000000000000568</v>
      </c>
      <c r="M236" s="3">
        <f ca="1">'ETF price'!N238-'ETF price'!N237</f>
        <v>0.59000000000000341</v>
      </c>
      <c r="N236" s="3">
        <f ca="1">'ETF price'!O238-'ETF price'!O237</f>
        <v>0.88000000000000256</v>
      </c>
      <c r="O236" s="3">
        <f ca="1">'ETF price'!P238-'ETF price'!P237</f>
        <v>-0.38000000000000966</v>
      </c>
      <c r="P236" s="3">
        <f ca="1">'ETF price'!Q238-'ETF price'!Q237</f>
        <v>-0.70000000000000284</v>
      </c>
      <c r="Q236" s="3">
        <f ca="1">'ETF price'!R238-'ETF price'!R237</f>
        <v>0.60000000000000853</v>
      </c>
      <c r="R236" s="3">
        <f ca="1">'ETF price'!S238-'ETF price'!S237</f>
        <v>0.15999999999999659</v>
      </c>
      <c r="S236" s="3">
        <f ca="1">'ETF price'!T238-'ETF price'!T237</f>
        <v>-3.9999999999999147E-2</v>
      </c>
      <c r="T236" s="3">
        <f ca="1">'ETF price'!U238-'ETF price'!U237</f>
        <v>-0.93999999999999773</v>
      </c>
      <c r="U236" s="3">
        <f ca="1">'ETF price'!V238-'ETF price'!V237</f>
        <v>0.63000000000000966</v>
      </c>
      <c r="V236" s="3">
        <f ca="1">'ETF price'!W238-'ETF price'!W237</f>
        <v>2.9999999999994031E-2</v>
      </c>
      <c r="W236" s="3">
        <f ca="1">'ETF price'!X238-'ETF price'!X237</f>
        <v>0.10999999999999943</v>
      </c>
      <c r="X236" s="3">
        <f ca="1">'ETF price'!Y238-'ETF price'!Y237</f>
        <v>0.10999999999999943</v>
      </c>
      <c r="Y236" s="3">
        <f ca="1">'ETF price'!Z238-'ETF price'!Z237</f>
        <v>0.23999999999999488</v>
      </c>
      <c r="Z236" s="3">
        <f ca="1">'ETF price'!AA238-'ETF price'!AA237</f>
        <v>0.28000000000000114</v>
      </c>
      <c r="AA236" s="3">
        <f ca="1">'ETF price'!AB238-'ETF price'!AB237</f>
        <v>0.16000000000000369</v>
      </c>
      <c r="AB236" s="3">
        <f ca="1">'ETF price'!AC238-'ETF price'!AC237</f>
        <v>-0.19000000000000483</v>
      </c>
      <c r="AC236" s="3">
        <f ca="1">'ETF price'!AD238-'ETF price'!AD237</f>
        <v>0.17999999999999972</v>
      </c>
      <c r="AD236" s="3">
        <f ca="1">'ETF price'!AE238-'ETF price'!AE237</f>
        <v>0.30999999999999872</v>
      </c>
      <c r="AE236" s="3">
        <f ca="1">'ETF price'!AF238-'ETF price'!AF237</f>
        <v>-5.0000000000000044E-2</v>
      </c>
      <c r="AF236" s="3">
        <f ca="1">'ETF price'!AG238-'ETF price'!AG237</f>
        <v>0.37000000000000099</v>
      </c>
    </row>
    <row r="237" spans="1:32" ht="12.75" x14ac:dyDescent="0.2">
      <c r="A237" s="3">
        <f ca="1">'ETF price'!B239-'ETF price'!B238</f>
        <v>-0.81000000000000227</v>
      </c>
      <c r="B237" s="3">
        <f ca="1">'ETF price'!C239-'ETF price'!C238</f>
        <v>-2.0499999999999545</v>
      </c>
      <c r="C237" s="3">
        <f ca="1">'ETF price'!D239-'ETF price'!D238</f>
        <v>1.4900000000000091</v>
      </c>
      <c r="D237" s="3">
        <f ca="1">'ETF price'!E239-'ETF price'!E238</f>
        <v>-1.1700000000000017</v>
      </c>
      <c r="E237" s="3">
        <f ca="1">'ETF price'!F239-'ETF price'!F238</f>
        <v>-0.32000000000000028</v>
      </c>
      <c r="F237" s="3">
        <f ca="1">'ETF price'!G239-'ETF price'!G238</f>
        <v>-6.0000000000002274E-2</v>
      </c>
      <c r="G237" s="3">
        <f ca="1">'ETF price'!H239-'ETF price'!H238</f>
        <v>-0.2099999999999973</v>
      </c>
      <c r="H237" s="3">
        <f ca="1">'ETF price'!I239-'ETF price'!I238</f>
        <v>-1.7900000000000205</v>
      </c>
      <c r="I237" s="3">
        <f ca="1">'ETF price'!J239-'ETF price'!J238</f>
        <v>-3.5600000000000023</v>
      </c>
      <c r="J237" s="3">
        <f ca="1">'ETF price'!K239-'ETF price'!K238</f>
        <v>-2.8799999999999955</v>
      </c>
      <c r="K237" s="3">
        <f ca="1">'ETF price'!L239-'ETF price'!L238</f>
        <v>-2.0499999999999972</v>
      </c>
      <c r="L237" s="3">
        <f ca="1">'ETF price'!M239-'ETF price'!M238</f>
        <v>-1.2199999999999989</v>
      </c>
      <c r="M237" s="3">
        <f ca="1">'ETF price'!N239-'ETF price'!N238</f>
        <v>-0.84999999999999432</v>
      </c>
      <c r="N237" s="3">
        <f ca="1">'ETF price'!O239-'ETF price'!O238</f>
        <v>-1.2000000000000028</v>
      </c>
      <c r="O237" s="3">
        <f ca="1">'ETF price'!P239-'ETF price'!P238</f>
        <v>-2.0599999999999881</v>
      </c>
      <c r="P237" s="3">
        <f ca="1">'ETF price'!Q239-'ETF price'!Q238</f>
        <v>-2.6099999999999994</v>
      </c>
      <c r="Q237" s="3">
        <f ca="1">'ETF price'!R239-'ETF price'!R238</f>
        <v>-0.81000000000000227</v>
      </c>
      <c r="R237" s="3">
        <f ca="1">'ETF price'!S239-'ETF price'!S238</f>
        <v>-1.3200000000000003</v>
      </c>
      <c r="S237" s="3">
        <f ca="1">'ETF price'!T239-'ETF price'!T238</f>
        <v>3.0000000000001137E-2</v>
      </c>
      <c r="T237" s="3">
        <f ca="1">'ETF price'!U239-'ETF price'!U238</f>
        <v>0.14000000000000057</v>
      </c>
      <c r="U237" s="3">
        <f ca="1">'ETF price'!V239-'ETF price'!V238</f>
        <v>-0.46999999999999886</v>
      </c>
      <c r="V237" s="3">
        <f ca="1">'ETF price'!W239-'ETF price'!W238</f>
        <v>-8.9999999999996305E-2</v>
      </c>
      <c r="W237" s="3">
        <f ca="1">'ETF price'!X239-'ETF price'!X238</f>
        <v>-0.29999999999999716</v>
      </c>
      <c r="X237" s="3">
        <f ca="1">'ETF price'!Y239-'ETF price'!Y238</f>
        <v>-0.19999999999999574</v>
      </c>
      <c r="Y237" s="3">
        <f ca="1">'ETF price'!Z239-'ETF price'!Z238</f>
        <v>-0.35999999999999943</v>
      </c>
      <c r="Z237" s="3">
        <f ca="1">'ETF price'!AA239-'ETF price'!AA238</f>
        <v>-8.00000000000054E-2</v>
      </c>
      <c r="AA237" s="3">
        <f ca="1">'ETF price'!AB239-'ETF price'!AB238</f>
        <v>-0.24000000000000199</v>
      </c>
      <c r="AB237" s="3">
        <f ca="1">'ETF price'!AC239-'ETF price'!AC238</f>
        <v>0.85999999999999943</v>
      </c>
      <c r="AC237" s="3">
        <f ca="1">'ETF price'!AD239-'ETF price'!AD238</f>
        <v>-4.9999999999999822E-2</v>
      </c>
      <c r="AD237" s="3">
        <f ca="1">'ETF price'!AE239-'ETF price'!AE238</f>
        <v>-0.11999999999999922</v>
      </c>
      <c r="AE237" s="3">
        <f ca="1">'ETF price'!AF239-'ETF price'!AF238</f>
        <v>4.0000000000000036E-2</v>
      </c>
      <c r="AF237" s="3">
        <f ca="1">'ETF price'!AG239-'ETF price'!AG238</f>
        <v>-0.16000000000000014</v>
      </c>
    </row>
    <row r="238" spans="1:32" ht="12.75" x14ac:dyDescent="0.2">
      <c r="A238" s="3">
        <f ca="1">'ETF price'!B240-'ETF price'!B239</f>
        <v>2.8600000000000136</v>
      </c>
      <c r="B238" s="3">
        <f ca="1">'ETF price'!C240-'ETF price'!C239</f>
        <v>7.3599999999999568</v>
      </c>
      <c r="C238" s="3">
        <f ca="1">'ETF price'!D240-'ETF price'!D239</f>
        <v>1.2000000000000028</v>
      </c>
      <c r="D238" s="3">
        <f ca="1">'ETF price'!E240-'ETF price'!E239</f>
        <v>2.210000000000008</v>
      </c>
      <c r="E238" s="3">
        <f ca="1">'ETF price'!F240-'ETF price'!F239</f>
        <v>0.84999999999999432</v>
      </c>
      <c r="F238" s="3">
        <f ca="1">'ETF price'!G240-'ETF price'!G239</f>
        <v>0.33999999999999986</v>
      </c>
      <c r="G238" s="3">
        <f ca="1">'ETF price'!H240-'ETF price'!H239</f>
        <v>0.4599999999999973</v>
      </c>
      <c r="H238" s="3">
        <f ca="1">'ETF price'!I240-'ETF price'!I239</f>
        <v>1.4699999999999989</v>
      </c>
      <c r="I238" s="3">
        <f ca="1">'ETF price'!J240-'ETF price'!J239</f>
        <v>2.8700000000000045</v>
      </c>
      <c r="J238" s="3">
        <f ca="1">'ETF price'!K240-'ETF price'!K239</f>
        <v>1.0500000000000114</v>
      </c>
      <c r="K238" s="3">
        <f ca="1">'ETF price'!L240-'ETF price'!L239</f>
        <v>2</v>
      </c>
      <c r="L238" s="3">
        <f ca="1">'ETF price'!M240-'ETF price'!M239</f>
        <v>1.1199999999999903</v>
      </c>
      <c r="M238" s="3">
        <f ca="1">'ETF price'!N240-'ETF price'!N239</f>
        <v>0.72999999999998977</v>
      </c>
      <c r="N238" s="3">
        <f ca="1">'ETF price'!O240-'ETF price'!O239</f>
        <v>1.0399999999999991</v>
      </c>
      <c r="O238" s="3">
        <f ca="1">'ETF price'!P240-'ETF price'!P239</f>
        <v>2.1699999999999875</v>
      </c>
      <c r="P238" s="3">
        <f ca="1">'ETF price'!Q240-'ETF price'!Q239</f>
        <v>2.980000000000004</v>
      </c>
      <c r="Q238" s="3">
        <f ca="1">'ETF price'!R240-'ETF price'!R239</f>
        <v>0.70000000000000284</v>
      </c>
      <c r="R238" s="3">
        <f ca="1">'ETF price'!S240-'ETF price'!S239</f>
        <v>0.61999999999999744</v>
      </c>
      <c r="S238" s="3">
        <f ca="1">'ETF price'!T240-'ETF price'!T239</f>
        <v>0.25999999999999801</v>
      </c>
      <c r="T238" s="3">
        <f ca="1">'ETF price'!U240-'ETF price'!U239</f>
        <v>1.5599999999999952</v>
      </c>
      <c r="U238" s="3">
        <f ca="1">'ETF price'!V240-'ETF price'!V239</f>
        <v>0.8399999999999892</v>
      </c>
      <c r="V238" s="3">
        <f ca="1">'ETF price'!W240-'ETF price'!W239</f>
        <v>0.46000000000000085</v>
      </c>
      <c r="W238" s="3">
        <f ca="1">'ETF price'!X240-'ETF price'!X239</f>
        <v>1.0600000000000023</v>
      </c>
      <c r="X238" s="3">
        <f ca="1">'ETF price'!Y240-'ETF price'!Y239</f>
        <v>0.44999999999999574</v>
      </c>
      <c r="Y238" s="3">
        <f ca="1">'ETF price'!Z240-'ETF price'!Z239</f>
        <v>0.99000000000000909</v>
      </c>
      <c r="Z238" s="3">
        <f ca="1">'ETF price'!AA240-'ETF price'!AA239</f>
        <v>0.32000000000000028</v>
      </c>
      <c r="AA238" s="3">
        <f ca="1">'ETF price'!AB240-'ETF price'!AB239</f>
        <v>0.55000000000000426</v>
      </c>
      <c r="AB238" s="3">
        <f ca="1">'ETF price'!AC240-'ETF price'!AC239</f>
        <v>-0.18999999999999773</v>
      </c>
      <c r="AC238" s="3">
        <f ca="1">'ETF price'!AD240-'ETF price'!AD239</f>
        <v>3.0000000000000249E-2</v>
      </c>
      <c r="AD238" s="3">
        <f ca="1">'ETF price'!AE240-'ETF price'!AE239</f>
        <v>6.0000000000000497E-2</v>
      </c>
      <c r="AE238" s="3">
        <f ca="1">'ETF price'!AF240-'ETF price'!AF239</f>
        <v>-6.0000000000000053E-2</v>
      </c>
      <c r="AF238" s="3">
        <f ca="1">'ETF price'!AG240-'ETF price'!AG239</f>
        <v>-4.0000000000000924E-2</v>
      </c>
    </row>
    <row r="239" spans="1:32" ht="12.75" x14ac:dyDescent="0.2">
      <c r="A239" s="3">
        <f ca="1">'ETF price'!B241-'ETF price'!B240</f>
        <v>1.5799999999999841</v>
      </c>
      <c r="B239" s="3">
        <f ca="1">'ETF price'!C241-'ETF price'!C240</f>
        <v>4.0900000000000318</v>
      </c>
      <c r="C239" s="3">
        <f ca="1">'ETF price'!D241-'ETF price'!D240</f>
        <v>-0.60000000000000853</v>
      </c>
      <c r="D239" s="3">
        <f ca="1">'ETF price'!E241-'ETF price'!E240</f>
        <v>1.8200000000000074</v>
      </c>
      <c r="E239" s="3">
        <f ca="1">'ETF price'!F241-'ETF price'!F240</f>
        <v>0.32000000000000028</v>
      </c>
      <c r="F239" s="3">
        <f ca="1">'ETF price'!G241-'ETF price'!G240</f>
        <v>0.46000000000000085</v>
      </c>
      <c r="G239" s="3">
        <f ca="1">'ETF price'!H241-'ETF price'!H240</f>
        <v>0.30000000000000071</v>
      </c>
      <c r="H239" s="3">
        <f ca="1">'ETF price'!I241-'ETF price'!I240</f>
        <v>0.43000000000000682</v>
      </c>
      <c r="I239" s="3">
        <f ca="1">'ETF price'!J241-'ETF price'!J240</f>
        <v>1.1699999999999875</v>
      </c>
      <c r="J239" s="3">
        <f ca="1">'ETF price'!K241-'ETF price'!K240</f>
        <v>1.9399999999999977</v>
      </c>
      <c r="K239" s="3">
        <f ca="1">'ETF price'!L241-'ETF price'!L240</f>
        <v>1.289999999999992</v>
      </c>
      <c r="L239" s="3">
        <f ca="1">'ETF price'!M241-'ETF price'!M240</f>
        <v>0.79999999999999716</v>
      </c>
      <c r="M239" s="3">
        <f ca="1">'ETF price'!N241-'ETF price'!N240</f>
        <v>0.32000000000000739</v>
      </c>
      <c r="N239" s="3">
        <f ca="1">'ETF price'!O241-'ETF price'!O240</f>
        <v>1.0399999999999991</v>
      </c>
      <c r="O239" s="3">
        <f ca="1">'ETF price'!P241-'ETF price'!P240</f>
        <v>1.6099999999999994</v>
      </c>
      <c r="P239" s="3">
        <f ca="1">'ETF price'!Q241-'ETF price'!Q240</f>
        <v>2.230000000000004</v>
      </c>
      <c r="Q239" s="3">
        <f ca="1">'ETF price'!R241-'ETF price'!R240</f>
        <v>1.1299999999999955</v>
      </c>
      <c r="R239" s="3">
        <f ca="1">'ETF price'!S241-'ETF price'!S240</f>
        <v>0.42000000000000171</v>
      </c>
      <c r="S239" s="3">
        <f ca="1">'ETF price'!T241-'ETF price'!T240</f>
        <v>0.39999999999999858</v>
      </c>
      <c r="T239" s="3">
        <f ca="1">'ETF price'!U241-'ETF price'!U240</f>
        <v>1.4500000000000028</v>
      </c>
      <c r="U239" s="3">
        <f ca="1">'ETF price'!V241-'ETF price'!V240</f>
        <v>1.6900000000000119</v>
      </c>
      <c r="V239" s="3">
        <f ca="1">'ETF price'!W241-'ETF price'!W240</f>
        <v>8.9999999999996305E-2</v>
      </c>
      <c r="W239" s="3">
        <f ca="1">'ETF price'!X241-'ETF price'!X240</f>
        <v>0.17999999999999261</v>
      </c>
      <c r="X239" s="3">
        <f ca="1">'ETF price'!Y241-'ETF price'!Y240</f>
        <v>-0.53999999999999915</v>
      </c>
      <c r="Y239" s="3">
        <f ca="1">'ETF price'!Z241-'ETF price'!Z240</f>
        <v>-0.18000000000000682</v>
      </c>
      <c r="Z239" s="3">
        <f ca="1">'ETF price'!AA241-'ETF price'!AA240</f>
        <v>0.85000000000000142</v>
      </c>
      <c r="AA239" s="3">
        <f ca="1">'ETF price'!AB241-'ETF price'!AB240</f>
        <v>-0.99000000000000199</v>
      </c>
      <c r="AB239" s="3">
        <f ca="1">'ETF price'!AC241-'ETF price'!AC240</f>
        <v>-0.60999999999999943</v>
      </c>
      <c r="AC239" s="3">
        <f ca="1">'ETF price'!AD241-'ETF price'!AD240</f>
        <v>0.25</v>
      </c>
      <c r="AD239" s="3">
        <f ca="1">'ETF price'!AE241-'ETF price'!AE240</f>
        <v>0.37999999999999901</v>
      </c>
      <c r="AE239" s="3">
        <f ca="1">'ETF price'!AF241-'ETF price'!AF240</f>
        <v>3.0000000000000027E-2</v>
      </c>
      <c r="AF239" s="3">
        <f ca="1">'ETF price'!AG241-'ETF price'!AG240</f>
        <v>5.0000000000000711E-2</v>
      </c>
    </row>
    <row r="240" spans="1:32" ht="12.75" x14ac:dyDescent="0.2">
      <c r="A240" s="3">
        <f ca="1">'ETF price'!B242-'ETF price'!B241</f>
        <v>-1.1399999999999864</v>
      </c>
      <c r="B240" s="3">
        <f ca="1">'ETF price'!C242-'ETF price'!C241</f>
        <v>-2.5900000000000318</v>
      </c>
      <c r="C240" s="3">
        <f ca="1">'ETF price'!D242-'ETF price'!D241</f>
        <v>-3.1200000000000045</v>
      </c>
      <c r="D240" s="3">
        <f ca="1">'ETF price'!E242-'ETF price'!E241</f>
        <v>-1.9300000000000068</v>
      </c>
      <c r="E240" s="3">
        <f ca="1">'ETF price'!F242-'ETF price'!F241</f>
        <v>-7.0000000000000284E-2</v>
      </c>
      <c r="F240" s="3">
        <f ca="1">'ETF price'!G242-'ETF price'!G241</f>
        <v>-0.14999999999999858</v>
      </c>
      <c r="G240" s="3">
        <f ca="1">'ETF price'!H242-'ETF price'!H241</f>
        <v>-0.16000000000000014</v>
      </c>
      <c r="H240" s="3">
        <f ca="1">'ETF price'!I242-'ETF price'!I241</f>
        <v>0.21999999999999886</v>
      </c>
      <c r="I240" s="3">
        <f ca="1">'ETF price'!J242-'ETF price'!J241</f>
        <v>0.42000000000001592</v>
      </c>
      <c r="J240" s="3">
        <f ca="1">'ETF price'!K242-'ETF price'!K241</f>
        <v>0.72999999999998977</v>
      </c>
      <c r="K240" s="3">
        <f ca="1">'ETF price'!L242-'ETF price'!L241</f>
        <v>0.27000000000001023</v>
      </c>
      <c r="L240" s="3">
        <f ca="1">'ETF price'!M242-'ETF price'!M241</f>
        <v>7.000000000000739E-2</v>
      </c>
      <c r="M240" s="3">
        <f ca="1">'ETF price'!N242-'ETF price'!N241</f>
        <v>4.9999999999997158E-2</v>
      </c>
      <c r="N240" s="3">
        <f ca="1">'ETF price'!O242-'ETF price'!O241</f>
        <v>3.9999999999999147E-2</v>
      </c>
      <c r="O240" s="3">
        <f ca="1">'ETF price'!P242-'ETF price'!P241</f>
        <v>-0.52999999999998693</v>
      </c>
      <c r="P240" s="3">
        <f ca="1">'ETF price'!Q242-'ETF price'!Q241</f>
        <v>-0.70000000000000284</v>
      </c>
      <c r="Q240" s="3">
        <f ca="1">'ETF price'!R242-'ETF price'!R241</f>
        <v>-0.89000000000000057</v>
      </c>
      <c r="R240" s="3">
        <f ca="1">'ETF price'!S242-'ETF price'!S241</f>
        <v>-0.44999999999999574</v>
      </c>
      <c r="S240" s="3">
        <f ca="1">'ETF price'!T242-'ETF price'!T241</f>
        <v>0.19000000000000128</v>
      </c>
      <c r="T240" s="3">
        <f ca="1">'ETF price'!U242-'ETF price'!U241</f>
        <v>1.5</v>
      </c>
      <c r="U240" s="3">
        <f ca="1">'ETF price'!V242-'ETF price'!V241</f>
        <v>1.5799999999999983</v>
      </c>
      <c r="V240" s="3">
        <f ca="1">'ETF price'!W242-'ETF price'!W241</f>
        <v>-0.43999999999999773</v>
      </c>
      <c r="W240" s="3">
        <f ca="1">'ETF price'!X242-'ETF price'!X241</f>
        <v>-1.1200000000000045</v>
      </c>
      <c r="X240" s="3">
        <f ca="1">'ETF price'!Y242-'ETF price'!Y241</f>
        <v>-0.75999999999999801</v>
      </c>
      <c r="Y240" s="3">
        <f ca="1">'ETF price'!Z242-'ETF price'!Z241</f>
        <v>-1.0400000000000063</v>
      </c>
      <c r="Z240" s="3">
        <f ca="1">'ETF price'!AA242-'ETF price'!AA241</f>
        <v>-0.37999999999999545</v>
      </c>
      <c r="AA240" s="3">
        <f ca="1">'ETF price'!AB242-'ETF price'!AB241</f>
        <v>-1.1000000000000014</v>
      </c>
      <c r="AB240" s="3">
        <f ca="1">'ETF price'!AC242-'ETF price'!AC241</f>
        <v>-1.3500000000000014</v>
      </c>
      <c r="AC240" s="3">
        <f ca="1">'ETF price'!AD242-'ETF price'!AD241</f>
        <v>1.9999999999999574E-2</v>
      </c>
      <c r="AD240" s="3">
        <f ca="1">'ETF price'!AE242-'ETF price'!AE241</f>
        <v>4.0000000000000924E-2</v>
      </c>
      <c r="AE240" s="3">
        <f ca="1">'ETF price'!AF242-'ETF price'!AF241</f>
        <v>-5.0000000000000044E-2</v>
      </c>
      <c r="AF240" s="3">
        <f ca="1">'ETF price'!AG242-'ETF price'!AG241</f>
        <v>0.55000000000000071</v>
      </c>
    </row>
    <row r="241" spans="1:32" ht="12.75" x14ac:dyDescent="0.2">
      <c r="A241" s="3">
        <f ca="1">'ETF price'!B243-'ETF price'!B242</f>
        <v>-5.0200000000000102</v>
      </c>
      <c r="B241" s="3">
        <f ca="1">'ETF price'!C243-'ETF price'!C242</f>
        <v>-13.879999999999995</v>
      </c>
      <c r="C241" s="3">
        <f ca="1">'ETF price'!D243-'ETF price'!D242</f>
        <v>-0.79999999999999716</v>
      </c>
      <c r="D241" s="3">
        <f ca="1">'ETF price'!E243-'ETF price'!E242</f>
        <v>-5.3700000000000045</v>
      </c>
      <c r="E241" s="3">
        <f ca="1">'ETF price'!F243-'ETF price'!F242</f>
        <v>-1.3599999999999994</v>
      </c>
      <c r="F241" s="3">
        <f ca="1">'ETF price'!G243-'ETF price'!G242</f>
        <v>-0.87000000000000099</v>
      </c>
      <c r="G241" s="3">
        <f ca="1">'ETF price'!H243-'ETF price'!H242</f>
        <v>-0.82999999999999829</v>
      </c>
      <c r="H241" s="3">
        <f ca="1">'ETF price'!I243-'ETF price'!I242</f>
        <v>-2.5699999999999932</v>
      </c>
      <c r="I241" s="3">
        <f ca="1">'ETF price'!J243-'ETF price'!J242</f>
        <v>-5.9399999999999977</v>
      </c>
      <c r="J241" s="3">
        <f ca="1">'ETF price'!K243-'ETF price'!K242</f>
        <v>-2.4899999999999807</v>
      </c>
      <c r="K241" s="3">
        <f ca="1">'ETF price'!L243-'ETF price'!L242</f>
        <v>-2.4000000000000057</v>
      </c>
      <c r="L241" s="3">
        <f ca="1">'ETF price'!M243-'ETF price'!M242</f>
        <v>-1.9399999999999977</v>
      </c>
      <c r="M241" s="3">
        <f ca="1">'ETF price'!N243-'ETF price'!N242</f>
        <v>-1.2399999999999949</v>
      </c>
      <c r="N241" s="3">
        <f ca="1">'ETF price'!O243-'ETF price'!O242</f>
        <v>-1.4299999999999997</v>
      </c>
      <c r="O241" s="3">
        <f ca="1">'ETF price'!P243-'ETF price'!P242</f>
        <v>-0.52000000000001023</v>
      </c>
      <c r="P241" s="3">
        <f ca="1">'ETF price'!Q243-'ETF price'!Q242</f>
        <v>-1.960000000000008</v>
      </c>
      <c r="Q241" s="3">
        <f ca="1">'ETF price'!R243-'ETF price'!R242</f>
        <v>-2.5</v>
      </c>
      <c r="R241" s="3">
        <f ca="1">'ETF price'!S243-'ETF price'!S242</f>
        <v>-2.0500000000000043</v>
      </c>
      <c r="S241" s="3">
        <f ca="1">'ETF price'!T243-'ETF price'!T242</f>
        <v>-0.30000000000000071</v>
      </c>
      <c r="T241" s="3">
        <f ca="1">'ETF price'!U243-'ETF price'!U242</f>
        <v>-1.2099999999999937</v>
      </c>
      <c r="U241" s="3">
        <f ca="1">'ETF price'!V243-'ETF price'!V242</f>
        <v>-2.4900000000000091</v>
      </c>
      <c r="V241" s="3">
        <f ca="1">'ETF price'!W243-'ETF price'!W242</f>
        <v>-0.67999999999999972</v>
      </c>
      <c r="W241" s="3">
        <f ca="1">'ETF price'!X243-'ETF price'!X242</f>
        <v>-2.2399999999999949</v>
      </c>
      <c r="X241" s="3">
        <f ca="1">'ETF price'!Y243-'ETF price'!Y242</f>
        <v>-0.82999999999999829</v>
      </c>
      <c r="Y241" s="3">
        <f ca="1">'ETF price'!Z243-'ETF price'!Z242</f>
        <v>-1.3999999999999915</v>
      </c>
      <c r="Z241" s="3">
        <f ca="1">'ETF price'!AA243-'ETF price'!AA242</f>
        <v>-0.45000000000000284</v>
      </c>
      <c r="AA241" s="3">
        <f ca="1">'ETF price'!AB243-'ETF price'!AB242</f>
        <v>-1.0700000000000003</v>
      </c>
      <c r="AB241" s="3">
        <f ca="1">'ETF price'!AC243-'ETF price'!AC242</f>
        <v>-0.33999999999999631</v>
      </c>
      <c r="AC241" s="3">
        <f ca="1">'ETF price'!AD243-'ETF price'!AD242</f>
        <v>-0.15999999999999925</v>
      </c>
      <c r="AD241" s="3">
        <f ca="1">'ETF price'!AE243-'ETF price'!AE242</f>
        <v>-0.25999999999999979</v>
      </c>
      <c r="AE241" s="3">
        <f ca="1">'ETF price'!AF243-'ETF price'!AF242</f>
        <v>0</v>
      </c>
      <c r="AF241" s="3">
        <f ca="1">'ETF price'!AG243-'ETF price'!AG242</f>
        <v>0.32000000000000028</v>
      </c>
    </row>
    <row r="242" spans="1:32" ht="12.75" x14ac:dyDescent="0.2">
      <c r="A242" s="3">
        <f ca="1">'ETF price'!B244-'ETF price'!B243</f>
        <v>-1.7099999999999937</v>
      </c>
      <c r="B242" s="3">
        <f ca="1">'ETF price'!C244-'ETF price'!C243</f>
        <v>-4.3199999999999932</v>
      </c>
      <c r="C242" s="3">
        <f ca="1">'ETF price'!D244-'ETF price'!D243</f>
        <v>-1.2199999999999989</v>
      </c>
      <c r="D242" s="3">
        <f ca="1">'ETF price'!E244-'ETF price'!E243</f>
        <v>-0.92000000000000171</v>
      </c>
      <c r="E242" s="3">
        <f ca="1">'ETF price'!F244-'ETF price'!F243</f>
        <v>-0.29999999999999716</v>
      </c>
      <c r="F242" s="3">
        <f ca="1">'ETF price'!G244-'ETF price'!G243</f>
        <v>3.0000000000001137E-2</v>
      </c>
      <c r="G242" s="3">
        <f ca="1">'ETF price'!H244-'ETF price'!H243</f>
        <v>-0.21000000000000085</v>
      </c>
      <c r="H242" s="3">
        <f ca="1">'ETF price'!I244-'ETF price'!I243</f>
        <v>-2</v>
      </c>
      <c r="I242" s="3">
        <f ca="1">'ETF price'!J244-'ETF price'!J243</f>
        <v>-3.25</v>
      </c>
      <c r="J242" s="3">
        <f ca="1">'ETF price'!K244-'ETF price'!K243</f>
        <v>-1.2400000000000091</v>
      </c>
      <c r="K242" s="3">
        <f ca="1">'ETF price'!L244-'ETF price'!L243</f>
        <v>0.26999999999999602</v>
      </c>
      <c r="L242" s="3">
        <f ca="1">'ETF price'!M244-'ETF price'!M243</f>
        <v>1.9999999999996021E-2</v>
      </c>
      <c r="M242" s="3">
        <f ca="1">'ETF price'!N244-'ETF price'!N243</f>
        <v>-1.0300000000000011</v>
      </c>
      <c r="N242" s="3">
        <f ca="1">'ETF price'!O244-'ETF price'!O243</f>
        <v>-8.9999999999996305E-2</v>
      </c>
      <c r="O242" s="3">
        <f ca="1">'ETF price'!P244-'ETF price'!P243</f>
        <v>-1.0499999999999972</v>
      </c>
      <c r="P242" s="3">
        <f ca="1">'ETF price'!Q244-'ETF price'!Q243</f>
        <v>-1.5299999999999869</v>
      </c>
      <c r="Q242" s="3">
        <f ca="1">'ETF price'!R244-'ETF price'!R243</f>
        <v>-0.34000000000000341</v>
      </c>
      <c r="R242" s="3">
        <f ca="1">'ETF price'!S244-'ETF price'!S243</f>
        <v>0.14000000000000057</v>
      </c>
      <c r="S242" s="3">
        <f ca="1">'ETF price'!T244-'ETF price'!T243</f>
        <v>-0.30999999999999872</v>
      </c>
      <c r="T242" s="3">
        <f ca="1">'ETF price'!U244-'ETF price'!U243</f>
        <v>-1.25</v>
      </c>
      <c r="U242" s="3">
        <f ca="1">'ETF price'!V244-'ETF price'!V243</f>
        <v>-1.8099999999999881</v>
      </c>
      <c r="V242" s="3">
        <f ca="1">'ETF price'!W244-'ETF price'!W243</f>
        <v>-0.25999999999999801</v>
      </c>
      <c r="W242" s="3">
        <f ca="1">'ETF price'!X244-'ETF price'!X243</f>
        <v>-0.75</v>
      </c>
      <c r="X242" s="3">
        <f ca="1">'ETF price'!Y244-'ETF price'!Y243</f>
        <v>-0.35999999999999943</v>
      </c>
      <c r="Y242" s="3">
        <f ca="1">'ETF price'!Z244-'ETF price'!Z243</f>
        <v>-0.64000000000000057</v>
      </c>
      <c r="Z242" s="3">
        <f ca="1">'ETF price'!AA244-'ETF price'!AA243</f>
        <v>-1.1400000000000006</v>
      </c>
      <c r="AA242" s="3">
        <f ca="1">'ETF price'!AB244-'ETF price'!AB243</f>
        <v>-0.49000000000000199</v>
      </c>
      <c r="AB242" s="3">
        <f ca="1">'ETF price'!AC244-'ETF price'!AC243</f>
        <v>-0.25</v>
      </c>
      <c r="AC242" s="3">
        <f ca="1">'ETF price'!AD244-'ETF price'!AD243</f>
        <v>-0.25</v>
      </c>
      <c r="AD242" s="3">
        <f ca="1">'ETF price'!AE244-'ETF price'!AE243</f>
        <v>-0.38000000000000078</v>
      </c>
      <c r="AE242" s="3">
        <f ca="1">'ETF price'!AF244-'ETF price'!AF243</f>
        <v>-3.0000000000000027E-2</v>
      </c>
      <c r="AF242" s="3">
        <f ca="1">'ETF price'!AG244-'ETF price'!AG243</f>
        <v>-1.4000000000000004</v>
      </c>
    </row>
    <row r="243" spans="1:32" ht="12.75" x14ac:dyDescent="0.2">
      <c r="A243" s="3">
        <f ca="1">'ETF price'!B245-'ETF price'!B244</f>
        <v>-2.0600000000000023</v>
      </c>
      <c r="B243" s="3">
        <f ca="1">'ETF price'!C245-'ETF price'!C244</f>
        <v>-4.6999999999999886</v>
      </c>
      <c r="C243" s="3">
        <f ca="1">'ETF price'!D245-'ETF price'!D244</f>
        <v>0.17000000000000171</v>
      </c>
      <c r="D243" s="3">
        <f ca="1">'ETF price'!E245-'ETF price'!E244</f>
        <v>-1.4899999999999949</v>
      </c>
      <c r="E243" s="3">
        <f ca="1">'ETF price'!F245-'ETF price'!F244</f>
        <v>-0.82999999999999829</v>
      </c>
      <c r="F243" s="3">
        <f ca="1">'ETF price'!G245-'ETF price'!G244</f>
        <v>-0.23000000000000043</v>
      </c>
      <c r="G243" s="3">
        <f ca="1">'ETF price'!H245-'ETF price'!H244</f>
        <v>-0.44000000000000128</v>
      </c>
      <c r="H243" s="3">
        <f ca="1">'ETF price'!I245-'ETF price'!I244</f>
        <v>-1.0600000000000023</v>
      </c>
      <c r="I243" s="3">
        <f ca="1">'ETF price'!J245-'ETF price'!J244</f>
        <v>-1.1800000000000068</v>
      </c>
      <c r="J243" s="3">
        <f ca="1">'ETF price'!K245-'ETF price'!K244</f>
        <v>-2.4399999999999977</v>
      </c>
      <c r="K243" s="3">
        <f ca="1">'ETF price'!L245-'ETF price'!L244</f>
        <v>-1.6599999999999966</v>
      </c>
      <c r="L243" s="3">
        <f ca="1">'ETF price'!M245-'ETF price'!M244</f>
        <v>-1.2899999999999991</v>
      </c>
      <c r="M243" s="3">
        <f ca="1">'ETF price'!N245-'ETF price'!N244</f>
        <v>-0.35000000000000142</v>
      </c>
      <c r="N243" s="3">
        <f ca="1">'ETF price'!O245-'ETF price'!O244</f>
        <v>-2</v>
      </c>
      <c r="O243" s="3">
        <f ca="1">'ETF price'!P245-'ETF price'!P244</f>
        <v>-0.87000000000000455</v>
      </c>
      <c r="P243" s="3">
        <f ca="1">'ETF price'!Q245-'ETF price'!Q244</f>
        <v>-0.23000000000000398</v>
      </c>
      <c r="Q243" s="3">
        <f ca="1">'ETF price'!R245-'ETF price'!R244</f>
        <v>-1.5300000000000011</v>
      </c>
      <c r="R243" s="3">
        <f ca="1">'ETF price'!S245-'ETF price'!S244</f>
        <v>-1.2199999999999989</v>
      </c>
      <c r="S243" s="3">
        <f ca="1">'ETF price'!T245-'ETF price'!T244</f>
        <v>-0.19000000000000128</v>
      </c>
      <c r="T243" s="3">
        <f ca="1">'ETF price'!U245-'ETF price'!U244</f>
        <v>1.1699999999999875</v>
      </c>
      <c r="U243" s="3">
        <f ca="1">'ETF price'!V245-'ETF price'!V244</f>
        <v>-1.0300000000000011</v>
      </c>
      <c r="V243" s="3">
        <f ca="1">'ETF price'!W245-'ETF price'!W244</f>
        <v>-0.30000000000000426</v>
      </c>
      <c r="W243" s="3">
        <f ca="1">'ETF price'!X245-'ETF price'!X244</f>
        <v>-0.21999999999999886</v>
      </c>
      <c r="X243" s="3">
        <f ca="1">'ETF price'!Y245-'ETF price'!Y244</f>
        <v>-0.28999999999999915</v>
      </c>
      <c r="Y243" s="3">
        <f ca="1">'ETF price'!Z245-'ETF price'!Z244</f>
        <v>-0.18000000000000682</v>
      </c>
      <c r="Z243" s="3">
        <f ca="1">'ETF price'!AA245-'ETF price'!AA244</f>
        <v>-0.85999999999999943</v>
      </c>
      <c r="AA243" s="3">
        <f ca="1">'ETF price'!AB245-'ETF price'!AB244</f>
        <v>-0.10999999999999943</v>
      </c>
      <c r="AB243" s="3">
        <f ca="1">'ETF price'!AC245-'ETF price'!AC244</f>
        <v>4.9999999999997158E-2</v>
      </c>
      <c r="AC243" s="3">
        <f ca="1">'ETF price'!AD245-'ETF price'!AD244</f>
        <v>-0.12000000000000011</v>
      </c>
      <c r="AD243" s="3">
        <f ca="1">'ETF price'!AE245-'ETF price'!AE244</f>
        <v>-0.17999999999999972</v>
      </c>
      <c r="AE243" s="3">
        <f ca="1">'ETF price'!AF245-'ETF price'!AF244</f>
        <v>-7.9999999999999849E-2</v>
      </c>
      <c r="AF243" s="3">
        <f ca="1">'ETF price'!AG245-'ETF price'!AG244</f>
        <v>-1.0400000000000009</v>
      </c>
    </row>
    <row r="244" spans="1:32" ht="12.75" x14ac:dyDescent="0.2">
      <c r="A244" s="3">
        <f ca="1">'ETF price'!B246-'ETF price'!B245</f>
        <v>0.18999999999999773</v>
      </c>
      <c r="B244" s="3">
        <f ca="1">'ETF price'!C246-'ETF price'!C245</f>
        <v>0.70999999999997954</v>
      </c>
      <c r="C244" s="3">
        <f ca="1">'ETF price'!D246-'ETF price'!D245</f>
        <v>1.2600000000000051</v>
      </c>
      <c r="D244" s="3">
        <f ca="1">'ETF price'!E246-'ETF price'!E245</f>
        <v>-0.73000000000000398</v>
      </c>
      <c r="E244" s="3">
        <f ca="1">'ETF price'!F246-'ETF price'!F245</f>
        <v>0.33999999999999631</v>
      </c>
      <c r="F244" s="3">
        <f ca="1">'ETF price'!G246-'ETF price'!G245</f>
        <v>1.9999999999999574E-2</v>
      </c>
      <c r="G244" s="3">
        <f ca="1">'ETF price'!H246-'ETF price'!H245</f>
        <v>8.9999999999999858E-2</v>
      </c>
      <c r="H244" s="3">
        <f ca="1">'ETF price'!I246-'ETF price'!I245</f>
        <v>-3.0000000000001137E-2</v>
      </c>
      <c r="I244" s="3">
        <f ca="1">'ETF price'!J246-'ETF price'!J245</f>
        <v>0.30000000000001137</v>
      </c>
      <c r="J244" s="3">
        <f ca="1">'ETF price'!K246-'ETF price'!K245</f>
        <v>1.5200000000000102</v>
      </c>
      <c r="K244" s="3">
        <f ca="1">'ETF price'!L246-'ETF price'!L245</f>
        <v>1.480000000000004</v>
      </c>
      <c r="L244" s="3">
        <f ca="1">'ETF price'!M246-'ETF price'!M245</f>
        <v>0.80000000000000426</v>
      </c>
      <c r="M244" s="3">
        <f ca="1">'ETF price'!N246-'ETF price'!N245</f>
        <v>7.0000000000000284E-2</v>
      </c>
      <c r="N244" s="3">
        <f ca="1">'ETF price'!O246-'ETF price'!O245</f>
        <v>0.67999999999999972</v>
      </c>
      <c r="O244" s="3">
        <f ca="1">'ETF price'!P246-'ETF price'!P245</f>
        <v>1.2600000000000051</v>
      </c>
      <c r="P244" s="3">
        <f ca="1">'ETF price'!Q246-'ETF price'!Q245</f>
        <v>1.769999999999996</v>
      </c>
      <c r="Q244" s="3">
        <f ca="1">'ETF price'!R246-'ETF price'!R245</f>
        <v>0.51000000000000512</v>
      </c>
      <c r="R244" s="3">
        <f ca="1">'ETF price'!S246-'ETF price'!S245</f>
        <v>1.2800000000000011</v>
      </c>
      <c r="S244" s="3">
        <f ca="1">'ETF price'!T246-'ETF price'!T245</f>
        <v>0.10999999999999943</v>
      </c>
      <c r="T244" s="3">
        <f ca="1">'ETF price'!U246-'ETF price'!U245</f>
        <v>0.15000000000000568</v>
      </c>
      <c r="U244" s="3">
        <f ca="1">'ETF price'!V246-'ETF price'!V245</f>
        <v>-0.59000000000000341</v>
      </c>
      <c r="V244" s="3">
        <f ca="1">'ETF price'!W246-'ETF price'!W245</f>
        <v>0.14000000000000057</v>
      </c>
      <c r="W244" s="3">
        <f ca="1">'ETF price'!X246-'ETF price'!X245</f>
        <v>0.34999999999999432</v>
      </c>
      <c r="X244" s="3">
        <f ca="1">'ETF price'!Y246-'ETF price'!Y245</f>
        <v>0.21999999999999886</v>
      </c>
      <c r="Y244" s="3">
        <f ca="1">'ETF price'!Z246-'ETF price'!Z245</f>
        <v>0.21999999999999886</v>
      </c>
      <c r="Z244" s="3">
        <f ca="1">'ETF price'!AA246-'ETF price'!AA245</f>
        <v>-7.9999999999998295E-2</v>
      </c>
      <c r="AA244" s="3">
        <f ca="1">'ETF price'!AB246-'ETF price'!AB245</f>
        <v>0.28000000000000114</v>
      </c>
      <c r="AB244" s="3">
        <f ca="1">'ETF price'!AC246-'ETF price'!AC245</f>
        <v>0.77000000000000313</v>
      </c>
      <c r="AC244" s="3">
        <f ca="1">'ETF price'!AD246-'ETF price'!AD245</f>
        <v>0.14999999999999947</v>
      </c>
      <c r="AD244" s="3">
        <f ca="1">'ETF price'!AE246-'ETF price'!AE245</f>
        <v>0.23000000000000043</v>
      </c>
      <c r="AE244" s="3">
        <f ca="1">'ETF price'!AF246-'ETF price'!AF245</f>
        <v>-4.0000000000000036E-2</v>
      </c>
      <c r="AF244" s="3">
        <f ca="1">'ETF price'!AG246-'ETF price'!AG245</f>
        <v>6.0000000000000497E-2</v>
      </c>
    </row>
    <row r="245" spans="1:32" ht="12.75" x14ac:dyDescent="0.2">
      <c r="A245" s="3">
        <f ca="1">'ETF price'!B247-'ETF price'!B246</f>
        <v>2.0799999999999983</v>
      </c>
      <c r="B245" s="3">
        <f ca="1">'ETF price'!C247-'ETF price'!C246</f>
        <v>5.1000000000000227</v>
      </c>
      <c r="C245" s="3">
        <f ca="1">'ETF price'!D247-'ETF price'!D246</f>
        <v>-2.1099999999999994</v>
      </c>
      <c r="D245" s="3">
        <f ca="1">'ETF price'!E247-'ETF price'!E246</f>
        <v>2.6700000000000017</v>
      </c>
      <c r="E245" s="3">
        <f ca="1">'ETF price'!F247-'ETF price'!F246</f>
        <v>3.0000000000001137E-2</v>
      </c>
      <c r="F245" s="3">
        <f ca="1">'ETF price'!G247-'ETF price'!G246</f>
        <v>0.28999999999999915</v>
      </c>
      <c r="G245" s="3">
        <f ca="1">'ETF price'!H247-'ETF price'!H246</f>
        <v>0.40000000000000213</v>
      </c>
      <c r="H245" s="3">
        <f ca="1">'ETF price'!I247-'ETF price'!I246</f>
        <v>1.7700000000000102</v>
      </c>
      <c r="I245" s="3">
        <f ca="1">'ETF price'!J247-'ETF price'!J246</f>
        <v>3.1499999999999773</v>
      </c>
      <c r="J245" s="3">
        <f ca="1">'ETF price'!K247-'ETF price'!K246</f>
        <v>1.6499999999999773</v>
      </c>
      <c r="K245" s="3">
        <f ca="1">'ETF price'!L247-'ETF price'!L246</f>
        <v>1.7999999999999972</v>
      </c>
      <c r="L245" s="3">
        <f ca="1">'ETF price'!M247-'ETF price'!M246</f>
        <v>0.37999999999999545</v>
      </c>
      <c r="M245" s="3">
        <f ca="1">'ETF price'!N247-'ETF price'!N246</f>
        <v>0.85999999999999943</v>
      </c>
      <c r="N245" s="3">
        <f ca="1">'ETF price'!O247-'ETF price'!O246</f>
        <v>1.1199999999999974</v>
      </c>
      <c r="O245" s="3">
        <f ca="1">'ETF price'!P247-'ETF price'!P246</f>
        <v>1.6099999999999994</v>
      </c>
      <c r="P245" s="3">
        <f ca="1">'ETF price'!Q247-'ETF price'!Q246</f>
        <v>2.3599999999999994</v>
      </c>
      <c r="Q245" s="3">
        <f ca="1">'ETF price'!R247-'ETF price'!R246</f>
        <v>0.67999999999999261</v>
      </c>
      <c r="R245" s="3">
        <f ca="1">'ETF price'!S247-'ETF price'!S246</f>
        <v>1.2800000000000011</v>
      </c>
      <c r="S245" s="3">
        <f ca="1">'ETF price'!T247-'ETF price'!T246</f>
        <v>0.31000000000000227</v>
      </c>
      <c r="T245" s="3">
        <f ca="1">'ETF price'!U247-'ETF price'!U246</f>
        <v>1.8400000000000034</v>
      </c>
      <c r="U245" s="3">
        <f ca="1">'ETF price'!V247-'ETF price'!V246</f>
        <v>1.6099999999999994</v>
      </c>
      <c r="V245" s="3">
        <f ca="1">'ETF price'!W247-'ETF price'!W246</f>
        <v>0.52000000000000313</v>
      </c>
      <c r="W245" s="3">
        <f ca="1">'ETF price'!X247-'ETF price'!X246</f>
        <v>1.3800000000000097</v>
      </c>
      <c r="X245" s="3">
        <f ca="1">'ETF price'!Y247-'ETF price'!Y246</f>
        <v>0.79999999999999716</v>
      </c>
      <c r="Y245" s="3">
        <f ca="1">'ETF price'!Z247-'ETF price'!Z246</f>
        <v>1.3300000000000125</v>
      </c>
      <c r="Z245" s="3">
        <f ca="1">'ETF price'!AA247-'ETF price'!AA246</f>
        <v>0.36999999999999744</v>
      </c>
      <c r="AA245" s="3">
        <f ca="1">'ETF price'!AB247-'ETF price'!AB246</f>
        <v>0.95000000000000284</v>
      </c>
      <c r="AB245" s="3">
        <f ca="1">'ETF price'!AC247-'ETF price'!AC246</f>
        <v>-0.44000000000000483</v>
      </c>
      <c r="AC245" s="3">
        <f ca="1">'ETF price'!AD247-'ETF price'!AD246</f>
        <v>-4.0000000000000036E-2</v>
      </c>
      <c r="AD245" s="3">
        <f ca="1">'ETF price'!AE247-'ETF price'!AE246</f>
        <v>-7.0000000000000284E-2</v>
      </c>
      <c r="AE245" s="3">
        <f ca="1">'ETF price'!AF247-'ETF price'!AF246</f>
        <v>1.0000000000000009E-2</v>
      </c>
      <c r="AF245" s="3">
        <f ca="1">'ETF price'!AG247-'ETF price'!AG246</f>
        <v>-0.32000000000000028</v>
      </c>
    </row>
    <row r="246" spans="1:32" ht="12.75" x14ac:dyDescent="0.2">
      <c r="A246" s="3">
        <f ca="1">'ETF price'!B248-'ETF price'!B247</f>
        <v>-3.2199999999999989</v>
      </c>
      <c r="B246" s="3">
        <f ca="1">'ETF price'!C248-'ETF price'!C247</f>
        <v>-8.1100000000000136</v>
      </c>
      <c r="C246" s="3">
        <f ca="1">'ETF price'!D248-'ETF price'!D247</f>
        <v>9.9999999999994316E-2</v>
      </c>
      <c r="D246" s="3">
        <f ca="1">'ETF price'!E248-'ETF price'!E247</f>
        <v>-4.9000000000000057</v>
      </c>
      <c r="E246" s="3">
        <f ca="1">'ETF price'!F248-'ETF price'!F247</f>
        <v>-0.53999999999999915</v>
      </c>
      <c r="F246" s="3">
        <f ca="1">'ETF price'!G248-'ETF price'!G247</f>
        <v>-0.51999999999999957</v>
      </c>
      <c r="G246" s="3">
        <f ca="1">'ETF price'!H248-'ETF price'!H247</f>
        <v>-0.28000000000000114</v>
      </c>
      <c r="H246" s="3">
        <f ca="1">'ETF price'!I248-'ETF price'!I247</f>
        <v>-0.18999999999999773</v>
      </c>
      <c r="I246" s="3">
        <f ca="1">'ETF price'!J248-'ETF price'!J247</f>
        <v>-0.23999999999998067</v>
      </c>
      <c r="J246" s="3">
        <f ca="1">'ETF price'!K248-'ETF price'!K247</f>
        <v>0.10000000000002274</v>
      </c>
      <c r="K246" s="3">
        <f ca="1">'ETF price'!L248-'ETF price'!L247</f>
        <v>0.23999999999999488</v>
      </c>
      <c r="L246" s="3">
        <f ca="1">'ETF price'!M248-'ETF price'!M247</f>
        <v>-0.21999999999999886</v>
      </c>
      <c r="M246" s="3">
        <f ca="1">'ETF price'!N248-'ETF price'!N247</f>
        <v>-9.9999999999994316E-2</v>
      </c>
      <c r="N246" s="3">
        <f ca="1">'ETF price'!O248-'ETF price'!O247</f>
        <v>-0.15999999999999659</v>
      </c>
      <c r="O246" s="3">
        <f ca="1">'ETF price'!P248-'ETF price'!P247</f>
        <v>-1.9899999999999949</v>
      </c>
      <c r="P246" s="3">
        <f ca="1">'ETF price'!Q248-'ETF price'!Q247</f>
        <v>-3</v>
      </c>
      <c r="Q246" s="3">
        <f ca="1">'ETF price'!R248-'ETF price'!R247</f>
        <v>-0.75999999999999091</v>
      </c>
      <c r="R246" s="3">
        <f ca="1">'ETF price'!S248-'ETF price'!S247</f>
        <v>-0.90000000000000568</v>
      </c>
      <c r="S246" s="3">
        <f ca="1">'ETF price'!T248-'ETF price'!T247</f>
        <v>-0.31000000000000227</v>
      </c>
      <c r="T246" s="3">
        <f ca="1">'ETF price'!U248-'ETF price'!U247</f>
        <v>-0.35999999999999943</v>
      </c>
      <c r="U246" s="3">
        <f ca="1">'ETF price'!V248-'ETF price'!V247</f>
        <v>-2.5600000000000023</v>
      </c>
      <c r="V246" s="3">
        <f ca="1">'ETF price'!W248-'ETF price'!W247</f>
        <v>-0.30000000000000426</v>
      </c>
      <c r="W246" s="3">
        <f ca="1">'ETF price'!X248-'ETF price'!X247</f>
        <v>-0.81000000000000227</v>
      </c>
      <c r="X246" s="3">
        <f ca="1">'ETF price'!Y248-'ETF price'!Y247</f>
        <v>-0.28000000000000114</v>
      </c>
      <c r="Y246" s="3">
        <f ca="1">'ETF price'!Z248-'ETF price'!Z247</f>
        <v>-0.75</v>
      </c>
      <c r="Z246" s="3">
        <f ca="1">'ETF price'!AA248-'ETF price'!AA247</f>
        <v>-0.17999999999999972</v>
      </c>
      <c r="AA246" s="3">
        <f ca="1">'ETF price'!AB248-'ETF price'!AB247</f>
        <v>-0.21999999999999886</v>
      </c>
      <c r="AB246" s="3">
        <f ca="1">'ETF price'!AC248-'ETF price'!AC247</f>
        <v>0.24000000000000199</v>
      </c>
      <c r="AC246" s="3">
        <f ca="1">'ETF price'!AD248-'ETF price'!AD247</f>
        <v>0</v>
      </c>
      <c r="AD246" s="3">
        <f ca="1">'ETF price'!AE248-'ETF price'!AE247</f>
        <v>-1.9999999999999574E-2</v>
      </c>
      <c r="AE246" s="3">
        <f ca="1">'ETF price'!AF248-'ETF price'!AF247</f>
        <v>-1.0000000000000009E-2</v>
      </c>
      <c r="AF246" s="3">
        <f ca="1">'ETF price'!AG248-'ETF price'!AG247</f>
        <v>-0.10999999999999943</v>
      </c>
    </row>
    <row r="247" spans="1:32" ht="12.75" x14ac:dyDescent="0.2">
      <c r="A247" s="3">
        <f ca="1">'ETF price'!B249-'ETF price'!B248</f>
        <v>0.12999999999999545</v>
      </c>
      <c r="B247" s="3">
        <f ca="1">'ETF price'!C249-'ETF price'!C248</f>
        <v>0.12000000000000455</v>
      </c>
      <c r="C247" s="3">
        <f ca="1">'ETF price'!D249-'ETF price'!D248</f>
        <v>-0.87000000000000455</v>
      </c>
      <c r="D247" s="3">
        <f ca="1">'ETF price'!E249-'ETF price'!E248</f>
        <v>0.10000000000000853</v>
      </c>
      <c r="E247" s="3">
        <f ca="1">'ETF price'!F249-'ETF price'!F248</f>
        <v>-0.20000000000000284</v>
      </c>
      <c r="F247" s="3">
        <f ca="1">'ETF price'!G249-'ETF price'!G248</f>
        <v>0</v>
      </c>
      <c r="G247" s="3">
        <f ca="1">'ETF price'!H249-'ETF price'!H248</f>
        <v>1.0000000000001563E-2</v>
      </c>
      <c r="H247" s="3">
        <f ca="1">'ETF price'!I249-'ETF price'!I248</f>
        <v>7.9999999999984084E-2</v>
      </c>
      <c r="I247" s="3">
        <f ca="1">'ETF price'!J249-'ETF price'!J248</f>
        <v>-0.28999999999999204</v>
      </c>
      <c r="J247" s="3">
        <f ca="1">'ETF price'!K249-'ETF price'!K248</f>
        <v>-1.8000000000000114</v>
      </c>
      <c r="K247" s="3">
        <f ca="1">'ETF price'!L249-'ETF price'!L248</f>
        <v>-1.9399999999999977</v>
      </c>
      <c r="L247" s="3">
        <f ca="1">'ETF price'!M249-'ETF price'!M248</f>
        <v>-1.009999999999998</v>
      </c>
      <c r="M247" s="3">
        <f ca="1">'ETF price'!N249-'ETF price'!N248</f>
        <v>-8.0000000000012506E-2</v>
      </c>
      <c r="N247" s="3">
        <f ca="1">'ETF price'!O249-'ETF price'!O248</f>
        <v>-1.3200000000000003</v>
      </c>
      <c r="O247" s="3">
        <f ca="1">'ETF price'!P249-'ETF price'!P248</f>
        <v>2.6899999999999977</v>
      </c>
      <c r="P247" s="3">
        <f ca="1">'ETF price'!Q249-'ETF price'!Q248</f>
        <v>3.8599999999999994</v>
      </c>
      <c r="Q247" s="3">
        <f ca="1">'ETF price'!R249-'ETF price'!R248</f>
        <v>0.53999999999999204</v>
      </c>
      <c r="R247" s="3">
        <f ca="1">'ETF price'!S249-'ETF price'!S248</f>
        <v>0.38000000000000256</v>
      </c>
      <c r="S247" s="3">
        <f ca="1">'ETF price'!T249-'ETF price'!T248</f>
        <v>0.44000000000000128</v>
      </c>
      <c r="T247" s="3">
        <f ca="1">'ETF price'!U249-'ETF price'!U248</f>
        <v>1.6199999999999903</v>
      </c>
      <c r="U247" s="3">
        <f ca="1">'ETF price'!V249-'ETF price'!V248</f>
        <v>-1</v>
      </c>
      <c r="V247" s="3">
        <f ca="1">'ETF price'!W249-'ETF price'!W248</f>
        <v>0.19000000000000483</v>
      </c>
      <c r="W247" s="3">
        <f ca="1">'ETF price'!X249-'ETF price'!X248</f>
        <v>0.54999999999999716</v>
      </c>
      <c r="X247" s="3">
        <f ca="1">'ETF price'!Y249-'ETF price'!Y248</f>
        <v>0.28000000000000114</v>
      </c>
      <c r="Y247" s="3">
        <f ca="1">'ETF price'!Z249-'ETF price'!Z248</f>
        <v>0.45999999999999375</v>
      </c>
      <c r="Z247" s="3">
        <f ca="1">'ETF price'!AA249-'ETF price'!AA248</f>
        <v>0.32999999999999829</v>
      </c>
      <c r="AA247" s="3">
        <f ca="1">'ETF price'!AB249-'ETF price'!AB248</f>
        <v>0.37999999999999545</v>
      </c>
      <c r="AB247" s="3">
        <f ca="1">'ETF price'!AC249-'ETF price'!AC248</f>
        <v>-2.0000000000003126E-2</v>
      </c>
      <c r="AC247" s="3">
        <f ca="1">'ETF price'!AD249-'ETF price'!AD248</f>
        <v>2.0000000000000462E-2</v>
      </c>
      <c r="AD247" s="3">
        <f ca="1">'ETF price'!AE249-'ETF price'!AE248</f>
        <v>3.9999999999999147E-2</v>
      </c>
      <c r="AE247" s="3">
        <f ca="1">'ETF price'!AF249-'ETF price'!AF248</f>
        <v>-2.0000000000000018E-2</v>
      </c>
      <c r="AF247" s="3">
        <f ca="1">'ETF price'!AG249-'ETF price'!AG248</f>
        <v>2.9999999999999361E-2</v>
      </c>
    </row>
    <row r="248" spans="1:32" ht="12.75" x14ac:dyDescent="0.2">
      <c r="A248" s="3">
        <f ca="1">'ETF price'!B250-'ETF price'!B249</f>
        <v>-1.1799999999999926</v>
      </c>
      <c r="B248" s="3">
        <f ca="1">'ETF price'!C250-'ETF price'!C249</f>
        <v>-3.1200000000000045</v>
      </c>
      <c r="C248" s="3">
        <f ca="1">'ETF price'!D250-'ETF price'!D249</f>
        <v>-1.1999999999999886</v>
      </c>
      <c r="D248" s="3">
        <f ca="1">'ETF price'!E250-'ETF price'!E249</f>
        <v>-2.1000000000000085</v>
      </c>
      <c r="E248" s="3">
        <f ca="1">'ETF price'!F250-'ETF price'!F249</f>
        <v>-0.26999999999999602</v>
      </c>
      <c r="F248" s="3">
        <f ca="1">'ETF price'!G250-'ETF price'!G249</f>
        <v>-0.23999999999999844</v>
      </c>
      <c r="G248" s="3">
        <f ca="1">'ETF price'!H250-'ETF price'!H249</f>
        <v>-0.14000000000000057</v>
      </c>
      <c r="H248" s="3">
        <f ca="1">'ETF price'!I250-'ETF price'!I249</f>
        <v>-0.34999999999999432</v>
      </c>
      <c r="I248" s="3">
        <f ca="1">'ETF price'!J250-'ETF price'!J249</f>
        <v>-1.2000000000000171</v>
      </c>
      <c r="J248" s="3">
        <f ca="1">'ETF price'!K250-'ETF price'!K249</f>
        <v>-2.7599999999999909</v>
      </c>
      <c r="K248" s="3">
        <f ca="1">'ETF price'!L250-'ETF price'!L249</f>
        <v>-2.3399999999999892</v>
      </c>
      <c r="L248" s="3">
        <f ca="1">'ETF price'!M250-'ETF price'!M249</f>
        <v>-1.0800000000000054</v>
      </c>
      <c r="M248" s="3">
        <f ca="1">'ETF price'!N250-'ETF price'!N249</f>
        <v>-0.29999999999999005</v>
      </c>
      <c r="N248" s="3">
        <f ca="1">'ETF price'!O250-'ETF price'!O249</f>
        <v>-1.4400000000000048</v>
      </c>
      <c r="O248" s="3">
        <f ca="1">'ETF price'!P250-'ETF price'!P249</f>
        <v>0.92999999999999261</v>
      </c>
      <c r="P248" s="3">
        <f ca="1">'ETF price'!Q250-'ETF price'!Q249</f>
        <v>1.2199999999999989</v>
      </c>
      <c r="Q248" s="3">
        <f ca="1">'ETF price'!R250-'ETF price'!R249</f>
        <v>7.000000000000739E-2</v>
      </c>
      <c r="R248" s="3">
        <f ca="1">'ETF price'!S250-'ETF price'!S249</f>
        <v>0.41000000000000369</v>
      </c>
      <c r="S248" s="3">
        <f ca="1">'ETF price'!T250-'ETF price'!T249</f>
        <v>0.21999999999999886</v>
      </c>
      <c r="T248" s="3">
        <f ca="1">'ETF price'!U250-'ETF price'!U249</f>
        <v>0.21000000000000796</v>
      </c>
      <c r="U248" s="3">
        <f ca="1">'ETF price'!V250-'ETF price'!V249</f>
        <v>-1.7800000000000011</v>
      </c>
      <c r="V248" s="3">
        <f ca="1">'ETF price'!W250-'ETF price'!W249</f>
        <v>-1.0000000000005116E-2</v>
      </c>
      <c r="W248" s="3">
        <f ca="1">'ETF price'!X250-'ETF price'!X249</f>
        <v>-9.0000000000003411E-2</v>
      </c>
      <c r="X248" s="3">
        <f ca="1">'ETF price'!Y250-'ETF price'!Y249</f>
        <v>3.0000000000001137E-2</v>
      </c>
      <c r="Y248" s="3">
        <f ca="1">'ETF price'!Z250-'ETF price'!Z249</f>
        <v>-4.0000000000006253E-2</v>
      </c>
      <c r="Z248" s="3">
        <f ca="1">'ETF price'!AA250-'ETF price'!AA249</f>
        <v>-3.0000000000001137E-2</v>
      </c>
      <c r="AA248" s="3">
        <f ca="1">'ETF price'!AB250-'ETF price'!AB249</f>
        <v>6.0000000000002274E-2</v>
      </c>
      <c r="AB248" s="3">
        <f ca="1">'ETF price'!AC250-'ETF price'!AC249</f>
        <v>-0.20999999999999375</v>
      </c>
      <c r="AC248" s="3">
        <f ca="1">'ETF price'!AD250-'ETF price'!AD249</f>
        <v>-7.0000000000000284E-2</v>
      </c>
      <c r="AD248" s="3">
        <f ca="1">'ETF price'!AE250-'ETF price'!AE249</f>
        <v>-0.13000000000000078</v>
      </c>
      <c r="AE248" s="3">
        <f ca="1">'ETF price'!AF250-'ETF price'!AF249</f>
        <v>-0.10000000000000009</v>
      </c>
      <c r="AF248" s="3">
        <f ca="1">'ETF price'!AG250-'ETF price'!AG249</f>
        <v>-0.67999999999999972</v>
      </c>
    </row>
    <row r="249" spans="1:32" ht="12.75" x14ac:dyDescent="0.2">
      <c r="A249" s="3">
        <f ca="1">'ETF price'!B251-'ETF price'!B250</f>
        <v>-1.9899999999999949</v>
      </c>
      <c r="B249" s="3">
        <f ca="1">'ETF price'!C251-'ETF price'!C250</f>
        <v>-4.9699999999999704</v>
      </c>
      <c r="C249" s="3">
        <f ca="1">'ETF price'!D251-'ETF price'!D250</f>
        <v>2.1299999999999955</v>
      </c>
      <c r="D249" s="3">
        <f ca="1">'ETF price'!E251-'ETF price'!E250</f>
        <v>-1.6799999999999926</v>
      </c>
      <c r="E249" s="3">
        <f ca="1">'ETF price'!F251-'ETF price'!F250</f>
        <v>-0.44000000000000483</v>
      </c>
      <c r="F249" s="3">
        <f ca="1">'ETF price'!G251-'ETF price'!G250</f>
        <v>-0.23000000000000043</v>
      </c>
      <c r="G249" s="3">
        <f ca="1">'ETF price'!H251-'ETF price'!H250</f>
        <v>-0.35999999999999943</v>
      </c>
      <c r="H249" s="3">
        <f ca="1">'ETF price'!I251-'ETF price'!I250</f>
        <v>-0.87999999999999545</v>
      </c>
      <c r="I249" s="3">
        <f ca="1">'ETF price'!J251-'ETF price'!J250</f>
        <v>-1.3599999999999852</v>
      </c>
      <c r="J249" s="3">
        <f ca="1">'ETF price'!K251-'ETF price'!K250</f>
        <v>-0.88000000000002387</v>
      </c>
      <c r="K249" s="3">
        <f ca="1">'ETF price'!L251-'ETF price'!L250</f>
        <v>0.28999999999999204</v>
      </c>
      <c r="L249" s="3">
        <f ca="1">'ETF price'!M251-'ETF price'!M250</f>
        <v>-0.23999999999999488</v>
      </c>
      <c r="M249" s="3">
        <f ca="1">'ETF price'!N251-'ETF price'!N250</f>
        <v>-0.38000000000000256</v>
      </c>
      <c r="N249" s="3">
        <f ca="1">'ETF price'!O251-'ETF price'!O250</f>
        <v>-0.71999999999999886</v>
      </c>
      <c r="O249" s="3">
        <f ca="1">'ETF price'!P251-'ETF price'!P250</f>
        <v>-1.9699999999999989</v>
      </c>
      <c r="P249" s="3">
        <f ca="1">'ETF price'!Q251-'ETF price'!Q250</f>
        <v>-3.1299999999999955</v>
      </c>
      <c r="Q249" s="3">
        <f ca="1">'ETF price'!R251-'ETF price'!R250</f>
        <v>-1.2000000000000028</v>
      </c>
      <c r="R249" s="3">
        <f ca="1">'ETF price'!S251-'ETF price'!S250</f>
        <v>-2.0500000000000043</v>
      </c>
      <c r="S249" s="3">
        <f ca="1">'ETF price'!T251-'ETF price'!T250</f>
        <v>-0.27999999999999758</v>
      </c>
      <c r="T249" s="3">
        <f ca="1">'ETF price'!U251-'ETF price'!U250</f>
        <v>-0.95000000000000284</v>
      </c>
      <c r="U249" s="3">
        <f ca="1">'ETF price'!V251-'ETF price'!V250</f>
        <v>-1.25</v>
      </c>
      <c r="V249" s="3">
        <f ca="1">'ETF price'!W251-'ETF price'!W250</f>
        <v>-0.11999999999999744</v>
      </c>
      <c r="W249" s="3">
        <f ca="1">'ETF price'!X251-'ETF price'!X250</f>
        <v>-0.51999999999999602</v>
      </c>
      <c r="X249" s="3">
        <f ca="1">'ETF price'!Y251-'ETF price'!Y250</f>
        <v>-0.35000000000000142</v>
      </c>
      <c r="Y249" s="3">
        <f ca="1">'ETF price'!Z251-'ETF price'!Z250</f>
        <v>-0.39999999999999147</v>
      </c>
      <c r="Z249" s="3">
        <f ca="1">'ETF price'!AA251-'ETF price'!AA250</f>
        <v>-0.58999999999999631</v>
      </c>
      <c r="AA249" s="3">
        <f ca="1">'ETF price'!AB251-'ETF price'!AB250</f>
        <v>-0.41000000000000369</v>
      </c>
      <c r="AB249" s="3">
        <f ca="1">'ETF price'!AC251-'ETF price'!AC250</f>
        <v>0.82000000000000028</v>
      </c>
      <c r="AC249" s="3">
        <f ca="1">'ETF price'!AD251-'ETF price'!AD250</f>
        <v>-1.9999999999999574E-2</v>
      </c>
      <c r="AD249" s="3">
        <f ca="1">'ETF price'!AE251-'ETF price'!AE250</f>
        <v>-1.9999999999999574E-2</v>
      </c>
      <c r="AE249" s="3">
        <f ca="1">'ETF price'!AF251-'ETF price'!AF250</f>
        <v>-2.9999999999999805E-2</v>
      </c>
      <c r="AF249" s="3">
        <f ca="1">'ETF price'!AG251-'ETF price'!AG250</f>
        <v>-0.25999999999999979</v>
      </c>
    </row>
    <row r="250" spans="1:32" ht="12.75" x14ac:dyDescent="0.2">
      <c r="A250" s="3">
        <f ca="1">'ETF price'!B252-'ETF price'!B251</f>
        <v>3.1799999999999926</v>
      </c>
      <c r="B250" s="3">
        <f ca="1">'ETF price'!C252-'ETF price'!C251</f>
        <v>8.4799999999999613</v>
      </c>
      <c r="C250" s="3">
        <f ca="1">'ETF price'!D252-'ETF price'!D251</f>
        <v>-4.0000000000006253E-2</v>
      </c>
      <c r="D250" s="3">
        <f ca="1">'ETF price'!E252-'ETF price'!E251</f>
        <v>3.5899999999999892</v>
      </c>
      <c r="E250" s="3">
        <f ca="1">'ETF price'!F252-'ETF price'!F251</f>
        <v>1.1400000000000006</v>
      </c>
      <c r="F250" s="3">
        <f ca="1">'ETF price'!G252-'ETF price'!G251</f>
        <v>0.66999999999999815</v>
      </c>
      <c r="G250" s="3">
        <f ca="1">'ETF price'!H252-'ETF price'!H251</f>
        <v>0.57000000000000028</v>
      </c>
      <c r="H250" s="3">
        <f ca="1">'ETF price'!I252-'ETF price'!I251</f>
        <v>1.4699999999999989</v>
      </c>
      <c r="I250" s="3">
        <f ca="1">'ETF price'!J252-'ETF price'!J251</f>
        <v>3.0199999999999818</v>
      </c>
      <c r="J250" s="3">
        <f ca="1">'ETF price'!K252-'ETF price'!K251</f>
        <v>2.9500000000000171</v>
      </c>
      <c r="K250" s="3">
        <f ca="1">'ETF price'!L252-'ETF price'!L251</f>
        <v>3.4399999999999977</v>
      </c>
      <c r="L250" s="3">
        <f ca="1">'ETF price'!M252-'ETF price'!M251</f>
        <v>1.2800000000000011</v>
      </c>
      <c r="M250" s="3">
        <f ca="1">'ETF price'!N252-'ETF price'!N251</f>
        <v>0.79000000000000625</v>
      </c>
      <c r="N250" s="3">
        <f ca="1">'ETF price'!O252-'ETF price'!O251</f>
        <v>2.240000000000002</v>
      </c>
      <c r="O250" s="3">
        <f ca="1">'ETF price'!P252-'ETF price'!P251</f>
        <v>0.90000000000000568</v>
      </c>
      <c r="P250" s="3">
        <f ca="1">'ETF price'!Q252-'ETF price'!Q251</f>
        <v>1.3799999999999955</v>
      </c>
      <c r="Q250" s="3">
        <f ca="1">'ETF price'!R252-'ETF price'!R251</f>
        <v>0.84000000000000341</v>
      </c>
      <c r="R250" s="3">
        <f ca="1">'ETF price'!S252-'ETF price'!S251</f>
        <v>0.92000000000000171</v>
      </c>
      <c r="S250" s="3">
        <f ca="1">'ETF price'!T252-'ETF price'!T251</f>
        <v>-3.0000000000001137E-2</v>
      </c>
      <c r="T250" s="3">
        <f ca="1">'ETF price'!U252-'ETF price'!U251</f>
        <v>-4.9999999999997158E-2</v>
      </c>
      <c r="U250" s="3">
        <f ca="1">'ETF price'!V252-'ETF price'!V251</f>
        <v>1.25</v>
      </c>
      <c r="V250" s="3">
        <f ca="1">'ETF price'!W252-'ETF price'!W251</f>
        <v>0.46999999999999886</v>
      </c>
      <c r="W250" s="3">
        <f ca="1">'ETF price'!X252-'ETF price'!X251</f>
        <v>1.2999999999999972</v>
      </c>
      <c r="X250" s="3">
        <f ca="1">'ETF price'!Y252-'ETF price'!Y251</f>
        <v>0.92000000000000171</v>
      </c>
      <c r="Y250" s="3">
        <f ca="1">'ETF price'!Z252-'ETF price'!Z251</f>
        <v>1.1899999999999977</v>
      </c>
      <c r="Z250" s="3">
        <f ca="1">'ETF price'!AA252-'ETF price'!AA251</f>
        <v>0.81000000000000227</v>
      </c>
      <c r="AA250" s="3">
        <f ca="1">'ETF price'!AB252-'ETF price'!AB251</f>
        <v>1.0900000000000034</v>
      </c>
      <c r="AB250" s="3">
        <f ca="1">'ETF price'!AC252-'ETF price'!AC251</f>
        <v>-8.00000000000054E-2</v>
      </c>
      <c r="AC250" s="3">
        <f ca="1">'ETF price'!AD252-'ETF price'!AD251</f>
        <v>0</v>
      </c>
      <c r="AD250" s="3">
        <f ca="1">'ETF price'!AE252-'ETF price'!AE251</f>
        <v>0</v>
      </c>
      <c r="AE250" s="3">
        <f ca="1">'ETF price'!AF252-'ETF price'!AF251</f>
        <v>4.9999999999999822E-2</v>
      </c>
      <c r="AF250" s="3">
        <f ca="1">'ETF price'!AG252-'ETF price'!AG251</f>
        <v>0.48000000000000043</v>
      </c>
    </row>
    <row r="251" spans="1:32" ht="12.75" x14ac:dyDescent="0.2">
      <c r="A251" s="3">
        <f ca="1">'ETF price'!B253-'ETF price'!B252</f>
        <v>-0.17000000000000171</v>
      </c>
      <c r="B251" s="3">
        <f ca="1">'ETF price'!C253-'ETF price'!C252</f>
        <v>-0.16999999999995907</v>
      </c>
      <c r="C251" s="3">
        <f ca="1">'ETF price'!D253-'ETF price'!D252</f>
        <v>-0.53999999999999204</v>
      </c>
      <c r="D251" s="3">
        <f ca="1">'ETF price'!E253-'ETF price'!E252</f>
        <v>-0.10999999999999943</v>
      </c>
      <c r="E251" s="3">
        <f ca="1">'ETF price'!F253-'ETF price'!F252</f>
        <v>0</v>
      </c>
      <c r="F251" s="3">
        <f ca="1">'ETF price'!G253-'ETF price'!G252</f>
        <v>-0.16999999999999815</v>
      </c>
      <c r="G251" s="3">
        <f ca="1">'ETF price'!H253-'ETF price'!H252</f>
        <v>-0.10000000000000142</v>
      </c>
      <c r="H251" s="3">
        <f ca="1">'ETF price'!I253-'ETF price'!I252</f>
        <v>-0.49000000000000909</v>
      </c>
      <c r="I251" s="3">
        <f ca="1">'ETF price'!J253-'ETF price'!J252</f>
        <v>-0.76999999999998181</v>
      </c>
      <c r="J251" s="3">
        <f ca="1">'ETF price'!K253-'ETF price'!K252</f>
        <v>-5.0000000000011369E-2</v>
      </c>
      <c r="K251" s="3">
        <f ca="1">'ETF price'!L253-'ETF price'!L252</f>
        <v>0.73000000000000398</v>
      </c>
      <c r="L251" s="3">
        <f ca="1">'ETF price'!M253-'ETF price'!M252</f>
        <v>0.15999999999999659</v>
      </c>
      <c r="M251" s="3">
        <f ca="1">'ETF price'!N253-'ETF price'!N252</f>
        <v>-0.20000000000000995</v>
      </c>
      <c r="N251" s="3">
        <f ca="1">'ETF price'!O253-'ETF price'!O252</f>
        <v>-7.9999999999998295E-2</v>
      </c>
      <c r="O251" s="3">
        <f ca="1">'ETF price'!P253-'ETF price'!P252</f>
        <v>0.54999999999999716</v>
      </c>
      <c r="P251" s="3">
        <f ca="1">'ETF price'!Q253-'ETF price'!Q252</f>
        <v>0.76000000000000512</v>
      </c>
      <c r="Q251" s="3">
        <f ca="1">'ETF price'!R253-'ETF price'!R252</f>
        <v>-0.54999999999999716</v>
      </c>
      <c r="R251" s="3">
        <f ca="1">'ETF price'!S253-'ETF price'!S252</f>
        <v>-0.25999999999999801</v>
      </c>
      <c r="S251" s="3">
        <f ca="1">'ETF price'!T253-'ETF price'!T252</f>
        <v>0.21999999999999886</v>
      </c>
      <c r="T251" s="3">
        <f ca="1">'ETF price'!U253-'ETF price'!U252</f>
        <v>1.5799999999999983</v>
      </c>
      <c r="U251" s="3">
        <f ca="1">'ETF price'!V253-'ETF price'!V252</f>
        <v>-0.14000000000000057</v>
      </c>
      <c r="V251" s="3">
        <f ca="1">'ETF price'!W253-'ETF price'!W252</f>
        <v>-8.9999999999996305E-2</v>
      </c>
      <c r="W251" s="3">
        <f ca="1">'ETF price'!X253-'ETF price'!X252</f>
        <v>-0.28999999999999204</v>
      </c>
      <c r="X251" s="3">
        <f ca="1">'ETF price'!Y253-'ETF price'!Y252</f>
        <v>-0.24000000000000199</v>
      </c>
      <c r="Y251" s="3">
        <f ca="1">'ETF price'!Z253-'ETF price'!Z252</f>
        <v>-0.28000000000000114</v>
      </c>
      <c r="Z251" s="3">
        <f ca="1">'ETF price'!AA253-'ETF price'!AA252</f>
        <v>-0.34000000000000341</v>
      </c>
      <c r="AA251" s="3">
        <f ca="1">'ETF price'!AB253-'ETF price'!AB252</f>
        <v>-0.21999999999999886</v>
      </c>
      <c r="AB251" s="3">
        <f ca="1">'ETF price'!AC253-'ETF price'!AC252</f>
        <v>0.13000000000000256</v>
      </c>
      <c r="AC251" s="3">
        <f ca="1">'ETF price'!AD253-'ETF price'!AD252</f>
        <v>8.0000000000000071E-2</v>
      </c>
      <c r="AD251" s="3">
        <f ca="1">'ETF price'!AE253-'ETF price'!AE252</f>
        <v>8.0000000000000071E-2</v>
      </c>
      <c r="AE251" s="3">
        <f ca="1">'ETF price'!AF253-'ETF price'!AF252</f>
        <v>1.0000000000000009E-2</v>
      </c>
      <c r="AF251" s="3">
        <f ca="1">'ETF price'!AG253-'ETF price'!AG252</f>
        <v>0.16000000000000014</v>
      </c>
    </row>
    <row r="252" spans="1:32" ht="12.75" x14ac:dyDescent="0.2">
      <c r="A252" s="3">
        <f ca="1">'ETF price'!B254-'ETF price'!B253</f>
        <v>-1.1799999999999926</v>
      </c>
      <c r="B252" s="3">
        <f ca="1">'ETF price'!C254-'ETF price'!C253</f>
        <v>-3.0600000000000023</v>
      </c>
      <c r="C252" s="3">
        <f ca="1">'ETF price'!D254-'ETF price'!D253</f>
        <v>0.23000000000000398</v>
      </c>
      <c r="D252" s="3">
        <f ca="1">'ETF price'!E254-'ETF price'!E253</f>
        <v>-1.1299999999999955</v>
      </c>
      <c r="E252" s="3">
        <f ca="1">'ETF price'!F254-'ETF price'!F253</f>
        <v>-0.10999999999999943</v>
      </c>
      <c r="F252" s="3">
        <f ca="1">'ETF price'!G254-'ETF price'!G253</f>
        <v>9.9999999999997868E-2</v>
      </c>
      <c r="G252" s="3">
        <f ca="1">'ETF price'!H254-'ETF price'!H253</f>
        <v>-0.14000000000000057</v>
      </c>
      <c r="H252" s="3">
        <f ca="1">'ETF price'!I254-'ETF price'!I253</f>
        <v>-0.38999999999998636</v>
      </c>
      <c r="I252" s="3">
        <f ca="1">'ETF price'!J254-'ETF price'!J253</f>
        <v>-1.0200000000000102</v>
      </c>
      <c r="J252" s="3">
        <f ca="1">'ETF price'!K254-'ETF price'!K253</f>
        <v>-1.25</v>
      </c>
      <c r="K252" s="3">
        <f ca="1">'ETF price'!L254-'ETF price'!L253</f>
        <v>-1.4699999999999989</v>
      </c>
      <c r="L252" s="3">
        <f ca="1">'ETF price'!M254-'ETF price'!M253</f>
        <v>-0.53999999999999915</v>
      </c>
      <c r="M252" s="3">
        <f ca="1">'ETF price'!N254-'ETF price'!N253</f>
        <v>-0.21999999999999886</v>
      </c>
      <c r="N252" s="3">
        <f ca="1">'ETF price'!O254-'ETF price'!O253</f>
        <v>-0.52000000000000313</v>
      </c>
      <c r="O252" s="3">
        <f ca="1">'ETF price'!P254-'ETF price'!P253</f>
        <v>-3.0699999999999932</v>
      </c>
      <c r="P252" s="3">
        <f ca="1">'ETF price'!Q254-'ETF price'!Q253</f>
        <v>-4.8100000000000023</v>
      </c>
      <c r="Q252" s="3">
        <f ca="1">'ETF price'!R254-'ETF price'!R253</f>
        <v>-8.0000000000012506E-2</v>
      </c>
      <c r="R252" s="3">
        <f ca="1">'ETF price'!S254-'ETF price'!S253</f>
        <v>-0.69000000000000483</v>
      </c>
      <c r="S252" s="3">
        <f ca="1">'ETF price'!T254-'ETF price'!T253</f>
        <v>-0.58999999999999986</v>
      </c>
      <c r="T252" s="3">
        <f ca="1">'ETF price'!U254-'ETF price'!U253</f>
        <v>-2.4699999999999989</v>
      </c>
      <c r="U252" s="3">
        <f ca="1">'ETF price'!V254-'ETF price'!V253</f>
        <v>-0.76999999999999602</v>
      </c>
      <c r="V252" s="3">
        <f ca="1">'ETF price'!W254-'ETF price'!W253</f>
        <v>0.11999999999999744</v>
      </c>
      <c r="W252" s="3">
        <f ca="1">'ETF price'!X254-'ETF price'!X253</f>
        <v>0.25999999999999091</v>
      </c>
      <c r="X252" s="3">
        <f ca="1">'ETF price'!Y254-'ETF price'!Y253</f>
        <v>-0.17999999999999972</v>
      </c>
      <c r="Y252" s="3">
        <f ca="1">'ETF price'!Z254-'ETF price'!Z253</f>
        <v>0.25</v>
      </c>
      <c r="Z252" s="3">
        <f ca="1">'ETF price'!AA254-'ETF price'!AA253</f>
        <v>0.14000000000000057</v>
      </c>
      <c r="AA252" s="3">
        <f ca="1">'ETF price'!AB254-'ETF price'!AB253</f>
        <v>-0.41000000000000369</v>
      </c>
      <c r="AB252" s="3">
        <f ca="1">'ETF price'!AC254-'ETF price'!AC253</f>
        <v>0.96999999999999886</v>
      </c>
      <c r="AC252" s="3">
        <f ca="1">'ETF price'!AD254-'ETF price'!AD253</f>
        <v>9.9999999999997868E-3</v>
      </c>
      <c r="AD252" s="3">
        <f ca="1">'ETF price'!AE254-'ETF price'!AE253</f>
        <v>6.0000000000000497E-2</v>
      </c>
      <c r="AE252" s="3">
        <f ca="1">'ETF price'!AF254-'ETF price'!AF253</f>
        <v>0</v>
      </c>
      <c r="AF252" s="3">
        <f ca="1">'ETF price'!AG254-'ETF price'!AG253</f>
        <v>-0.14000000000000057</v>
      </c>
    </row>
    <row r="253" spans="1:32" ht="12.75" x14ac:dyDescent="0.2">
      <c r="A253" s="3">
        <f ca="1">'ETF price'!B255-'ETF price'!B254</f>
        <v>0.31999999999999318</v>
      </c>
      <c r="B253" s="3">
        <f ca="1">'ETF price'!C255-'ETF price'!C254</f>
        <v>1.3700000000000045</v>
      </c>
      <c r="C253" s="3">
        <f ca="1">'ETF price'!D255-'ETF price'!D254</f>
        <v>-1.6400000000000006</v>
      </c>
      <c r="D253" s="3">
        <f ca="1">'ETF price'!E255-'ETF price'!E254</f>
        <v>2.9599999999999937</v>
      </c>
      <c r="E253" s="3">
        <f ca="1">'ETF price'!F255-'ETF price'!F254</f>
        <v>0.17000000000000171</v>
      </c>
      <c r="F253" s="3">
        <f ca="1">'ETF price'!G255-'ETF price'!G254</f>
        <v>0.31000000000000227</v>
      </c>
      <c r="G253" s="3">
        <f ca="1">'ETF price'!H255-'ETF price'!H254</f>
        <v>0.48000000000000043</v>
      </c>
      <c r="H253" s="3">
        <f ca="1">'ETF price'!I255-'ETF price'!I254</f>
        <v>0.35999999999998522</v>
      </c>
      <c r="I253" s="3">
        <f ca="1">'ETF price'!J255-'ETF price'!J254</f>
        <v>1.0800000000000125</v>
      </c>
      <c r="J253" s="3">
        <f ca="1">'ETF price'!K255-'ETF price'!K254</f>
        <v>1.6700000000000159</v>
      </c>
      <c r="K253" s="3">
        <f ca="1">'ETF price'!L255-'ETF price'!L254</f>
        <v>1.7099999999999937</v>
      </c>
      <c r="L253" s="3">
        <f ca="1">'ETF price'!M255-'ETF price'!M254</f>
        <v>1.1300000000000026</v>
      </c>
      <c r="M253" s="3">
        <f ca="1">'ETF price'!N255-'ETF price'!N254</f>
        <v>0.27000000000000313</v>
      </c>
      <c r="N253" s="3">
        <f ca="1">'ETF price'!O255-'ETF price'!O254</f>
        <v>1.3000000000000043</v>
      </c>
      <c r="O253" s="3">
        <f ca="1">'ETF price'!P255-'ETF price'!P254</f>
        <v>-1.0000000000005116E-2</v>
      </c>
      <c r="P253" s="3">
        <f ca="1">'ETF price'!Q255-'ETF price'!Q254</f>
        <v>0.21000000000000796</v>
      </c>
      <c r="Q253" s="3">
        <f ca="1">'ETF price'!R255-'ETF price'!R254</f>
        <v>1.3500000000000085</v>
      </c>
      <c r="R253" s="3">
        <f ca="1">'ETF price'!S255-'ETF price'!S254</f>
        <v>1.2100000000000009</v>
      </c>
      <c r="S253" s="3">
        <f ca="1">'ETF price'!T255-'ETF price'!T254</f>
        <v>-0.42999999999999972</v>
      </c>
      <c r="T253" s="3">
        <f ca="1">'ETF price'!U255-'ETF price'!U254</f>
        <v>-3.3400000000000034</v>
      </c>
      <c r="U253" s="3">
        <f ca="1">'ETF price'!V255-'ETF price'!V254</f>
        <v>1.1299999999999955</v>
      </c>
      <c r="V253" s="3">
        <f ca="1">'ETF price'!W255-'ETF price'!W254</f>
        <v>0.54999999999999716</v>
      </c>
      <c r="W253" s="3">
        <f ca="1">'ETF price'!X255-'ETF price'!X254</f>
        <v>1.25</v>
      </c>
      <c r="X253" s="3">
        <f ca="1">'ETF price'!Y255-'ETF price'!Y254</f>
        <v>0.50999999999999801</v>
      </c>
      <c r="Y253" s="3">
        <f ca="1">'ETF price'!Z255-'ETF price'!Z254</f>
        <v>1.1800000000000068</v>
      </c>
      <c r="Z253" s="3">
        <f ca="1">'ETF price'!AA255-'ETF price'!AA254</f>
        <v>0.85000000000000142</v>
      </c>
      <c r="AA253" s="3">
        <f ca="1">'ETF price'!AB255-'ETF price'!AB254</f>
        <v>0.78999999999999915</v>
      </c>
      <c r="AB253" s="3">
        <f ca="1">'ETF price'!AC255-'ETF price'!AC254</f>
        <v>-0.53000000000000114</v>
      </c>
      <c r="AC253" s="3">
        <f ca="1">'ETF price'!AD255-'ETF price'!AD254</f>
        <v>7.0000000000000284E-2</v>
      </c>
      <c r="AD253" s="3">
        <f ca="1">'ETF price'!AE255-'ETF price'!AE254</f>
        <v>9.9999999999999645E-2</v>
      </c>
      <c r="AE253" s="3">
        <f ca="1">'ETF price'!AF255-'ETF price'!AF254</f>
        <v>0.18000000000000016</v>
      </c>
      <c r="AF253" s="3">
        <f ca="1">'ETF price'!AG255-'ETF price'!AG254</f>
        <v>1.4800000000000004</v>
      </c>
    </row>
    <row r="254" spans="1:32" ht="12.75" x14ac:dyDescent="0.2">
      <c r="A254" s="3">
        <f ca="1">'ETF price'!B256-'ETF price'!B255</f>
        <v>-2.3999999999999915</v>
      </c>
      <c r="B254" s="3">
        <f ca="1">'ETF price'!C256-'ETF price'!C255</f>
        <v>-6.5800000000000409</v>
      </c>
      <c r="C254" s="3">
        <f ca="1">'ETF price'!D256-'ETF price'!D255</f>
        <v>1.9299999999999926</v>
      </c>
      <c r="D254" s="3">
        <f ca="1">'ETF price'!E256-'ETF price'!E255</f>
        <v>-1.9899999999999949</v>
      </c>
      <c r="E254" s="3">
        <f ca="1">'ETF price'!F256-'ETF price'!F255</f>
        <v>-1.4500000000000028</v>
      </c>
      <c r="F254" s="3">
        <f ca="1">'ETF price'!G256-'ETF price'!G255</f>
        <v>-0.31000000000000227</v>
      </c>
      <c r="G254" s="3">
        <f ca="1">'ETF price'!H256-'ETF price'!H255</f>
        <v>-0.21000000000000085</v>
      </c>
      <c r="H254" s="3">
        <f ca="1">'ETF price'!I256-'ETF price'!I255</f>
        <v>-1.3899999999999864</v>
      </c>
      <c r="I254" s="3">
        <f ca="1">'ETF price'!J256-'ETF price'!J255</f>
        <v>-2.25</v>
      </c>
      <c r="J254" s="3">
        <f ca="1">'ETF price'!K256-'ETF price'!K255</f>
        <v>0.10999999999998522</v>
      </c>
      <c r="K254" s="3">
        <f ca="1">'ETF price'!L256-'ETF price'!L255</f>
        <v>-0.71999999999999886</v>
      </c>
      <c r="L254" s="3">
        <f ca="1">'ETF price'!M256-'ETF price'!M255</f>
        <v>-0.31000000000000227</v>
      </c>
      <c r="M254" s="3">
        <f ca="1">'ETF price'!N256-'ETF price'!N255</f>
        <v>-0.62000000000000455</v>
      </c>
      <c r="N254" s="3">
        <f ca="1">'ETF price'!O256-'ETF price'!O255</f>
        <v>-0.14000000000000057</v>
      </c>
      <c r="O254" s="3">
        <f ca="1">'ETF price'!P256-'ETF price'!P255</f>
        <v>1.5400000000000063</v>
      </c>
      <c r="P254" s="3">
        <f ca="1">'ETF price'!Q256-'ETF price'!Q255</f>
        <v>1.9499999999999886</v>
      </c>
      <c r="Q254" s="3">
        <f ca="1">'ETF price'!R256-'ETF price'!R255</f>
        <v>-1.25</v>
      </c>
      <c r="R254" s="3">
        <f ca="1">'ETF price'!S256-'ETF price'!S255</f>
        <v>0.27000000000000313</v>
      </c>
      <c r="S254" s="3">
        <f ca="1">'ETF price'!T256-'ETF price'!T255</f>
        <v>-0.11999999999999744</v>
      </c>
      <c r="T254" s="3">
        <f ca="1">'ETF price'!U256-'ETF price'!U255</f>
        <v>0.48000000000000398</v>
      </c>
      <c r="U254" s="3">
        <f ca="1">'ETF price'!V256-'ETF price'!V255</f>
        <v>-2.3900000000000006</v>
      </c>
      <c r="V254" s="3">
        <f ca="1">'ETF price'!W256-'ETF price'!W255</f>
        <v>-0.25999999999999801</v>
      </c>
      <c r="W254" s="3">
        <f ca="1">'ETF price'!X256-'ETF price'!X255</f>
        <v>-0.70999999999999375</v>
      </c>
      <c r="X254" s="3">
        <f ca="1">'ETF price'!Y256-'ETF price'!Y255</f>
        <v>-0.43999999999999773</v>
      </c>
      <c r="Y254" s="3">
        <f ca="1">'ETF price'!Z256-'ETF price'!Z255</f>
        <v>-0.62000000000000455</v>
      </c>
      <c r="Z254" s="3">
        <f ca="1">'ETF price'!AA256-'ETF price'!AA255</f>
        <v>-1.1099999999999994</v>
      </c>
      <c r="AA254" s="3">
        <f ca="1">'ETF price'!AB256-'ETF price'!AB255</f>
        <v>-1.1199999999999974</v>
      </c>
      <c r="AB254" s="3">
        <f ca="1">'ETF price'!AC256-'ETF price'!AC255</f>
        <v>1.4100000000000037</v>
      </c>
      <c r="AC254" s="3">
        <f ca="1">'ETF price'!AD256-'ETF price'!AD255</f>
        <v>2.9999999999999361E-2</v>
      </c>
      <c r="AD254" s="3">
        <f ca="1">'ETF price'!AE256-'ETF price'!AE255</f>
        <v>5.0000000000000711E-2</v>
      </c>
      <c r="AE254" s="3">
        <f ca="1">'ETF price'!AF256-'ETF price'!AF255</f>
        <v>-9.000000000000008E-2</v>
      </c>
      <c r="AF254" s="3">
        <f ca="1">'ETF price'!AG256-'ETF price'!AG255</f>
        <v>-0.25999999999999979</v>
      </c>
    </row>
    <row r="255" spans="1:32" ht="12.75" x14ac:dyDescent="0.2">
      <c r="A255" s="3">
        <f ca="1">'ETF price'!B257-'ETF price'!B256</f>
        <v>3.5499999999999972</v>
      </c>
      <c r="B255" s="3">
        <f ca="1">'ETF price'!C257-'ETF price'!C256</f>
        <v>8.9000000000000341</v>
      </c>
      <c r="C255" s="3">
        <f ca="1">'ETF price'!D257-'ETF price'!D256</f>
        <v>1.0100000000000051</v>
      </c>
      <c r="D255" s="3">
        <f ca="1">'ETF price'!E257-'ETF price'!E256</f>
        <v>5.3900000000000006</v>
      </c>
      <c r="E255" s="3">
        <f ca="1">'ETF price'!F257-'ETF price'!F256</f>
        <v>0.48000000000000398</v>
      </c>
      <c r="F255" s="3">
        <f ca="1">'ETF price'!G257-'ETF price'!G256</f>
        <v>0.58999999999999986</v>
      </c>
      <c r="G255" s="3">
        <f ca="1">'ETF price'!H257-'ETF price'!H256</f>
        <v>0.42000000000000171</v>
      </c>
      <c r="H255" s="3">
        <f ca="1">'ETF price'!I257-'ETF price'!I256</f>
        <v>1.2399999999999807</v>
      </c>
      <c r="I255" s="3">
        <f ca="1">'ETF price'!J257-'ETF price'!J256</f>
        <v>2.0699999999999932</v>
      </c>
      <c r="J255" s="3">
        <f ca="1">'ETF price'!K257-'ETF price'!K256</f>
        <v>1.3199999999999932</v>
      </c>
      <c r="K255" s="3">
        <f ca="1">'ETF price'!L257-'ETF price'!L256</f>
        <v>0.64000000000000057</v>
      </c>
      <c r="L255" s="3">
        <f ca="1">'ETF price'!M257-'ETF price'!M256</f>
        <v>1.0100000000000051</v>
      </c>
      <c r="M255" s="3">
        <f ca="1">'ETF price'!N257-'ETF price'!N256</f>
        <v>0.55000000000000426</v>
      </c>
      <c r="N255" s="3">
        <f ca="1">'ETF price'!O257-'ETF price'!O256</f>
        <v>-8.00000000000054E-2</v>
      </c>
      <c r="O255" s="3">
        <f ca="1">'ETF price'!P257-'ETF price'!P256</f>
        <v>1.6299999999999955</v>
      </c>
      <c r="P255" s="3">
        <f ca="1">'ETF price'!Q257-'ETF price'!Q256</f>
        <v>2.0100000000000051</v>
      </c>
      <c r="Q255" s="3">
        <f ca="1">'ETF price'!R257-'ETF price'!R256</f>
        <v>2.6700000000000017</v>
      </c>
      <c r="R255" s="3">
        <f ca="1">'ETF price'!S257-'ETF price'!S256</f>
        <v>2.269999999999996</v>
      </c>
      <c r="S255" s="3">
        <f ca="1">'ETF price'!T257-'ETF price'!T256</f>
        <v>0.12999999999999901</v>
      </c>
      <c r="T255" s="3">
        <f ca="1">'ETF price'!U257-'ETF price'!U256</f>
        <v>4.9999999999997158E-2</v>
      </c>
      <c r="U255" s="3">
        <f ca="1">'ETF price'!V257-'ETF price'!V256</f>
        <v>2.960000000000008</v>
      </c>
      <c r="V255" s="3">
        <f ca="1">'ETF price'!W257-'ETF price'!W256</f>
        <v>0.77000000000000313</v>
      </c>
      <c r="W255" s="3">
        <f ca="1">'ETF price'!X257-'ETF price'!X256</f>
        <v>2.019999999999996</v>
      </c>
      <c r="X255" s="3">
        <f ca="1">'ETF price'!Y257-'ETF price'!Y256</f>
        <v>1.2100000000000009</v>
      </c>
      <c r="Y255" s="3">
        <f ca="1">'ETF price'!Z257-'ETF price'!Z256</f>
        <v>1.769999999999996</v>
      </c>
      <c r="Z255" s="3">
        <f ca="1">'ETF price'!AA257-'ETF price'!AA256</f>
        <v>1.0700000000000003</v>
      </c>
      <c r="AA255" s="3">
        <f ca="1">'ETF price'!AB257-'ETF price'!AB256</f>
        <v>1.7000000000000028</v>
      </c>
      <c r="AB255" s="3">
        <f ca="1">'ETF price'!AC257-'ETF price'!AC256</f>
        <v>0.15999999999999659</v>
      </c>
      <c r="AC255" s="3">
        <f ca="1">'ETF price'!AD257-'ETF price'!AD256</f>
        <v>2.0000000000000462E-2</v>
      </c>
      <c r="AD255" s="3">
        <f ca="1">'ETF price'!AE257-'ETF price'!AE256</f>
        <v>2.9999999999999361E-2</v>
      </c>
      <c r="AE255" s="3">
        <f ca="1">'ETF price'!AF257-'ETF price'!AF256</f>
        <v>2.0000000000000018E-2</v>
      </c>
      <c r="AF255" s="3">
        <f ca="1">'ETF price'!AG257-'ETF price'!AG256</f>
        <v>0.17999999999999972</v>
      </c>
    </row>
    <row r="256" spans="1:32" ht="12.75" x14ac:dyDescent="0.2">
      <c r="A256" s="3">
        <f ca="1">'ETF price'!B258-'ETF price'!B257</f>
        <v>1.4500000000000028</v>
      </c>
      <c r="B256" s="3">
        <f ca="1">'ETF price'!C258-'ETF price'!C257</f>
        <v>4.0099999999999909</v>
      </c>
      <c r="C256" s="3">
        <f ca="1">'ETF price'!D258-'ETF price'!D257</f>
        <v>0.53000000000000114</v>
      </c>
      <c r="D256" s="3">
        <f ca="1">'ETF price'!E258-'ETF price'!E257</f>
        <v>2.2399999999999949</v>
      </c>
      <c r="E256" s="3">
        <f ca="1">'ETF price'!F258-'ETF price'!F257</f>
        <v>-9.9999999999980105E-3</v>
      </c>
      <c r="F256" s="3">
        <f ca="1">'ETF price'!G258-'ETF price'!G257</f>
        <v>0.33000000000000185</v>
      </c>
      <c r="G256" s="3">
        <f ca="1">'ETF price'!H258-'ETF price'!H257</f>
        <v>0.14000000000000057</v>
      </c>
      <c r="H256" s="3">
        <f ca="1">'ETF price'!I258-'ETF price'!I257</f>
        <v>-2.2699999999999818</v>
      </c>
      <c r="I256" s="3">
        <f ca="1">'ETF price'!J258-'ETF price'!J257</f>
        <v>-3.8799999999999955</v>
      </c>
      <c r="J256" s="3">
        <f ca="1">'ETF price'!K258-'ETF price'!K257</f>
        <v>-2.8599999999999852</v>
      </c>
      <c r="K256" s="3">
        <f ca="1">'ETF price'!L258-'ETF price'!L257</f>
        <v>-1.8900000000000006</v>
      </c>
      <c r="L256" s="3">
        <f ca="1">'ETF price'!M258-'ETF price'!M257</f>
        <v>-1.7000000000000028</v>
      </c>
      <c r="M256" s="3">
        <f ca="1">'ETF price'!N258-'ETF price'!N257</f>
        <v>-0.98000000000000398</v>
      </c>
      <c r="N256" s="3">
        <f ca="1">'ETF price'!O258-'ETF price'!O257</f>
        <v>-0.79999999999999716</v>
      </c>
      <c r="O256" s="3">
        <f ca="1">'ETF price'!P258-'ETF price'!P257</f>
        <v>-0.31000000000000227</v>
      </c>
      <c r="P256" s="3">
        <f ca="1">'ETF price'!Q258-'ETF price'!Q257</f>
        <v>-0.20999999999999375</v>
      </c>
      <c r="Q256" s="3">
        <f ca="1">'ETF price'!R258-'ETF price'!R257</f>
        <v>0.50999999999999091</v>
      </c>
      <c r="R256" s="3">
        <f ca="1">'ETF price'!S258-'ETF price'!S257</f>
        <v>-7.9999999999998295E-2</v>
      </c>
      <c r="S256" s="3">
        <f ca="1">'ETF price'!T258-'ETF price'!T257</f>
        <v>0.28000000000000114</v>
      </c>
      <c r="T256" s="3">
        <f ca="1">'ETF price'!U258-'ETF price'!U257</f>
        <v>1.0499999999999972</v>
      </c>
      <c r="U256" s="3">
        <f ca="1">'ETF price'!V258-'ETF price'!V257</f>
        <v>0.8399999999999892</v>
      </c>
      <c r="V256" s="3">
        <f ca="1">'ETF price'!W258-'ETF price'!W257</f>
        <v>-0.13000000000000256</v>
      </c>
      <c r="W256" s="3">
        <f ca="1">'ETF price'!X258-'ETF price'!X257</f>
        <v>-0.31000000000000227</v>
      </c>
      <c r="X256" s="3">
        <f ca="1">'ETF price'!Y258-'ETF price'!Y257</f>
        <v>-0.28999999999999915</v>
      </c>
      <c r="Y256" s="3">
        <f ca="1">'ETF price'!Z258-'ETF price'!Z257</f>
        <v>-0.20999999999999375</v>
      </c>
      <c r="Z256" s="3">
        <f ca="1">'ETF price'!AA258-'ETF price'!AA257</f>
        <v>-2.0000000000003126E-2</v>
      </c>
      <c r="AA256" s="3">
        <f ca="1">'ETF price'!AB258-'ETF price'!AB257</f>
        <v>-0.54000000000000625</v>
      </c>
      <c r="AB256" s="3">
        <f ca="1">'ETF price'!AC258-'ETF price'!AC257</f>
        <v>0.41000000000000369</v>
      </c>
      <c r="AC256" s="3">
        <f ca="1">'ETF price'!AD258-'ETF price'!AD257</f>
        <v>0.12999999999999989</v>
      </c>
      <c r="AD256" s="3">
        <f ca="1">'ETF price'!AE258-'ETF price'!AE257</f>
        <v>0.21000000000000085</v>
      </c>
      <c r="AE256" s="3">
        <f ca="1">'ETF price'!AF258-'ETF price'!AF257</f>
        <v>8.9999999999999858E-2</v>
      </c>
      <c r="AF256" s="3">
        <f ca="1">'ETF price'!AG258-'ETF price'!AG257</f>
        <v>1.3599999999999994</v>
      </c>
    </row>
    <row r="257" spans="1:32" ht="12.75" x14ac:dyDescent="0.2">
      <c r="A257" s="3">
        <f ca="1">'ETF price'!B259-'ETF price'!B258</f>
        <v>0.77999999999998693</v>
      </c>
      <c r="B257" s="3">
        <f ca="1">'ETF price'!C259-'ETF price'!C258</f>
        <v>2.0999999999999659</v>
      </c>
      <c r="C257" s="3">
        <f ca="1">'ETF price'!D259-'ETF price'!D258</f>
        <v>1.4200000000000017</v>
      </c>
      <c r="D257" s="3">
        <f ca="1">'ETF price'!E259-'ETF price'!E258</f>
        <v>1.5900000000000034</v>
      </c>
      <c r="E257" s="3">
        <f ca="1">'ETF price'!F259-'ETF price'!F258</f>
        <v>3.9999999999999147E-2</v>
      </c>
      <c r="F257" s="3">
        <f ca="1">'ETF price'!G259-'ETF price'!G258</f>
        <v>0.14000000000000057</v>
      </c>
      <c r="G257" s="3">
        <f ca="1">'ETF price'!H259-'ETF price'!H258</f>
        <v>0.23999999999999844</v>
      </c>
      <c r="H257" s="3">
        <f ca="1">'ETF price'!I259-'ETF price'!I258</f>
        <v>1.1200000000000045</v>
      </c>
      <c r="I257" s="3">
        <f ca="1">'ETF price'!J259-'ETF price'!J258</f>
        <v>2.4499999999999886</v>
      </c>
      <c r="J257" s="3">
        <f ca="1">'ETF price'!K259-'ETF price'!K258</f>
        <v>2.9499999999999886</v>
      </c>
      <c r="K257" s="3">
        <f ca="1">'ETF price'!L259-'ETF price'!L258</f>
        <v>2.3100000000000023</v>
      </c>
      <c r="L257" s="3">
        <f ca="1">'ETF price'!M259-'ETF price'!M258</f>
        <v>1.8900000000000006</v>
      </c>
      <c r="M257" s="3">
        <f ca="1">'ETF price'!N259-'ETF price'!N258</f>
        <v>0.63000000000000256</v>
      </c>
      <c r="N257" s="3">
        <f ca="1">'ETF price'!O259-'ETF price'!O258</f>
        <v>1.5200000000000031</v>
      </c>
      <c r="O257" s="3">
        <f ca="1">'ETF price'!P259-'ETF price'!P258</f>
        <v>0.62000000000000455</v>
      </c>
      <c r="P257" s="3">
        <f ca="1">'ETF price'!Q259-'ETF price'!Q258</f>
        <v>1</v>
      </c>
      <c r="Q257" s="3">
        <f ca="1">'ETF price'!R259-'ETF price'!R258</f>
        <v>0.81000000000000227</v>
      </c>
      <c r="R257" s="3">
        <f ca="1">'ETF price'!S259-'ETF price'!S258</f>
        <v>1.3100000000000023</v>
      </c>
      <c r="S257" s="3">
        <f ca="1">'ETF price'!T259-'ETF price'!T258</f>
        <v>0</v>
      </c>
      <c r="T257" s="3">
        <f ca="1">'ETF price'!U259-'ETF price'!U258</f>
        <v>2.0000000000010232E-2</v>
      </c>
      <c r="U257" s="3">
        <f ca="1">'ETF price'!V259-'ETF price'!V258</f>
        <v>2.3300000000000125</v>
      </c>
      <c r="V257" s="3">
        <f ca="1">'ETF price'!W259-'ETF price'!W258</f>
        <v>0.20000000000000284</v>
      </c>
      <c r="W257" s="3">
        <f ca="1">'ETF price'!X259-'ETF price'!X258</f>
        <v>0.6600000000000108</v>
      </c>
      <c r="X257" s="3">
        <f ca="1">'ETF price'!Y259-'ETF price'!Y258</f>
        <v>0.33999999999999631</v>
      </c>
      <c r="Y257" s="3">
        <f ca="1">'ETF price'!Z259-'ETF price'!Z258</f>
        <v>0.50999999999999091</v>
      </c>
      <c r="Z257" s="3">
        <f ca="1">'ETF price'!AA259-'ETF price'!AA258</f>
        <v>0.10999999999999943</v>
      </c>
      <c r="AA257" s="3">
        <f ca="1">'ETF price'!AB259-'ETF price'!AB258</f>
        <v>0.45000000000000284</v>
      </c>
      <c r="AB257" s="3">
        <f ca="1">'ETF price'!AC259-'ETF price'!AC258</f>
        <v>0.55999999999999517</v>
      </c>
      <c r="AC257" s="3">
        <f ca="1">'ETF price'!AD259-'ETF price'!AD258</f>
        <v>0.12000000000000011</v>
      </c>
      <c r="AD257" s="3">
        <f ca="1">'ETF price'!AE259-'ETF price'!AE258</f>
        <v>0.19999999999999929</v>
      </c>
      <c r="AE257" s="3">
        <f ca="1">'ETF price'!AF259-'ETF price'!AF258</f>
        <v>0.15000000000000013</v>
      </c>
      <c r="AF257" s="3">
        <f ca="1">'ETF price'!AG259-'ETF price'!AG258</f>
        <v>1.2600000000000016</v>
      </c>
    </row>
    <row r="258" spans="1:32" ht="12.75" x14ac:dyDescent="0.2">
      <c r="A258" s="3">
        <f ca="1">'ETF price'!B260-'ETF price'!B259</f>
        <v>2.2000000000000028</v>
      </c>
      <c r="B258" s="3">
        <f ca="1">'ETF price'!C260-'ETF price'!C259</f>
        <v>5.5</v>
      </c>
      <c r="C258" s="3">
        <f ca="1">'ETF price'!D260-'ETF price'!D259</f>
        <v>0.54999999999999716</v>
      </c>
      <c r="D258" s="3">
        <f ca="1">'ETF price'!E260-'ETF price'!E259</f>
        <v>1.6200000000000045</v>
      </c>
      <c r="E258" s="3">
        <f ca="1">'ETF price'!F260-'ETF price'!F259</f>
        <v>0.29999999999999716</v>
      </c>
      <c r="F258" s="3">
        <f ca="1">'ETF price'!G260-'ETF price'!G259</f>
        <v>0.42999999999999972</v>
      </c>
      <c r="G258" s="3">
        <f ca="1">'ETF price'!H260-'ETF price'!H259</f>
        <v>0.41000000000000014</v>
      </c>
      <c r="H258" s="3">
        <f ca="1">'ETF price'!I260-'ETF price'!I259</f>
        <v>0.75999999999999091</v>
      </c>
      <c r="I258" s="3">
        <f ca="1">'ETF price'!J260-'ETF price'!J259</f>
        <v>1.5500000000000114</v>
      </c>
      <c r="J258" s="3">
        <f ca="1">'ETF price'!K260-'ETF price'!K259</f>
        <v>0.76000000000001933</v>
      </c>
      <c r="K258" s="3">
        <f ca="1">'ETF price'!L260-'ETF price'!L259</f>
        <v>0.79999999999999716</v>
      </c>
      <c r="L258" s="3">
        <f ca="1">'ETF price'!M260-'ETF price'!M259</f>
        <v>0.62999999999999545</v>
      </c>
      <c r="M258" s="3">
        <f ca="1">'ETF price'!N260-'ETF price'!N259</f>
        <v>0.38000000000000256</v>
      </c>
      <c r="N258" s="3">
        <f ca="1">'ETF price'!O260-'ETF price'!O259</f>
        <v>0.93999999999999773</v>
      </c>
      <c r="O258" s="3">
        <f ca="1">'ETF price'!P260-'ETF price'!P259</f>
        <v>0.26999999999999602</v>
      </c>
      <c r="P258" s="3">
        <f ca="1">'ETF price'!Q260-'ETF price'!Q259</f>
        <v>0.41999999999998749</v>
      </c>
      <c r="Q258" s="3">
        <f ca="1">'ETF price'!R260-'ETF price'!R259</f>
        <v>1.2800000000000011</v>
      </c>
      <c r="R258" s="3">
        <f ca="1">'ETF price'!S260-'ETF price'!S259</f>
        <v>0.28999999999999915</v>
      </c>
      <c r="S258" s="3">
        <f ca="1">'ETF price'!T260-'ETF price'!T259</f>
        <v>0.42999999999999972</v>
      </c>
      <c r="T258" s="3">
        <f ca="1">'ETF price'!U260-'ETF price'!U259</f>
        <v>2.1499999999999915</v>
      </c>
      <c r="U258" s="3">
        <f ca="1">'ETF price'!V260-'ETF price'!V259</f>
        <v>3.1699999999999875</v>
      </c>
      <c r="V258" s="3">
        <f ca="1">'ETF price'!W260-'ETF price'!W259</f>
        <v>0.32999999999999829</v>
      </c>
      <c r="W258" s="3">
        <f ca="1">'ETF price'!X260-'ETF price'!X259</f>
        <v>0.73999999999999488</v>
      </c>
      <c r="X258" s="3">
        <f ca="1">'ETF price'!Y260-'ETF price'!Y259</f>
        <v>0.40000000000000568</v>
      </c>
      <c r="Y258" s="3">
        <f ca="1">'ETF price'!Z260-'ETF price'!Z259</f>
        <v>0.71999999999999886</v>
      </c>
      <c r="Z258" s="3">
        <f ca="1">'ETF price'!AA260-'ETF price'!AA259</f>
        <v>1.3800000000000026</v>
      </c>
      <c r="AA258" s="3">
        <f ca="1">'ETF price'!AB260-'ETF price'!AB259</f>
        <v>0.32999999999999829</v>
      </c>
      <c r="AB258" s="3">
        <f ca="1">'ETF price'!AC260-'ETF price'!AC259</f>
        <v>0.37000000000000455</v>
      </c>
      <c r="AC258" s="3">
        <f ca="1">'ETF price'!AD260-'ETF price'!AD259</f>
        <v>2.9999999999999361E-2</v>
      </c>
      <c r="AD258" s="3">
        <f ca="1">'ETF price'!AE260-'ETF price'!AE259</f>
        <v>5.0000000000000711E-2</v>
      </c>
      <c r="AE258" s="3">
        <f ca="1">'ETF price'!AF260-'ETF price'!AF259</f>
        <v>3.0000000000000027E-2</v>
      </c>
      <c r="AF258" s="3">
        <f ca="1">'ETF price'!AG260-'ETF price'!AG259</f>
        <v>-0.24000000000000199</v>
      </c>
    </row>
    <row r="259" spans="1:32" ht="12.75" x14ac:dyDescent="0.2">
      <c r="A259" s="3">
        <f ca="1">'ETF price'!B261-'ETF price'!B260</f>
        <v>0.96000000000000796</v>
      </c>
      <c r="B259" s="3">
        <f ca="1">'ETF price'!C261-'ETF price'!C260</f>
        <v>2.5900000000000318</v>
      </c>
      <c r="C259" s="3">
        <f ca="1">'ETF price'!D261-'ETF price'!D260</f>
        <v>0.39000000000000057</v>
      </c>
      <c r="D259" s="3">
        <f ca="1">'ETF price'!E261-'ETF price'!E260</f>
        <v>1.5400000000000063</v>
      </c>
      <c r="E259" s="3">
        <f ca="1">'ETF price'!F261-'ETF price'!F260</f>
        <v>-3.9999999999999147E-2</v>
      </c>
      <c r="F259" s="3">
        <f ca="1">'ETF price'!G261-'ETF price'!G260</f>
        <v>0.30000000000000071</v>
      </c>
      <c r="G259" s="3">
        <f ca="1">'ETF price'!H261-'ETF price'!H260</f>
        <v>0.10999999999999943</v>
      </c>
      <c r="H259" s="3">
        <f ca="1">'ETF price'!I261-'ETF price'!I260</f>
        <v>-0.43000000000000682</v>
      </c>
      <c r="I259" s="3">
        <f ca="1">'ETF price'!J261-'ETF price'!J260</f>
        <v>-0.12000000000000455</v>
      </c>
      <c r="J259" s="3">
        <f ca="1">'ETF price'!K261-'ETF price'!K260</f>
        <v>1.1200000000000045</v>
      </c>
      <c r="K259" s="3">
        <f ca="1">'ETF price'!L261-'ETF price'!L260</f>
        <v>3.5400000000000063</v>
      </c>
      <c r="L259" s="3">
        <f ca="1">'ETF price'!M261-'ETF price'!M260</f>
        <v>1.3100000000000023</v>
      </c>
      <c r="M259" s="3">
        <f ca="1">'ETF price'!N261-'ETF price'!N260</f>
        <v>-2.0000000000003126E-2</v>
      </c>
      <c r="N259" s="3">
        <f ca="1">'ETF price'!O261-'ETF price'!O260</f>
        <v>0.65999999999999659</v>
      </c>
      <c r="O259" s="3">
        <f ca="1">'ETF price'!P261-'ETF price'!P260</f>
        <v>1.6799999999999926</v>
      </c>
      <c r="P259" s="3">
        <f ca="1">'ETF price'!Q261-'ETF price'!Q260</f>
        <v>2.4500000000000028</v>
      </c>
      <c r="Q259" s="3">
        <f ca="1">'ETF price'!R261-'ETF price'!R260</f>
        <v>0.31000000000000227</v>
      </c>
      <c r="R259" s="3">
        <f ca="1">'ETF price'!S261-'ETF price'!S260</f>
        <v>1.0899999999999963</v>
      </c>
      <c r="S259" s="3">
        <f ca="1">'ETF price'!T261-'ETF price'!T260</f>
        <v>0.19999999999999929</v>
      </c>
      <c r="T259" s="3">
        <f ca="1">'ETF price'!U261-'ETF price'!U260</f>
        <v>0.56000000000000227</v>
      </c>
      <c r="U259" s="3">
        <f ca="1">'ETF price'!V261-'ETF price'!V260</f>
        <v>1.4700000000000131</v>
      </c>
      <c r="V259" s="3">
        <f ca="1">'ETF price'!W261-'ETF price'!W260</f>
        <v>7.0000000000000284E-2</v>
      </c>
      <c r="W259" s="3">
        <f ca="1">'ETF price'!X261-'ETF price'!X260</f>
        <v>0.43999999999999773</v>
      </c>
      <c r="X259" s="3">
        <f ca="1">'ETF price'!Y261-'ETF price'!Y260</f>
        <v>0.44999999999999574</v>
      </c>
      <c r="Y259" s="3">
        <f ca="1">'ETF price'!Z261-'ETF price'!Z260</f>
        <v>0.33000000000001251</v>
      </c>
      <c r="Z259" s="3">
        <f ca="1">'ETF price'!AA261-'ETF price'!AA260</f>
        <v>0.43999999999999773</v>
      </c>
      <c r="AA259" s="3">
        <f ca="1">'ETF price'!AB261-'ETF price'!AB260</f>
        <v>0.74000000000000199</v>
      </c>
      <c r="AB259" s="3">
        <f ca="1">'ETF price'!AC261-'ETF price'!AC260</f>
        <v>0.32000000000000028</v>
      </c>
      <c r="AC259" s="3">
        <f ca="1">'ETF price'!AD261-'ETF price'!AD260</f>
        <v>0.62000000000000011</v>
      </c>
      <c r="AD259" s="3">
        <f ca="1">'ETF price'!AE261-'ETF price'!AE260</f>
        <v>0.96999999999999886</v>
      </c>
      <c r="AE259" s="3">
        <f ca="1">'ETF price'!AF261-'ETF price'!AF260</f>
        <v>0.14999999999999991</v>
      </c>
      <c r="AF259" s="3">
        <f ca="1">'ETF price'!AG261-'ETF price'!AG260</f>
        <v>2.4800000000000004</v>
      </c>
    </row>
    <row r="260" spans="1:32" ht="12.75" x14ac:dyDescent="0.2">
      <c r="A260" s="3">
        <f ca="1">'ETF price'!B262-'ETF price'!B261</f>
        <v>0.37000000000000455</v>
      </c>
      <c r="B260" s="3">
        <f ca="1">'ETF price'!C262-'ETF price'!C261</f>
        <v>1.4099999999999682</v>
      </c>
      <c r="C260" s="3">
        <f ca="1">'ETF price'!D262-'ETF price'!D261</f>
        <v>0.32999999999999829</v>
      </c>
      <c r="D260" s="3">
        <f ca="1">'ETF price'!E262-'ETF price'!E261</f>
        <v>0.53000000000000114</v>
      </c>
      <c r="E260" s="3">
        <f ca="1">'ETF price'!F262-'ETF price'!F261</f>
        <v>0.27000000000000313</v>
      </c>
      <c r="F260" s="3">
        <f ca="1">'ETF price'!G262-'ETF price'!G261</f>
        <v>4.9999999999997158E-2</v>
      </c>
      <c r="G260" s="3">
        <f ca="1">'ETF price'!H262-'ETF price'!H261</f>
        <v>8.9999999999999858E-2</v>
      </c>
      <c r="H260" s="3">
        <f ca="1">'ETF price'!I262-'ETF price'!I261</f>
        <v>0.59999999999999432</v>
      </c>
      <c r="I260" s="3">
        <f ca="1">'ETF price'!J262-'ETF price'!J261</f>
        <v>1.0699999999999932</v>
      </c>
      <c r="J260" s="3">
        <f ca="1">'ETF price'!K262-'ETF price'!K261</f>
        <v>1.1199999999999761</v>
      </c>
      <c r="K260" s="3">
        <f ca="1">'ETF price'!L262-'ETF price'!L261</f>
        <v>-4.0000000000006253E-2</v>
      </c>
      <c r="L260" s="3">
        <f ca="1">'ETF price'!M262-'ETF price'!M261</f>
        <v>1.0000000000005116E-2</v>
      </c>
      <c r="M260" s="3">
        <f ca="1">'ETF price'!N262-'ETF price'!N261</f>
        <v>0.32000000000000739</v>
      </c>
      <c r="N260" s="3">
        <f ca="1">'ETF price'!O262-'ETF price'!O261</f>
        <v>0.92000000000000171</v>
      </c>
      <c r="O260" s="3">
        <f ca="1">'ETF price'!P262-'ETF price'!P261</f>
        <v>0.13000000000000966</v>
      </c>
      <c r="P260" s="3">
        <f ca="1">'ETF price'!Q262-'ETF price'!Q261</f>
        <v>0.26999999999999602</v>
      </c>
      <c r="Q260" s="3">
        <f ca="1">'ETF price'!R262-'ETF price'!R261</f>
        <v>0.51000000000000512</v>
      </c>
      <c r="R260" s="3">
        <f ca="1">'ETF price'!S262-'ETF price'!S261</f>
        <v>0.74000000000000199</v>
      </c>
      <c r="S260" s="3">
        <f ca="1">'ETF price'!T262-'ETF price'!T261</f>
        <v>0.23999999999999844</v>
      </c>
      <c r="T260" s="3">
        <f ca="1">'ETF price'!U262-'ETF price'!U261</f>
        <v>1.4399999999999977</v>
      </c>
      <c r="U260" s="3">
        <f ca="1">'ETF price'!V262-'ETF price'!V261</f>
        <v>5.9999999999988063E-2</v>
      </c>
      <c r="V260" s="3">
        <f ca="1">'ETF price'!W262-'ETF price'!W261</f>
        <v>0.26999999999999602</v>
      </c>
      <c r="W260" s="3">
        <f ca="1">'ETF price'!X262-'ETF price'!X261</f>
        <v>0.57000000000000739</v>
      </c>
      <c r="X260" s="3">
        <f ca="1">'ETF price'!Y262-'ETF price'!Y261</f>
        <v>0.12000000000000455</v>
      </c>
      <c r="Y260" s="3">
        <f ca="1">'ETF price'!Z262-'ETF price'!Z261</f>
        <v>0.47999999999998977</v>
      </c>
      <c r="Z260" s="3">
        <f ca="1">'ETF price'!AA262-'ETF price'!AA261</f>
        <v>-0.22999999999999687</v>
      </c>
      <c r="AA260" s="3">
        <f ca="1">'ETF price'!AB262-'ETF price'!AB261</f>
        <v>-7.0000000000000284E-2</v>
      </c>
      <c r="AB260" s="3">
        <f ca="1">'ETF price'!AC262-'ETF price'!AC261</f>
        <v>-0.19000000000000483</v>
      </c>
      <c r="AC260" s="3">
        <f ca="1">'ETF price'!AD262-'ETF price'!AD261</f>
        <v>0.16000000000000014</v>
      </c>
      <c r="AD260" s="3">
        <f ca="1">'ETF price'!AE262-'ETF price'!AE261</f>
        <v>0.28000000000000114</v>
      </c>
      <c r="AE260" s="3">
        <f ca="1">'ETF price'!AF262-'ETF price'!AF261</f>
        <v>0.18000000000000016</v>
      </c>
      <c r="AF260" s="3">
        <f ca="1">'ETF price'!AG262-'ETF price'!AG261</f>
        <v>0.44999999999999929</v>
      </c>
    </row>
    <row r="261" spans="1:32" ht="12.75" x14ac:dyDescent="0.2">
      <c r="A261" s="3">
        <f ca="1">'ETF price'!B263-'ETF price'!B262</f>
        <v>0.59000000000000341</v>
      </c>
      <c r="B261" s="3">
        <f ca="1">'ETF price'!C263-'ETF price'!C262</f>
        <v>1.6800000000000068</v>
      </c>
      <c r="C261" s="3">
        <f ca="1">'ETF price'!D263-'ETF price'!D262</f>
        <v>-0.90000000000000568</v>
      </c>
      <c r="D261" s="3">
        <f ca="1">'ETF price'!E263-'ETF price'!E262</f>
        <v>0.13999999999998636</v>
      </c>
      <c r="E261" s="3">
        <f ca="1">'ETF price'!F263-'ETF price'!F262</f>
        <v>0.59999999999999432</v>
      </c>
      <c r="F261" s="3">
        <f ca="1">'ETF price'!G263-'ETF price'!G262</f>
        <v>0.35000000000000142</v>
      </c>
      <c r="G261" s="3">
        <f ca="1">'ETF price'!H263-'ETF price'!H262</f>
        <v>5.0000000000000711E-2</v>
      </c>
      <c r="H261" s="3">
        <f ca="1">'ETF price'!I263-'ETF price'!I262</f>
        <v>-0.62999999999999545</v>
      </c>
      <c r="I261" s="3">
        <f ca="1">'ETF price'!J263-'ETF price'!J262</f>
        <v>-0.97999999999998977</v>
      </c>
      <c r="J261" s="3">
        <f ca="1">'ETF price'!K263-'ETF price'!K262</f>
        <v>5.0000000000011369E-2</v>
      </c>
      <c r="K261" s="3">
        <f ca="1">'ETF price'!L263-'ETF price'!L262</f>
        <v>-1.019999999999996</v>
      </c>
      <c r="L261" s="3">
        <f ca="1">'ETF price'!M263-'ETF price'!M262</f>
        <v>-4.0000000000006253E-2</v>
      </c>
      <c r="M261" s="3">
        <f ca="1">'ETF price'!N263-'ETF price'!N262</f>
        <v>-0.34000000000000341</v>
      </c>
      <c r="N261" s="3">
        <f ca="1">'ETF price'!O263-'ETF price'!O262</f>
        <v>-0.15999999999999659</v>
      </c>
      <c r="O261" s="3">
        <f ca="1">'ETF price'!P263-'ETF price'!P262</f>
        <v>0.18999999999999773</v>
      </c>
      <c r="P261" s="3">
        <f ca="1">'ETF price'!Q263-'ETF price'!Q262</f>
        <v>0.13000000000000966</v>
      </c>
      <c r="Q261" s="3">
        <f ca="1">'ETF price'!R263-'ETF price'!R262</f>
        <v>-0.84000000000000341</v>
      </c>
      <c r="R261" s="3">
        <f ca="1">'ETF price'!S263-'ETF price'!S262</f>
        <v>-0.57000000000000028</v>
      </c>
      <c r="S261" s="3">
        <f ca="1">'ETF price'!T263-'ETF price'!T262</f>
        <v>0.17000000000000171</v>
      </c>
      <c r="T261" s="3">
        <f ca="1">'ETF price'!U263-'ETF price'!U262</f>
        <v>0.81000000000000227</v>
      </c>
      <c r="U261" s="3">
        <f ca="1">'ETF price'!V263-'ETF price'!V262</f>
        <v>0.55000000000001137</v>
      </c>
      <c r="V261" s="3">
        <f ca="1">'ETF price'!W263-'ETF price'!W262</f>
        <v>-0.23999999999999488</v>
      </c>
      <c r="W261" s="3">
        <f ca="1">'ETF price'!X263-'ETF price'!X262</f>
        <v>-0.53000000000000114</v>
      </c>
      <c r="X261" s="3">
        <f ca="1">'ETF price'!Y263-'ETF price'!Y262</f>
        <v>-0.17999999999999972</v>
      </c>
      <c r="Y261" s="3">
        <f ca="1">'ETF price'!Z263-'ETF price'!Z262</f>
        <v>-0.43999999999999773</v>
      </c>
      <c r="Z261" s="3">
        <f ca="1">'ETF price'!AA263-'ETF price'!AA262</f>
        <v>9.9999999999980105E-3</v>
      </c>
      <c r="AA261" s="3">
        <f ca="1">'ETF price'!AB263-'ETF price'!AB262</f>
        <v>-0.36999999999999744</v>
      </c>
      <c r="AB261" s="3">
        <f ca="1">'ETF price'!AC263-'ETF price'!AC262</f>
        <v>-1.019999999999996</v>
      </c>
      <c r="AC261" s="3">
        <f ca="1">'ETF price'!AD263-'ETF price'!AD262</f>
        <v>0.76000000000000068</v>
      </c>
      <c r="AD261" s="3">
        <f ca="1">'ETF price'!AE263-'ETF price'!AE262</f>
        <v>1.2399999999999984</v>
      </c>
      <c r="AE261" s="3">
        <f ca="1">'ETF price'!AF263-'ETF price'!AF262</f>
        <v>0</v>
      </c>
      <c r="AF261" s="3">
        <f ca="1">'ETF price'!AG263-'ETF price'!AG262</f>
        <v>1.3000000000000007</v>
      </c>
    </row>
    <row r="262" spans="1:32" ht="12.75" x14ac:dyDescent="0.2">
      <c r="A262" s="3">
        <f ca="1">'ETF price'!B264-'ETF price'!B263</f>
        <v>-1.6900000000000261</v>
      </c>
      <c r="B262" s="3">
        <f ca="1">'ETF price'!C264-'ETF price'!C263</f>
        <v>-4.25</v>
      </c>
      <c r="C262" s="3">
        <f ca="1">'ETF price'!D264-'ETF price'!D263</f>
        <v>-0.60999999999999943</v>
      </c>
      <c r="D262" s="3">
        <f ca="1">'ETF price'!E264-'ETF price'!E263</f>
        <v>-0.66999999999998749</v>
      </c>
      <c r="E262" s="3">
        <f ca="1">'ETF price'!F264-'ETF price'!F263</f>
        <v>-0.65999999999999659</v>
      </c>
      <c r="F262" s="3">
        <f ca="1">'ETF price'!G264-'ETF price'!G263</f>
        <v>-0.19000000000000128</v>
      </c>
      <c r="G262" s="3">
        <f ca="1">'ETF price'!H264-'ETF price'!H263</f>
        <v>-0.28999999999999915</v>
      </c>
      <c r="H262" s="3">
        <f ca="1">'ETF price'!I264-'ETF price'!I263</f>
        <v>-1.9000000000000057</v>
      </c>
      <c r="I262" s="3">
        <f ca="1">'ETF price'!J264-'ETF price'!J263</f>
        <v>-3.4800000000000182</v>
      </c>
      <c r="J262" s="3">
        <f ca="1">'ETF price'!K264-'ETF price'!K263</f>
        <v>-1.0200000000000102</v>
      </c>
      <c r="K262" s="3">
        <f ca="1">'ETF price'!L264-'ETF price'!L263</f>
        <v>-1.0799999999999983</v>
      </c>
      <c r="L262" s="3">
        <f ca="1">'ETF price'!M264-'ETF price'!M263</f>
        <v>-0.14000000000000057</v>
      </c>
      <c r="M262" s="3">
        <f ca="1">'ETF price'!N264-'ETF price'!N263</f>
        <v>-0.85999999999999943</v>
      </c>
      <c r="N262" s="3">
        <f ca="1">'ETF price'!O264-'ETF price'!O263</f>
        <v>-0.28000000000000114</v>
      </c>
      <c r="O262" s="3">
        <f ca="1">'ETF price'!P264-'ETF price'!P263</f>
        <v>-1.6500000000000057</v>
      </c>
      <c r="P262" s="3">
        <f ca="1">'ETF price'!Q264-'ETF price'!Q263</f>
        <v>-2.3400000000000034</v>
      </c>
      <c r="Q262" s="3">
        <f ca="1">'ETF price'!R264-'ETF price'!R263</f>
        <v>-1.1700000000000017</v>
      </c>
      <c r="R262" s="3">
        <f ca="1">'ETF price'!S264-'ETF price'!S263</f>
        <v>-0.96000000000000085</v>
      </c>
      <c r="S262" s="3">
        <f ca="1">'ETF price'!T264-'ETF price'!T263</f>
        <v>-0.26999999999999957</v>
      </c>
      <c r="T262" s="3">
        <f ca="1">'ETF price'!U264-'ETF price'!U263</f>
        <v>-1.3499999999999943</v>
      </c>
      <c r="U262" s="3">
        <f ca="1">'ETF price'!V264-'ETF price'!V263</f>
        <v>-0.5</v>
      </c>
      <c r="V262" s="3">
        <f ca="1">'ETF price'!W264-'ETF price'!W263</f>
        <v>-0.67000000000000171</v>
      </c>
      <c r="W262" s="3">
        <f ca="1">'ETF price'!X264-'ETF price'!X263</f>
        <v>-1.6300000000000097</v>
      </c>
      <c r="X262" s="3">
        <f ca="1">'ETF price'!Y264-'ETF price'!Y263</f>
        <v>-1.3900000000000006</v>
      </c>
      <c r="Y262" s="3">
        <f ca="1">'ETF price'!Z264-'ETF price'!Z263</f>
        <v>-1.4299999999999926</v>
      </c>
      <c r="Z262" s="3">
        <f ca="1">'ETF price'!AA264-'ETF price'!AA263</f>
        <v>-0.60999999999999943</v>
      </c>
      <c r="AA262" s="3">
        <f ca="1">'ETF price'!AB264-'ETF price'!AB263</f>
        <v>-2.1499999999999986</v>
      </c>
      <c r="AB262" s="3">
        <f ca="1">'ETF price'!AC264-'ETF price'!AC263</f>
        <v>-0.63000000000000256</v>
      </c>
      <c r="AC262" s="3">
        <f ca="1">'ETF price'!AD264-'ETF price'!AD263</f>
        <v>-0.25</v>
      </c>
      <c r="AD262" s="3">
        <f ca="1">'ETF price'!AE264-'ETF price'!AE263</f>
        <v>-0.45999999999999908</v>
      </c>
      <c r="AE262" s="3">
        <f ca="1">'ETF price'!AF264-'ETF price'!AF263</f>
        <v>9.9999999999997868E-3</v>
      </c>
      <c r="AF262" s="3">
        <f ca="1">'ETF price'!AG264-'ETF price'!AG263</f>
        <v>-1.7300000000000004</v>
      </c>
    </row>
    <row r="263" spans="1:32" ht="12.75" x14ac:dyDescent="0.2">
      <c r="A263" s="3">
        <f ca="1">'ETF price'!B265-'ETF price'!B264</f>
        <v>-1.5099999999999909</v>
      </c>
      <c r="B263" s="3">
        <f ca="1">'ETF price'!C265-'ETF price'!C264</f>
        <v>-4.089999999999975</v>
      </c>
      <c r="C263" s="3">
        <f ca="1">'ETF price'!D265-'ETF price'!D264</f>
        <v>2.4200000000000017</v>
      </c>
      <c r="D263" s="3">
        <f ca="1">'ETF price'!E265-'ETF price'!E264</f>
        <v>-3.6000000000000085</v>
      </c>
      <c r="E263" s="3">
        <f ca="1">'ETF price'!F265-'ETF price'!F264</f>
        <v>-0.42000000000000171</v>
      </c>
      <c r="F263" s="3">
        <f ca="1">'ETF price'!G265-'ETF price'!G264</f>
        <v>-0.25</v>
      </c>
      <c r="G263" s="3">
        <f ca="1">'ETF price'!H265-'ETF price'!H264</f>
        <v>-0.30000000000000071</v>
      </c>
      <c r="H263" s="3">
        <f ca="1">'ETF price'!I265-'ETF price'!I264</f>
        <v>0.3200000000000216</v>
      </c>
      <c r="I263" s="3">
        <f ca="1">'ETF price'!J265-'ETF price'!J264</f>
        <v>0.34999999999999432</v>
      </c>
      <c r="J263" s="3">
        <f ca="1">'ETF price'!K265-'ETF price'!K264</f>
        <v>-1.2099999999999795</v>
      </c>
      <c r="K263" s="3">
        <f ca="1">'ETF price'!L265-'ETF price'!L264</f>
        <v>-0.89000000000000057</v>
      </c>
      <c r="L263" s="3">
        <f ca="1">'ETF price'!M265-'ETF price'!M264</f>
        <v>-0.39000000000000057</v>
      </c>
      <c r="M263" s="3">
        <f ca="1">'ETF price'!N265-'ETF price'!N264</f>
        <v>0.11999999999999744</v>
      </c>
      <c r="N263" s="3">
        <f ca="1">'ETF price'!O265-'ETF price'!O264</f>
        <v>-1.480000000000004</v>
      </c>
      <c r="O263" s="3">
        <f ca="1">'ETF price'!P265-'ETF price'!P264</f>
        <v>1.1000000000000085</v>
      </c>
      <c r="P263" s="3">
        <f ca="1">'ETF price'!Q265-'ETF price'!Q264</f>
        <v>1.3799999999999955</v>
      </c>
      <c r="Q263" s="3">
        <f ca="1">'ETF price'!R265-'ETF price'!R264</f>
        <v>-0.62999999999999545</v>
      </c>
      <c r="R263" s="3">
        <f ca="1">'ETF price'!S265-'ETF price'!S264</f>
        <v>-8.9999999999996305E-2</v>
      </c>
      <c r="S263" s="3">
        <f ca="1">'ETF price'!T265-'ETF price'!T264</f>
        <v>0.25</v>
      </c>
      <c r="T263" s="3">
        <f ca="1">'ETF price'!U265-'ETF price'!U264</f>
        <v>1.0799999999999983</v>
      </c>
      <c r="U263" s="3">
        <f ca="1">'ETF price'!V265-'ETF price'!V264</f>
        <v>-3.8300000000000125</v>
      </c>
      <c r="V263" s="3">
        <f ca="1">'ETF price'!W265-'ETF price'!W264</f>
        <v>-0.41000000000000369</v>
      </c>
      <c r="W263" s="3">
        <f ca="1">'ETF price'!X265-'ETF price'!X264</f>
        <v>-0.97999999999998977</v>
      </c>
      <c r="X263" s="3">
        <f ca="1">'ETF price'!Y265-'ETF price'!Y264</f>
        <v>-0.10000000000000142</v>
      </c>
      <c r="Y263" s="3">
        <f ca="1">'ETF price'!Z265-'ETF price'!Z264</f>
        <v>-0.94000000000001194</v>
      </c>
      <c r="Z263" s="3">
        <f ca="1">'ETF price'!AA265-'ETF price'!AA264</f>
        <v>-0.18999999999999773</v>
      </c>
      <c r="AA263" s="3">
        <f ca="1">'ETF price'!AB265-'ETF price'!AB264</f>
        <v>6.9999999999993179E-2</v>
      </c>
      <c r="AB263" s="3">
        <f ca="1">'ETF price'!AC265-'ETF price'!AC264</f>
        <v>1.0900000000000034</v>
      </c>
      <c r="AC263" s="3">
        <f ca="1">'ETF price'!AD265-'ETF price'!AD264</f>
        <v>0.13999999999999879</v>
      </c>
      <c r="AD263" s="3">
        <f ca="1">'ETF price'!AE265-'ETF price'!AE264</f>
        <v>0.25</v>
      </c>
      <c r="AE263" s="3">
        <f ca="1">'ETF price'!AF265-'ETF price'!AF264</f>
        <v>-0.16999999999999993</v>
      </c>
      <c r="AF263" s="3">
        <f ca="1">'ETF price'!AG265-'ETF price'!AG264</f>
        <v>5.0000000000000711E-2</v>
      </c>
    </row>
    <row r="264" spans="1:32" ht="12.75" x14ac:dyDescent="0.2">
      <c r="A264" s="3">
        <f ca="1">'ETF price'!B266-'ETF price'!B265</f>
        <v>3.460000000000008</v>
      </c>
      <c r="B264" s="3">
        <f ca="1">'ETF price'!C266-'ETF price'!C265</f>
        <v>9.2099999999999795</v>
      </c>
      <c r="C264" s="3">
        <f ca="1">'ETF price'!D266-'ETF price'!D265</f>
        <v>2.1700000000000017</v>
      </c>
      <c r="D264" s="3">
        <f ca="1">'ETF price'!E266-'ETF price'!E265</f>
        <v>3.8999999999999915</v>
      </c>
      <c r="E264" s="3">
        <f ca="1">'ETF price'!F266-'ETF price'!F265</f>
        <v>1.009999999999998</v>
      </c>
      <c r="F264" s="3">
        <f ca="1">'ETF price'!G266-'ETF price'!G265</f>
        <v>0.47000000000000242</v>
      </c>
      <c r="G264" s="3">
        <f ca="1">'ETF price'!H266-'ETF price'!H265</f>
        <v>0.48000000000000043</v>
      </c>
      <c r="H264" s="3">
        <f ca="1">'ETF price'!I266-'ETF price'!I265</f>
        <v>0.66999999999998749</v>
      </c>
      <c r="I264" s="3">
        <f ca="1">'ETF price'!J266-'ETF price'!J265</f>
        <v>1.6400000000000148</v>
      </c>
      <c r="J264" s="3">
        <f ca="1">'ETF price'!K266-'ETF price'!K265</f>
        <v>1.4199999999999875</v>
      </c>
      <c r="K264" s="3">
        <f ca="1">'ETF price'!L266-'ETF price'!L265</f>
        <v>2.0999999999999943</v>
      </c>
      <c r="L264" s="3">
        <f ca="1">'ETF price'!M266-'ETF price'!M265</f>
        <v>0.89000000000000057</v>
      </c>
      <c r="M264" s="3">
        <f ca="1">'ETF price'!N266-'ETF price'!N265</f>
        <v>0.42000000000000171</v>
      </c>
      <c r="N264" s="3">
        <f ca="1">'ETF price'!O266-'ETF price'!O265</f>
        <v>1.240000000000002</v>
      </c>
      <c r="O264" s="3">
        <f ca="1">'ETF price'!P266-'ETF price'!P265</f>
        <v>0.89000000000000057</v>
      </c>
      <c r="P264" s="3">
        <f ca="1">'ETF price'!Q266-'ETF price'!Q265</f>
        <v>1.6000000000000085</v>
      </c>
      <c r="Q264" s="3">
        <f ca="1">'ETF price'!R266-'ETF price'!R265</f>
        <v>1.6299999999999955</v>
      </c>
      <c r="R264" s="3">
        <f ca="1">'ETF price'!S266-'ETF price'!S265</f>
        <v>1.3399999999999963</v>
      </c>
      <c r="S264" s="3">
        <f ca="1">'ETF price'!T266-'ETF price'!T265</f>
        <v>0.14999999999999858</v>
      </c>
      <c r="T264" s="3">
        <f ca="1">'ETF price'!U266-'ETF price'!U265</f>
        <v>0.95999999999999375</v>
      </c>
      <c r="U264" s="3">
        <f ca="1">'ETF price'!V266-'ETF price'!V265</f>
        <v>1.5100000000000051</v>
      </c>
      <c r="V264" s="3">
        <f ca="1">'ETF price'!W266-'ETF price'!W265</f>
        <v>0.55000000000000426</v>
      </c>
      <c r="W264" s="3">
        <f ca="1">'ETF price'!X266-'ETF price'!X265</f>
        <v>1.4699999999999989</v>
      </c>
      <c r="X264" s="3">
        <f ca="1">'ETF price'!Y266-'ETF price'!Y265</f>
        <v>1.2199999999999989</v>
      </c>
      <c r="Y264" s="3">
        <f ca="1">'ETF price'!Z266-'ETF price'!Z265</f>
        <v>1.2900000000000063</v>
      </c>
      <c r="Z264" s="3">
        <f ca="1">'ETF price'!AA266-'ETF price'!AA265</f>
        <v>0.44999999999999574</v>
      </c>
      <c r="AA264" s="3">
        <f ca="1">'ETF price'!AB266-'ETF price'!AB265</f>
        <v>1.6100000000000065</v>
      </c>
      <c r="AB264" s="3">
        <f ca="1">'ETF price'!AC266-'ETF price'!AC265</f>
        <v>0.72999999999999687</v>
      </c>
      <c r="AC264" s="3">
        <f ca="1">'ETF price'!AD266-'ETF price'!AD265</f>
        <v>0.48000000000000043</v>
      </c>
      <c r="AD264" s="3">
        <f ca="1">'ETF price'!AE266-'ETF price'!AE265</f>
        <v>0.77999999999999936</v>
      </c>
      <c r="AE264" s="3">
        <f ca="1">'ETF price'!AF266-'ETF price'!AF265</f>
        <v>2.9999999999999805E-2</v>
      </c>
      <c r="AF264" s="3">
        <f ca="1">'ETF price'!AG266-'ETF price'!AG265</f>
        <v>1.4600000000000009</v>
      </c>
    </row>
    <row r="265" spans="1:32" ht="12.75" x14ac:dyDescent="0.2">
      <c r="A265" s="3">
        <f ca="1">'ETF price'!B267-'ETF price'!B266</f>
        <v>2.9900000000000091</v>
      </c>
      <c r="B265" s="3">
        <f ca="1">'ETF price'!C267-'ETF price'!C266</f>
        <v>8.0300000000000296</v>
      </c>
      <c r="C265" s="3">
        <f ca="1">'ETF price'!D267-'ETF price'!D266</f>
        <v>-0.31000000000000227</v>
      </c>
      <c r="D265" s="3">
        <f ca="1">'ETF price'!E267-'ETF price'!E266</f>
        <v>6.4500000000000171</v>
      </c>
      <c r="E265" s="3">
        <f ca="1">'ETF price'!F267-'ETF price'!F266</f>
        <v>0.72000000000000597</v>
      </c>
      <c r="F265" s="3">
        <f ca="1">'ETF price'!G267-'ETF price'!G266</f>
        <v>0.41999999999999815</v>
      </c>
      <c r="G265" s="3">
        <f ca="1">'ETF price'!H267-'ETF price'!H266</f>
        <v>0.53000000000000114</v>
      </c>
      <c r="H265" s="3">
        <f ca="1">'ETF price'!I267-'ETF price'!I266</f>
        <v>0.46000000000000796</v>
      </c>
      <c r="I265" s="3">
        <f ca="1">'ETF price'!J267-'ETF price'!J266</f>
        <v>0.99000000000000909</v>
      </c>
      <c r="J265" s="3">
        <f ca="1">'ETF price'!K267-'ETF price'!K266</f>
        <v>1.3199999999999932</v>
      </c>
      <c r="K265" s="3">
        <f ca="1">'ETF price'!L267-'ETF price'!L266</f>
        <v>0.17000000000000171</v>
      </c>
      <c r="L265" s="3">
        <f ca="1">'ETF price'!M267-'ETF price'!M266</f>
        <v>-0.10999999999999943</v>
      </c>
      <c r="M265" s="3">
        <f ca="1">'ETF price'!N267-'ETF price'!N266</f>
        <v>0.19999999999999574</v>
      </c>
      <c r="N265" s="3">
        <f ca="1">'ETF price'!O267-'ETF price'!O266</f>
        <v>0.88000000000000256</v>
      </c>
      <c r="O265" s="3">
        <f ca="1">'ETF price'!P267-'ETF price'!P266</f>
        <v>0.11999999999999034</v>
      </c>
      <c r="P265" s="3">
        <f ca="1">'ETF price'!Q267-'ETF price'!Q266</f>
        <v>9.0000000000003411E-2</v>
      </c>
      <c r="Q265" s="3">
        <f ca="1">'ETF price'!R267-'ETF price'!R266</f>
        <v>0.26999999999999602</v>
      </c>
      <c r="R265" s="3">
        <f ca="1">'ETF price'!S267-'ETF price'!S266</f>
        <v>0.15000000000000568</v>
      </c>
      <c r="S265" s="3">
        <f ca="1">'ETF price'!T267-'ETF price'!T266</f>
        <v>5.9999999999998721E-2</v>
      </c>
      <c r="T265" s="3">
        <f ca="1">'ETF price'!U267-'ETF price'!U266</f>
        <v>-4.9999999999997158E-2</v>
      </c>
      <c r="U265" s="3">
        <f ca="1">'ETF price'!V267-'ETF price'!V266</f>
        <v>2.1400000000000006</v>
      </c>
      <c r="V265" s="3">
        <f ca="1">'ETF price'!W267-'ETF price'!W266</f>
        <v>0.40999999999999659</v>
      </c>
      <c r="W265" s="3">
        <f ca="1">'ETF price'!X267-'ETF price'!X266</f>
        <v>1.0699999999999932</v>
      </c>
      <c r="X265" s="3">
        <f ca="1">'ETF price'!Y267-'ETF price'!Y266</f>
        <v>0.63000000000000256</v>
      </c>
      <c r="Y265" s="3">
        <f ca="1">'ETF price'!Z267-'ETF price'!Z266</f>
        <v>0.90000000000000568</v>
      </c>
      <c r="Z265" s="3">
        <f ca="1">'ETF price'!AA267-'ETF price'!AA266</f>
        <v>0.10999999999999943</v>
      </c>
      <c r="AA265" s="3">
        <f ca="1">'ETF price'!AB267-'ETF price'!AB266</f>
        <v>0.94999999999999574</v>
      </c>
      <c r="AB265" s="3">
        <f ca="1">'ETF price'!AC267-'ETF price'!AC266</f>
        <v>-7.9999999999998295E-2</v>
      </c>
      <c r="AC265" s="3">
        <f ca="1">'ETF price'!AD267-'ETF price'!AD266</f>
        <v>0.28000000000000114</v>
      </c>
      <c r="AD265" s="3">
        <f ca="1">'ETF price'!AE267-'ETF price'!AE266</f>
        <v>0.48000000000000043</v>
      </c>
      <c r="AE265" s="3">
        <f ca="1">'ETF price'!AF267-'ETF price'!AF266</f>
        <v>0.15000000000000036</v>
      </c>
      <c r="AF265" s="3">
        <f ca="1">'ETF price'!AG267-'ETF price'!AG266</f>
        <v>1.0499999999999972</v>
      </c>
    </row>
    <row r="266" spans="1:32" ht="12.75" x14ac:dyDescent="0.2">
      <c r="A266" s="3">
        <f ca="1">'ETF price'!B268-'ETF price'!B267</f>
        <v>-6.0000000000002274E-2</v>
      </c>
      <c r="B266" s="3">
        <f ca="1">'ETF price'!C268-'ETF price'!C267</f>
        <v>-0.58000000000004093</v>
      </c>
      <c r="C266" s="3">
        <f ca="1">'ETF price'!D268-'ETF price'!D267</f>
        <v>-0.40000000000000568</v>
      </c>
      <c r="D266" s="3">
        <f ca="1">'ETF price'!E268-'ETF price'!E267</f>
        <v>-1.0200000000000102</v>
      </c>
      <c r="E266" s="3">
        <f ca="1">'ETF price'!F268-'ETF price'!F267</f>
        <v>-0.17000000000000171</v>
      </c>
      <c r="F266" s="3">
        <f ca="1">'ETF price'!G268-'ETF price'!G267</f>
        <v>-7.0000000000000284E-2</v>
      </c>
      <c r="G266" s="3">
        <f ca="1">'ETF price'!H268-'ETF price'!H267</f>
        <v>-0.20000000000000284</v>
      </c>
      <c r="H266" s="3">
        <f ca="1">'ETF price'!I268-'ETF price'!I267</f>
        <v>-0.89000000000001478</v>
      </c>
      <c r="I266" s="3">
        <f ca="1">'ETF price'!J268-'ETF price'!J267</f>
        <v>-1.6800000000000068</v>
      </c>
      <c r="J266" s="3">
        <f ca="1">'ETF price'!K268-'ETF price'!K267</f>
        <v>-9.9999999999909051E-3</v>
      </c>
      <c r="K266" s="3">
        <f ca="1">'ETF price'!L268-'ETF price'!L267</f>
        <v>1.6599999999999966</v>
      </c>
      <c r="L266" s="3">
        <f ca="1">'ETF price'!M268-'ETF price'!M267</f>
        <v>-7.000000000000739E-2</v>
      </c>
      <c r="M266" s="3">
        <f ca="1">'ETF price'!N268-'ETF price'!N267</f>
        <v>-0.35000000000000142</v>
      </c>
      <c r="N266" s="3">
        <f ca="1">'ETF price'!O268-'ETF price'!O267</f>
        <v>-0.16000000000000369</v>
      </c>
      <c r="O266" s="3">
        <f ca="1">'ETF price'!P268-'ETF price'!P267</f>
        <v>-0.34999999999999432</v>
      </c>
      <c r="P266" s="3">
        <f ca="1">'ETF price'!Q268-'ETF price'!Q267</f>
        <v>-0.42000000000000171</v>
      </c>
      <c r="Q266" s="3">
        <f ca="1">'ETF price'!R268-'ETF price'!R267</f>
        <v>4.9999999999997158E-2</v>
      </c>
      <c r="R266" s="3">
        <f ca="1">'ETF price'!S268-'ETF price'!S267</f>
        <v>0.10999999999999943</v>
      </c>
      <c r="S266" s="3">
        <f ca="1">'ETF price'!T268-'ETF price'!T267</f>
        <v>-0.13999999999999702</v>
      </c>
      <c r="T266" s="3">
        <f ca="1">'ETF price'!U268-'ETF price'!U267</f>
        <v>-1.2800000000000011</v>
      </c>
      <c r="U266" s="3">
        <f ca="1">'ETF price'!V268-'ETF price'!V267</f>
        <v>-0.92999999999999261</v>
      </c>
      <c r="V266" s="3">
        <f ca="1">'ETF price'!W268-'ETF price'!W267</f>
        <v>2.0000000000003126E-2</v>
      </c>
      <c r="W266" s="3">
        <f ca="1">'ETF price'!X268-'ETF price'!X267</f>
        <v>-9.0000000000003411E-2</v>
      </c>
      <c r="X266" s="3">
        <f ca="1">'ETF price'!Y268-'ETF price'!Y267</f>
        <v>-0.46000000000000085</v>
      </c>
      <c r="Y266" s="3">
        <f ca="1">'ETF price'!Z268-'ETF price'!Z267</f>
        <v>3.0000000000001137E-2</v>
      </c>
      <c r="Z266" s="3">
        <f ca="1">'ETF price'!AA268-'ETF price'!AA267</f>
        <v>0.17000000000000171</v>
      </c>
      <c r="AA266" s="3">
        <f ca="1">'ETF price'!AB268-'ETF price'!AB267</f>
        <v>-0.71999999999999886</v>
      </c>
      <c r="AB266" s="3">
        <f ca="1">'ETF price'!AC268-'ETF price'!AC267</f>
        <v>0.38000000000000256</v>
      </c>
      <c r="AC266" s="3">
        <f ca="1">'ETF price'!AD268-'ETF price'!AD267</f>
        <v>-2.000000000000135E-2</v>
      </c>
      <c r="AD266" s="3">
        <f ca="1">'ETF price'!AE268-'ETF price'!AE267</f>
        <v>-5.0000000000000711E-2</v>
      </c>
      <c r="AE266" s="3">
        <f ca="1">'ETF price'!AF268-'ETF price'!AF267</f>
        <v>6.0000000000000053E-2</v>
      </c>
      <c r="AF266" s="3">
        <f ca="1">'ETF price'!AG268-'ETF price'!AG267</f>
        <v>-0.50999999999999801</v>
      </c>
    </row>
    <row r="267" spans="1:32" ht="12.75" x14ac:dyDescent="0.2">
      <c r="A267" s="3">
        <f ca="1">'ETF price'!B269-'ETF price'!B268</f>
        <v>-0.28000000000000114</v>
      </c>
      <c r="B267" s="3">
        <f ca="1">'ETF price'!C269-'ETF price'!C268</f>
        <v>-0.72999999999996135</v>
      </c>
      <c r="C267" s="3">
        <f ca="1">'ETF price'!D269-'ETF price'!D268</f>
        <v>1.6400000000000006</v>
      </c>
      <c r="D267" s="3">
        <f ca="1">'ETF price'!E269-'ETF price'!E268</f>
        <v>0.37000000000000455</v>
      </c>
      <c r="E267" s="3">
        <f ca="1">'ETF price'!F269-'ETF price'!F268</f>
        <v>-3.0000000000001137E-2</v>
      </c>
      <c r="F267" s="3">
        <f ca="1">'ETF price'!G269-'ETF price'!G268</f>
        <v>3.0000000000001137E-2</v>
      </c>
      <c r="G267" s="3">
        <f ca="1">'ETF price'!H269-'ETF price'!H268</f>
        <v>0.10000000000000142</v>
      </c>
      <c r="H267" s="3">
        <f ca="1">'ETF price'!I269-'ETF price'!I268</f>
        <v>4.0000000000020464E-2</v>
      </c>
      <c r="I267" s="3">
        <f ca="1">'ETF price'!J269-'ETF price'!J268</f>
        <v>0.31999999999999318</v>
      </c>
      <c r="J267" s="3">
        <f ca="1">'ETF price'!K269-'ETF price'!K268</f>
        <v>9.9999999999909051E-3</v>
      </c>
      <c r="K267" s="3">
        <f ca="1">'ETF price'!L269-'ETF price'!L268</f>
        <v>8.0000000000012506E-2</v>
      </c>
      <c r="L267" s="3">
        <f ca="1">'ETF price'!M269-'ETF price'!M268</f>
        <v>-0.12999999999999545</v>
      </c>
      <c r="M267" s="3">
        <f ca="1">'ETF price'!N269-'ETF price'!N268</f>
        <v>3.0000000000001137E-2</v>
      </c>
      <c r="N267" s="3">
        <f ca="1">'ETF price'!O269-'ETF price'!O268</f>
        <v>3.9999999999999147E-2</v>
      </c>
      <c r="O267" s="3">
        <f ca="1">'ETF price'!P269-'ETF price'!P268</f>
        <v>1.0000000000005116E-2</v>
      </c>
      <c r="P267" s="3">
        <f ca="1">'ETF price'!Q269-'ETF price'!Q268</f>
        <v>-7.9999999999998295E-2</v>
      </c>
      <c r="Q267" s="3">
        <f ca="1">'ETF price'!R269-'ETF price'!R268</f>
        <v>0.17000000000000171</v>
      </c>
      <c r="R267" s="3">
        <f ca="1">'ETF price'!S269-'ETF price'!S268</f>
        <v>0.69999999999999574</v>
      </c>
      <c r="S267" s="3">
        <f ca="1">'ETF price'!T269-'ETF price'!T268</f>
        <v>-7.0000000000000284E-2</v>
      </c>
      <c r="T267" s="3">
        <f ca="1">'ETF price'!U269-'ETF price'!U268</f>
        <v>0.29000000000000625</v>
      </c>
      <c r="U267" s="3">
        <f ca="1">'ETF price'!V269-'ETF price'!V268</f>
        <v>-1.480000000000004</v>
      </c>
      <c r="V267" s="3">
        <f ca="1">'ETF price'!W269-'ETF price'!W268</f>
        <v>0.28000000000000114</v>
      </c>
      <c r="W267" s="3">
        <f ca="1">'ETF price'!X269-'ETF price'!X268</f>
        <v>0.59000000000000341</v>
      </c>
      <c r="X267" s="3">
        <f ca="1">'ETF price'!Y269-'ETF price'!Y268</f>
        <v>0.21999999999999886</v>
      </c>
      <c r="Y267" s="3">
        <f ca="1">'ETF price'!Z269-'ETF price'!Z268</f>
        <v>0.5</v>
      </c>
      <c r="Z267" s="3">
        <f ca="1">'ETF price'!AA269-'ETF price'!AA268</f>
        <v>3.9999999999999147E-2</v>
      </c>
      <c r="AA267" s="3">
        <f ca="1">'ETF price'!AB269-'ETF price'!AB268</f>
        <v>0.14000000000000057</v>
      </c>
      <c r="AB267" s="3">
        <f ca="1">'ETF price'!AC269-'ETF price'!AC268</f>
        <v>0.34999999999999432</v>
      </c>
      <c r="AC267" s="3">
        <f ca="1">'ETF price'!AD269-'ETF price'!AD268</f>
        <v>-2.9999999999999361E-2</v>
      </c>
      <c r="AD267" s="3">
        <f ca="1">'ETF price'!AE269-'ETF price'!AE268</f>
        <v>-6.9999999999998508E-2</v>
      </c>
      <c r="AE267" s="3">
        <f ca="1">'ETF price'!AF269-'ETF price'!AF268</f>
        <v>-0.13000000000000034</v>
      </c>
      <c r="AF267" s="3">
        <f ca="1">'ETF price'!AG269-'ETF price'!AG268</f>
        <v>-0.16000000000000014</v>
      </c>
    </row>
    <row r="268" spans="1:32" ht="12.75" x14ac:dyDescent="0.2">
      <c r="A268" s="3">
        <f ca="1">'ETF price'!B270-'ETF price'!B269</f>
        <v>2.1399999999999864</v>
      </c>
      <c r="B268" s="3">
        <f ca="1">'ETF price'!C270-'ETF price'!C269</f>
        <v>5.4900000000000091</v>
      </c>
      <c r="C268" s="3">
        <f ca="1">'ETF price'!D270-'ETF price'!D269</f>
        <v>0.51000000000000512</v>
      </c>
      <c r="D268" s="3">
        <f ca="1">'ETF price'!E270-'ETF price'!E269</f>
        <v>2.2599999999999909</v>
      </c>
      <c r="E268" s="3">
        <f ca="1">'ETF price'!F270-'ETF price'!F269</f>
        <v>0.90999999999999659</v>
      </c>
      <c r="F268" s="3">
        <f ca="1">'ETF price'!G270-'ETF price'!G269</f>
        <v>0.23000000000000043</v>
      </c>
      <c r="G268" s="3">
        <f ca="1">'ETF price'!H270-'ETF price'!H269</f>
        <v>0.32999999999999829</v>
      </c>
      <c r="H268" s="3">
        <f ca="1">'ETF price'!I270-'ETF price'!I269</f>
        <v>0.25</v>
      </c>
      <c r="I268" s="3">
        <f ca="1">'ETF price'!J270-'ETF price'!J269</f>
        <v>0.61000000000001364</v>
      </c>
      <c r="J268" s="3">
        <f ca="1">'ETF price'!K270-'ETF price'!K269</f>
        <v>0.37000000000000455</v>
      </c>
      <c r="K268" s="3">
        <f ca="1">'ETF price'!L270-'ETF price'!L269</f>
        <v>-0.31000000000000227</v>
      </c>
      <c r="L268" s="3">
        <f ca="1">'ETF price'!M270-'ETF price'!M269</f>
        <v>0</v>
      </c>
      <c r="M268" s="3">
        <f ca="1">'ETF price'!N270-'ETF price'!N269</f>
        <v>0.10000000000000142</v>
      </c>
      <c r="N268" s="3">
        <f ca="1">'ETF price'!O270-'ETF price'!O269</f>
        <v>0.36000000000000654</v>
      </c>
      <c r="O268" s="3">
        <f ca="1">'ETF price'!P270-'ETF price'!P269</f>
        <v>2.8499999999999943</v>
      </c>
      <c r="P268" s="3">
        <f ca="1">'ETF price'!Q270-'ETF price'!Q269</f>
        <v>3.7699999999999818</v>
      </c>
      <c r="Q268" s="3">
        <f ca="1">'ETF price'!R270-'ETF price'!R269</f>
        <v>0.40000000000000568</v>
      </c>
      <c r="R268" s="3">
        <f ca="1">'ETF price'!S270-'ETF price'!S269</f>
        <v>0.42999999999999972</v>
      </c>
      <c r="S268" s="3">
        <f ca="1">'ETF price'!T270-'ETF price'!T269</f>
        <v>0.10999999999999943</v>
      </c>
      <c r="T268" s="3">
        <f ca="1">'ETF price'!U270-'ETF price'!U269</f>
        <v>0.42000000000000171</v>
      </c>
      <c r="U268" s="3">
        <f ca="1">'ETF price'!V270-'ETF price'!V269</f>
        <v>0.28000000000000114</v>
      </c>
      <c r="V268" s="3">
        <f ca="1">'ETF price'!W270-'ETF price'!W269</f>
        <v>0.18999999999999773</v>
      </c>
      <c r="W268" s="3">
        <f ca="1">'ETF price'!X270-'ETF price'!X269</f>
        <v>0.57999999999999829</v>
      </c>
      <c r="X268" s="3">
        <f ca="1">'ETF price'!Y270-'ETF price'!Y269</f>
        <v>0.50999999999999801</v>
      </c>
      <c r="Y268" s="3">
        <f ca="1">'ETF price'!Z270-'ETF price'!Z269</f>
        <v>0.5899999999999892</v>
      </c>
      <c r="Z268" s="3">
        <f ca="1">'ETF price'!AA270-'ETF price'!AA269</f>
        <v>0.45000000000000284</v>
      </c>
      <c r="AA268" s="3">
        <f ca="1">'ETF price'!AB270-'ETF price'!AB269</f>
        <v>0.42000000000000171</v>
      </c>
      <c r="AB268" s="3">
        <f ca="1">'ETF price'!AC270-'ETF price'!AC269</f>
        <v>0.40000000000000568</v>
      </c>
      <c r="AC268" s="3">
        <f ca="1">'ETF price'!AD270-'ETF price'!AD269</f>
        <v>6.0000000000000497E-2</v>
      </c>
      <c r="AD268" s="3">
        <f ca="1">'ETF price'!AE270-'ETF price'!AE269</f>
        <v>0.14999999999999858</v>
      </c>
      <c r="AE268" s="3">
        <f ca="1">'ETF price'!AF270-'ETF price'!AF269</f>
        <v>-9.9999999999997868E-3</v>
      </c>
      <c r="AF268" s="3">
        <f ca="1">'ETF price'!AG270-'ETF price'!AG269</f>
        <v>0.17999999999999972</v>
      </c>
    </row>
    <row r="269" spans="1:32" ht="12.75" x14ac:dyDescent="0.2">
      <c r="A269" s="3">
        <f ca="1">'ETF price'!B271-'ETF price'!B270</f>
        <v>0.56999999999999318</v>
      </c>
      <c r="B269" s="3">
        <f ca="1">'ETF price'!C271-'ETF price'!C270</f>
        <v>1.6099999999999568</v>
      </c>
      <c r="C269" s="3">
        <f ca="1">'ETF price'!D271-'ETF price'!D270</f>
        <v>-1.8199999999999932</v>
      </c>
      <c r="D269" s="3">
        <f ca="1">'ETF price'!E271-'ETF price'!E270</f>
        <v>-0.87000000000000455</v>
      </c>
      <c r="E269" s="3">
        <f ca="1">'ETF price'!F271-'ETF price'!F270</f>
        <v>0.10000000000000142</v>
      </c>
      <c r="F269" s="3">
        <f ca="1">'ETF price'!G271-'ETF price'!G270</f>
        <v>0.28999999999999915</v>
      </c>
      <c r="G269" s="3">
        <f ca="1">'ETF price'!H271-'ETF price'!H270</f>
        <v>7.0000000000000284E-2</v>
      </c>
      <c r="H269" s="3">
        <f ca="1">'ETF price'!I271-'ETF price'!I270</f>
        <v>-0.90999999999999659</v>
      </c>
      <c r="I269" s="3">
        <f ca="1">'ETF price'!J271-'ETF price'!J270</f>
        <v>-1.5100000000000193</v>
      </c>
      <c r="J269" s="3">
        <f ca="1">'ETF price'!K271-'ETF price'!K270</f>
        <v>6.9999999999993179E-2</v>
      </c>
      <c r="K269" s="3">
        <f ca="1">'ETF price'!L271-'ETF price'!L270</f>
        <v>0.79999999999999716</v>
      </c>
      <c r="L269" s="3">
        <f ca="1">'ETF price'!M271-'ETF price'!M270</f>
        <v>0.24000000000000909</v>
      </c>
      <c r="M269" s="3">
        <f ca="1">'ETF price'!N271-'ETF price'!N270</f>
        <v>-0.29999999999999716</v>
      </c>
      <c r="N269" s="3">
        <f ca="1">'ETF price'!O271-'ETF price'!O270</f>
        <v>0.47999999999999687</v>
      </c>
      <c r="O269" s="3">
        <f ca="1">'ETF price'!P271-'ETF price'!P270</f>
        <v>-1.8799999999999955</v>
      </c>
      <c r="P269" s="3">
        <f ca="1">'ETF price'!Q271-'ETF price'!Q270</f>
        <v>-2.3199999999999932</v>
      </c>
      <c r="Q269" s="3">
        <f ca="1">'ETF price'!R271-'ETF price'!R270</f>
        <v>-0.26999999999999602</v>
      </c>
      <c r="R269" s="3">
        <f ca="1">'ETF price'!S271-'ETF price'!S270</f>
        <v>-0.22999999999999687</v>
      </c>
      <c r="S269" s="3">
        <f ca="1">'ETF price'!T271-'ETF price'!T270</f>
        <v>-0.28000000000000114</v>
      </c>
      <c r="T269" s="3">
        <f ca="1">'ETF price'!U271-'ETF price'!U270</f>
        <v>-1.4300000000000068</v>
      </c>
      <c r="U269" s="3">
        <f ca="1">'ETF price'!V271-'ETF price'!V270</f>
        <v>0.67000000000000171</v>
      </c>
      <c r="V269" s="3">
        <f ca="1">'ETF price'!W271-'ETF price'!W270</f>
        <v>0</v>
      </c>
      <c r="W269" s="3">
        <f ca="1">'ETF price'!X271-'ETF price'!X270</f>
        <v>0.18999999999999773</v>
      </c>
      <c r="X269" s="3">
        <f ca="1">'ETF price'!Y271-'ETF price'!Y270</f>
        <v>0.27000000000000313</v>
      </c>
      <c r="Y269" s="3">
        <f ca="1">'ETF price'!Z271-'ETF price'!Z270</f>
        <v>-0.10999999999999943</v>
      </c>
      <c r="Z269" s="3">
        <f ca="1">'ETF price'!AA271-'ETF price'!AA270</f>
        <v>0.35999999999999943</v>
      </c>
      <c r="AA269" s="3">
        <f ca="1">'ETF price'!AB271-'ETF price'!AB270</f>
        <v>0.37999999999999545</v>
      </c>
      <c r="AB269" s="3">
        <f ca="1">'ETF price'!AC271-'ETF price'!AC270</f>
        <v>-0.40000000000000568</v>
      </c>
      <c r="AC269" s="3">
        <f ca="1">'ETF price'!AD271-'ETF price'!AD270</f>
        <v>-9.9999999999997868E-3</v>
      </c>
      <c r="AD269" s="3">
        <f ca="1">'ETF price'!AE271-'ETF price'!AE270</f>
        <v>-4.9999999999998934E-2</v>
      </c>
      <c r="AE269" s="3">
        <f ca="1">'ETF price'!AF271-'ETF price'!AF270</f>
        <v>0.12000000000000011</v>
      </c>
      <c r="AF269" s="3">
        <f ca="1">'ETF price'!AG271-'ETF price'!AG270</f>
        <v>0.85999999999999943</v>
      </c>
    </row>
    <row r="270" spans="1:32" ht="12.75" x14ac:dyDescent="0.2">
      <c r="A270" s="3">
        <f ca="1">'ETF price'!B272-'ETF price'!B271</f>
        <v>-2.6099999999999852</v>
      </c>
      <c r="B270" s="3">
        <f ca="1">'ETF price'!C272-'ETF price'!C271</f>
        <v>-6.8799999999999955</v>
      </c>
      <c r="C270" s="3">
        <f ca="1">'ETF price'!D272-'ETF price'!D271</f>
        <v>1.289999999999992</v>
      </c>
      <c r="D270" s="3">
        <f ca="1">'ETF price'!E272-'ETF price'!E271</f>
        <v>-3.5999999999999943</v>
      </c>
      <c r="E270" s="3">
        <f ca="1">'ETF price'!F272-'ETF price'!F271</f>
        <v>-0.68999999999999773</v>
      </c>
      <c r="F270" s="3">
        <f ca="1">'ETF price'!G272-'ETF price'!G271</f>
        <v>-0.32000000000000028</v>
      </c>
      <c r="G270" s="3">
        <f ca="1">'ETF price'!H272-'ETF price'!H271</f>
        <v>-0.42999999999999972</v>
      </c>
      <c r="H270" s="3">
        <f ca="1">'ETF price'!I272-'ETF price'!I271</f>
        <v>-1.2000000000000171</v>
      </c>
      <c r="I270" s="3">
        <f ca="1">'ETF price'!J272-'ETF price'!J271</f>
        <v>-2.5199999999999818</v>
      </c>
      <c r="J270" s="3">
        <f ca="1">'ETF price'!K272-'ETF price'!K271</f>
        <v>-2.4299999999999784</v>
      </c>
      <c r="K270" s="3">
        <f ca="1">'ETF price'!L272-'ETF price'!L271</f>
        <v>-2.2900000000000063</v>
      </c>
      <c r="L270" s="3">
        <f ca="1">'ETF price'!M272-'ETF price'!M271</f>
        <v>-1.4300000000000068</v>
      </c>
      <c r="M270" s="3">
        <f ca="1">'ETF price'!N272-'ETF price'!N271</f>
        <v>-0.63000000000000256</v>
      </c>
      <c r="N270" s="3">
        <f ca="1">'ETF price'!O272-'ETF price'!O271</f>
        <v>-1.8800000000000026</v>
      </c>
      <c r="O270" s="3">
        <f ca="1">'ETF price'!P272-'ETF price'!P271</f>
        <v>-2.0900000000000034</v>
      </c>
      <c r="P270" s="3">
        <f ca="1">'ETF price'!Q272-'ETF price'!Q271</f>
        <v>-2.8499999999999943</v>
      </c>
      <c r="Q270" s="3">
        <f ca="1">'ETF price'!R272-'ETF price'!R271</f>
        <v>-0.57000000000000739</v>
      </c>
      <c r="R270" s="3">
        <f ca="1">'ETF price'!S272-'ETF price'!S271</f>
        <v>-0.63000000000000256</v>
      </c>
      <c r="S270" s="3">
        <f ca="1">'ETF price'!T272-'ETF price'!T271</f>
        <v>-0.32000000000000028</v>
      </c>
      <c r="T270" s="3">
        <f ca="1">'ETF price'!U272-'ETF price'!U271</f>
        <v>-1.4000000000000057</v>
      </c>
      <c r="U270" s="3">
        <f ca="1">'ETF price'!V272-'ETF price'!V271</f>
        <v>-1.9300000000000068</v>
      </c>
      <c r="V270" s="3">
        <f ca="1">'ETF price'!W272-'ETF price'!W271</f>
        <v>-0.17999999999999972</v>
      </c>
      <c r="W270" s="3">
        <f ca="1">'ETF price'!X272-'ETF price'!X271</f>
        <v>-0.46999999999999886</v>
      </c>
      <c r="X270" s="3">
        <f ca="1">'ETF price'!Y272-'ETF price'!Y271</f>
        <v>-0.46999999999999886</v>
      </c>
      <c r="Y270" s="3">
        <f ca="1">'ETF price'!Z272-'ETF price'!Z271</f>
        <v>-0.45999999999999375</v>
      </c>
      <c r="Z270" s="3">
        <f ca="1">'ETF price'!AA272-'ETF price'!AA271</f>
        <v>-0.49000000000000199</v>
      </c>
      <c r="AA270" s="3">
        <f ca="1">'ETF price'!AB272-'ETF price'!AB271</f>
        <v>-0.61999999999999744</v>
      </c>
      <c r="AB270" s="3">
        <f ca="1">'ETF price'!AC272-'ETF price'!AC271</f>
        <v>0.71999999999999886</v>
      </c>
      <c r="AC270" s="3">
        <f ca="1">'ETF price'!AD272-'ETF price'!AD271</f>
        <v>-0.19000000000000128</v>
      </c>
      <c r="AD270" s="3">
        <f ca="1">'ETF price'!AE272-'ETF price'!AE271</f>
        <v>-0.28000000000000114</v>
      </c>
      <c r="AE270" s="3">
        <f ca="1">'ETF price'!AF272-'ETF price'!AF271</f>
        <v>-0.14000000000000012</v>
      </c>
      <c r="AF270" s="3">
        <f ca="1">'ETF price'!AG272-'ETF price'!AG271</f>
        <v>-1.2699999999999996</v>
      </c>
    </row>
    <row r="271" spans="1:32" ht="12.75" x14ac:dyDescent="0.2">
      <c r="A271" s="3">
        <f ca="1">'ETF price'!B273-'ETF price'!B272</f>
        <v>1.8700000000000045</v>
      </c>
      <c r="B271" s="3">
        <f ca="1">'ETF price'!C273-'ETF price'!C272</f>
        <v>5.2400000000000091</v>
      </c>
      <c r="C271" s="3">
        <f ca="1">'ETF price'!D273-'ETF price'!D272</f>
        <v>2.3299999999999983</v>
      </c>
      <c r="D271" s="3">
        <f ca="1">'ETF price'!E273-'ETF price'!E272</f>
        <v>2.460000000000008</v>
      </c>
      <c r="E271" s="3">
        <f ca="1">'ETF price'!F273-'ETF price'!F272</f>
        <v>0.85999999999999943</v>
      </c>
      <c r="F271" s="3">
        <f ca="1">'ETF price'!G273-'ETF price'!G272</f>
        <v>0.35000000000000142</v>
      </c>
      <c r="G271" s="3">
        <f ca="1">'ETF price'!H273-'ETF price'!H272</f>
        <v>0.42999999999999972</v>
      </c>
      <c r="H271" s="3">
        <f ca="1">'ETF price'!I273-'ETF price'!I272</f>
        <v>1.7000000000000171</v>
      </c>
      <c r="I271" s="3">
        <f ca="1">'ETF price'!J273-'ETF price'!J272</f>
        <v>3.3400000000000034</v>
      </c>
      <c r="J271" s="3">
        <f ca="1">'ETF price'!K273-'ETF price'!K272</f>
        <v>1.75</v>
      </c>
      <c r="K271" s="3">
        <f ca="1">'ETF price'!L273-'ETF price'!L272</f>
        <v>1.8000000000000114</v>
      </c>
      <c r="L271" s="3">
        <f ca="1">'ETF price'!M273-'ETF price'!M272</f>
        <v>1.0300000000000011</v>
      </c>
      <c r="M271" s="3">
        <f ca="1">'ETF price'!N273-'ETF price'!N272</f>
        <v>0.82999999999999829</v>
      </c>
      <c r="N271" s="3">
        <f ca="1">'ETF price'!O273-'ETF price'!O272</f>
        <v>0.88000000000000256</v>
      </c>
      <c r="O271" s="3">
        <f ca="1">'ETF price'!P273-'ETF price'!P272</f>
        <v>0.79000000000000625</v>
      </c>
      <c r="P271" s="3">
        <f ca="1">'ETF price'!Q273-'ETF price'!Q272</f>
        <v>1.3499999999999943</v>
      </c>
      <c r="Q271" s="3">
        <f ca="1">'ETF price'!R273-'ETF price'!R272</f>
        <v>1.8200000000000074</v>
      </c>
      <c r="R271" s="3">
        <f ca="1">'ETF price'!S273-'ETF price'!S272</f>
        <v>0.64999999999999858</v>
      </c>
      <c r="S271" s="3">
        <f ca="1">'ETF price'!T273-'ETF price'!T272</f>
        <v>0.42000000000000171</v>
      </c>
      <c r="T271" s="3">
        <f ca="1">'ETF price'!U273-'ETF price'!U272</f>
        <v>1.2199999999999989</v>
      </c>
      <c r="U271" s="3">
        <f ca="1">'ETF price'!V273-'ETF price'!V272</f>
        <v>2.5799999999999983</v>
      </c>
      <c r="V271" s="3">
        <f ca="1">'ETF price'!W273-'ETF price'!W272</f>
        <v>0.49000000000000199</v>
      </c>
      <c r="W271" s="3">
        <f ca="1">'ETF price'!X273-'ETF price'!X272</f>
        <v>1.3599999999999994</v>
      </c>
      <c r="X271" s="3">
        <f ca="1">'ETF price'!Y273-'ETF price'!Y272</f>
        <v>1.25</v>
      </c>
      <c r="Y271" s="3">
        <f ca="1">'ETF price'!Z273-'ETF price'!Z272</f>
        <v>1.1700000000000017</v>
      </c>
      <c r="Z271" s="3">
        <f ca="1">'ETF price'!AA273-'ETF price'!AA272</f>
        <v>0.73000000000000398</v>
      </c>
      <c r="AA271" s="3">
        <f ca="1">'ETF price'!AB273-'ETF price'!AB272</f>
        <v>1.7999999999999972</v>
      </c>
      <c r="AB271" s="3">
        <f ca="1">'ETF price'!AC273-'ETF price'!AC272</f>
        <v>0.34000000000000341</v>
      </c>
      <c r="AC271" s="3">
        <f ca="1">'ETF price'!AD273-'ETF price'!AD272</f>
        <v>0.16999999999999993</v>
      </c>
      <c r="AD271" s="3">
        <f ca="1">'ETF price'!AE273-'ETF price'!AE272</f>
        <v>0.26000000000000156</v>
      </c>
      <c r="AE271" s="3">
        <f ca="1">'ETF price'!AF273-'ETF price'!AF272</f>
        <v>4.0000000000000036E-2</v>
      </c>
      <c r="AF271" s="3">
        <f ca="1">'ETF price'!AG273-'ETF price'!AG272</f>
        <v>0.44999999999999929</v>
      </c>
    </row>
    <row r="272" spans="1:32" ht="12.75" x14ac:dyDescent="0.2">
      <c r="A272" s="3">
        <f ca="1">'ETF price'!B274-'ETF price'!B273</f>
        <v>3.1999999999999886</v>
      </c>
      <c r="B272" s="3">
        <f ca="1">'ETF price'!C274-'ETF price'!C273</f>
        <v>8.6000000000000227</v>
      </c>
      <c r="C272" s="3">
        <f ca="1">'ETF price'!D274-'ETF price'!D273</f>
        <v>3.7800000000000011</v>
      </c>
      <c r="D272" s="3">
        <f ca="1">'ETF price'!E274-'ETF price'!E273</f>
        <v>7.0200000000000102</v>
      </c>
      <c r="E272" s="3">
        <f ca="1">'ETF price'!F274-'ETF price'!F273</f>
        <v>0.91000000000000369</v>
      </c>
      <c r="F272" s="3">
        <f ca="1">'ETF price'!G274-'ETF price'!G273</f>
        <v>0.77999999999999758</v>
      </c>
      <c r="G272" s="3">
        <f ca="1">'ETF price'!H274-'ETF price'!H273</f>
        <v>0.53000000000000114</v>
      </c>
      <c r="H272" s="3">
        <f ca="1">'ETF price'!I274-'ETF price'!I273</f>
        <v>0.62999999999999545</v>
      </c>
      <c r="I272" s="3">
        <f ca="1">'ETF price'!J274-'ETF price'!J273</f>
        <v>1.4499999999999886</v>
      </c>
      <c r="J272" s="3">
        <f ca="1">'ETF price'!K274-'ETF price'!K273</f>
        <v>0.15999999999999659</v>
      </c>
      <c r="K272" s="3">
        <f ca="1">'ETF price'!L274-'ETF price'!L273</f>
        <v>0.8399999999999892</v>
      </c>
      <c r="L272" s="3">
        <f ca="1">'ETF price'!M274-'ETF price'!M273</f>
        <v>0.39000000000000057</v>
      </c>
      <c r="M272" s="3">
        <f ca="1">'ETF price'!N274-'ETF price'!N273</f>
        <v>0.37000000000000455</v>
      </c>
      <c r="N272" s="3">
        <f ca="1">'ETF price'!O274-'ETF price'!O273</f>
        <v>0.88000000000000256</v>
      </c>
      <c r="O272" s="3">
        <f ca="1">'ETF price'!P274-'ETF price'!P273</f>
        <v>-1.7700000000000102</v>
      </c>
      <c r="P272" s="3">
        <f ca="1">'ETF price'!Q274-'ETF price'!Q273</f>
        <v>-2.289999999999992</v>
      </c>
      <c r="Q272" s="3">
        <f ca="1">'ETF price'!R274-'ETF price'!R273</f>
        <v>0.55999999999998806</v>
      </c>
      <c r="R272" s="3">
        <f ca="1">'ETF price'!S274-'ETF price'!S273</f>
        <v>1.0500000000000043</v>
      </c>
      <c r="S272" s="3">
        <f ca="1">'ETF price'!T274-'ETF price'!T273</f>
        <v>-0.47000000000000242</v>
      </c>
      <c r="T272" s="3">
        <f ca="1">'ETF price'!U274-'ETF price'!U273</f>
        <v>-1.9599999999999937</v>
      </c>
      <c r="U272" s="3">
        <f ca="1">'ETF price'!V274-'ETF price'!V273</f>
        <v>1.8299999999999983</v>
      </c>
      <c r="V272" s="3">
        <f ca="1">'ETF price'!W274-'ETF price'!W273</f>
        <v>0</v>
      </c>
      <c r="W272" s="3">
        <f ca="1">'ETF price'!X274-'ETF price'!X273</f>
        <v>0.28000000000000114</v>
      </c>
      <c r="X272" s="3">
        <f ca="1">'ETF price'!Y274-'ETF price'!Y273</f>
        <v>0.61999999999999744</v>
      </c>
      <c r="Y272" s="3">
        <f ca="1">'ETF price'!Z274-'ETF price'!Z273</f>
        <v>0.18999999999999773</v>
      </c>
      <c r="Z272" s="3">
        <f ca="1">'ETF price'!AA274-'ETF price'!AA273</f>
        <v>0.29999999999999716</v>
      </c>
      <c r="AA272" s="3">
        <f ca="1">'ETF price'!AB274-'ETF price'!AB273</f>
        <v>0.88000000000000256</v>
      </c>
      <c r="AB272" s="3">
        <f ca="1">'ETF price'!AC274-'ETF price'!AC273</f>
        <v>0.36999999999999744</v>
      </c>
      <c r="AC272" s="3">
        <f ca="1">'ETF price'!AD274-'ETF price'!AD273</f>
        <v>0.20000000000000107</v>
      </c>
      <c r="AD272" s="3">
        <f ca="1">'ETF price'!AE274-'ETF price'!AE273</f>
        <v>0.15999999999999837</v>
      </c>
      <c r="AE272" s="3">
        <f ca="1">'ETF price'!AF274-'ETF price'!AF273</f>
        <v>0.18999999999999995</v>
      </c>
      <c r="AF272" s="3">
        <f ca="1">'ETF price'!AG274-'ETF price'!AG273</f>
        <v>1.1700000000000017</v>
      </c>
    </row>
    <row r="273" spans="1:32" ht="12.75" x14ac:dyDescent="0.2">
      <c r="A273" s="3">
        <f ca="1">'ETF price'!B275-'ETF price'!B274</f>
        <v>3.8000000000000114</v>
      </c>
      <c r="B273" s="3">
        <f ca="1">'ETF price'!C275-'ETF price'!C274</f>
        <v>10.699999999999989</v>
      </c>
      <c r="C273" s="3">
        <f ca="1">'ETF price'!D275-'ETF price'!D274</f>
        <v>-1.3900000000000006</v>
      </c>
      <c r="D273" s="3">
        <f ca="1">'ETF price'!E275-'ETF price'!E274</f>
        <v>3.2800000000000011</v>
      </c>
      <c r="E273" s="3">
        <f ca="1">'ETF price'!F275-'ETF price'!F274</f>
        <v>1.2399999999999949</v>
      </c>
      <c r="F273" s="3">
        <f ca="1">'ETF price'!G275-'ETF price'!G274</f>
        <v>0.37000000000000099</v>
      </c>
      <c r="G273" s="3">
        <f ca="1">'ETF price'!H275-'ETF price'!H274</f>
        <v>0.39000000000000057</v>
      </c>
      <c r="H273" s="3">
        <f ca="1">'ETF price'!I275-'ETF price'!I274</f>
        <v>-0.90999999999999659</v>
      </c>
      <c r="I273" s="3">
        <f ca="1">'ETF price'!J275-'ETF price'!J274</f>
        <v>-0.81000000000000227</v>
      </c>
      <c r="J273" s="3">
        <f ca="1">'ETF price'!K275-'ETF price'!K274</f>
        <v>0.45999999999997954</v>
      </c>
      <c r="K273" s="3">
        <f ca="1">'ETF price'!L275-'ETF price'!L274</f>
        <v>2.230000000000004</v>
      </c>
      <c r="L273" s="3">
        <f ca="1">'ETF price'!M275-'ETF price'!M274</f>
        <v>0.75</v>
      </c>
      <c r="M273" s="3">
        <f ca="1">'ETF price'!N275-'ETF price'!N274</f>
        <v>-0.20000000000000284</v>
      </c>
      <c r="N273" s="3">
        <f ca="1">'ETF price'!O275-'ETF price'!O274</f>
        <v>1.519999999999996</v>
      </c>
      <c r="O273" s="3">
        <f ca="1">'ETF price'!P275-'ETF price'!P274</f>
        <v>-2.0099999999999909</v>
      </c>
      <c r="P273" s="3">
        <f ca="1">'ETF price'!Q275-'ETF price'!Q274</f>
        <v>-2.8800000000000097</v>
      </c>
      <c r="Q273" s="3">
        <f ca="1">'ETF price'!R275-'ETF price'!R274</f>
        <v>-0.26999999999999602</v>
      </c>
      <c r="R273" s="3">
        <f ca="1">'ETF price'!S275-'ETF price'!S274</f>
        <v>0.30999999999999517</v>
      </c>
      <c r="S273" s="3">
        <f ca="1">'ETF price'!T275-'ETF price'!T274</f>
        <v>-0.17999999999999972</v>
      </c>
      <c r="T273" s="3">
        <f ca="1">'ETF price'!U275-'ETF price'!U274</f>
        <v>-0.79000000000000625</v>
      </c>
      <c r="U273" s="3">
        <f ca="1">'ETF price'!V275-'ETF price'!V274</f>
        <v>-0.92999999999999261</v>
      </c>
      <c r="V273" s="3">
        <f ca="1">'ETF price'!W275-'ETF price'!W274</f>
        <v>9.9999999999994316E-2</v>
      </c>
      <c r="W273" s="3">
        <f ca="1">'ETF price'!X275-'ETF price'!X274</f>
        <v>0.32000000000000739</v>
      </c>
      <c r="X273" s="3">
        <f ca="1">'ETF price'!Y275-'ETF price'!Y274</f>
        <v>1.0300000000000011</v>
      </c>
      <c r="Y273" s="3">
        <f ca="1">'ETF price'!Z275-'ETF price'!Z274</f>
        <v>0.17000000000000171</v>
      </c>
      <c r="Z273" s="3">
        <f ca="1">'ETF price'!AA275-'ETF price'!AA274</f>
        <v>0.93999999999999773</v>
      </c>
      <c r="AA273" s="3">
        <f ca="1">'ETF price'!AB275-'ETF price'!AB274</f>
        <v>1.6800000000000068</v>
      </c>
      <c r="AB273" s="3">
        <f ca="1">'ETF price'!AC275-'ETF price'!AC274</f>
        <v>3.0000000000001137E-2</v>
      </c>
      <c r="AC273" s="3">
        <f ca="1">'ETF price'!AD275-'ETF price'!AD274</f>
        <v>0.10999999999999943</v>
      </c>
      <c r="AD273" s="3">
        <f ca="1">'ETF price'!AE275-'ETF price'!AE274</f>
        <v>0.18000000000000149</v>
      </c>
      <c r="AE273" s="3">
        <f ca="1">'ETF price'!AF275-'ETF price'!AF274</f>
        <v>8.0000000000000071E-2</v>
      </c>
      <c r="AF273" s="3">
        <f ca="1">'ETF price'!AG275-'ETF price'!AG274</f>
        <v>2.0999999999999979</v>
      </c>
    </row>
    <row r="274" spans="1:32" ht="12.75" x14ac:dyDescent="0.2">
      <c r="A274" s="3">
        <f ca="1">'ETF price'!B276-'ETF price'!B275</f>
        <v>-1.1899999999999977</v>
      </c>
      <c r="B274" s="3">
        <f ca="1">'ETF price'!C276-'ETF price'!C275</f>
        <v>-3.9200000000000159</v>
      </c>
      <c r="C274" s="3">
        <f ca="1">'ETF price'!D276-'ETF price'!D275</f>
        <v>-1.1299999999999955</v>
      </c>
      <c r="D274" s="3">
        <f ca="1">'ETF price'!E276-'ETF price'!E275</f>
        <v>-2.8300000000000125</v>
      </c>
      <c r="E274" s="3">
        <f ca="1">'ETF price'!F276-'ETF price'!F275</f>
        <v>-1.0499999999999972</v>
      </c>
      <c r="F274" s="3">
        <f ca="1">'ETF price'!G276-'ETF price'!G275</f>
        <v>-0.39999999999999858</v>
      </c>
      <c r="G274" s="3">
        <f ca="1">'ETF price'!H276-'ETF price'!H275</f>
        <v>-0.46000000000000085</v>
      </c>
      <c r="H274" s="3">
        <f ca="1">'ETF price'!I276-'ETF price'!I275</f>
        <v>-0.39000000000001478</v>
      </c>
      <c r="I274" s="3">
        <f ca="1">'ETF price'!J276-'ETF price'!J275</f>
        <v>-1.0699999999999932</v>
      </c>
      <c r="J274" s="3">
        <f ca="1">'ETF price'!K276-'ETF price'!K275</f>
        <v>-0.57999999999998408</v>
      </c>
      <c r="K274" s="3">
        <f ca="1">'ETF price'!L276-'ETF price'!L275</f>
        <v>-1.5799999999999983</v>
      </c>
      <c r="L274" s="3">
        <f ca="1">'ETF price'!M276-'ETF price'!M275</f>
        <v>-0.14000000000000057</v>
      </c>
      <c r="M274" s="3">
        <f ca="1">'ETF price'!N276-'ETF price'!N275</f>
        <v>-0.28000000000000114</v>
      </c>
      <c r="N274" s="3">
        <f ca="1">'ETF price'!O276-'ETF price'!O275</f>
        <v>-1.1999999999999957</v>
      </c>
      <c r="O274" s="3">
        <f ca="1">'ETF price'!P276-'ETF price'!P275</f>
        <v>-0.19000000000001194</v>
      </c>
      <c r="P274" s="3">
        <f ca="1">'ETF price'!Q276-'ETF price'!Q275</f>
        <v>-0.26999999999999602</v>
      </c>
      <c r="Q274" s="3">
        <f ca="1">'ETF price'!R276-'ETF price'!R275</f>
        <v>-1.5300000000000011</v>
      </c>
      <c r="R274" s="3">
        <f ca="1">'ETF price'!S276-'ETF price'!S275</f>
        <v>-0.54999999999999716</v>
      </c>
      <c r="S274" s="3">
        <f ca="1">'ETF price'!T276-'ETF price'!T275</f>
        <v>-0.60999999999999943</v>
      </c>
      <c r="T274" s="3">
        <f ca="1">'ETF price'!U276-'ETF price'!U275</f>
        <v>-2.1699999999999875</v>
      </c>
      <c r="U274" s="3">
        <f ca="1">'ETF price'!V276-'ETF price'!V275</f>
        <v>-1.9699999999999989</v>
      </c>
      <c r="V274" s="3">
        <f ca="1">'ETF price'!W276-'ETF price'!W275</f>
        <v>-6.9999999999993179E-2</v>
      </c>
      <c r="W274" s="3">
        <f ca="1">'ETF price'!X276-'ETF price'!X275</f>
        <v>0</v>
      </c>
      <c r="X274" s="3">
        <f ca="1">'ETF price'!Y276-'ETF price'!Y275</f>
        <v>-3.9999999999999147E-2</v>
      </c>
      <c r="Y274" s="3">
        <f ca="1">'ETF price'!Z276-'ETF price'!Z275</f>
        <v>-0.14000000000000057</v>
      </c>
      <c r="Z274" s="3">
        <f ca="1">'ETF price'!AA276-'ETF price'!AA275</f>
        <v>-0.86999999999999744</v>
      </c>
      <c r="AA274" s="3">
        <f ca="1">'ETF price'!AB276-'ETF price'!AB275</f>
        <v>3.9999999999992042E-2</v>
      </c>
      <c r="AB274" s="3">
        <f ca="1">'ETF price'!AC276-'ETF price'!AC275</f>
        <v>-0.26999999999999602</v>
      </c>
      <c r="AC274" s="3">
        <f ca="1">'ETF price'!AD276-'ETF price'!AD275</f>
        <v>-0.22000000000000064</v>
      </c>
      <c r="AD274" s="3">
        <f ca="1">'ETF price'!AE276-'ETF price'!AE275</f>
        <v>-0.33999999999999986</v>
      </c>
      <c r="AE274" s="3">
        <f ca="1">'ETF price'!AF276-'ETF price'!AF275</f>
        <v>-7.0000000000000284E-2</v>
      </c>
      <c r="AF274" s="3">
        <f ca="1">'ETF price'!AG276-'ETF price'!AG275</f>
        <v>-1.6799999999999997</v>
      </c>
    </row>
    <row r="275" spans="1:32" ht="12.75" x14ac:dyDescent="0.2">
      <c r="A275" s="3">
        <f ca="1">'ETF price'!B277-'ETF price'!B276</f>
        <v>-1.7300000000000182</v>
      </c>
      <c r="B275" s="3">
        <f ca="1">'ETF price'!C277-'ETF price'!C276</f>
        <v>-4.8000000000000114</v>
      </c>
      <c r="C275" s="3">
        <f ca="1">'ETF price'!D277-'ETF price'!D276</f>
        <v>2.4200000000000017</v>
      </c>
      <c r="D275" s="3">
        <f ca="1">'ETF price'!E277-'ETF price'!E276</f>
        <v>-2.3100000000000023</v>
      </c>
      <c r="E275" s="3">
        <f ca="1">'ETF price'!F277-'ETF price'!F276</f>
        <v>-0.82999999999999829</v>
      </c>
      <c r="F275" s="3">
        <f ca="1">'ETF price'!G277-'ETF price'!G276</f>
        <v>-0.37000000000000099</v>
      </c>
      <c r="G275" s="3">
        <f ca="1">'ETF price'!H277-'ETF price'!H276</f>
        <v>-0.35999999999999943</v>
      </c>
      <c r="H275" s="3">
        <f ca="1">'ETF price'!I277-'ETF price'!I276</f>
        <v>-0.74000000000000909</v>
      </c>
      <c r="I275" s="3">
        <f ca="1">'ETF price'!J277-'ETF price'!J276</f>
        <v>-1.7199999999999989</v>
      </c>
      <c r="J275" s="3">
        <f ca="1">'ETF price'!K277-'ETF price'!K276</f>
        <v>-0.97999999999998977</v>
      </c>
      <c r="K275" s="3">
        <f ca="1">'ETF price'!L277-'ETF price'!L276</f>
        <v>-0.68999999999999773</v>
      </c>
      <c r="L275" s="3">
        <f ca="1">'ETF price'!M277-'ETF price'!M276</f>
        <v>-0.53000000000000114</v>
      </c>
      <c r="M275" s="3">
        <f ca="1">'ETF price'!N277-'ETF price'!N276</f>
        <v>-0.46000000000000085</v>
      </c>
      <c r="N275" s="3">
        <f ca="1">'ETF price'!O277-'ETF price'!O276</f>
        <v>-1.0800000000000054</v>
      </c>
      <c r="O275" s="3">
        <f ca="1">'ETF price'!P277-'ETF price'!P276</f>
        <v>-0.39000000000000057</v>
      </c>
      <c r="P275" s="3">
        <f ca="1">'ETF price'!Q277-'ETF price'!Q276</f>
        <v>-0.64000000000000057</v>
      </c>
      <c r="Q275" s="3">
        <f ca="1">'ETF price'!R277-'ETF price'!R276</f>
        <v>-0.92000000000000171</v>
      </c>
      <c r="R275" s="3">
        <f ca="1">'ETF price'!S277-'ETF price'!S276</f>
        <v>-1.0300000000000011</v>
      </c>
      <c r="S275" s="3">
        <f ca="1">'ETF price'!T277-'ETF price'!T276</f>
        <v>7.0000000000000284E-2</v>
      </c>
      <c r="T275" s="3">
        <f ca="1">'ETF price'!U277-'ETF price'!U276</f>
        <v>1.0999999999999943</v>
      </c>
      <c r="U275" s="3">
        <f ca="1">'ETF price'!V277-'ETF price'!V276</f>
        <v>-0.57000000000000739</v>
      </c>
      <c r="V275" s="3">
        <f ca="1">'ETF price'!W277-'ETF price'!W276</f>
        <v>-1.0000000000005116E-2</v>
      </c>
      <c r="W275" s="3">
        <f ca="1">'ETF price'!X277-'ETF price'!X276</f>
        <v>-0.29000000000000625</v>
      </c>
      <c r="X275" s="3">
        <f ca="1">'ETF price'!Y277-'ETF price'!Y276</f>
        <v>-0.55000000000000426</v>
      </c>
      <c r="Y275" s="3">
        <f ca="1">'ETF price'!Z277-'ETF price'!Z276</f>
        <v>-0.15000000000000568</v>
      </c>
      <c r="Z275" s="3">
        <f ca="1">'ETF price'!AA277-'ETF price'!AA276</f>
        <v>-0.25999999999999801</v>
      </c>
      <c r="AA275" s="3">
        <f ca="1">'ETF price'!AB277-'ETF price'!AB276</f>
        <v>-0.62000000000000455</v>
      </c>
      <c r="AB275" s="3">
        <f ca="1">'ETF price'!AC277-'ETF price'!AC276</f>
        <v>0.61999999999999744</v>
      </c>
      <c r="AC275" s="3">
        <f ca="1">'ETF price'!AD277-'ETF price'!AD276</f>
        <v>-0.13999999999999879</v>
      </c>
      <c r="AD275" s="3">
        <f ca="1">'ETF price'!AE277-'ETF price'!AE276</f>
        <v>-0.23000000000000043</v>
      </c>
      <c r="AE275" s="3">
        <f ca="1">'ETF price'!AF277-'ETF price'!AF276</f>
        <v>4.0000000000000036E-2</v>
      </c>
      <c r="AF275" s="3">
        <f ca="1">'ETF price'!AG277-'ETF price'!AG276</f>
        <v>-0.12999999999999901</v>
      </c>
    </row>
    <row r="276" spans="1:32" ht="12.75" x14ac:dyDescent="0.2">
      <c r="A276" s="3">
        <f ca="1">'ETF price'!B278-'ETF price'!B277</f>
        <v>3.5</v>
      </c>
      <c r="B276" s="3">
        <f ca="1">'ETF price'!C278-'ETF price'!C277</f>
        <v>8.6500000000000341</v>
      </c>
      <c r="C276" s="3">
        <f ca="1">'ETF price'!D278-'ETF price'!D277</f>
        <v>-1.75</v>
      </c>
      <c r="D276" s="3">
        <f ca="1">'ETF price'!E278-'ETF price'!E277</f>
        <v>4.4499999999999886</v>
      </c>
      <c r="E276" s="3">
        <f ca="1">'ETF price'!F278-'ETF price'!F277</f>
        <v>0.82000000000000028</v>
      </c>
      <c r="F276" s="3">
        <f ca="1">'ETF price'!G278-'ETF price'!G277</f>
        <v>0.48000000000000043</v>
      </c>
      <c r="G276" s="3">
        <f ca="1">'ETF price'!H278-'ETF price'!H277</f>
        <v>0.44000000000000128</v>
      </c>
      <c r="H276" s="3">
        <f ca="1">'ETF price'!I278-'ETF price'!I277</f>
        <v>0.85000000000002274</v>
      </c>
      <c r="I276" s="3">
        <f ca="1">'ETF price'!J278-'ETF price'!J277</f>
        <v>1.5499999999999829</v>
      </c>
      <c r="J276" s="3">
        <f ca="1">'ETF price'!K278-'ETF price'!K277</f>
        <v>0.70999999999997954</v>
      </c>
      <c r="K276" s="3">
        <f ca="1">'ETF price'!L278-'ETF price'!L277</f>
        <v>0.61999999999999034</v>
      </c>
      <c r="L276" s="3">
        <f ca="1">'ETF price'!M278-'ETF price'!M277</f>
        <v>0.20000000000000284</v>
      </c>
      <c r="M276" s="3">
        <f ca="1">'ETF price'!N278-'ETF price'!N277</f>
        <v>0.40000000000000568</v>
      </c>
      <c r="N276" s="3">
        <f ca="1">'ETF price'!O278-'ETF price'!O277</f>
        <v>0.67999999999999972</v>
      </c>
      <c r="O276" s="3">
        <f ca="1">'ETF price'!P278-'ETF price'!P277</f>
        <v>2.7800000000000011</v>
      </c>
      <c r="P276" s="3">
        <f ca="1">'ETF price'!Q278-'ETF price'!Q277</f>
        <v>3.6800000000000068</v>
      </c>
      <c r="Q276" s="3">
        <f ca="1">'ETF price'!R278-'ETF price'!R277</f>
        <v>1.1099999999999994</v>
      </c>
      <c r="R276" s="3">
        <f ca="1">'ETF price'!S278-'ETF price'!S277</f>
        <v>0.35000000000000142</v>
      </c>
      <c r="S276" s="3">
        <f ca="1">'ETF price'!T278-'ETF price'!T277</f>
        <v>0.44999999999999929</v>
      </c>
      <c r="T276" s="3">
        <f ca="1">'ETF price'!U278-'ETF price'!U277</f>
        <v>2.2600000000000051</v>
      </c>
      <c r="U276" s="3">
        <f ca="1">'ETF price'!V278-'ETF price'!V277</f>
        <v>-0.23999999999999488</v>
      </c>
      <c r="V276" s="3">
        <f ca="1">'ETF price'!W278-'ETF price'!W277</f>
        <v>0.42000000000000171</v>
      </c>
      <c r="W276" s="3">
        <f ca="1">'ETF price'!X278-'ETF price'!X277</f>
        <v>1.1200000000000045</v>
      </c>
      <c r="X276" s="3">
        <f ca="1">'ETF price'!Y278-'ETF price'!Y277</f>
        <v>0.60000000000000142</v>
      </c>
      <c r="Y276" s="3">
        <f ca="1">'ETF price'!Z278-'ETF price'!Z277</f>
        <v>1</v>
      </c>
      <c r="Z276" s="3">
        <f ca="1">'ETF price'!AA278-'ETF price'!AA277</f>
        <v>-0.16000000000000369</v>
      </c>
      <c r="AA276" s="3">
        <f ca="1">'ETF price'!AB278-'ETF price'!AB277</f>
        <v>0.69000000000001194</v>
      </c>
      <c r="AB276" s="3">
        <f ca="1">'ETF price'!AC278-'ETF price'!AC277</f>
        <v>-0.36999999999999744</v>
      </c>
      <c r="AC276" s="3">
        <f ca="1">'ETF price'!AD278-'ETF price'!AD277</f>
        <v>7.0000000000000284E-2</v>
      </c>
      <c r="AD276" s="3">
        <f ca="1">'ETF price'!AE278-'ETF price'!AE277</f>
        <v>0.10999999999999943</v>
      </c>
      <c r="AE276" s="3">
        <f ca="1">'ETF price'!AF278-'ETF price'!AF277</f>
        <v>0</v>
      </c>
      <c r="AF276" s="3">
        <f ca="1">'ETF price'!AG278-'ETF price'!AG277</f>
        <v>8.0000000000001847E-2</v>
      </c>
    </row>
    <row r="277" spans="1:32" ht="12.75" x14ac:dyDescent="0.2">
      <c r="A277" s="3">
        <f ca="1">'ETF price'!B279-'ETF price'!B278</f>
        <v>-1.7299999999999898</v>
      </c>
      <c r="B277" s="3">
        <f ca="1">'ETF price'!C279-'ETF price'!C278</f>
        <v>-4.6800000000000068</v>
      </c>
      <c r="C277" s="3">
        <f ca="1">'ETF price'!D279-'ETF price'!D278</f>
        <v>-0.79000000000000625</v>
      </c>
      <c r="D277" s="3">
        <f ca="1">'ETF price'!E279-'ETF price'!E278</f>
        <v>-3.0999999999999943</v>
      </c>
      <c r="E277" s="3">
        <f ca="1">'ETF price'!F279-'ETF price'!F278</f>
        <v>9.9999999999980105E-3</v>
      </c>
      <c r="F277" s="3">
        <f ca="1">'ETF price'!G279-'ETF price'!G278</f>
        <v>-0.37999999999999901</v>
      </c>
      <c r="G277" s="3">
        <f ca="1">'ETF price'!H279-'ETF price'!H278</f>
        <v>-0.31000000000000227</v>
      </c>
      <c r="H277" s="3">
        <f ca="1">'ETF price'!I279-'ETF price'!I278</f>
        <v>-0.39000000000001478</v>
      </c>
      <c r="I277" s="3">
        <f ca="1">'ETF price'!J279-'ETF price'!J278</f>
        <v>-1.1799999999999784</v>
      </c>
      <c r="J277" s="3">
        <f ca="1">'ETF price'!K279-'ETF price'!K278</f>
        <v>-2.9899999999999807</v>
      </c>
      <c r="K277" s="3">
        <f ca="1">'ETF price'!L279-'ETF price'!L278</f>
        <v>-3.1299999999999955</v>
      </c>
      <c r="L277" s="3">
        <f ca="1">'ETF price'!M279-'ETF price'!M278</f>
        <v>-1.3900000000000006</v>
      </c>
      <c r="M277" s="3">
        <f ca="1">'ETF price'!N279-'ETF price'!N278</f>
        <v>-0.32000000000000028</v>
      </c>
      <c r="N277" s="3">
        <f ca="1">'ETF price'!O279-'ETF price'!O278</f>
        <v>-1.7999999999999972</v>
      </c>
      <c r="O277" s="3">
        <f ca="1">'ETF price'!P279-'ETF price'!P278</f>
        <v>-0.78999999999999204</v>
      </c>
      <c r="P277" s="3">
        <f ca="1">'ETF price'!Q279-'ETF price'!Q278</f>
        <v>-0.96000000000000796</v>
      </c>
      <c r="Q277" s="3">
        <f ca="1">'ETF price'!R279-'ETF price'!R278</f>
        <v>-0.66999999999998749</v>
      </c>
      <c r="R277" s="3">
        <f ca="1">'ETF price'!S279-'ETF price'!S278</f>
        <v>-1.5200000000000031</v>
      </c>
      <c r="S277" s="3">
        <f ca="1">'ETF price'!T279-'ETF price'!T278</f>
        <v>5.0000000000000711E-2</v>
      </c>
      <c r="T277" s="3">
        <f ca="1">'ETF price'!U279-'ETF price'!U278</f>
        <v>0.92000000000000171</v>
      </c>
      <c r="U277" s="3">
        <f ca="1">'ETF price'!V279-'ETF price'!V278</f>
        <v>-0.90000000000000568</v>
      </c>
      <c r="V277" s="3">
        <f ca="1">'ETF price'!W279-'ETF price'!W278</f>
        <v>-0.21999999999999886</v>
      </c>
      <c r="W277" s="3">
        <f ca="1">'ETF price'!X279-'ETF price'!X278</f>
        <v>-0.53000000000000114</v>
      </c>
      <c r="X277" s="3">
        <f ca="1">'ETF price'!Y279-'ETF price'!Y278</f>
        <v>-0.38000000000000256</v>
      </c>
      <c r="Y277" s="3">
        <f ca="1">'ETF price'!Z279-'ETF price'!Z278</f>
        <v>-0.5</v>
      </c>
      <c r="Z277" s="3">
        <f ca="1">'ETF price'!AA279-'ETF price'!AA278</f>
        <v>-0.10999999999999943</v>
      </c>
      <c r="AA277" s="3">
        <f ca="1">'ETF price'!AB279-'ETF price'!AB278</f>
        <v>-0.73000000000000398</v>
      </c>
      <c r="AB277" s="3">
        <f ca="1">'ETF price'!AC279-'ETF price'!AC278</f>
        <v>-0.77000000000000313</v>
      </c>
      <c r="AC277" s="3">
        <f ca="1">'ETF price'!AD279-'ETF price'!AD278</f>
        <v>-0.16000000000000014</v>
      </c>
      <c r="AD277" s="3">
        <f ca="1">'ETF price'!AE279-'ETF price'!AE278</f>
        <v>-0.25</v>
      </c>
      <c r="AE277" s="3">
        <f ca="1">'ETF price'!AF279-'ETF price'!AF278</f>
        <v>-4.9999999999999822E-2</v>
      </c>
      <c r="AF277" s="3">
        <f ca="1">'ETF price'!AG279-'ETF price'!AG278</f>
        <v>-0.5</v>
      </c>
    </row>
    <row r="278" spans="1:32" ht="12.75" x14ac:dyDescent="0.2">
      <c r="A278" s="3">
        <f ca="1">'ETF price'!B280-'ETF price'!B279</f>
        <v>-0.78000000000000114</v>
      </c>
      <c r="B278" s="3">
        <f ca="1">'ETF price'!C280-'ETF price'!C279</f>
        <v>-1.5400000000000205</v>
      </c>
      <c r="C278" s="3">
        <f ca="1">'ETF price'!D280-'ETF price'!D279</f>
        <v>-0.82999999999999829</v>
      </c>
      <c r="D278" s="3">
        <f ca="1">'ETF price'!E280-'ETF price'!E279</f>
        <v>0.36000000000001364</v>
      </c>
      <c r="E278" s="3">
        <f ca="1">'ETF price'!F280-'ETF price'!F279</f>
        <v>-0.20000000000000284</v>
      </c>
      <c r="F278" s="3">
        <f ca="1">'ETF price'!G280-'ETF price'!G279</f>
        <v>-0.26000000000000156</v>
      </c>
      <c r="G278" s="3">
        <f ca="1">'ETF price'!H280-'ETF price'!H279</f>
        <v>-0.18999999999999773</v>
      </c>
      <c r="H278" s="3">
        <f ca="1">'ETF price'!I280-'ETF price'!I279</f>
        <v>-1.1599999999999966</v>
      </c>
      <c r="I278" s="3">
        <f ca="1">'ETF price'!J280-'ETF price'!J279</f>
        <v>-2.160000000000025</v>
      </c>
      <c r="J278" s="3">
        <f ca="1">'ETF price'!K280-'ETF price'!K279</f>
        <v>-0.93000000000000682</v>
      </c>
      <c r="K278" s="3">
        <f ca="1">'ETF price'!L280-'ETF price'!L279</f>
        <v>-1.0999999999999943</v>
      </c>
      <c r="L278" s="3">
        <f ca="1">'ETF price'!M280-'ETF price'!M279</f>
        <v>-0.40999999999999659</v>
      </c>
      <c r="M278" s="3">
        <f ca="1">'ETF price'!N280-'ETF price'!N279</f>
        <v>-0.5800000000000054</v>
      </c>
      <c r="N278" s="3">
        <f ca="1">'ETF price'!O280-'ETF price'!O279</f>
        <v>-1.0399999999999991</v>
      </c>
      <c r="O278" s="3">
        <f ca="1">'ETF price'!P280-'ETF price'!P279</f>
        <v>-0.75</v>
      </c>
      <c r="P278" s="3">
        <f ca="1">'ETF price'!Q280-'ETF price'!Q279</f>
        <v>-1.1499999999999915</v>
      </c>
      <c r="Q278" s="3">
        <f ca="1">'ETF price'!R280-'ETF price'!R279</f>
        <v>-1.2000000000000028</v>
      </c>
      <c r="R278" s="3">
        <f ca="1">'ETF price'!S280-'ETF price'!S279</f>
        <v>-0.54999999999999716</v>
      </c>
      <c r="S278" s="3">
        <f ca="1">'ETF price'!T280-'ETF price'!T279</f>
        <v>-0.19000000000000128</v>
      </c>
      <c r="T278" s="3">
        <f ca="1">'ETF price'!U280-'ETF price'!U279</f>
        <v>-0.76000000000000512</v>
      </c>
      <c r="U278" s="3">
        <f ca="1">'ETF price'!V280-'ETF price'!V279</f>
        <v>-1.6199999999999903</v>
      </c>
      <c r="V278" s="3">
        <f ca="1">'ETF price'!W280-'ETF price'!W279</f>
        <v>-0.41000000000000369</v>
      </c>
      <c r="W278" s="3">
        <f ca="1">'ETF price'!X280-'ETF price'!X279</f>
        <v>-1.25</v>
      </c>
      <c r="X278" s="3">
        <f ca="1">'ETF price'!Y280-'ETF price'!Y279</f>
        <v>-0.77999999999999403</v>
      </c>
      <c r="Y278" s="3">
        <f ca="1">'ETF price'!Z280-'ETF price'!Z279</f>
        <v>-1.1199999999999903</v>
      </c>
      <c r="Z278" s="3">
        <f ca="1">'ETF price'!AA280-'ETF price'!AA279</f>
        <v>-0.39000000000000057</v>
      </c>
      <c r="AA278" s="3">
        <f ca="1">'ETF price'!AB280-'ETF price'!AB279</f>
        <v>-0.94000000000000483</v>
      </c>
      <c r="AB278" s="3">
        <f ca="1">'ETF price'!AC280-'ETF price'!AC279</f>
        <v>4.9999999999997158E-2</v>
      </c>
      <c r="AC278" s="3">
        <f ca="1">'ETF price'!AD280-'ETF price'!AD279</f>
        <v>-0.35000000000000142</v>
      </c>
      <c r="AD278" s="3">
        <f ca="1">'ETF price'!AE280-'ETF price'!AE279</f>
        <v>-0.54999999999999893</v>
      </c>
      <c r="AE278" s="3">
        <f ca="1">'ETF price'!AF280-'ETF price'!AF279</f>
        <v>-0.2200000000000002</v>
      </c>
      <c r="AF278" s="3">
        <f ca="1">'ETF price'!AG280-'ETF price'!AG279</f>
        <v>-2.3100000000000023</v>
      </c>
    </row>
    <row r="279" spans="1:32" ht="12.75" x14ac:dyDescent="0.2">
      <c r="A279" s="3">
        <f ca="1">'ETF price'!B281-'ETF price'!B280</f>
        <v>-0.65000000000000568</v>
      </c>
      <c r="B279" s="3">
        <f ca="1">'ETF price'!C281-'ETF price'!C280</f>
        <v>-2.3100000000000023</v>
      </c>
      <c r="C279" s="3">
        <f ca="1">'ETF price'!D281-'ETF price'!D280</f>
        <v>1.5300000000000011</v>
      </c>
      <c r="D279" s="3">
        <f ca="1">'ETF price'!E281-'ETF price'!E280</f>
        <v>-2.25</v>
      </c>
      <c r="E279" s="3">
        <f ca="1">'ETF price'!F281-'ETF price'!F280</f>
        <v>-1.9999999999996021E-2</v>
      </c>
      <c r="F279" s="3">
        <f ca="1">'ETF price'!G281-'ETF price'!G280</f>
        <v>-0.14999999999999858</v>
      </c>
      <c r="G279" s="3">
        <f ca="1">'ETF price'!H281-'ETF price'!H280</f>
        <v>-0.24000000000000199</v>
      </c>
      <c r="H279" s="3">
        <f ca="1">'ETF price'!I281-'ETF price'!I280</f>
        <v>1.2400000000000091</v>
      </c>
      <c r="I279" s="3">
        <f ca="1">'ETF price'!J281-'ETF price'!J280</f>
        <v>1.8600000000000136</v>
      </c>
      <c r="J279" s="3">
        <f ca="1">'ETF price'!K281-'ETF price'!K280</f>
        <v>-3.9999999999992042E-2</v>
      </c>
      <c r="K279" s="3">
        <f ca="1">'ETF price'!L281-'ETF price'!L280</f>
        <v>-0.46999999999999886</v>
      </c>
      <c r="L279" s="3">
        <f ca="1">'ETF price'!M281-'ETF price'!M280</f>
        <v>-0.12000000000000455</v>
      </c>
      <c r="M279" s="3">
        <f ca="1">'ETF price'!N281-'ETF price'!N280</f>
        <v>0.46000000000000085</v>
      </c>
      <c r="N279" s="3">
        <f ca="1">'ETF price'!O281-'ETF price'!O280</f>
        <v>-0.32000000000000028</v>
      </c>
      <c r="O279" s="3">
        <f ca="1">'ETF price'!P281-'ETF price'!P280</f>
        <v>3.3999999999999915</v>
      </c>
      <c r="P279" s="3">
        <f ca="1">'ETF price'!Q281-'ETF price'!Q280</f>
        <v>4.75</v>
      </c>
      <c r="Q279" s="3">
        <f ca="1">'ETF price'!R281-'ETF price'!R280</f>
        <v>0.29999999999999716</v>
      </c>
      <c r="R279" s="3">
        <f ca="1">'ETF price'!S281-'ETF price'!S280</f>
        <v>7.9999999999998295E-2</v>
      </c>
      <c r="S279" s="3">
        <f ca="1">'ETF price'!T281-'ETF price'!T280</f>
        <v>0.33999999999999986</v>
      </c>
      <c r="T279" s="3">
        <f ca="1">'ETF price'!U281-'ETF price'!U280</f>
        <v>1.9500000000000028</v>
      </c>
      <c r="U279" s="3">
        <f ca="1">'ETF price'!V281-'ETF price'!V280</f>
        <v>-0.52000000000001023</v>
      </c>
      <c r="V279" s="3">
        <f ca="1">'ETF price'!W281-'ETF price'!W280</f>
        <v>0.12000000000000455</v>
      </c>
      <c r="W279" s="3">
        <f ca="1">'ETF price'!X281-'ETF price'!X280</f>
        <v>0.26000000000000512</v>
      </c>
      <c r="X279" s="3">
        <f ca="1">'ETF price'!Y281-'ETF price'!Y280</f>
        <v>0</v>
      </c>
      <c r="Y279" s="3">
        <f ca="1">'ETF price'!Z281-'ETF price'!Z280</f>
        <v>0.3399999999999892</v>
      </c>
      <c r="Z279" s="3">
        <f ca="1">'ETF price'!AA281-'ETF price'!AA280</f>
        <v>7.9999999999998295E-2</v>
      </c>
      <c r="AA279" s="3">
        <f ca="1">'ETF price'!AB281-'ETF price'!AB280</f>
        <v>-0.12999999999999545</v>
      </c>
      <c r="AB279" s="3">
        <f ca="1">'ETF price'!AC281-'ETF price'!AC280</f>
        <v>0.59000000000000341</v>
      </c>
      <c r="AC279" s="3">
        <f ca="1">'ETF price'!AD281-'ETF price'!AD280</f>
        <v>-8.9999999999999858E-2</v>
      </c>
      <c r="AD279" s="3">
        <f ca="1">'ETF price'!AE281-'ETF price'!AE280</f>
        <v>-0.16000000000000014</v>
      </c>
      <c r="AE279" s="3">
        <f ca="1">'ETF price'!AF281-'ETF price'!AF280</f>
        <v>-6.0000000000000053E-2</v>
      </c>
      <c r="AF279" s="3">
        <f ca="1">'ETF price'!AG281-'ETF price'!AG280</f>
        <v>-0.41999999999999815</v>
      </c>
    </row>
    <row r="280" spans="1:32" ht="12.75" x14ac:dyDescent="0.2">
      <c r="A280" s="3">
        <f ca="1">'ETF price'!B282-'ETF price'!B281</f>
        <v>2.4300000000000068</v>
      </c>
      <c r="B280" s="3">
        <f ca="1">'ETF price'!C282-'ETF price'!C281</f>
        <v>6.1400000000000432</v>
      </c>
      <c r="C280" s="3">
        <f ca="1">'ETF price'!D282-'ETF price'!D281</f>
        <v>0.68999999999999773</v>
      </c>
      <c r="D280" s="3">
        <f ca="1">'ETF price'!E282-'ETF price'!E281</f>
        <v>2.039999999999992</v>
      </c>
      <c r="E280" s="3">
        <f ca="1">'ETF price'!F282-'ETF price'!F281</f>
        <v>0.57999999999999829</v>
      </c>
      <c r="F280" s="3">
        <f ca="1">'ETF price'!G282-'ETF price'!G281</f>
        <v>0.12999999999999901</v>
      </c>
      <c r="G280" s="3">
        <f ca="1">'ETF price'!H282-'ETF price'!H281</f>
        <v>0.37000000000000099</v>
      </c>
      <c r="H280" s="3">
        <f ca="1">'ETF price'!I282-'ETF price'!I281</f>
        <v>1.0999999999999943</v>
      </c>
      <c r="I280" s="3">
        <f ca="1">'ETF price'!J282-'ETF price'!J281</f>
        <v>1.8799999999999955</v>
      </c>
      <c r="J280" s="3">
        <f ca="1">'ETF price'!K282-'ETF price'!K281</f>
        <v>1.8199999999999932</v>
      </c>
      <c r="K280" s="3">
        <f ca="1">'ETF price'!L282-'ETF price'!L281</f>
        <v>-6.0000000000002274E-2</v>
      </c>
      <c r="L280" s="3">
        <f ca="1">'ETF price'!M282-'ETF price'!M281</f>
        <v>0.29999999999999716</v>
      </c>
      <c r="M280" s="3">
        <f ca="1">'ETF price'!N282-'ETF price'!N281</f>
        <v>0.52000000000000313</v>
      </c>
      <c r="N280" s="3">
        <f ca="1">'ETF price'!O282-'ETF price'!O281</f>
        <v>0.92000000000000171</v>
      </c>
      <c r="O280" s="3">
        <f ca="1">'ETF price'!P282-'ETF price'!P281</f>
        <v>-0.22999999999998977</v>
      </c>
      <c r="P280" s="3">
        <f ca="1">'ETF price'!Q282-'ETF price'!Q281</f>
        <v>-0.5</v>
      </c>
      <c r="Q280" s="3">
        <f ca="1">'ETF price'!R282-'ETF price'!R281</f>
        <v>0.42999999999999261</v>
      </c>
      <c r="R280" s="3">
        <f ca="1">'ETF price'!S282-'ETF price'!S281</f>
        <v>0.14000000000000057</v>
      </c>
      <c r="S280" s="3">
        <f ca="1">'ETF price'!T282-'ETF price'!T281</f>
        <v>-4.9999999999997158E-2</v>
      </c>
      <c r="T280" s="3">
        <f ca="1">'ETF price'!U282-'ETF price'!U281</f>
        <v>-0.37000000000000455</v>
      </c>
      <c r="U280" s="3">
        <f ca="1">'ETF price'!V282-'ETF price'!V281</f>
        <v>1.2000000000000028</v>
      </c>
      <c r="V280" s="3">
        <f ca="1">'ETF price'!W282-'ETF price'!W281</f>
        <v>0.4199999999999946</v>
      </c>
      <c r="W280" s="3">
        <f ca="1">'ETF price'!X282-'ETF price'!X281</f>
        <v>1.0699999999999932</v>
      </c>
      <c r="X280" s="3">
        <f ca="1">'ETF price'!Y282-'ETF price'!Y281</f>
        <v>0.5</v>
      </c>
      <c r="Y280" s="3">
        <f ca="1">'ETF price'!Z282-'ETF price'!Z281</f>
        <v>0.95000000000000284</v>
      </c>
      <c r="Z280" s="3">
        <f ca="1">'ETF price'!AA282-'ETF price'!AA281</f>
        <v>0.37000000000000455</v>
      </c>
      <c r="AA280" s="3">
        <f ca="1">'ETF price'!AB282-'ETF price'!AB281</f>
        <v>0.50999999999999801</v>
      </c>
      <c r="AB280" s="3">
        <f ca="1">'ETF price'!AC282-'ETF price'!AC281</f>
        <v>-3.9999999999999147E-2</v>
      </c>
      <c r="AC280" s="3">
        <f ca="1">'ETF price'!AD282-'ETF price'!AD281</f>
        <v>-1.9999999999999574E-2</v>
      </c>
      <c r="AD280" s="3">
        <f ca="1">'ETF price'!AE282-'ETF price'!AE281</f>
        <v>-2.000000000000135E-2</v>
      </c>
      <c r="AE280" s="3">
        <f ca="1">'ETF price'!AF282-'ETF price'!AF281</f>
        <v>-1.9999999999999796E-2</v>
      </c>
      <c r="AF280" s="3">
        <f ca="1">'ETF price'!AG282-'ETF price'!AG281</f>
        <v>-4.00000000000027E-2</v>
      </c>
    </row>
    <row r="281" spans="1:32" ht="12.75" x14ac:dyDescent="0.2">
      <c r="A281" s="3">
        <f ca="1">'ETF price'!B283-'ETF price'!B282</f>
        <v>0.60999999999998522</v>
      </c>
      <c r="B281" s="3">
        <f ca="1">'ETF price'!C283-'ETF price'!C282</f>
        <v>1.9499999999999886</v>
      </c>
      <c r="C281" s="3">
        <f ca="1">'ETF price'!D283-'ETF price'!D282</f>
        <v>0.62000000000000455</v>
      </c>
      <c r="D281" s="3">
        <f ca="1">'ETF price'!E283-'ETF price'!E282</f>
        <v>2.5699999999999932</v>
      </c>
      <c r="E281" s="3">
        <f ca="1">'ETF price'!F283-'ETF price'!F282</f>
        <v>0.26999999999999602</v>
      </c>
      <c r="F281" s="3">
        <f ca="1">'ETF price'!G283-'ETF price'!G282</f>
        <v>0.25</v>
      </c>
      <c r="G281" s="3">
        <f ca="1">'ETF price'!H283-'ETF price'!H282</f>
        <v>0.14000000000000057</v>
      </c>
      <c r="H281" s="3">
        <f ca="1">'ETF price'!I283-'ETF price'!I282</f>
        <v>-0.78999999999999204</v>
      </c>
      <c r="I281" s="3">
        <f ca="1">'ETF price'!J283-'ETF price'!J282</f>
        <v>-1.1999999999999886</v>
      </c>
      <c r="J281" s="3">
        <f ca="1">'ETF price'!K283-'ETF price'!K282</f>
        <v>-0.40999999999999659</v>
      </c>
      <c r="K281" s="3">
        <f ca="1">'ETF price'!L283-'ETF price'!L282</f>
        <v>0.31999999999999318</v>
      </c>
      <c r="L281" s="3">
        <f ca="1">'ETF price'!M283-'ETF price'!M282</f>
        <v>-0.12000000000000455</v>
      </c>
      <c r="M281" s="3">
        <f ca="1">'ETF price'!N283-'ETF price'!N282</f>
        <v>-0.25</v>
      </c>
      <c r="N281" s="3">
        <f ca="1">'ETF price'!O283-'ETF price'!O282</f>
        <v>-0.32000000000000028</v>
      </c>
      <c r="O281" s="3">
        <f ca="1">'ETF price'!P283-'ETF price'!P282</f>
        <v>3.0000000000001137E-2</v>
      </c>
      <c r="P281" s="3">
        <f ca="1">'ETF price'!Q283-'ETF price'!Q282</f>
        <v>0.20999999999999375</v>
      </c>
      <c r="Q281" s="3">
        <f ca="1">'ETF price'!R283-'ETF price'!R282</f>
        <v>0.19000000000001194</v>
      </c>
      <c r="R281" s="3">
        <f ca="1">'ETF price'!S283-'ETF price'!S282</f>
        <v>1.3400000000000034</v>
      </c>
      <c r="S281" s="3">
        <f ca="1">'ETF price'!T283-'ETF price'!T282</f>
        <v>7.9999999999998295E-2</v>
      </c>
      <c r="T281" s="3">
        <f ca="1">'ETF price'!U283-'ETF price'!U282</f>
        <v>-9.9999999999994316E-2</v>
      </c>
      <c r="U281" s="3">
        <f ca="1">'ETF price'!V283-'ETF price'!V282</f>
        <v>-0.54999999999999716</v>
      </c>
      <c r="V281" s="3">
        <f ca="1">'ETF price'!W283-'ETF price'!W282</f>
        <v>-0.19999999999999574</v>
      </c>
      <c r="W281" s="3">
        <f ca="1">'ETF price'!X283-'ETF price'!X282</f>
        <v>-0.50999999999999091</v>
      </c>
      <c r="X281" s="3">
        <f ca="1">'ETF price'!Y283-'ETF price'!Y282</f>
        <v>-0.14000000000000057</v>
      </c>
      <c r="Y281" s="3">
        <f ca="1">'ETF price'!Z283-'ETF price'!Z282</f>
        <v>-0.46999999999999886</v>
      </c>
      <c r="Z281" s="3">
        <f ca="1">'ETF price'!AA283-'ETF price'!AA282</f>
        <v>-0.42000000000000171</v>
      </c>
      <c r="AA281" s="3">
        <f ca="1">'ETF price'!AB283-'ETF price'!AB282</f>
        <v>-0.24000000000000199</v>
      </c>
      <c r="AB281" s="3">
        <f ca="1">'ETF price'!AC283-'ETF price'!AC282</f>
        <v>7.0000000000000284E-2</v>
      </c>
      <c r="AC281" s="3">
        <f ca="1">'ETF price'!AD283-'ETF price'!AD282</f>
        <v>0.24000000000000021</v>
      </c>
      <c r="AD281" s="3">
        <f ca="1">'ETF price'!AE283-'ETF price'!AE282</f>
        <v>0.37000000000000099</v>
      </c>
      <c r="AE281" s="3">
        <f ca="1">'ETF price'!AF283-'ETF price'!AF282</f>
        <v>0.11999999999999988</v>
      </c>
      <c r="AF281" s="3">
        <f ca="1">'ETF price'!AG283-'ETF price'!AG282</f>
        <v>0.82000000000000028</v>
      </c>
    </row>
    <row r="282" spans="1:32" ht="12.75" x14ac:dyDescent="0.2">
      <c r="A282" s="3">
        <f ca="1">'ETF price'!B284-'ETF price'!B283</f>
        <v>0.67000000000001592</v>
      </c>
      <c r="B282" s="3">
        <f ca="1">'ETF price'!C284-'ETF price'!C283</f>
        <v>2.5999999999999659</v>
      </c>
      <c r="C282" s="3">
        <f ca="1">'ETF price'!D284-'ETF price'!D283</f>
        <v>-1.8299999999999983</v>
      </c>
      <c r="D282" s="3">
        <f ca="1">'ETF price'!E284-'ETF price'!E283</f>
        <v>0.58000000000001251</v>
      </c>
      <c r="E282" s="3">
        <f ca="1">'ETF price'!F284-'ETF price'!F283</f>
        <v>0.68000000000000682</v>
      </c>
      <c r="F282" s="3">
        <f ca="1">'ETF price'!G284-'ETF price'!G283</f>
        <v>3.0000000000001137E-2</v>
      </c>
      <c r="G282" s="3">
        <f ca="1">'ETF price'!H284-'ETF price'!H283</f>
        <v>0.37999999999999901</v>
      </c>
      <c r="H282" s="3">
        <f ca="1">'ETF price'!I284-'ETF price'!I283</f>
        <v>-0.66000000000002501</v>
      </c>
      <c r="I282" s="3">
        <f ca="1">'ETF price'!J284-'ETF price'!J283</f>
        <v>-0.70000000000001705</v>
      </c>
      <c r="J282" s="3">
        <f ca="1">'ETF price'!K284-'ETF price'!K283</f>
        <v>0</v>
      </c>
      <c r="K282" s="3">
        <f ca="1">'ETF price'!L284-'ETF price'!L283</f>
        <v>0.18000000000000682</v>
      </c>
      <c r="L282" s="3">
        <f ca="1">'ETF price'!M284-'ETF price'!M283</f>
        <v>0.37000000000000455</v>
      </c>
      <c r="M282" s="3">
        <f ca="1">'ETF price'!N284-'ETF price'!N283</f>
        <v>-0.23000000000000398</v>
      </c>
      <c r="N282" s="3">
        <f ca="1">'ETF price'!O284-'ETF price'!O283</f>
        <v>0.59999999999999432</v>
      </c>
      <c r="O282" s="3">
        <f ca="1">'ETF price'!P284-'ETF price'!P283</f>
        <v>-1.5300000000000011</v>
      </c>
      <c r="P282" s="3">
        <f ca="1">'ETF price'!Q284-'ETF price'!Q283</f>
        <v>-1.8499999999999943</v>
      </c>
      <c r="Q282" s="3">
        <f ca="1">'ETF price'!R284-'ETF price'!R283</f>
        <v>0.35999999999999943</v>
      </c>
      <c r="R282" s="3">
        <f ca="1">'ETF price'!S284-'ETF price'!S283</f>
        <v>-8.00000000000054E-2</v>
      </c>
      <c r="S282" s="3">
        <f ca="1">'ETF price'!T284-'ETF price'!T283</f>
        <v>-0.25999999999999801</v>
      </c>
      <c r="T282" s="3">
        <f ca="1">'ETF price'!U284-'ETF price'!U283</f>
        <v>-0.38000000000000966</v>
      </c>
      <c r="U282" s="3">
        <f ca="1">'ETF price'!V284-'ETF price'!V283</f>
        <v>2.5100000000000051</v>
      </c>
      <c r="V282" s="3">
        <f ca="1">'ETF price'!W284-'ETF price'!W283</f>
        <v>3.9999999999999147E-2</v>
      </c>
      <c r="W282" s="3">
        <f ca="1">'ETF price'!X284-'ETF price'!X283</f>
        <v>0.27999999999998693</v>
      </c>
      <c r="X282" s="3">
        <f ca="1">'ETF price'!Y284-'ETF price'!Y283</f>
        <v>0.30999999999999517</v>
      </c>
      <c r="Y282" s="3">
        <f ca="1">'ETF price'!Z284-'ETF price'!Z283</f>
        <v>0.21999999999999886</v>
      </c>
      <c r="Z282" s="3">
        <f ca="1">'ETF price'!AA284-'ETF price'!AA283</f>
        <v>0.10999999999999943</v>
      </c>
      <c r="AA282" s="3">
        <f ca="1">'ETF price'!AB284-'ETF price'!AB283</f>
        <v>0.75000000000000711</v>
      </c>
      <c r="AB282" s="3">
        <f ca="1">'ETF price'!AC284-'ETF price'!AC283</f>
        <v>-0.74000000000000199</v>
      </c>
      <c r="AC282" s="3">
        <f ca="1">'ETF price'!AD284-'ETF price'!AD283</f>
        <v>0.75999999999999979</v>
      </c>
      <c r="AD282" s="3">
        <f ca="1">'ETF price'!AE284-'ETF price'!AE283</f>
        <v>1.1899999999999995</v>
      </c>
      <c r="AE282" s="3">
        <f ca="1">'ETF price'!AF284-'ETF price'!AF283</f>
        <v>0.29000000000000004</v>
      </c>
      <c r="AF282" s="3">
        <f ca="1">'ETF price'!AG284-'ETF price'!AG283</f>
        <v>2.1799999999999997</v>
      </c>
    </row>
    <row r="283" spans="1:32" ht="12.75" x14ac:dyDescent="0.2">
      <c r="A283" s="3">
        <f ca="1">'ETF price'!B285-'ETF price'!B284</f>
        <v>-2.5</v>
      </c>
      <c r="B283" s="3">
        <f ca="1">'ETF price'!C285-'ETF price'!C284</f>
        <v>-6.7799999999999727</v>
      </c>
      <c r="C283" s="3">
        <f ca="1">'ETF price'!D285-'ETF price'!D284</f>
        <v>-1.1200000000000045</v>
      </c>
      <c r="D283" s="3">
        <f ca="1">'ETF price'!E285-'ETF price'!E284</f>
        <v>-3.539999999999992</v>
      </c>
      <c r="E283" s="3">
        <f ca="1">'ETF price'!F285-'ETF price'!F284</f>
        <v>-0.85000000000000142</v>
      </c>
      <c r="F283" s="3">
        <f ca="1">'ETF price'!G285-'ETF price'!G284</f>
        <v>-0.33000000000000185</v>
      </c>
      <c r="G283" s="3">
        <f ca="1">'ETF price'!H285-'ETF price'!H284</f>
        <v>-0.44000000000000128</v>
      </c>
      <c r="H283" s="3">
        <f ca="1">'ETF price'!I285-'ETF price'!I284</f>
        <v>-1.3199999999999932</v>
      </c>
      <c r="I283" s="3">
        <f ca="1">'ETF price'!J285-'ETF price'!J284</f>
        <v>-2.3199999999999932</v>
      </c>
      <c r="J283" s="3">
        <f ca="1">'ETF price'!K285-'ETF price'!K284</f>
        <v>-1.6800000000000068</v>
      </c>
      <c r="K283" s="3">
        <f ca="1">'ETF price'!L285-'ETF price'!L284</f>
        <v>-1.2900000000000063</v>
      </c>
      <c r="L283" s="3">
        <f ca="1">'ETF price'!M285-'ETF price'!M284</f>
        <v>-1.0300000000000011</v>
      </c>
      <c r="M283" s="3">
        <f ca="1">'ETF price'!N285-'ETF price'!N284</f>
        <v>-0.54999999999999716</v>
      </c>
      <c r="N283" s="3">
        <f ca="1">'ETF price'!O285-'ETF price'!O284</f>
        <v>-0.47999999999999687</v>
      </c>
      <c r="O283" s="3">
        <f ca="1">'ETF price'!P285-'ETF price'!P284</f>
        <v>-0.87000000000000455</v>
      </c>
      <c r="P283" s="3">
        <f ca="1">'ETF price'!Q285-'ETF price'!Q284</f>
        <v>-1.2199999999999989</v>
      </c>
      <c r="Q283" s="3">
        <f ca="1">'ETF price'!R285-'ETF price'!R284</f>
        <v>-0.94000000000001194</v>
      </c>
      <c r="R283" s="3">
        <f ca="1">'ETF price'!S285-'ETF price'!S284</f>
        <v>0.55000000000000426</v>
      </c>
      <c r="S283" s="3">
        <f ca="1">'ETF price'!T285-'ETF price'!T284</f>
        <v>-7.0000000000000284E-2</v>
      </c>
      <c r="T283" s="3">
        <f ca="1">'ETF price'!U285-'ETF price'!U284</f>
        <v>-0.56999999999999318</v>
      </c>
      <c r="U283" s="3">
        <f ca="1">'ETF price'!V285-'ETF price'!V284</f>
        <v>-2.8100000000000023</v>
      </c>
      <c r="V283" s="3">
        <f ca="1">'ETF price'!W285-'ETF price'!W284</f>
        <v>-0.36999999999999744</v>
      </c>
      <c r="W283" s="3">
        <f ca="1">'ETF price'!X285-'ETF price'!X284</f>
        <v>-0.90999999999999659</v>
      </c>
      <c r="X283" s="3">
        <f ca="1">'ETF price'!Y285-'ETF price'!Y284</f>
        <v>-0.64999999999999858</v>
      </c>
      <c r="Y283" s="3">
        <f ca="1">'ETF price'!Z285-'ETF price'!Z284</f>
        <v>-0.84999999999999432</v>
      </c>
      <c r="Z283" s="3">
        <f ca="1">'ETF price'!AA285-'ETF price'!AA284</f>
        <v>-0.36999999999999744</v>
      </c>
      <c r="AA283" s="3">
        <f ca="1">'ETF price'!AB285-'ETF price'!AB284</f>
        <v>-1.1300000000000026</v>
      </c>
      <c r="AB283" s="3">
        <f ca="1">'ETF price'!AC285-'ETF price'!AC284</f>
        <v>-0.10000000000000142</v>
      </c>
      <c r="AC283" s="3">
        <f ca="1">'ETF price'!AD285-'ETF price'!AD284</f>
        <v>0.16000000000000014</v>
      </c>
      <c r="AD283" s="3">
        <f ca="1">'ETF price'!AE285-'ETF price'!AE284</f>
        <v>0.26999999999999957</v>
      </c>
      <c r="AE283" s="3">
        <f ca="1">'ETF price'!AF285-'ETF price'!AF284</f>
        <v>-0.16999999999999993</v>
      </c>
      <c r="AF283" s="3">
        <f ca="1">'ETF price'!AG285-'ETF price'!AG284</f>
        <v>-0.98999999999999844</v>
      </c>
    </row>
    <row r="284" spans="1:32" ht="12.75" x14ac:dyDescent="0.2">
      <c r="A284" s="3">
        <f ca="1">'ETF price'!B286-'ETF price'!B285</f>
        <v>-1.7700000000000102</v>
      </c>
      <c r="B284" s="3">
        <f ca="1">'ETF price'!C286-'ETF price'!C285</f>
        <v>-4.4700000000000273</v>
      </c>
      <c r="C284" s="3">
        <f ca="1">'ETF price'!D286-'ETF price'!D285</f>
        <v>-2.0600000000000023</v>
      </c>
      <c r="D284" s="3">
        <f ca="1">'ETF price'!E286-'ETF price'!E285</f>
        <v>-2.1900000000000261</v>
      </c>
      <c r="E284" s="3">
        <f ca="1">'ETF price'!F286-'ETF price'!F285</f>
        <v>-0.35000000000000142</v>
      </c>
      <c r="F284" s="3">
        <f ca="1">'ETF price'!G286-'ETF price'!G285</f>
        <v>-0.37000000000000099</v>
      </c>
      <c r="G284" s="3">
        <f ca="1">'ETF price'!H286-'ETF price'!H285</f>
        <v>-0.23999999999999844</v>
      </c>
      <c r="H284" s="3">
        <f ca="1">'ETF price'!I286-'ETF price'!I285</f>
        <v>1.1700000000000159</v>
      </c>
      <c r="I284" s="3">
        <f ca="1">'ETF price'!J286-'ETF price'!J285</f>
        <v>2.4399999999999977</v>
      </c>
      <c r="J284" s="3">
        <f ca="1">'ETF price'!K286-'ETF price'!K285</f>
        <v>1.2700000000000102</v>
      </c>
      <c r="K284" s="3">
        <f ca="1">'ETF price'!L286-'ETF price'!L285</f>
        <v>2.0300000000000011</v>
      </c>
      <c r="L284" s="3">
        <f ca="1">'ETF price'!M286-'ETF price'!M285</f>
        <v>1.1300000000000097</v>
      </c>
      <c r="M284" s="3">
        <f ca="1">'ETF price'!N286-'ETF price'!N285</f>
        <v>0.56000000000000227</v>
      </c>
      <c r="N284" s="3">
        <f ca="1">'ETF price'!O286-'ETF price'!O285</f>
        <v>0.60000000000000142</v>
      </c>
      <c r="O284" s="3">
        <f ca="1">'ETF price'!P286-'ETF price'!P285</f>
        <v>-3.1200000000000045</v>
      </c>
      <c r="P284" s="3">
        <f ca="1">'ETF price'!Q286-'ETF price'!Q285</f>
        <v>-4.4699999999999989</v>
      </c>
      <c r="Q284" s="3">
        <f ca="1">'ETF price'!R286-'ETF price'!R285</f>
        <v>-0.76999999999999602</v>
      </c>
      <c r="R284" s="3">
        <f ca="1">'ETF price'!S286-'ETF price'!S285</f>
        <v>-1.0300000000000011</v>
      </c>
      <c r="S284" s="3">
        <f ca="1">'ETF price'!T286-'ETF price'!T285</f>
        <v>-0.17999999999999972</v>
      </c>
      <c r="T284" s="3">
        <f ca="1">'ETF price'!U286-'ETF price'!U285</f>
        <v>-1.4300000000000068</v>
      </c>
      <c r="U284" s="3">
        <f ca="1">'ETF price'!V286-'ETF price'!V285</f>
        <v>-0.53000000000000114</v>
      </c>
      <c r="V284" s="3">
        <f ca="1">'ETF price'!W286-'ETF price'!W285</f>
        <v>9.9999999999980105E-3</v>
      </c>
      <c r="W284" s="3">
        <f ca="1">'ETF price'!X286-'ETF price'!X285</f>
        <v>7.000000000000739E-2</v>
      </c>
      <c r="X284" s="3">
        <f ca="1">'ETF price'!Y286-'ETF price'!Y285</f>
        <v>0.18999999999999773</v>
      </c>
      <c r="Y284" s="3">
        <f ca="1">'ETF price'!Z286-'ETF price'!Z285</f>
        <v>3.0000000000001137E-2</v>
      </c>
      <c r="Z284" s="3">
        <f ca="1">'ETF price'!AA286-'ETF price'!AA285</f>
        <v>-0.20000000000000284</v>
      </c>
      <c r="AA284" s="3">
        <f ca="1">'ETF price'!AB286-'ETF price'!AB285</f>
        <v>0.32000000000000028</v>
      </c>
      <c r="AB284" s="3">
        <f ca="1">'ETF price'!AC286-'ETF price'!AC285</f>
        <v>-1.4099999999999966</v>
      </c>
      <c r="AC284" s="3">
        <f ca="1">'ETF price'!AD286-'ETF price'!AD285</f>
        <v>8.9999999999999858E-2</v>
      </c>
      <c r="AD284" s="3">
        <f ca="1">'ETF price'!AE286-'ETF price'!AE285</f>
        <v>0.16999999999999993</v>
      </c>
      <c r="AE284" s="3">
        <f ca="1">'ETF price'!AF286-'ETF price'!AF285</f>
        <v>8.9999999999999858E-2</v>
      </c>
      <c r="AF284" s="3">
        <f ca="1">'ETF price'!AG286-'ETF price'!AG285</f>
        <v>0.17999999999999972</v>
      </c>
    </row>
    <row r="285" spans="1:32" ht="12.75" x14ac:dyDescent="0.2">
      <c r="A285" s="3">
        <f ca="1">'ETF price'!B287-'ETF price'!B286</f>
        <v>-3.3199999999999932</v>
      </c>
      <c r="B285" s="3">
        <f ca="1">'ETF price'!C287-'ETF price'!C286</f>
        <v>-8.7199999999999704</v>
      </c>
      <c r="C285" s="3">
        <f ca="1">'ETF price'!D287-'ETF price'!D286</f>
        <v>1.230000000000004</v>
      </c>
      <c r="D285" s="3">
        <f ca="1">'ETF price'!E287-'ETF price'!E286</f>
        <v>-4.4899999999999807</v>
      </c>
      <c r="E285" s="3">
        <f ca="1">'ETF price'!F287-'ETF price'!F286</f>
        <v>-0.64000000000000057</v>
      </c>
      <c r="F285" s="3">
        <f ca="1">'ETF price'!G287-'ETF price'!G286</f>
        <v>-0.64999999999999858</v>
      </c>
      <c r="G285" s="3">
        <f ca="1">'ETF price'!H287-'ETF price'!H286</f>
        <v>-0.73000000000000043</v>
      </c>
      <c r="H285" s="3">
        <f ca="1">'ETF price'!I287-'ETF price'!I286</f>
        <v>-1.710000000000008</v>
      </c>
      <c r="I285" s="3">
        <f ca="1">'ETF price'!J287-'ETF price'!J286</f>
        <v>-4.1299999999999955</v>
      </c>
      <c r="J285" s="3">
        <f ca="1">'ETF price'!K287-'ETF price'!K286</f>
        <v>-3.7200000000000273</v>
      </c>
      <c r="K285" s="3">
        <f ca="1">'ETF price'!L287-'ETF price'!L286</f>
        <v>-4.0300000000000011</v>
      </c>
      <c r="L285" s="3">
        <f ca="1">'ETF price'!M287-'ETF price'!M286</f>
        <v>-1.9400000000000119</v>
      </c>
      <c r="M285" s="3">
        <f ca="1">'ETF price'!N287-'ETF price'!N286</f>
        <v>-1.0500000000000043</v>
      </c>
      <c r="N285" s="3">
        <f ca="1">'ETF price'!O287-'ETF price'!O286</f>
        <v>-2.8400000000000034</v>
      </c>
      <c r="O285" s="3">
        <f ca="1">'ETF price'!P287-'ETF price'!P286</f>
        <v>-0.42000000000000171</v>
      </c>
      <c r="P285" s="3">
        <f ca="1">'ETF price'!Q287-'ETF price'!Q286</f>
        <v>-0.76000000000000512</v>
      </c>
      <c r="Q285" s="3">
        <f ca="1">'ETF price'!R287-'ETF price'!R286</f>
        <v>-1.3400000000000034</v>
      </c>
      <c r="R285" s="3">
        <f ca="1">'ETF price'!S287-'ETF price'!S286</f>
        <v>-1.4699999999999989</v>
      </c>
      <c r="S285" s="3">
        <f ca="1">'ETF price'!T287-'ETF price'!T286</f>
        <v>2.9999999999997584E-2</v>
      </c>
      <c r="T285" s="3">
        <f ca="1">'ETF price'!U287-'ETF price'!U286</f>
        <v>-0.32999999999999829</v>
      </c>
      <c r="U285" s="3">
        <f ca="1">'ETF price'!V287-'ETF price'!V286</f>
        <v>-1.6099999999999994</v>
      </c>
      <c r="V285" s="3">
        <f ca="1">'ETF price'!W287-'ETF price'!W286</f>
        <v>-0.75</v>
      </c>
      <c r="W285" s="3">
        <f ca="1">'ETF price'!X287-'ETF price'!X286</f>
        <v>-1.8900000000000006</v>
      </c>
      <c r="X285" s="3">
        <f ca="1">'ETF price'!Y287-'ETF price'!Y286</f>
        <v>-1.269999999999996</v>
      </c>
      <c r="Y285" s="3">
        <f ca="1">'ETF price'!Z287-'ETF price'!Z286</f>
        <v>-1.6600000000000108</v>
      </c>
      <c r="Z285" s="3">
        <f ca="1">'ETF price'!AA287-'ETF price'!AA286</f>
        <v>-0.78000000000000114</v>
      </c>
      <c r="AA285" s="3">
        <f ca="1">'ETF price'!AB287-'ETF price'!AB286</f>
        <v>-1.470000000000006</v>
      </c>
      <c r="AB285" s="3">
        <f ca="1">'ETF price'!AC287-'ETF price'!AC286</f>
        <v>0.17000000000000171</v>
      </c>
      <c r="AC285" s="3">
        <f ca="1">'ETF price'!AD287-'ETF price'!AD286</f>
        <v>-0.15000000000000036</v>
      </c>
      <c r="AD285" s="3">
        <f ca="1">'ETF price'!AE287-'ETF price'!AE286</f>
        <v>-0.25999999999999979</v>
      </c>
      <c r="AE285" s="3">
        <f ca="1">'ETF price'!AF287-'ETF price'!AF286</f>
        <v>3.0000000000000249E-2</v>
      </c>
      <c r="AF285" s="3">
        <f ca="1">'ETF price'!AG287-'ETF price'!AG286</f>
        <v>-1.0599999999999987</v>
      </c>
    </row>
    <row r="286" spans="1:32" ht="12.75" x14ac:dyDescent="0.2">
      <c r="A286" s="3">
        <f ca="1">'ETF price'!B288-'ETF price'!B287</f>
        <v>-0.19999999999998863</v>
      </c>
      <c r="B286" s="3">
        <f ca="1">'ETF price'!C288-'ETF price'!C287</f>
        <v>-7.9999999999984084E-2</v>
      </c>
      <c r="C286" s="3">
        <f ca="1">'ETF price'!D288-'ETF price'!D287</f>
        <v>-1.5400000000000063</v>
      </c>
      <c r="D286" s="3">
        <f ca="1">'ETF price'!E288-'ETF price'!E287</f>
        <v>-0.64000000000001478</v>
      </c>
      <c r="E286" s="3">
        <f ca="1">'ETF price'!F288-'ETF price'!F287</f>
        <v>0.42000000000000171</v>
      </c>
      <c r="F286" s="3">
        <f ca="1">'ETF price'!G288-'ETF price'!G287</f>
        <v>-1.9999999999999574E-2</v>
      </c>
      <c r="G286" s="3">
        <f ca="1">'ETF price'!H288-'ETF price'!H287</f>
        <v>5.0000000000000711E-2</v>
      </c>
      <c r="H286" s="3">
        <f ca="1">'ETF price'!I288-'ETF price'!I287</f>
        <v>-0.43999999999999773</v>
      </c>
      <c r="I286" s="3">
        <f ca="1">'ETF price'!J288-'ETF price'!J287</f>
        <v>-0.5</v>
      </c>
      <c r="J286" s="3">
        <f ca="1">'ETF price'!K288-'ETF price'!K287</f>
        <v>-0.23999999999998067</v>
      </c>
      <c r="K286" s="3">
        <f ca="1">'ETF price'!L288-'ETF price'!L287</f>
        <v>0.85999999999999943</v>
      </c>
      <c r="L286" s="3">
        <f ca="1">'ETF price'!M288-'ETF price'!M287</f>
        <v>-0.22999999999998977</v>
      </c>
      <c r="M286" s="3">
        <f ca="1">'ETF price'!N288-'ETF price'!N287</f>
        <v>-0.12999999999999545</v>
      </c>
      <c r="N286" s="3">
        <f ca="1">'ETF price'!O288-'ETF price'!O287</f>
        <v>0.64000000000000057</v>
      </c>
      <c r="O286" s="3">
        <f ca="1">'ETF price'!P288-'ETF price'!P287</f>
        <v>-0.55999999999998806</v>
      </c>
      <c r="P286" s="3">
        <f ca="1">'ETF price'!Q288-'ETF price'!Q287</f>
        <v>-0.82000000000000739</v>
      </c>
      <c r="Q286" s="3">
        <f ca="1">'ETF price'!R288-'ETF price'!R287</f>
        <v>0.60000000000000853</v>
      </c>
      <c r="R286" s="3">
        <f ca="1">'ETF price'!S288-'ETF price'!S287</f>
        <v>0.10999999999999943</v>
      </c>
      <c r="S286" s="3">
        <f ca="1">'ETF price'!T288-'ETF price'!T287</f>
        <v>-0.30999999999999872</v>
      </c>
      <c r="T286" s="3">
        <f ca="1">'ETF price'!U288-'ETF price'!U287</f>
        <v>-1.769999999999996</v>
      </c>
      <c r="U286" s="3">
        <f ca="1">'ETF price'!V288-'ETF price'!V287</f>
        <v>0</v>
      </c>
      <c r="V286" s="3">
        <f ca="1">'ETF price'!W288-'ETF price'!W287</f>
        <v>-3.9999999999999147E-2</v>
      </c>
      <c r="W286" s="3">
        <f ca="1">'ETF price'!X288-'ETF price'!X287</f>
        <v>-0.14000000000000057</v>
      </c>
      <c r="X286" s="3">
        <f ca="1">'ETF price'!Y288-'ETF price'!Y287</f>
        <v>-0.14999999999999858</v>
      </c>
      <c r="Y286" s="3">
        <f ca="1">'ETF price'!Z288-'ETF price'!Z287</f>
        <v>-0.12999999999999545</v>
      </c>
      <c r="Z286" s="3">
        <f ca="1">'ETF price'!AA288-'ETF price'!AA287</f>
        <v>-0.35000000000000142</v>
      </c>
      <c r="AA286" s="3">
        <f ca="1">'ETF price'!AB288-'ETF price'!AB287</f>
        <v>-0.29999999999999716</v>
      </c>
      <c r="AB286" s="3">
        <f ca="1">'ETF price'!AC288-'ETF price'!AC287</f>
        <v>-9.0000000000003411E-2</v>
      </c>
      <c r="AC286" s="3">
        <f ca="1">'ETF price'!AD288-'ETF price'!AD287</f>
        <v>-0.26999999999999957</v>
      </c>
      <c r="AD286" s="3">
        <f ca="1">'ETF price'!AE288-'ETF price'!AE287</f>
        <v>-0.42999999999999972</v>
      </c>
      <c r="AE286" s="3">
        <f ca="1">'ETF price'!AF288-'ETF price'!AF287</f>
        <v>-0.14999999999999991</v>
      </c>
      <c r="AF286" s="3">
        <f ca="1">'ETF price'!AG288-'ETF price'!AG287</f>
        <v>-0.24000000000000199</v>
      </c>
    </row>
    <row r="287" spans="1:32" ht="12.75" x14ac:dyDescent="0.2">
      <c r="A287" s="3">
        <f ca="1">'ETF price'!B289-'ETF price'!B288</f>
        <v>2.2599999999999909</v>
      </c>
      <c r="B287" s="3">
        <f ca="1">'ETF price'!C289-'ETF price'!C288</f>
        <v>5.4099999999999682</v>
      </c>
      <c r="C287" s="3">
        <f ca="1">'ETF price'!D289-'ETF price'!D288</f>
        <v>0.35999999999999943</v>
      </c>
      <c r="D287" s="3">
        <f ca="1">'ETF price'!E289-'ETF price'!E288</f>
        <v>4.3900000000000148</v>
      </c>
      <c r="E287" s="3">
        <f ca="1">'ETF price'!F289-'ETF price'!F288</f>
        <v>5.9999999999995168E-2</v>
      </c>
      <c r="F287" s="3">
        <f ca="1">'ETF price'!G289-'ETF price'!G288</f>
        <v>0.55000000000000071</v>
      </c>
      <c r="G287" s="3">
        <f ca="1">'ETF price'!H289-'ETF price'!H288</f>
        <v>8.9999999999999858E-2</v>
      </c>
      <c r="H287" s="3">
        <f ca="1">'ETF price'!I289-'ETF price'!I288</f>
        <v>0.34999999999999432</v>
      </c>
      <c r="I287" s="3">
        <f ca="1">'ETF price'!J289-'ETF price'!J288</f>
        <v>0.65000000000000568</v>
      </c>
      <c r="J287" s="3">
        <f ca="1">'ETF price'!K289-'ETF price'!K288</f>
        <v>-0.40000000000000568</v>
      </c>
      <c r="K287" s="3">
        <f ca="1">'ETF price'!L289-'ETF price'!L288</f>
        <v>-0.15999999999999659</v>
      </c>
      <c r="L287" s="3">
        <f ca="1">'ETF price'!M289-'ETF price'!M288</f>
        <v>0.37999999999999545</v>
      </c>
      <c r="M287" s="3">
        <f ca="1">'ETF price'!N289-'ETF price'!N288</f>
        <v>0.19999999999999574</v>
      </c>
      <c r="N287" s="3">
        <f ca="1">'ETF price'!O289-'ETF price'!O288</f>
        <v>-0.51999999999999602</v>
      </c>
      <c r="O287" s="3">
        <f ca="1">'ETF price'!P289-'ETF price'!P288</f>
        <v>1.2599999999999909</v>
      </c>
      <c r="P287" s="3">
        <f ca="1">'ETF price'!Q289-'ETF price'!Q288</f>
        <v>1.8599999999999994</v>
      </c>
      <c r="Q287" s="3">
        <f ca="1">'ETF price'!R289-'ETF price'!R288</f>
        <v>9.0000000000003411E-2</v>
      </c>
      <c r="R287" s="3">
        <f ca="1">'ETF price'!S289-'ETF price'!S288</f>
        <v>-0.52000000000000313</v>
      </c>
      <c r="S287" s="3">
        <f ca="1">'ETF price'!T289-'ETF price'!T288</f>
        <v>0.17999999999999972</v>
      </c>
      <c r="T287" s="3">
        <f ca="1">'ETF price'!U289-'ETF price'!U288</f>
        <v>1.4599999999999937</v>
      </c>
      <c r="U287" s="3">
        <f ca="1">'ETF price'!V289-'ETF price'!V288</f>
        <v>0.56000000000000227</v>
      </c>
      <c r="V287" s="3">
        <f ca="1">'ETF price'!W289-'ETF price'!W288</f>
        <v>3.0000000000001137E-2</v>
      </c>
      <c r="W287" s="3">
        <f ca="1">'ETF price'!X289-'ETF price'!X288</f>
        <v>0.18999999999999773</v>
      </c>
      <c r="X287" s="3">
        <f ca="1">'ETF price'!Y289-'ETF price'!Y288</f>
        <v>0.25999999999999801</v>
      </c>
      <c r="Y287" s="3">
        <f ca="1">'ETF price'!Z289-'ETF price'!Z288</f>
        <v>0.10999999999999943</v>
      </c>
      <c r="Z287" s="3">
        <f ca="1">'ETF price'!AA289-'ETF price'!AA288</f>
        <v>0.37000000000000455</v>
      </c>
      <c r="AA287" s="3">
        <f ca="1">'ETF price'!AB289-'ETF price'!AB288</f>
        <v>0.24000000000000199</v>
      </c>
      <c r="AB287" s="3">
        <f ca="1">'ETF price'!AC289-'ETF price'!AC288</f>
        <v>3.0000000000001137E-2</v>
      </c>
      <c r="AC287" s="3">
        <f ca="1">'ETF price'!AD289-'ETF price'!AD288</f>
        <v>5.0000000000000711E-2</v>
      </c>
      <c r="AD287" s="3">
        <f ca="1">'ETF price'!AE289-'ETF price'!AE288</f>
        <v>0.10999999999999943</v>
      </c>
      <c r="AE287" s="3">
        <f ca="1">'ETF price'!AF289-'ETF price'!AF288</f>
        <v>4.0000000000000036E-2</v>
      </c>
      <c r="AF287" s="3">
        <f ca="1">'ETF price'!AG289-'ETF price'!AG288</f>
        <v>0.10999999999999943</v>
      </c>
    </row>
    <row r="288" spans="1:32" ht="12.75" x14ac:dyDescent="0.2">
      <c r="A288" s="3">
        <f ca="1">'ETF price'!B290-'ETF price'!B289</f>
        <v>-2.4699999999999989</v>
      </c>
      <c r="B288" s="3">
        <f ca="1">'ETF price'!C290-'ETF price'!C289</f>
        <v>-6.2099999999999795</v>
      </c>
      <c r="C288" s="3">
        <f ca="1">'ETF price'!D290-'ETF price'!D289</f>
        <v>9.0000000000003411E-2</v>
      </c>
      <c r="D288" s="3">
        <f ca="1">'ETF price'!E290-'ETF price'!E289</f>
        <v>-2.4699999999999989</v>
      </c>
      <c r="E288" s="3">
        <f ca="1">'ETF price'!F290-'ETF price'!F289</f>
        <v>-0.71999999999999886</v>
      </c>
      <c r="F288" s="3">
        <f ca="1">'ETF price'!G290-'ETF price'!G289</f>
        <v>-0.22000000000000242</v>
      </c>
      <c r="G288" s="3">
        <f ca="1">'ETF price'!H290-'ETF price'!H289</f>
        <v>-0.42999999999999972</v>
      </c>
      <c r="H288" s="3">
        <f ca="1">'ETF price'!I290-'ETF price'!I289</f>
        <v>-1.6800000000000068</v>
      </c>
      <c r="I288" s="3">
        <f ca="1">'ETF price'!J290-'ETF price'!J289</f>
        <v>-3.1800000000000068</v>
      </c>
      <c r="J288" s="3">
        <f ca="1">'ETF price'!K290-'ETF price'!K289</f>
        <v>-2.5900000000000034</v>
      </c>
      <c r="K288" s="3">
        <f ca="1">'ETF price'!L290-'ETF price'!L289</f>
        <v>-2</v>
      </c>
      <c r="L288" s="3">
        <f ca="1">'ETF price'!M290-'ETF price'!M289</f>
        <v>-0.77000000000000313</v>
      </c>
      <c r="M288" s="3">
        <f ca="1">'ETF price'!N290-'ETF price'!N289</f>
        <v>-0.85999999999999943</v>
      </c>
      <c r="N288" s="3">
        <f ca="1">'ETF price'!O290-'ETF price'!O289</f>
        <v>-1.0399999999999991</v>
      </c>
      <c r="O288" s="3">
        <f ca="1">'ETF price'!P290-'ETF price'!P289</f>
        <v>-0.10999999999999943</v>
      </c>
      <c r="P288" s="3">
        <f ca="1">'ETF price'!Q290-'ETF price'!Q289</f>
        <v>0.30000000000001137</v>
      </c>
      <c r="Q288" s="3">
        <f ca="1">'ETF price'!R290-'ETF price'!R289</f>
        <v>0.53999999999999204</v>
      </c>
      <c r="R288" s="3">
        <f ca="1">'ETF price'!S290-'ETF price'!S289</f>
        <v>-0.50999999999999801</v>
      </c>
      <c r="S288" s="3">
        <f ca="1">'ETF price'!T290-'ETF price'!T289</f>
        <v>-7.9999999999998295E-2</v>
      </c>
      <c r="T288" s="3">
        <f ca="1">'ETF price'!U290-'ETF price'!U289</f>
        <v>0.71999999999999886</v>
      </c>
      <c r="U288" s="3">
        <f ca="1">'ETF price'!V290-'ETF price'!V289</f>
        <v>-2.0600000000000023</v>
      </c>
      <c r="V288" s="3">
        <f ca="1">'ETF price'!W290-'ETF price'!W289</f>
        <v>2.9999999999994031E-2</v>
      </c>
      <c r="W288" s="3">
        <f ca="1">'ETF price'!X290-'ETF price'!X289</f>
        <v>-1.9999999999996021E-2</v>
      </c>
      <c r="X288" s="3">
        <f ca="1">'ETF price'!Y290-'ETF price'!Y289</f>
        <v>-2.0000000000003126E-2</v>
      </c>
      <c r="Y288" s="3">
        <f ca="1">'ETF price'!Z290-'ETF price'!Z289</f>
        <v>0</v>
      </c>
      <c r="Z288" s="3">
        <f ca="1">'ETF price'!AA290-'ETF price'!AA289</f>
        <v>-0.71999999999999886</v>
      </c>
      <c r="AA288" s="3">
        <f ca="1">'ETF price'!AB290-'ETF price'!AB289</f>
        <v>9.9999999999980105E-3</v>
      </c>
      <c r="AB288" s="3">
        <f ca="1">'ETF price'!AC290-'ETF price'!AC289</f>
        <v>7.9999999999998295E-2</v>
      </c>
      <c r="AC288" s="3">
        <f ca="1">'ETF price'!AD290-'ETF price'!AD289</f>
        <v>-0.3100000000000005</v>
      </c>
      <c r="AD288" s="3">
        <f ca="1">'ETF price'!AE290-'ETF price'!AE289</f>
        <v>-0.52999999999999936</v>
      </c>
      <c r="AE288" s="3">
        <f ca="1">'ETF price'!AF290-'ETF price'!AF289</f>
        <v>-4.0000000000000036E-2</v>
      </c>
      <c r="AF288" s="3">
        <f ca="1">'ETF price'!AG290-'ETF price'!AG289</f>
        <v>-0.80999999999999872</v>
      </c>
    </row>
    <row r="289" spans="1:32" ht="12.75" x14ac:dyDescent="0.2">
      <c r="A289" s="3">
        <f ca="1">'ETF price'!B291-'ETF price'!B290</f>
        <v>0.72999999999998977</v>
      </c>
      <c r="B289" s="3">
        <f ca="1">'ETF price'!C291-'ETF price'!C290</f>
        <v>1.5699999999999932</v>
      </c>
      <c r="C289" s="3">
        <f ca="1">'ETF price'!D291-'ETF price'!D290</f>
        <v>-0.59000000000000341</v>
      </c>
      <c r="D289" s="3">
        <f ca="1">'ETF price'!E291-'ETF price'!E290</f>
        <v>0.70999999999997954</v>
      </c>
      <c r="E289" s="3">
        <f ca="1">'ETF price'!F291-'ETF price'!F290</f>
        <v>9.0000000000003411E-2</v>
      </c>
      <c r="F289" s="3">
        <f ca="1">'ETF price'!G291-'ETF price'!G290</f>
        <v>0.31000000000000227</v>
      </c>
      <c r="G289" s="3">
        <f ca="1">'ETF price'!H291-'ETF price'!H290</f>
        <v>3.9999999999999147E-2</v>
      </c>
      <c r="H289" s="3">
        <f ca="1">'ETF price'!I291-'ETF price'!I290</f>
        <v>-0.38999999999998636</v>
      </c>
      <c r="I289" s="3">
        <f ca="1">'ETF price'!J291-'ETF price'!J290</f>
        <v>-0.55000000000001137</v>
      </c>
      <c r="J289" s="3">
        <f ca="1">'ETF price'!K291-'ETF price'!K290</f>
        <v>0.46000000000000796</v>
      </c>
      <c r="K289" s="3">
        <f ca="1">'ETF price'!L291-'ETF price'!L290</f>
        <v>0.65999999999999659</v>
      </c>
      <c r="L289" s="3">
        <f ca="1">'ETF price'!M291-'ETF price'!M290</f>
        <v>0.24000000000000199</v>
      </c>
      <c r="M289" s="3">
        <f ca="1">'ETF price'!N291-'ETF price'!N290</f>
        <v>-7.0000000000000284E-2</v>
      </c>
      <c r="N289" s="3">
        <f ca="1">'ETF price'!O291-'ETF price'!O290</f>
        <v>0.43999999999999773</v>
      </c>
      <c r="O289" s="3">
        <f ca="1">'ETF price'!P291-'ETF price'!P290</f>
        <v>0.25</v>
      </c>
      <c r="P289" s="3">
        <f ca="1">'ETF price'!Q291-'ETF price'!Q290</f>
        <v>0.44999999999998863</v>
      </c>
      <c r="Q289" s="3">
        <f ca="1">'ETF price'!R291-'ETF price'!R290</f>
        <v>0.26999999999999602</v>
      </c>
      <c r="R289" s="3">
        <f ca="1">'ETF price'!S291-'ETF price'!S290</f>
        <v>1.3500000000000014</v>
      </c>
      <c r="S289" s="3">
        <f ca="1">'ETF price'!T291-'ETF price'!T290</f>
        <v>1.9999999999999574E-2</v>
      </c>
      <c r="T289" s="3">
        <f ca="1">'ETF price'!U291-'ETF price'!U290</f>
        <v>-0.84999999999999432</v>
      </c>
      <c r="U289" s="3">
        <f ca="1">'ETF price'!V291-'ETF price'!V290</f>
        <v>1.6299999999999955</v>
      </c>
      <c r="V289" s="3">
        <f ca="1">'ETF price'!W291-'ETF price'!W290</f>
        <v>-9.9999999999980105E-3</v>
      </c>
      <c r="W289" s="3">
        <f ca="1">'ETF price'!X291-'ETF price'!X290</f>
        <v>-7.9999999999998295E-2</v>
      </c>
      <c r="X289" s="3">
        <f ca="1">'ETF price'!Y291-'ETF price'!Y290</f>
        <v>4.0000000000006253E-2</v>
      </c>
      <c r="Y289" s="3">
        <f ca="1">'ETF price'!Z291-'ETF price'!Z290</f>
        <v>1.9999999999996021E-2</v>
      </c>
      <c r="Z289" s="3">
        <f ca="1">'ETF price'!AA291-'ETF price'!AA290</f>
        <v>5.9999999999995168E-2</v>
      </c>
      <c r="AA289" s="3">
        <f ca="1">'ETF price'!AB291-'ETF price'!AB290</f>
        <v>-2.0000000000003126E-2</v>
      </c>
      <c r="AB289" s="3">
        <f ca="1">'ETF price'!AC291-'ETF price'!AC290</f>
        <v>-0.26999999999999602</v>
      </c>
      <c r="AC289" s="3">
        <f ca="1">'ETF price'!AD291-'ETF price'!AD290</f>
        <v>1.9999999999999574E-2</v>
      </c>
      <c r="AD289" s="3">
        <f ca="1">'ETF price'!AE291-'ETF price'!AE290</f>
        <v>6.0000000000000497E-2</v>
      </c>
      <c r="AE289" s="3">
        <f ca="1">'ETF price'!AF291-'ETF price'!AF290</f>
        <v>-8.0000000000000071E-2</v>
      </c>
      <c r="AF289" s="3">
        <f ca="1">'ETF price'!AG291-'ETF price'!AG290</f>
        <v>7.0000000000000284E-2</v>
      </c>
    </row>
    <row r="290" spans="1:32" ht="12.75" x14ac:dyDescent="0.2">
      <c r="A290" s="3">
        <f ca="1">'ETF price'!B292-'ETF price'!B291</f>
        <v>-0.29999999999998295</v>
      </c>
      <c r="B290" s="3">
        <f ca="1">'ETF price'!C292-'ETF price'!C291</f>
        <v>-0.37000000000000455</v>
      </c>
      <c r="C290" s="3">
        <f ca="1">'ETF price'!D292-'ETF price'!D291</f>
        <v>1.1400000000000006</v>
      </c>
      <c r="D290" s="3">
        <f ca="1">'ETF price'!E292-'ETF price'!E291</f>
        <v>0.47000000000002728</v>
      </c>
      <c r="E290" s="3">
        <f ca="1">'ETF price'!F292-'ETF price'!F291</f>
        <v>-9.0000000000003411E-2</v>
      </c>
      <c r="F290" s="3">
        <f ca="1">'ETF price'!G292-'ETF price'!G291</f>
        <v>-1.0000000000001563E-2</v>
      </c>
      <c r="G290" s="3">
        <f ca="1">'ETF price'!H292-'ETF price'!H291</f>
        <v>-7.9999999999998295E-2</v>
      </c>
      <c r="H290" s="3">
        <f ca="1">'ETF price'!I292-'ETF price'!I291</f>
        <v>-0.95000000000000284</v>
      </c>
      <c r="I290" s="3">
        <f ca="1">'ETF price'!J292-'ETF price'!J291</f>
        <v>-1.6299999999999955</v>
      </c>
      <c r="J290" s="3">
        <f ca="1">'ETF price'!K292-'ETF price'!K291</f>
        <v>0.31000000000000227</v>
      </c>
      <c r="K290" s="3">
        <f ca="1">'ETF price'!L292-'ETF price'!L291</f>
        <v>0.71999999999999886</v>
      </c>
      <c r="L290" s="3">
        <f ca="1">'ETF price'!M292-'ETF price'!M291</f>
        <v>-0.24000000000000199</v>
      </c>
      <c r="M290" s="3">
        <f ca="1">'ETF price'!N292-'ETF price'!N291</f>
        <v>-0.40999999999999659</v>
      </c>
      <c r="N290" s="3">
        <f ca="1">'ETF price'!O292-'ETF price'!O291</f>
        <v>0.56000000000000227</v>
      </c>
      <c r="O290" s="3">
        <f ca="1">'ETF price'!P292-'ETF price'!P291</f>
        <v>-1.2199999999999989</v>
      </c>
      <c r="P290" s="3">
        <f ca="1">'ETF price'!Q292-'ETF price'!Q291</f>
        <v>-1.7199999999999989</v>
      </c>
      <c r="Q290" s="3">
        <f ca="1">'ETF price'!R292-'ETF price'!R291</f>
        <v>0.37000000000000455</v>
      </c>
      <c r="R290" s="3">
        <f ca="1">'ETF price'!S292-'ETF price'!S291</f>
        <v>1.0700000000000003</v>
      </c>
      <c r="S290" s="3">
        <f ca="1">'ETF price'!T292-'ETF price'!T291</f>
        <v>7.0000000000000284E-2</v>
      </c>
      <c r="T290" s="3">
        <f ca="1">'ETF price'!U292-'ETF price'!U291</f>
        <v>0.95999999999999375</v>
      </c>
      <c r="U290" s="3">
        <f ca="1">'ETF price'!V292-'ETF price'!V291</f>
        <v>7.000000000000739E-2</v>
      </c>
      <c r="V290" s="3">
        <f ca="1">'ETF price'!W292-'ETF price'!W291</f>
        <v>7.0000000000000284E-2</v>
      </c>
      <c r="W290" s="3">
        <f ca="1">'ETF price'!X292-'ETF price'!X291</f>
        <v>0.17999999999999261</v>
      </c>
      <c r="X290" s="3">
        <f ca="1">'ETF price'!Y292-'ETF price'!Y291</f>
        <v>-8.00000000000054E-2</v>
      </c>
      <c r="Y290" s="3">
        <f ca="1">'ETF price'!Z292-'ETF price'!Z291</f>
        <v>0.12000000000000455</v>
      </c>
      <c r="Z290" s="3">
        <f ca="1">'ETF price'!AA292-'ETF price'!AA291</f>
        <v>2.0000000000003126E-2</v>
      </c>
      <c r="AA290" s="3">
        <f ca="1">'ETF price'!AB292-'ETF price'!AB291</f>
        <v>-9.9999999999994316E-2</v>
      </c>
      <c r="AB290" s="3">
        <f ca="1">'ETF price'!AC292-'ETF price'!AC291</f>
        <v>-0.29000000000000625</v>
      </c>
      <c r="AC290" s="3">
        <f ca="1">'ETF price'!AD292-'ETF price'!AD291</f>
        <v>0</v>
      </c>
      <c r="AD290" s="3">
        <f ca="1">'ETF price'!AE292-'ETF price'!AE291</f>
        <v>-3.0000000000001137E-2</v>
      </c>
      <c r="AE290" s="3">
        <f ca="1">'ETF price'!AF292-'ETF price'!AF291</f>
        <v>0</v>
      </c>
      <c r="AF290" s="3">
        <f ca="1">'ETF price'!AG292-'ETF price'!AG291</f>
        <v>0.25</v>
      </c>
    </row>
    <row r="291" spans="1:32" ht="12.75" x14ac:dyDescent="0.2">
      <c r="A291" s="3">
        <f ca="1">'ETF price'!B293-'ETF price'!B292</f>
        <v>-1</v>
      </c>
      <c r="B291" s="3">
        <f ca="1">'ETF price'!C293-'ETF price'!C292</f>
        <v>-2.7200000000000273</v>
      </c>
      <c r="C291" s="3">
        <f ca="1">'ETF price'!D293-'ETF price'!D292</f>
        <v>1.9200000000000017</v>
      </c>
      <c r="D291" s="3">
        <f ca="1">'ETF price'!E293-'ETF price'!E292</f>
        <v>3.9999999999992042E-2</v>
      </c>
      <c r="E291" s="3">
        <f ca="1">'ETF price'!F293-'ETF price'!F292</f>
        <v>-0.17999999999999972</v>
      </c>
      <c r="F291" s="3">
        <f ca="1">'ETF price'!G293-'ETF price'!G292</f>
        <v>6.0000000000002274E-2</v>
      </c>
      <c r="G291" s="3">
        <f ca="1">'ETF price'!H293-'ETF price'!H292</f>
        <v>0.16999999999999815</v>
      </c>
      <c r="H291" s="3">
        <f ca="1">'ETF price'!I293-'ETF price'!I292</f>
        <v>-0.21000000000000796</v>
      </c>
      <c r="I291" s="3">
        <f ca="1">'ETF price'!J293-'ETF price'!J292</f>
        <v>4.0000000000020464E-2</v>
      </c>
      <c r="J291" s="3">
        <f ca="1">'ETF price'!K293-'ETF price'!K292</f>
        <v>0.87999999999999545</v>
      </c>
      <c r="K291" s="3">
        <f ca="1">'ETF price'!L293-'ETF price'!L292</f>
        <v>0.25</v>
      </c>
      <c r="L291" s="3">
        <f ca="1">'ETF price'!M293-'ETF price'!M292</f>
        <v>0.81000000000000938</v>
      </c>
      <c r="M291" s="3">
        <f ca="1">'ETF price'!N293-'ETF price'!N292</f>
        <v>-2.0000000000003126E-2</v>
      </c>
      <c r="N291" s="3">
        <f ca="1">'ETF price'!O293-'ETF price'!O292</f>
        <v>0.43999999999999773</v>
      </c>
      <c r="O291" s="3">
        <f ca="1">'ETF price'!P293-'ETF price'!P292</f>
        <v>1.6500000000000057</v>
      </c>
      <c r="P291" s="3">
        <f ca="1">'ETF price'!Q293-'ETF price'!Q292</f>
        <v>2.3300000000000125</v>
      </c>
      <c r="Q291" s="3">
        <f ca="1">'ETF price'!R293-'ETF price'!R292</f>
        <v>0.64000000000000057</v>
      </c>
      <c r="R291" s="3">
        <f ca="1">'ETF price'!S293-'ETF price'!S292</f>
        <v>1.1499999999999986</v>
      </c>
      <c r="S291" s="3">
        <f ca="1">'ETF price'!T293-'ETF price'!T292</f>
        <v>0.41000000000000014</v>
      </c>
      <c r="T291" s="3">
        <f ca="1">'ETF price'!U293-'ETF price'!U292</f>
        <v>0.85999999999999943</v>
      </c>
      <c r="U291" s="3">
        <f ca="1">'ETF price'!V293-'ETF price'!V292</f>
        <v>2.2599999999999909</v>
      </c>
      <c r="V291" s="3">
        <f ca="1">'ETF price'!W293-'ETF price'!W292</f>
        <v>-0.11999999999999744</v>
      </c>
      <c r="W291" s="3">
        <f ca="1">'ETF price'!X293-'ETF price'!X292</f>
        <v>-0.34000000000000341</v>
      </c>
      <c r="X291" s="3">
        <f ca="1">'ETF price'!Y293-'ETF price'!Y292</f>
        <v>-0.23999999999999488</v>
      </c>
      <c r="Y291" s="3">
        <f ca="1">'ETF price'!Z293-'ETF price'!Z292</f>
        <v>-0.23000000000000398</v>
      </c>
      <c r="Z291" s="3">
        <f ca="1">'ETF price'!AA293-'ETF price'!AA292</f>
        <v>-0.59000000000000341</v>
      </c>
      <c r="AA291" s="3">
        <f ca="1">'ETF price'!AB293-'ETF price'!AB292</f>
        <v>-0.37000000000000455</v>
      </c>
      <c r="AB291" s="3">
        <f ca="1">'ETF price'!AC293-'ETF price'!AC292</f>
        <v>0.99000000000000199</v>
      </c>
      <c r="AC291" s="3">
        <f ca="1">'ETF price'!AD293-'ETF price'!AD292</f>
        <v>4.0000000000000924E-2</v>
      </c>
      <c r="AD291" s="3">
        <f ca="1">'ETF price'!AE293-'ETF price'!AE292</f>
        <v>-1.9999999999999574E-2</v>
      </c>
      <c r="AE291" s="3">
        <f ca="1">'ETF price'!AF293-'ETF price'!AF292</f>
        <v>6.999999999999984E-2</v>
      </c>
      <c r="AF291" s="3">
        <f ca="1">'ETF price'!AG293-'ETF price'!AG292</f>
        <v>5.0000000000000711E-2</v>
      </c>
    </row>
    <row r="292" spans="1:32" ht="12.75" x14ac:dyDescent="0.2">
      <c r="A292" s="3">
        <f ca="1">'ETF price'!B294-'ETF price'!B293</f>
        <v>1.6699999999999875</v>
      </c>
      <c r="B292" s="3">
        <f ca="1">'ETF price'!C294-'ETF price'!C293</f>
        <v>4.1500000000000341</v>
      </c>
      <c r="C292" s="3">
        <f ca="1">'ETF price'!D294-'ETF price'!D293</f>
        <v>0.24000000000000909</v>
      </c>
      <c r="D292" s="3">
        <f ca="1">'ETF price'!E294-'ETF price'!E293</f>
        <v>1.0900000000000034</v>
      </c>
      <c r="E292" s="3">
        <f ca="1">'ETF price'!F294-'ETF price'!F293</f>
        <v>0.71000000000000085</v>
      </c>
      <c r="F292" s="3">
        <f ca="1">'ETF price'!G294-'ETF price'!G293</f>
        <v>7.0000000000000284E-2</v>
      </c>
      <c r="G292" s="3">
        <f ca="1">'ETF price'!H294-'ETF price'!H293</f>
        <v>0.26000000000000156</v>
      </c>
      <c r="H292" s="3">
        <f ca="1">'ETF price'!I294-'ETF price'!I293</f>
        <v>0.78000000000000114</v>
      </c>
      <c r="I292" s="3">
        <f ca="1">'ETF price'!J294-'ETF price'!J293</f>
        <v>1.2999999999999829</v>
      </c>
      <c r="J292" s="3">
        <f ca="1">'ETF price'!K294-'ETF price'!K293</f>
        <v>0.30000000000001137</v>
      </c>
      <c r="K292" s="3">
        <f ca="1">'ETF price'!L294-'ETF price'!L293</f>
        <v>-0.67999999999999261</v>
      </c>
      <c r="L292" s="3">
        <f ca="1">'ETF price'!M294-'ETF price'!M293</f>
        <v>-0.19000000000001194</v>
      </c>
      <c r="M292" s="3">
        <f ca="1">'ETF price'!N294-'ETF price'!N293</f>
        <v>0.28000000000000114</v>
      </c>
      <c r="N292" s="3">
        <f ca="1">'ETF price'!O294-'ETF price'!O293</f>
        <v>0.83999999999999631</v>
      </c>
      <c r="O292" s="3">
        <f ca="1">'ETF price'!P294-'ETF price'!P293</f>
        <v>0.75</v>
      </c>
      <c r="P292" s="3">
        <f ca="1">'ETF price'!Q294-'ETF price'!Q293</f>
        <v>1.1999999999999886</v>
      </c>
      <c r="Q292" s="3">
        <f ca="1">'ETF price'!R294-'ETF price'!R293</f>
        <v>0.93999999999999773</v>
      </c>
      <c r="R292" s="3">
        <f ca="1">'ETF price'!S294-'ETF price'!S293</f>
        <v>0.25</v>
      </c>
      <c r="S292" s="3">
        <f ca="1">'ETF price'!T294-'ETF price'!T293</f>
        <v>-9.0000000000003411E-2</v>
      </c>
      <c r="T292" s="3">
        <f ca="1">'ETF price'!U294-'ETF price'!U293</f>
        <v>0.23000000000000398</v>
      </c>
      <c r="U292" s="3">
        <f ca="1">'ETF price'!V294-'ETF price'!V293</f>
        <v>-0.29999999999999716</v>
      </c>
      <c r="V292" s="3">
        <f ca="1">'ETF price'!W294-'ETF price'!W293</f>
        <v>-0.17000000000000171</v>
      </c>
      <c r="W292" s="3">
        <f ca="1">'ETF price'!X294-'ETF price'!X293</f>
        <v>-0.50999999999999091</v>
      </c>
      <c r="X292" s="3">
        <f ca="1">'ETF price'!Y294-'ETF price'!Y293</f>
        <v>-0.81000000000000227</v>
      </c>
      <c r="Y292" s="3">
        <f ca="1">'ETF price'!Z294-'ETF price'!Z293</f>
        <v>-0.43999999999999773</v>
      </c>
      <c r="Z292" s="3">
        <f ca="1">'ETF price'!AA294-'ETF price'!AA293</f>
        <v>0.49000000000000199</v>
      </c>
      <c r="AA292" s="3">
        <f ca="1">'ETF price'!AB294-'ETF price'!AB293</f>
        <v>-1.5499999999999972</v>
      </c>
      <c r="AB292" s="3">
        <f ca="1">'ETF price'!AC294-'ETF price'!AC293</f>
        <v>3.9999999999999147E-2</v>
      </c>
      <c r="AC292" s="3">
        <f ca="1">'ETF price'!AD294-'ETF price'!AD293</f>
        <v>1.9999999999999574E-2</v>
      </c>
      <c r="AD292" s="3">
        <f ca="1">'ETF price'!AE294-'ETF price'!AE293</f>
        <v>5.0000000000000711E-2</v>
      </c>
      <c r="AE292" s="3">
        <f ca="1">'ETF price'!AF294-'ETF price'!AF293</f>
        <v>-0.10000000000000009</v>
      </c>
      <c r="AF292" s="3">
        <f ca="1">'ETF price'!AG294-'ETF price'!AG293</f>
        <v>-0.32000000000000028</v>
      </c>
    </row>
    <row r="293" spans="1:32" ht="12.75" x14ac:dyDescent="0.2">
      <c r="A293" s="3">
        <f ca="1">'ETF price'!B295-'ETF price'!B294</f>
        <v>2.9499999999999886</v>
      </c>
      <c r="B293" s="3">
        <f ca="1">'ETF price'!C295-'ETF price'!C294</f>
        <v>7.4200000000000159</v>
      </c>
      <c r="C293" s="3">
        <f ca="1">'ETF price'!D295-'ETF price'!D294</f>
        <v>-1</v>
      </c>
      <c r="D293" s="3">
        <f ca="1">'ETF price'!E295-'ETF price'!E294</f>
        <v>2.1200000000000045</v>
      </c>
      <c r="E293" s="3">
        <f ca="1">'ETF price'!F295-'ETF price'!F294</f>
        <v>0.43999999999999773</v>
      </c>
      <c r="F293" s="3">
        <f ca="1">'ETF price'!G295-'ETF price'!G294</f>
        <v>0.73999999999999844</v>
      </c>
      <c r="G293" s="3">
        <f ca="1">'ETF price'!H295-'ETF price'!H294</f>
        <v>0.36999999999999744</v>
      </c>
      <c r="H293" s="3">
        <f ca="1">'ETF price'!I295-'ETF price'!I294</f>
        <v>1.4299999999999926</v>
      </c>
      <c r="I293" s="3">
        <f ca="1">'ETF price'!J295-'ETF price'!J294</f>
        <v>3.0200000000000102</v>
      </c>
      <c r="J293" s="3">
        <f ca="1">'ETF price'!K295-'ETF price'!K294</f>
        <v>2.1599999999999966</v>
      </c>
      <c r="K293" s="3">
        <f ca="1">'ETF price'!L295-'ETF price'!L294</f>
        <v>1.1700000000000017</v>
      </c>
      <c r="L293" s="3">
        <f ca="1">'ETF price'!M295-'ETF price'!M294</f>
        <v>0.96000000000000796</v>
      </c>
      <c r="M293" s="3">
        <f ca="1">'ETF price'!N295-'ETF price'!N294</f>
        <v>0.76999999999999602</v>
      </c>
      <c r="N293" s="3">
        <f ca="1">'ETF price'!O295-'ETF price'!O294</f>
        <v>1.0400000000000063</v>
      </c>
      <c r="O293" s="3">
        <f ca="1">'ETF price'!P295-'ETF price'!P294</f>
        <v>1.1700000000000017</v>
      </c>
      <c r="P293" s="3">
        <f ca="1">'ETF price'!Q295-'ETF price'!Q294</f>
        <v>1.730000000000004</v>
      </c>
      <c r="Q293" s="3">
        <f ca="1">'ETF price'!R295-'ETF price'!R294</f>
        <v>1.1899999999999977</v>
      </c>
      <c r="R293" s="3">
        <f ca="1">'ETF price'!S295-'ETF price'!S294</f>
        <v>1.4699999999999989</v>
      </c>
      <c r="S293" s="3">
        <f ca="1">'ETF price'!T295-'ETF price'!T294</f>
        <v>0.38000000000000256</v>
      </c>
      <c r="T293" s="3">
        <f ca="1">'ETF price'!U295-'ETF price'!U294</f>
        <v>1.5600000000000023</v>
      </c>
      <c r="U293" s="3">
        <f ca="1">'ETF price'!V295-'ETF price'!V294</f>
        <v>1.9500000000000028</v>
      </c>
      <c r="V293" s="3">
        <f ca="1">'ETF price'!W295-'ETF price'!W294</f>
        <v>0.56000000000000227</v>
      </c>
      <c r="W293" s="3">
        <f ca="1">'ETF price'!X295-'ETF price'!X294</f>
        <v>1.3399999999999892</v>
      </c>
      <c r="X293" s="3">
        <f ca="1">'ETF price'!Y295-'ETF price'!Y294</f>
        <v>0.69999999999999574</v>
      </c>
      <c r="Y293" s="3">
        <f ca="1">'ETF price'!Z295-'ETF price'!Z294</f>
        <v>1.2199999999999989</v>
      </c>
      <c r="Z293" s="3">
        <f ca="1">'ETF price'!AA295-'ETF price'!AA294</f>
        <v>0.64000000000000057</v>
      </c>
      <c r="AA293" s="3">
        <f ca="1">'ETF price'!AB295-'ETF price'!AB294</f>
        <v>0.74000000000000199</v>
      </c>
      <c r="AB293" s="3">
        <f ca="1">'ETF price'!AC295-'ETF price'!AC294</f>
        <v>-1.5300000000000011</v>
      </c>
      <c r="AC293" s="3">
        <f ca="1">'ETF price'!AD295-'ETF price'!AD294</f>
        <v>-0.5</v>
      </c>
      <c r="AD293" s="3">
        <f ca="1">'ETF price'!AE295-'ETF price'!AE294</f>
        <v>-0.79000000000000092</v>
      </c>
      <c r="AE293" s="3">
        <f ca="1">'ETF price'!AF295-'ETF price'!AF294</f>
        <v>-0.10999999999999988</v>
      </c>
      <c r="AF293" s="3">
        <f ca="1">'ETF price'!AG295-'ETF price'!AG294</f>
        <v>0.26999999999999957</v>
      </c>
    </row>
    <row r="294" spans="1:32" ht="12.75" x14ac:dyDescent="0.2">
      <c r="A294" s="3">
        <f ca="1">'ETF price'!B296-'ETF price'!B295</f>
        <v>0.67000000000001592</v>
      </c>
      <c r="B294" s="3">
        <f ca="1">'ETF price'!C296-'ETF price'!C295</f>
        <v>1.3099999999999454</v>
      </c>
      <c r="C294" s="3">
        <f ca="1">'ETF price'!D296-'ETF price'!D295</f>
        <v>0.80999999999998806</v>
      </c>
      <c r="D294" s="3">
        <f ca="1">'ETF price'!E296-'ETF price'!E295</f>
        <v>-1.6200000000000045</v>
      </c>
      <c r="E294" s="3">
        <f ca="1">'ETF price'!F296-'ETF price'!F295</f>
        <v>-0.12999999999999545</v>
      </c>
      <c r="F294" s="3">
        <f ca="1">'ETF price'!G296-'ETF price'!G295</f>
        <v>-0.10999999999999943</v>
      </c>
      <c r="G294" s="3">
        <f ca="1">'ETF price'!H296-'ETF price'!H295</f>
        <v>-0.23000000000000043</v>
      </c>
      <c r="H294" s="3">
        <f ca="1">'ETF price'!I296-'ETF price'!I295</f>
        <v>-5.9999999999973852E-2</v>
      </c>
      <c r="I294" s="3">
        <f ca="1">'ETF price'!J296-'ETF price'!J295</f>
        <v>-0.86000000000001364</v>
      </c>
      <c r="J294" s="3">
        <f ca="1">'ETF price'!K296-'ETF price'!K295</f>
        <v>-1.2199999999999989</v>
      </c>
      <c r="K294" s="3">
        <f ca="1">'ETF price'!L296-'ETF price'!L295</f>
        <v>-1.4200000000000017</v>
      </c>
      <c r="L294" s="3">
        <f ca="1">'ETF price'!M296-'ETF price'!M295</f>
        <v>-1.220000000000006</v>
      </c>
      <c r="M294" s="3">
        <f ca="1">'ETF price'!N296-'ETF price'!N295</f>
        <v>-0.1699999999999946</v>
      </c>
      <c r="N294" s="3">
        <f ca="1">'ETF price'!O296-'ETF price'!O295</f>
        <v>-1.5200000000000031</v>
      </c>
      <c r="O294" s="3">
        <f ca="1">'ETF price'!P296-'ETF price'!P295</f>
        <v>3.9999999999992042E-2</v>
      </c>
      <c r="P294" s="3">
        <f ca="1">'ETF price'!Q296-'ETF price'!Q295</f>
        <v>-0.31999999999999318</v>
      </c>
      <c r="Q294" s="3">
        <f ca="1">'ETF price'!R296-'ETF price'!R295</f>
        <v>-1.3699999999999903</v>
      </c>
      <c r="R294" s="3">
        <f ca="1">'ETF price'!S296-'ETF price'!S295</f>
        <v>-1.8299999999999983</v>
      </c>
      <c r="S294" s="3">
        <f ca="1">'ETF price'!T296-'ETF price'!T295</f>
        <v>-0.12000000000000099</v>
      </c>
      <c r="T294" s="3">
        <f ca="1">'ETF price'!U296-'ETF price'!U295</f>
        <v>0.62999999999999545</v>
      </c>
      <c r="U294" s="3">
        <f ca="1">'ETF price'!V296-'ETF price'!V295</f>
        <v>1.519999999999996</v>
      </c>
      <c r="V294" s="3">
        <f ca="1">'ETF price'!W296-'ETF price'!W295</f>
        <v>3.0000000000001137E-2</v>
      </c>
      <c r="W294" s="3">
        <f ca="1">'ETF price'!X296-'ETF price'!X295</f>
        <v>-0.16999999999998749</v>
      </c>
      <c r="X294" s="3">
        <f ca="1">'ETF price'!Y296-'ETF price'!Y295</f>
        <v>-0.30999999999999517</v>
      </c>
      <c r="Y294" s="3">
        <f ca="1">'ETF price'!Z296-'ETF price'!Z295</f>
        <v>-3.0000000000001137E-2</v>
      </c>
      <c r="Z294" s="3">
        <f ca="1">'ETF price'!AA296-'ETF price'!AA295</f>
        <v>-0.14999999999999858</v>
      </c>
      <c r="AA294" s="3">
        <f ca="1">'ETF price'!AB296-'ETF price'!AB295</f>
        <v>-0.45000000000000284</v>
      </c>
      <c r="AB294" s="3">
        <f ca="1">'ETF price'!AC296-'ETF price'!AC295</f>
        <v>-0.14999999999999858</v>
      </c>
      <c r="AC294" s="3">
        <f ca="1">'ETF price'!AD296-'ETF price'!AD295</f>
        <v>2.9999999999999361E-2</v>
      </c>
      <c r="AD294" s="3">
        <f ca="1">'ETF price'!AE296-'ETF price'!AE295</f>
        <v>5.0000000000000711E-2</v>
      </c>
      <c r="AE294" s="3">
        <f ca="1">'ETF price'!AF296-'ETF price'!AF295</f>
        <v>6.0000000000000053E-2</v>
      </c>
      <c r="AF294" s="3">
        <f ca="1">'ETF price'!AG296-'ETF price'!AG295</f>
        <v>-0.21000000000000085</v>
      </c>
    </row>
    <row r="295" spans="1:32" ht="12.75" x14ac:dyDescent="0.2">
      <c r="A295" s="3">
        <f ca="1">'ETF price'!B297-'ETF price'!B296</f>
        <v>-1.75</v>
      </c>
      <c r="B295" s="3">
        <f ca="1">'ETF price'!C297-'ETF price'!C296</f>
        <v>-4.4599999999999795</v>
      </c>
      <c r="C295" s="3">
        <f ca="1">'ETF price'!D297-'ETF price'!D296</f>
        <v>-1.5799999999999983</v>
      </c>
      <c r="D295" s="3">
        <f ca="1">'ETF price'!E297-'ETF price'!E296</f>
        <v>-1.460000000000008</v>
      </c>
      <c r="E295" s="3">
        <f ca="1">'ETF price'!F297-'ETF price'!F296</f>
        <v>-0.42999999999999972</v>
      </c>
      <c r="F295" s="3">
        <f ca="1">'ETF price'!G297-'ETF price'!G296</f>
        <v>-0.39000000000000057</v>
      </c>
      <c r="G295" s="3">
        <f ca="1">'ETF price'!H297-'ETF price'!H296</f>
        <v>-0.30999999999999872</v>
      </c>
      <c r="H295" s="3">
        <f ca="1">'ETF price'!I297-'ETF price'!I296</f>
        <v>-2.0800000000000125</v>
      </c>
      <c r="I295" s="3">
        <f ca="1">'ETF price'!J297-'ETF price'!J296</f>
        <v>-3.6299999999999955</v>
      </c>
      <c r="J295" s="3">
        <f ca="1">'ETF price'!K297-'ETF price'!K296</f>
        <v>-2.0500000000000114</v>
      </c>
      <c r="K295" s="3">
        <f ca="1">'ETF price'!L297-'ETF price'!L296</f>
        <v>-0.10000000000000853</v>
      </c>
      <c r="L295" s="3">
        <f ca="1">'ETF price'!M297-'ETF price'!M296</f>
        <v>-0.88999999999999346</v>
      </c>
      <c r="M295" s="3">
        <f ca="1">'ETF price'!N297-'ETF price'!N296</f>
        <v>-0.98000000000000398</v>
      </c>
      <c r="N295" s="3">
        <f ca="1">'ETF price'!O297-'ETF price'!O296</f>
        <v>-0.88000000000000256</v>
      </c>
      <c r="O295" s="3">
        <f ca="1">'ETF price'!P297-'ETF price'!P296</f>
        <v>-1.519999999999996</v>
      </c>
      <c r="P295" s="3">
        <f ca="1">'ETF price'!Q297-'ETF price'!Q296</f>
        <v>-2.0600000000000023</v>
      </c>
      <c r="Q295" s="3">
        <f ca="1">'ETF price'!R297-'ETF price'!R296</f>
        <v>-1.6400000000000006</v>
      </c>
      <c r="R295" s="3">
        <f ca="1">'ETF price'!S297-'ETF price'!S296</f>
        <v>-1.6300000000000026</v>
      </c>
      <c r="S295" s="3">
        <f ca="1">'ETF price'!T297-'ETF price'!T296</f>
        <v>-0.5</v>
      </c>
      <c r="T295" s="3">
        <f ca="1">'ETF price'!U297-'ETF price'!U296</f>
        <v>-2.6400000000000006</v>
      </c>
      <c r="U295" s="3">
        <f ca="1">'ETF price'!V297-'ETF price'!V296</f>
        <v>-0.93999999999999773</v>
      </c>
      <c r="V295" s="3">
        <f ca="1">'ETF price'!W297-'ETF price'!W296</f>
        <v>-0.92999999999999972</v>
      </c>
      <c r="W295" s="3">
        <f ca="1">'ETF price'!X297-'ETF price'!X296</f>
        <v>-2.0800000000000125</v>
      </c>
      <c r="X295" s="3">
        <f ca="1">'ETF price'!Y297-'ETF price'!Y296</f>
        <v>-1.4100000000000037</v>
      </c>
      <c r="Y295" s="3">
        <f ca="1">'ETF price'!Z297-'ETF price'!Z296</f>
        <v>-1.9499999999999886</v>
      </c>
      <c r="Z295" s="3">
        <f ca="1">'ETF price'!AA297-'ETF price'!AA296</f>
        <v>-0.96999999999999886</v>
      </c>
      <c r="AA295" s="3">
        <f ca="1">'ETF price'!AB297-'ETF price'!AB296</f>
        <v>-1.9299999999999997</v>
      </c>
      <c r="AB295" s="3">
        <f ca="1">'ETF price'!AC297-'ETF price'!AC296</f>
        <v>-2.3699999999999974</v>
      </c>
      <c r="AC295" s="3">
        <f ca="1">'ETF price'!AD297-'ETF price'!AD296</f>
        <v>-0.11999999999999922</v>
      </c>
      <c r="AD295" s="3">
        <f ca="1">'ETF price'!AE297-'ETF price'!AE296</f>
        <v>-0.1899999999999995</v>
      </c>
      <c r="AE295" s="3">
        <f ca="1">'ETF price'!AF297-'ETF price'!AF296</f>
        <v>0</v>
      </c>
      <c r="AF295" s="3">
        <f ca="1">'ETF price'!AG297-'ETF price'!AG296</f>
        <v>-0.62999999999999901</v>
      </c>
    </row>
    <row r="296" spans="1:32" ht="12.75" x14ac:dyDescent="0.2">
      <c r="A296" s="3">
        <f ca="1">'ETF price'!B298-'ETF price'!B297</f>
        <v>1.1500000000000057</v>
      </c>
      <c r="B296" s="3">
        <f ca="1">'ETF price'!C298-'ETF price'!C297</f>
        <v>2.8299999999999841</v>
      </c>
      <c r="C296" s="3">
        <f ca="1">'ETF price'!D298-'ETF price'!D297</f>
        <v>-1.5699999999999932</v>
      </c>
      <c r="D296" s="3">
        <f ca="1">'ETF price'!E298-'ETF price'!E297</f>
        <v>3.6399999999999864</v>
      </c>
      <c r="E296" s="3">
        <f ca="1">'ETF price'!F298-'ETF price'!F297</f>
        <v>-0.17999999999999972</v>
      </c>
      <c r="F296" s="3">
        <f ca="1">'ETF price'!G298-'ETF price'!G297</f>
        <v>0.28999999999999915</v>
      </c>
      <c r="G296" s="3">
        <f ca="1">'ETF price'!H298-'ETF price'!H297</f>
        <v>3.9999999999999147E-2</v>
      </c>
      <c r="H296" s="3">
        <f ca="1">'ETF price'!I298-'ETF price'!I297</f>
        <v>-0.68000000000000682</v>
      </c>
      <c r="I296" s="3">
        <f ca="1">'ETF price'!J298-'ETF price'!J297</f>
        <v>-1.3700000000000045</v>
      </c>
      <c r="J296" s="3">
        <f ca="1">'ETF price'!K298-'ETF price'!K297</f>
        <v>-0.87000000000000455</v>
      </c>
      <c r="K296" s="3">
        <f ca="1">'ETF price'!L298-'ETF price'!L297</f>
        <v>-0.8399999999999892</v>
      </c>
      <c r="L296" s="3">
        <f ca="1">'ETF price'!M298-'ETF price'!M297</f>
        <v>-0.5800000000000054</v>
      </c>
      <c r="M296" s="3">
        <f ca="1">'ETF price'!N298-'ETF price'!N297</f>
        <v>-0.33999999999999631</v>
      </c>
      <c r="N296" s="3">
        <f ca="1">'ETF price'!O298-'ETF price'!O297</f>
        <v>-0.11999999999999744</v>
      </c>
      <c r="O296" s="3">
        <f ca="1">'ETF price'!P298-'ETF price'!P297</f>
        <v>-0.87999999999999545</v>
      </c>
      <c r="P296" s="3">
        <f ca="1">'ETF price'!Q298-'ETF price'!Q297</f>
        <v>-1.2800000000000011</v>
      </c>
      <c r="Q296" s="3">
        <f ca="1">'ETF price'!R298-'ETF price'!R297</f>
        <v>0.39999999999999147</v>
      </c>
      <c r="R296" s="3">
        <f ca="1">'ETF price'!S298-'ETF price'!S297</f>
        <v>0.14000000000000057</v>
      </c>
      <c r="S296" s="3">
        <f ca="1">'ETF price'!T298-'ETF price'!T297</f>
        <v>-0.12999999999999901</v>
      </c>
      <c r="T296" s="3">
        <f ca="1">'ETF price'!U298-'ETF price'!U297</f>
        <v>-0.75</v>
      </c>
      <c r="U296" s="3">
        <f ca="1">'ETF price'!V298-'ETF price'!V297</f>
        <v>-0.43000000000000682</v>
      </c>
      <c r="V296" s="3">
        <f ca="1">'ETF price'!W298-'ETF price'!W297</f>
        <v>-0.13000000000000256</v>
      </c>
      <c r="W296" s="3">
        <f ca="1">'ETF price'!X298-'ETF price'!X297</f>
        <v>-0.34999999999999432</v>
      </c>
      <c r="X296" s="3">
        <f ca="1">'ETF price'!Y298-'ETF price'!Y297</f>
        <v>-0.17999999999999972</v>
      </c>
      <c r="Y296" s="3">
        <f ca="1">'ETF price'!Z298-'ETF price'!Z297</f>
        <v>-0.25</v>
      </c>
      <c r="Z296" s="3">
        <f ca="1">'ETF price'!AA298-'ETF price'!AA297</f>
        <v>0.52999999999999403</v>
      </c>
      <c r="AA296" s="3">
        <f ca="1">'ETF price'!AB298-'ETF price'!AB297</f>
        <v>-0.29999999999999716</v>
      </c>
      <c r="AB296" s="3">
        <f ca="1">'ETF price'!AC298-'ETF price'!AC297</f>
        <v>-1.4600000000000009</v>
      </c>
      <c r="AC296" s="3">
        <f ca="1">'ETF price'!AD298-'ETF price'!AD297</f>
        <v>1.9999999999999574E-2</v>
      </c>
      <c r="AD296" s="3">
        <f ca="1">'ETF price'!AE298-'ETF price'!AE297</f>
        <v>1.9999999999999574E-2</v>
      </c>
      <c r="AE296" s="3">
        <f ca="1">'ETF price'!AF298-'ETF price'!AF297</f>
        <v>-4.0000000000000036E-2</v>
      </c>
      <c r="AF296" s="3">
        <f ca="1">'ETF price'!AG298-'ETF price'!AG297</f>
        <v>1.9999999999999574E-2</v>
      </c>
    </row>
    <row r="297" spans="1:32" ht="12.75" x14ac:dyDescent="0.2">
      <c r="A297" s="3">
        <f ca="1">'ETF price'!B299-'ETF price'!B298</f>
        <v>-2.0100000000000193</v>
      </c>
      <c r="B297" s="3">
        <f ca="1">'ETF price'!C299-'ETF price'!C298</f>
        <v>-5.67999999999995</v>
      </c>
      <c r="C297" s="3">
        <f ca="1">'ETF price'!D299-'ETF price'!D298</f>
        <v>0.57999999999999829</v>
      </c>
      <c r="D297" s="3">
        <f ca="1">'ETF price'!E299-'ETF price'!E298</f>
        <v>-2.789999999999992</v>
      </c>
      <c r="E297" s="3">
        <f ca="1">'ETF price'!F299-'ETF price'!F298</f>
        <v>-1.0200000000000031</v>
      </c>
      <c r="F297" s="3">
        <f ca="1">'ETF price'!G299-'ETF price'!G298</f>
        <v>-0.39999999999999858</v>
      </c>
      <c r="G297" s="3">
        <f ca="1">'ETF price'!H299-'ETF price'!H298</f>
        <v>-0.53999999999999915</v>
      </c>
      <c r="H297" s="3">
        <f ca="1">'ETF price'!I299-'ETF price'!I298</f>
        <v>-1.2800000000000011</v>
      </c>
      <c r="I297" s="3">
        <f ca="1">'ETF price'!J299-'ETF price'!J298</f>
        <v>-2.7199999999999989</v>
      </c>
      <c r="J297" s="3">
        <f ca="1">'ETF price'!K299-'ETF price'!K298</f>
        <v>-2.4299999999999926</v>
      </c>
      <c r="K297" s="3">
        <f ca="1">'ETF price'!L299-'ETF price'!L298</f>
        <v>-2.5</v>
      </c>
      <c r="L297" s="3">
        <f ca="1">'ETF price'!M299-'ETF price'!M298</f>
        <v>-0.85000000000000142</v>
      </c>
      <c r="M297" s="3">
        <f ca="1">'ETF price'!N299-'ETF price'!N298</f>
        <v>-0.66000000000000369</v>
      </c>
      <c r="N297" s="3">
        <f ca="1">'ETF price'!O299-'ETF price'!O298</f>
        <v>-1.3999999999999986</v>
      </c>
      <c r="O297" s="3">
        <f ca="1">'ETF price'!P299-'ETF price'!P298</f>
        <v>-1.2000000000000028</v>
      </c>
      <c r="P297" s="3">
        <f ca="1">'ETF price'!Q299-'ETF price'!Q298</f>
        <v>-1.9000000000000057</v>
      </c>
      <c r="Q297" s="3">
        <f ca="1">'ETF price'!R299-'ETF price'!R298</f>
        <v>-2.1099999999999994</v>
      </c>
      <c r="R297" s="3">
        <f ca="1">'ETF price'!S299-'ETF price'!S298</f>
        <v>-1.4399999999999977</v>
      </c>
      <c r="S297" s="3">
        <f ca="1">'ETF price'!T299-'ETF price'!T298</f>
        <v>-0.28999999999999915</v>
      </c>
      <c r="T297" s="3">
        <f ca="1">'ETF price'!U299-'ETF price'!U298</f>
        <v>-0.85999999999999943</v>
      </c>
      <c r="U297" s="3">
        <f ca="1">'ETF price'!V299-'ETF price'!V298</f>
        <v>-1.3299999999999983</v>
      </c>
      <c r="V297" s="3">
        <f ca="1">'ETF price'!W299-'ETF price'!W298</f>
        <v>-1.4200000000000017</v>
      </c>
      <c r="W297" s="3">
        <f ca="1">'ETF price'!X299-'ETF price'!X298</f>
        <v>-3.5699999999999932</v>
      </c>
      <c r="X297" s="3">
        <f ca="1">'ETF price'!Y299-'ETF price'!Y298</f>
        <v>-3.3500000000000014</v>
      </c>
      <c r="Y297" s="3">
        <f ca="1">'ETF price'!Z299-'ETF price'!Z298</f>
        <v>-3.2600000000000051</v>
      </c>
      <c r="Z297" s="3">
        <f ca="1">'ETF price'!AA299-'ETF price'!AA298</f>
        <v>-0.86999999999999744</v>
      </c>
      <c r="AA297" s="3">
        <f ca="1">'ETF price'!AB299-'ETF price'!AB298</f>
        <v>-4.68</v>
      </c>
      <c r="AB297" s="3">
        <f ca="1">'ETF price'!AC299-'ETF price'!AC298</f>
        <v>-2.1499999999999986</v>
      </c>
      <c r="AC297" s="3">
        <f ca="1">'ETF price'!AD299-'ETF price'!AD298</f>
        <v>-0.79999999999999982</v>
      </c>
      <c r="AD297" s="3">
        <f ca="1">'ETF price'!AE299-'ETF price'!AE298</f>
        <v>-1.2200000000000006</v>
      </c>
      <c r="AE297" s="3">
        <f ca="1">'ETF price'!AF299-'ETF price'!AF298</f>
        <v>-4.0000000000000036E-2</v>
      </c>
      <c r="AF297" s="3">
        <f ca="1">'ETF price'!AG299-'ETF price'!AG298</f>
        <v>-1.6000000000000014</v>
      </c>
    </row>
    <row r="298" spans="1:32" ht="12.75" x14ac:dyDescent="0.2">
      <c r="A298" s="3">
        <f ca="1">'ETF price'!B300-'ETF price'!B299</f>
        <v>-2.4299999999999784</v>
      </c>
      <c r="B298" s="3">
        <f ca="1">'ETF price'!C300-'ETF price'!C299</f>
        <v>-7.0200000000000387</v>
      </c>
      <c r="C298" s="3">
        <f ca="1">'ETF price'!D300-'ETF price'!D299</f>
        <v>2.1400000000000006</v>
      </c>
      <c r="D298" s="3">
        <f ca="1">'ETF price'!E300-'ETF price'!E299</f>
        <v>-2.6599999999999966</v>
      </c>
      <c r="E298" s="3">
        <f ca="1">'ETF price'!F300-'ETF price'!F299</f>
        <v>-1.0300000000000011</v>
      </c>
      <c r="F298" s="3">
        <f ca="1">'ETF price'!G300-'ETF price'!G299</f>
        <v>-0.51000000000000156</v>
      </c>
      <c r="G298" s="3">
        <f ca="1">'ETF price'!H300-'ETF price'!H299</f>
        <v>-0.64999999999999858</v>
      </c>
      <c r="H298" s="3">
        <f ca="1">'ETF price'!I300-'ETF price'!I299</f>
        <v>-0.91999999999998749</v>
      </c>
      <c r="I298" s="3">
        <f ca="1">'ETF price'!J300-'ETF price'!J299</f>
        <v>-2.3100000000000023</v>
      </c>
      <c r="J298" s="3">
        <f ca="1">'ETF price'!K300-'ETF price'!K299</f>
        <v>-1.980000000000004</v>
      </c>
      <c r="K298" s="3">
        <f ca="1">'ETF price'!L300-'ETF price'!L299</f>
        <v>-3.0700000000000074</v>
      </c>
      <c r="L298" s="3">
        <f ca="1">'ETF price'!M300-'ETF price'!M299</f>
        <v>-1.2299999999999969</v>
      </c>
      <c r="M298" s="3">
        <f ca="1">'ETF price'!N300-'ETF price'!N299</f>
        <v>-0.64999999999999858</v>
      </c>
      <c r="N298" s="3">
        <f ca="1">'ETF price'!O300-'ETF price'!O299</f>
        <v>-1.7600000000000051</v>
      </c>
      <c r="O298" s="3">
        <f ca="1">'ETF price'!P300-'ETF price'!P299</f>
        <v>-1.0700000000000074</v>
      </c>
      <c r="P298" s="3">
        <f ca="1">'ETF price'!Q300-'ETF price'!Q299</f>
        <v>-1.7000000000000028</v>
      </c>
      <c r="Q298" s="3">
        <f ca="1">'ETF price'!R300-'ETF price'!R299</f>
        <v>-1.6999999999999886</v>
      </c>
      <c r="R298" s="3">
        <f ca="1">'ETF price'!S300-'ETF price'!S299</f>
        <v>-1.8200000000000003</v>
      </c>
      <c r="S298" s="3">
        <f ca="1">'ETF price'!T300-'ETF price'!T299</f>
        <v>0.25</v>
      </c>
      <c r="T298" s="3">
        <f ca="1">'ETF price'!U300-'ETF price'!U299</f>
        <v>0.90000000000000568</v>
      </c>
      <c r="U298" s="3">
        <f ca="1">'ETF price'!V300-'ETF price'!V299</f>
        <v>-1.9599999999999937</v>
      </c>
      <c r="V298" s="3">
        <f ca="1">'ETF price'!W300-'ETF price'!W299</f>
        <v>-0.60999999999999943</v>
      </c>
      <c r="W298" s="3">
        <f ca="1">'ETF price'!X300-'ETF price'!X299</f>
        <v>-2.0200000000000102</v>
      </c>
      <c r="X298" s="3">
        <f ca="1">'ETF price'!Y300-'ETF price'!Y299</f>
        <v>-1.779999999999994</v>
      </c>
      <c r="Y298" s="3">
        <f ca="1">'ETF price'!Z300-'ETF price'!Z299</f>
        <v>-1.7399999999999949</v>
      </c>
      <c r="Z298" s="3">
        <f ca="1">'ETF price'!AA300-'ETF price'!AA299</f>
        <v>-1.1899999999999977</v>
      </c>
      <c r="AA298" s="3">
        <f ca="1">'ETF price'!AB300-'ETF price'!AB299</f>
        <v>-2.3300000000000054</v>
      </c>
      <c r="AB298" s="3">
        <f ca="1">'ETF price'!AC300-'ETF price'!AC299</f>
        <v>1.3299999999999983</v>
      </c>
      <c r="AC298" s="3">
        <f ca="1">'ETF price'!AD300-'ETF price'!AD299</f>
        <v>-3.0000000000000249E-2</v>
      </c>
      <c r="AD298" s="3">
        <f ca="1">'ETF price'!AE300-'ETF price'!AE299</f>
        <v>-9.9999999999999645E-2</v>
      </c>
      <c r="AE298" s="3">
        <f ca="1">'ETF price'!AF300-'ETF price'!AF299</f>
        <v>-0.1399999999999999</v>
      </c>
      <c r="AF298" s="3">
        <f ca="1">'ETF price'!AG300-'ETF price'!AG299</f>
        <v>-0.76999999999999957</v>
      </c>
    </row>
    <row r="299" spans="1:32" ht="12.75" x14ac:dyDescent="0.2">
      <c r="A299" s="3">
        <f ca="1">'ETF price'!B301-'ETF price'!B300</f>
        <v>0.73999999999998067</v>
      </c>
      <c r="B299" s="3">
        <f ca="1">'ETF price'!C301-'ETF price'!C300</f>
        <v>1.6200000000000045</v>
      </c>
      <c r="C299" s="3">
        <f ca="1">'ETF price'!D301-'ETF price'!D300</f>
        <v>0.37999999999999545</v>
      </c>
      <c r="D299" s="3">
        <f ca="1">'ETF price'!E301-'ETF price'!E300</f>
        <v>3.9999999999992042E-2</v>
      </c>
      <c r="E299" s="3">
        <f ca="1">'ETF price'!F301-'ETF price'!F300</f>
        <v>-1.9999999999996021E-2</v>
      </c>
      <c r="F299" s="3">
        <f ca="1">'ETF price'!G301-'ETF price'!G300</f>
        <v>1.9999999999999574E-2</v>
      </c>
      <c r="G299" s="3">
        <f ca="1">'ETF price'!H301-'ETF price'!H300</f>
        <v>-3.0000000000001137E-2</v>
      </c>
      <c r="H299" s="3">
        <f ca="1">'ETF price'!I301-'ETF price'!I300</f>
        <v>1.1599999999999966</v>
      </c>
      <c r="I299" s="3">
        <f ca="1">'ETF price'!J301-'ETF price'!J300</f>
        <v>2.2199999999999989</v>
      </c>
      <c r="J299" s="3">
        <f ca="1">'ETF price'!K301-'ETF price'!K300</f>
        <v>3.4000000000000057</v>
      </c>
      <c r="K299" s="3">
        <f ca="1">'ETF price'!L301-'ETF price'!L300</f>
        <v>2.2000000000000028</v>
      </c>
      <c r="L299" s="3">
        <f ca="1">'ETF price'!M301-'ETF price'!M300</f>
        <v>0.59000000000000341</v>
      </c>
      <c r="M299" s="3">
        <f ca="1">'ETF price'!N301-'ETF price'!N300</f>
        <v>0.64000000000000057</v>
      </c>
      <c r="N299" s="3">
        <f ca="1">'ETF price'!O301-'ETF price'!O300</f>
        <v>1.4000000000000057</v>
      </c>
      <c r="O299" s="3">
        <f ca="1">'ETF price'!P301-'ETF price'!P300</f>
        <v>-1.6799999999999926</v>
      </c>
      <c r="P299" s="3">
        <f ca="1">'ETF price'!Q301-'ETF price'!Q300</f>
        <v>-2.5</v>
      </c>
      <c r="Q299" s="3">
        <f ca="1">'ETF price'!R301-'ETF price'!R300</f>
        <v>-0.80000000000001137</v>
      </c>
      <c r="R299" s="3">
        <f ca="1">'ETF price'!S301-'ETF price'!S300</f>
        <v>-0.42000000000000171</v>
      </c>
      <c r="S299" s="3">
        <f ca="1">'ETF price'!T301-'ETF price'!T300</f>
        <v>-0.15000000000000213</v>
      </c>
      <c r="T299" s="3">
        <f ca="1">'ETF price'!U301-'ETF price'!U300</f>
        <v>-1.8900000000000006</v>
      </c>
      <c r="U299" s="3">
        <f ca="1">'ETF price'!V301-'ETF price'!V300</f>
        <v>6.9999999999993179E-2</v>
      </c>
      <c r="V299" s="3">
        <f ca="1">'ETF price'!W301-'ETF price'!W300</f>
        <v>-1.3000000000000007</v>
      </c>
      <c r="W299" s="3">
        <f ca="1">'ETF price'!X301-'ETF price'!X300</f>
        <v>-3.3699999999999903</v>
      </c>
      <c r="X299" s="3">
        <f ca="1">'ETF price'!Y301-'ETF price'!Y300</f>
        <v>-4.07</v>
      </c>
      <c r="Y299" s="3">
        <f ca="1">'ETF price'!Z301-'ETF price'!Z300</f>
        <v>-2.7400000000000091</v>
      </c>
      <c r="Z299" s="3">
        <f ca="1">'ETF price'!AA301-'ETF price'!AA300</f>
        <v>0.57999999999999829</v>
      </c>
      <c r="AA299" s="3">
        <f ca="1">'ETF price'!AB301-'ETF price'!AB300</f>
        <v>-6.2399999999999949</v>
      </c>
      <c r="AB299" s="3">
        <f ca="1">'ETF price'!AC301-'ETF price'!AC300</f>
        <v>-1.0899999999999963</v>
      </c>
      <c r="AC299" s="3">
        <f ca="1">'ETF price'!AD301-'ETF price'!AD300</f>
        <v>1.75</v>
      </c>
      <c r="AD299" s="3">
        <f ca="1">'ETF price'!AE301-'ETF price'!AE300</f>
        <v>2.7300000000000004</v>
      </c>
      <c r="AE299" s="3">
        <f ca="1">'ETF price'!AF301-'ETF price'!AF300</f>
        <v>0.10999999999999988</v>
      </c>
      <c r="AF299" s="3">
        <f ca="1">'ETF price'!AG301-'ETF price'!AG300</f>
        <v>1.740000000000002</v>
      </c>
    </row>
    <row r="300" spans="1:32" ht="12.75" x14ac:dyDescent="0.2">
      <c r="A300" s="3">
        <f ca="1">'ETF price'!B302-'ETF price'!B301</f>
        <v>3.1500000000000057</v>
      </c>
      <c r="B300" s="3">
        <f ca="1">'ETF price'!C302-'ETF price'!C301</f>
        <v>7.8899999999999864</v>
      </c>
      <c r="C300" s="3">
        <f ca="1">'ETF price'!D302-'ETF price'!D301</f>
        <v>2.7700000000000102</v>
      </c>
      <c r="D300" s="3">
        <f ca="1">'ETF price'!E302-'ETF price'!E301</f>
        <v>3.9399999999999977</v>
      </c>
      <c r="E300" s="3">
        <f ca="1">'ETF price'!F302-'ETF price'!F301</f>
        <v>0.69999999999999574</v>
      </c>
      <c r="F300" s="3">
        <f ca="1">'ETF price'!G302-'ETF price'!G301</f>
        <v>0.40000000000000213</v>
      </c>
      <c r="G300" s="3">
        <f ca="1">'ETF price'!H302-'ETF price'!H301</f>
        <v>0.28999999999999915</v>
      </c>
      <c r="H300" s="3">
        <f ca="1">'ETF price'!I302-'ETF price'!I301</f>
        <v>1.1200000000000045</v>
      </c>
      <c r="I300" s="3">
        <f ca="1">'ETF price'!J302-'ETF price'!J301</f>
        <v>2.6000000000000227</v>
      </c>
      <c r="J300" s="3">
        <f ca="1">'ETF price'!K302-'ETF price'!K301</f>
        <v>1.5799999999999983</v>
      </c>
      <c r="K300" s="3">
        <f ca="1">'ETF price'!L302-'ETF price'!L301</f>
        <v>1.1700000000000017</v>
      </c>
      <c r="L300" s="3">
        <f ca="1">'ETF price'!M302-'ETF price'!M301</f>
        <v>1.1899999999999977</v>
      </c>
      <c r="M300" s="3">
        <f ca="1">'ETF price'!N302-'ETF price'!N301</f>
        <v>0.61999999999999744</v>
      </c>
      <c r="N300" s="3">
        <f ca="1">'ETF price'!O302-'ETF price'!O301</f>
        <v>0.55999999999999517</v>
      </c>
      <c r="O300" s="3">
        <f ca="1">'ETF price'!P302-'ETF price'!P301</f>
        <v>0.79999999999999716</v>
      </c>
      <c r="P300" s="3">
        <f ca="1">'ETF price'!Q302-'ETF price'!Q301</f>
        <v>0.92000000000000171</v>
      </c>
      <c r="Q300" s="3">
        <f ca="1">'ETF price'!R302-'ETF price'!R301</f>
        <v>0.99000000000000909</v>
      </c>
      <c r="R300" s="3">
        <f ca="1">'ETF price'!S302-'ETF price'!S301</f>
        <v>0.41000000000000369</v>
      </c>
      <c r="S300" s="3">
        <f ca="1">'ETF price'!T302-'ETF price'!T301</f>
        <v>-0.30000000000000071</v>
      </c>
      <c r="T300" s="3">
        <f ca="1">'ETF price'!U302-'ETF price'!U301</f>
        <v>-2.3200000000000003</v>
      </c>
      <c r="U300" s="3">
        <f ca="1">'ETF price'!V302-'ETF price'!V301</f>
        <v>0.49000000000000909</v>
      </c>
      <c r="V300" s="3">
        <f ca="1">'ETF price'!W302-'ETF price'!W301</f>
        <v>0.64000000000000412</v>
      </c>
      <c r="W300" s="3">
        <f ca="1">'ETF price'!X302-'ETF price'!X301</f>
        <v>1.7999999999999972</v>
      </c>
      <c r="X300" s="3">
        <f ca="1">'ETF price'!Y302-'ETF price'!Y301</f>
        <v>0.71000000000000085</v>
      </c>
      <c r="Y300" s="3">
        <f ca="1">'ETF price'!Z302-'ETF price'!Z301</f>
        <v>1.4699999999999989</v>
      </c>
      <c r="Z300" s="3">
        <f ca="1">'ETF price'!AA302-'ETF price'!AA301</f>
        <v>0.38000000000000256</v>
      </c>
      <c r="AA300" s="3">
        <f ca="1">'ETF price'!AB302-'ETF price'!AB301</f>
        <v>0.92999999999999972</v>
      </c>
      <c r="AB300" s="3">
        <f ca="1">'ETF price'!AC302-'ETF price'!AC301</f>
        <v>0.63999999999999346</v>
      </c>
      <c r="AC300" s="3">
        <f ca="1">'ETF price'!AD302-'ETF price'!AD301</f>
        <v>0.3100000000000005</v>
      </c>
      <c r="AD300" s="3">
        <f ca="1">'ETF price'!AE302-'ETF price'!AE301</f>
        <v>0.49000000000000021</v>
      </c>
      <c r="AE300" s="3">
        <f ca="1">'ETF price'!AF302-'ETF price'!AF301</f>
        <v>3.0000000000000027E-2</v>
      </c>
      <c r="AF300" s="3">
        <f ca="1">'ETF price'!AG302-'ETF price'!AG301</f>
        <v>1.0999999999999979</v>
      </c>
    </row>
    <row r="301" spans="1:32" ht="12.75" x14ac:dyDescent="0.2">
      <c r="A301" s="3">
        <f ca="1">'ETF price'!B303-'ETF price'!B302</f>
        <v>8.0000000000012506E-2</v>
      </c>
      <c r="B301" s="3">
        <f ca="1">'ETF price'!C303-'ETF price'!C302</f>
        <v>-0.12999999999999545</v>
      </c>
      <c r="C301" s="3">
        <f ca="1">'ETF price'!D303-'ETF price'!D302</f>
        <v>-0.18000000000000682</v>
      </c>
      <c r="D301" s="3">
        <f ca="1">'ETF price'!E303-'ETF price'!E302</f>
        <v>-1.6199999999999761</v>
      </c>
      <c r="E301" s="3">
        <f ca="1">'ETF price'!F303-'ETF price'!F302</f>
        <v>-0.25999999999999801</v>
      </c>
      <c r="F301" s="3">
        <f ca="1">'ETF price'!G303-'ETF price'!G302</f>
        <v>-0.55000000000000071</v>
      </c>
      <c r="G301" s="3">
        <f ca="1">'ETF price'!H303-'ETF price'!H302</f>
        <v>-0.30999999999999872</v>
      </c>
      <c r="H301" s="3">
        <f ca="1">'ETF price'!I303-'ETF price'!I302</f>
        <v>-0.11000000000001364</v>
      </c>
      <c r="I301" s="3">
        <f ca="1">'ETF price'!J303-'ETF price'!J302</f>
        <v>-0.59000000000000341</v>
      </c>
      <c r="J301" s="3">
        <f ca="1">'ETF price'!K303-'ETF price'!K302</f>
        <v>-0.89000000000000057</v>
      </c>
      <c r="K301" s="3">
        <f ca="1">'ETF price'!L303-'ETF price'!L302</f>
        <v>-0.98000000000000398</v>
      </c>
      <c r="L301" s="3">
        <f ca="1">'ETF price'!M303-'ETF price'!M302</f>
        <v>-0.67000000000000171</v>
      </c>
      <c r="M301" s="3">
        <f ca="1">'ETF price'!N303-'ETF price'!N302</f>
        <v>-0.10999999999999943</v>
      </c>
      <c r="N301" s="3">
        <f ca="1">'ETF price'!O303-'ETF price'!O302</f>
        <v>-3.9999999999999147E-2</v>
      </c>
      <c r="O301" s="3">
        <f ca="1">'ETF price'!P303-'ETF price'!P302</f>
        <v>-4.3900000000000006</v>
      </c>
      <c r="P301" s="3">
        <f ca="1">'ETF price'!Q303-'ETF price'!Q302</f>
        <v>-6.039999999999992</v>
      </c>
      <c r="Q301" s="3">
        <f ca="1">'ETF price'!R303-'ETF price'!R302</f>
        <v>-2.5400000000000063</v>
      </c>
      <c r="R301" s="3">
        <f ca="1">'ETF price'!S303-'ETF price'!S302</f>
        <v>-3.1200000000000045</v>
      </c>
      <c r="S301" s="3">
        <f ca="1">'ETF price'!T303-'ETF price'!T302</f>
        <v>-0.53999999999999915</v>
      </c>
      <c r="T301" s="3">
        <f ca="1">'ETF price'!U303-'ETF price'!U302</f>
        <v>-2.9099999999999966</v>
      </c>
      <c r="U301" s="3">
        <f ca="1">'ETF price'!V303-'ETF price'!V302</f>
        <v>-2.3900000000000006</v>
      </c>
      <c r="V301" s="3">
        <f ca="1">'ETF price'!W303-'ETF price'!W302</f>
        <v>-0.86000000000000298</v>
      </c>
      <c r="W301" s="3">
        <f ca="1">'ETF price'!X303-'ETF price'!X302</f>
        <v>-2.0200000000000102</v>
      </c>
      <c r="X301" s="3">
        <f ca="1">'ETF price'!Y303-'ETF price'!Y302</f>
        <v>-0.76000000000000512</v>
      </c>
      <c r="Y301" s="3">
        <f ca="1">'ETF price'!Z303-'ETF price'!Z302</f>
        <v>-1.8900000000000006</v>
      </c>
      <c r="Z301" s="3">
        <f ca="1">'ETF price'!AA303-'ETF price'!AA302</f>
        <v>1.9999999999996021E-2</v>
      </c>
      <c r="AA301" s="3">
        <f ca="1">'ETF price'!AB303-'ETF price'!AB302</f>
        <v>-0.74000000000000199</v>
      </c>
      <c r="AB301" s="3">
        <f ca="1">'ETF price'!AC303-'ETF price'!AC302</f>
        <v>-1.269999999999996</v>
      </c>
      <c r="AC301" s="3">
        <f ca="1">'ETF price'!AD303-'ETF price'!AD302</f>
        <v>-0.3100000000000005</v>
      </c>
      <c r="AD301" s="3">
        <f ca="1">'ETF price'!AE303-'ETF price'!AE302</f>
        <v>-0.41999999999999993</v>
      </c>
      <c r="AE301" s="3">
        <f ca="1">'ETF price'!AF303-'ETF price'!AF302</f>
        <v>6.0000000000000053E-2</v>
      </c>
      <c r="AF301" s="3">
        <f ca="1">'ETF price'!AG303-'ETF price'!AG302</f>
        <v>-0.46999999999999886</v>
      </c>
    </row>
    <row r="302" spans="1:32" ht="12.75" x14ac:dyDescent="0.2">
      <c r="A302" s="3">
        <f ca="1">'ETF price'!B304-'ETF price'!B303</f>
        <v>3.9199999999999875</v>
      </c>
      <c r="B302" s="3">
        <f ca="1">'ETF price'!C304-'ETF price'!C303</f>
        <v>9.7599999999999909</v>
      </c>
      <c r="C302" s="3">
        <f ca="1">'ETF price'!D304-'ETF price'!D303</f>
        <v>0.12999999999999545</v>
      </c>
      <c r="D302" s="3">
        <f ca="1">'ETF price'!E304-'ETF price'!E303</f>
        <v>5.3699999999999761</v>
      </c>
      <c r="E302" s="3">
        <f ca="1">'ETF price'!F304-'ETF price'!F303</f>
        <v>0.61999999999999744</v>
      </c>
      <c r="F302" s="3">
        <f ca="1">'ETF price'!G304-'ETF price'!G303</f>
        <v>0.82999999999999829</v>
      </c>
      <c r="G302" s="3">
        <f ca="1">'ETF price'!H304-'ETF price'!H303</f>
        <v>0.39000000000000057</v>
      </c>
      <c r="H302" s="3">
        <f ca="1">'ETF price'!I304-'ETF price'!I303</f>
        <v>1.1800000000000068</v>
      </c>
      <c r="I302" s="3">
        <f ca="1">'ETF price'!J304-'ETF price'!J303</f>
        <v>2.5</v>
      </c>
      <c r="J302" s="3">
        <f ca="1">'ETF price'!K304-'ETF price'!K303</f>
        <v>0.67999999999999261</v>
      </c>
      <c r="K302" s="3">
        <f ca="1">'ETF price'!L304-'ETF price'!L303</f>
        <v>0.18000000000000682</v>
      </c>
      <c r="L302" s="3">
        <f ca="1">'ETF price'!M304-'ETF price'!M303</f>
        <v>0.93999999999999773</v>
      </c>
      <c r="M302" s="3">
        <f ca="1">'ETF price'!N304-'ETF price'!N303</f>
        <v>0.55000000000000426</v>
      </c>
      <c r="N302" s="3">
        <f ca="1">'ETF price'!O304-'ETF price'!O303</f>
        <v>0.5</v>
      </c>
      <c r="O302" s="3">
        <f ca="1">'ETF price'!P304-'ETF price'!P303</f>
        <v>0.84000000000000341</v>
      </c>
      <c r="P302" s="3">
        <f ca="1">'ETF price'!Q304-'ETF price'!Q303</f>
        <v>1.1199999999999903</v>
      </c>
      <c r="Q302" s="3">
        <f ca="1">'ETF price'!R304-'ETF price'!R303</f>
        <v>0.87000000000000455</v>
      </c>
      <c r="R302" s="3">
        <f ca="1">'ETF price'!S304-'ETF price'!S303</f>
        <v>0.51000000000000512</v>
      </c>
      <c r="S302" s="3">
        <f ca="1">'ETF price'!T304-'ETF price'!T303</f>
        <v>7.0000000000000284E-2</v>
      </c>
      <c r="T302" s="3">
        <f ca="1">'ETF price'!U304-'ETF price'!U303</f>
        <v>2.9999999999994031E-2</v>
      </c>
      <c r="U302" s="3">
        <f ca="1">'ETF price'!V304-'ETF price'!V303</f>
        <v>-0.98000000000000398</v>
      </c>
      <c r="V302" s="3">
        <f ca="1">'ETF price'!W304-'ETF price'!W303</f>
        <v>0.59999999999999787</v>
      </c>
      <c r="W302" s="3">
        <f ca="1">'ETF price'!X304-'ETF price'!X303</f>
        <v>1.5200000000000102</v>
      </c>
      <c r="X302" s="3">
        <f ca="1">'ETF price'!Y304-'ETF price'!Y303</f>
        <v>1.1300000000000026</v>
      </c>
      <c r="Y302" s="3">
        <f ca="1">'ETF price'!Z304-'ETF price'!Z303</f>
        <v>1.3800000000000097</v>
      </c>
      <c r="Z302" s="3">
        <f ca="1">'ETF price'!AA304-'ETF price'!AA303</f>
        <v>0</v>
      </c>
      <c r="AA302" s="3">
        <f ca="1">'ETF price'!AB304-'ETF price'!AB303</f>
        <v>1.5700000000000003</v>
      </c>
      <c r="AB302" s="3">
        <f ca="1">'ETF price'!AC304-'ETF price'!AC303</f>
        <v>0.28999999999999915</v>
      </c>
      <c r="AC302" s="3">
        <f ca="1">'ETF price'!AD304-'ETF price'!AD303</f>
        <v>0.25999999999999979</v>
      </c>
      <c r="AD302" s="3">
        <f ca="1">'ETF price'!AE304-'ETF price'!AE303</f>
        <v>0.35999999999999943</v>
      </c>
      <c r="AE302" s="3">
        <f ca="1">'ETF price'!AF304-'ETF price'!AF303</f>
        <v>9.9999999999997868E-3</v>
      </c>
      <c r="AF302" s="3">
        <f ca="1">'ETF price'!AG304-'ETF price'!AG303</f>
        <v>0.91000000000000014</v>
      </c>
    </row>
    <row r="303" spans="1:32" ht="12.75" x14ac:dyDescent="0.2">
      <c r="A303" s="3">
        <f ca="1">'ETF price'!B305-'ETF price'!B304</f>
        <v>-0.19999999999998863</v>
      </c>
      <c r="B303" s="3">
        <f ca="1">'ETF price'!C305-'ETF price'!C304</f>
        <v>-1</v>
      </c>
      <c r="C303" s="3">
        <f ca="1">'ETF price'!D305-'ETF price'!D304</f>
        <v>1.1300000000000097</v>
      </c>
      <c r="D303" s="3">
        <f ca="1">'ETF price'!E305-'ETF price'!E304</f>
        <v>-0.88999999999998636</v>
      </c>
      <c r="E303" s="3">
        <f ca="1">'ETF price'!F305-'ETF price'!F304</f>
        <v>-0.35999999999999943</v>
      </c>
      <c r="F303" s="3">
        <f ca="1">'ETF price'!G305-'ETF price'!G304</f>
        <v>-0.22999999999999687</v>
      </c>
      <c r="G303" s="3">
        <f ca="1">'ETF price'!H305-'ETF price'!H304</f>
        <v>-0.37000000000000099</v>
      </c>
      <c r="H303" s="3">
        <f ca="1">'ETF price'!I305-'ETF price'!I304</f>
        <v>-1.6400000000000006</v>
      </c>
      <c r="I303" s="3">
        <f ca="1">'ETF price'!J305-'ETF price'!J304</f>
        <v>-3.4300000000000068</v>
      </c>
      <c r="J303" s="3">
        <f ca="1">'ETF price'!K305-'ETF price'!K304</f>
        <v>-2.2399999999999949</v>
      </c>
      <c r="K303" s="3">
        <f ca="1">'ETF price'!L305-'ETF price'!L304</f>
        <v>-1.730000000000004</v>
      </c>
      <c r="L303" s="3">
        <f ca="1">'ETF price'!M305-'ETF price'!M304</f>
        <v>-1.5899999999999963</v>
      </c>
      <c r="M303" s="3">
        <f ca="1">'ETF price'!N305-'ETF price'!N304</f>
        <v>-1.0200000000000031</v>
      </c>
      <c r="N303" s="3">
        <f ca="1">'ETF price'!O305-'ETF price'!O304</f>
        <v>-1.7800000000000011</v>
      </c>
      <c r="O303" s="3">
        <f ca="1">'ETF price'!P305-'ETF price'!P304</f>
        <v>-1.230000000000004</v>
      </c>
      <c r="P303" s="3">
        <f ca="1">'ETF price'!Q305-'ETF price'!Q304</f>
        <v>-1.8799999999999955</v>
      </c>
      <c r="Q303" s="3">
        <f ca="1">'ETF price'!R305-'ETF price'!R304</f>
        <v>-1.1899999999999977</v>
      </c>
      <c r="R303" s="3">
        <f ca="1">'ETF price'!S305-'ETF price'!S304</f>
        <v>-0.39000000000000057</v>
      </c>
      <c r="S303" s="3">
        <f ca="1">'ETF price'!T305-'ETF price'!T304</f>
        <v>-7.0000000000000284E-2</v>
      </c>
      <c r="T303" s="3">
        <f ca="1">'ETF price'!U305-'ETF price'!U304</f>
        <v>-1.3900000000000006</v>
      </c>
      <c r="U303" s="3">
        <f ca="1">'ETF price'!V305-'ETF price'!V304</f>
        <v>-2.8400000000000034</v>
      </c>
      <c r="V303" s="3">
        <f ca="1">'ETF price'!W305-'ETF price'!W304</f>
        <v>-1.0299999999999976</v>
      </c>
      <c r="W303" s="3">
        <f ca="1">'ETF price'!X305-'ETF price'!X304</f>
        <v>-2.6000000000000085</v>
      </c>
      <c r="X303" s="3">
        <f ca="1">'ETF price'!Y305-'ETF price'!Y304</f>
        <v>-2.1099999999999994</v>
      </c>
      <c r="Y303" s="3">
        <f ca="1">'ETF price'!Z305-'ETF price'!Z304</f>
        <v>-2.3500000000000085</v>
      </c>
      <c r="Z303" s="3">
        <f ca="1">'ETF price'!AA305-'ETF price'!AA304</f>
        <v>-0.85000000000000142</v>
      </c>
      <c r="AA303" s="3">
        <f ca="1">'ETF price'!AB305-'ETF price'!AB304</f>
        <v>-2.7700000000000031</v>
      </c>
      <c r="AB303" s="3">
        <f ca="1">'ETF price'!AC305-'ETF price'!AC304</f>
        <v>1.5900000000000034</v>
      </c>
      <c r="AC303" s="3">
        <f ca="1">'ETF price'!AD305-'ETF price'!AD304</f>
        <v>0.72000000000000064</v>
      </c>
      <c r="AD303" s="3">
        <f ca="1">'ETF price'!AE305-'ETF price'!AE304</f>
        <v>1.2399999999999984</v>
      </c>
      <c r="AE303" s="3">
        <f ca="1">'ETF price'!AF305-'ETF price'!AF304</f>
        <v>0.10000000000000009</v>
      </c>
      <c r="AF303" s="3">
        <f ca="1">'ETF price'!AG305-'ETF price'!AG304</f>
        <v>1.4100000000000001</v>
      </c>
    </row>
    <row r="304" spans="1:32" ht="12.75" x14ac:dyDescent="0.2">
      <c r="A304" s="3">
        <f ca="1">'ETF price'!B306-'ETF price'!B305</f>
        <v>6.9999999999993179E-2</v>
      </c>
      <c r="B304" s="3">
        <f ca="1">'ETF price'!C306-'ETF price'!C305</f>
        <v>1.1200000000000045</v>
      </c>
      <c r="C304" s="3">
        <f ca="1">'ETF price'!D306-'ETF price'!D305</f>
        <v>-1.0300000000000011</v>
      </c>
      <c r="D304" s="3">
        <f ca="1">'ETF price'!E306-'ETF price'!E305</f>
        <v>1.5</v>
      </c>
      <c r="E304" s="3">
        <f ca="1">'ETF price'!F306-'ETF price'!F305</f>
        <v>0.47000000000000597</v>
      </c>
      <c r="F304" s="3">
        <f ca="1">'ETF price'!G306-'ETF price'!G305</f>
        <v>0.28999999999999915</v>
      </c>
      <c r="G304" s="3">
        <f ca="1">'ETF price'!H306-'ETF price'!H305</f>
        <v>0.23000000000000043</v>
      </c>
      <c r="H304" s="3">
        <f ca="1">'ETF price'!I306-'ETF price'!I305</f>
        <v>1.0999999999999943</v>
      </c>
      <c r="I304" s="3">
        <f ca="1">'ETF price'!J306-'ETF price'!J305</f>
        <v>2.8300000000000125</v>
      </c>
      <c r="J304" s="3">
        <f ca="1">'ETF price'!K306-'ETF price'!K305</f>
        <v>1.3499999999999943</v>
      </c>
      <c r="K304" s="3">
        <f ca="1">'ETF price'!L306-'ETF price'!L305</f>
        <v>0.28000000000000114</v>
      </c>
      <c r="L304" s="3">
        <f ca="1">'ETF price'!M306-'ETF price'!M305</f>
        <v>1.2299999999999969</v>
      </c>
      <c r="M304" s="3">
        <f ca="1">'ETF price'!N306-'ETF price'!N305</f>
        <v>0.67000000000000171</v>
      </c>
      <c r="N304" s="3">
        <f ca="1">'ETF price'!O306-'ETF price'!O305</f>
        <v>0.14000000000000057</v>
      </c>
      <c r="O304" s="3">
        <f ca="1">'ETF price'!P306-'ETF price'!P305</f>
        <v>0.73000000000000398</v>
      </c>
      <c r="P304" s="3">
        <f ca="1">'ETF price'!Q306-'ETF price'!Q305</f>
        <v>2.2999999999999972</v>
      </c>
      <c r="Q304" s="3">
        <f ca="1">'ETF price'!R306-'ETF price'!R305</f>
        <v>1.2199999999999989</v>
      </c>
      <c r="R304" s="3">
        <f ca="1">'ETF price'!S306-'ETF price'!S305</f>
        <v>0.58999999999999631</v>
      </c>
      <c r="S304" s="3">
        <f ca="1">'ETF price'!T306-'ETF price'!T305</f>
        <v>8.9999999999999858E-2</v>
      </c>
      <c r="T304" s="3">
        <f ca="1">'ETF price'!U306-'ETF price'!U305</f>
        <v>1.1300000000000026</v>
      </c>
      <c r="U304" s="3">
        <f ca="1">'ETF price'!V306-'ETF price'!V305</f>
        <v>1.1000000000000085</v>
      </c>
      <c r="V304" s="3">
        <f ca="1">'ETF price'!W306-'ETF price'!W305</f>
        <v>0.19000000000000128</v>
      </c>
      <c r="W304" s="3">
        <f ca="1">'ETF price'!X306-'ETF price'!X305</f>
        <v>0.96000000000000796</v>
      </c>
      <c r="X304" s="3">
        <f ca="1">'ETF price'!Y306-'ETF price'!Y305</f>
        <v>0.29999999999999716</v>
      </c>
      <c r="Y304" s="3">
        <f ca="1">'ETF price'!Z306-'ETF price'!Z305</f>
        <v>0.93999999999999773</v>
      </c>
      <c r="Z304" s="3">
        <f ca="1">'ETF price'!AA306-'ETF price'!AA305</f>
        <v>0.13000000000000256</v>
      </c>
      <c r="AA304" s="3">
        <f ca="1">'ETF price'!AB306-'ETF price'!AB305</f>
        <v>0.12000000000000455</v>
      </c>
      <c r="AB304" s="3">
        <f ca="1">'ETF price'!AC306-'ETF price'!AC305</f>
        <v>-1.3300000000000054</v>
      </c>
      <c r="AC304" s="3">
        <f ca="1">'ETF price'!AD306-'ETF price'!AD305</f>
        <v>0.39000000000000057</v>
      </c>
      <c r="AD304" s="3">
        <f ca="1">'ETF price'!AE306-'ETF price'!AE305</f>
        <v>0.52000000000000313</v>
      </c>
      <c r="AE304" s="3">
        <f ca="1">'ETF price'!AF306-'ETF price'!AF305</f>
        <v>0.18999999999999995</v>
      </c>
      <c r="AF304" s="3">
        <f ca="1">'ETF price'!AG306-'ETF price'!AG305</f>
        <v>-0.10000000000000142</v>
      </c>
    </row>
    <row r="305" spans="1:32" ht="12.75" x14ac:dyDescent="0.2">
      <c r="A305" s="3">
        <f ca="1">'ETF price'!B307-'ETF price'!B306</f>
        <v>1.1599999999999966</v>
      </c>
      <c r="B305" s="3">
        <f ca="1">'ETF price'!C307-'ETF price'!C306</f>
        <v>4.1400000000000432</v>
      </c>
      <c r="C305" s="3">
        <f ca="1">'ETF price'!D307-'ETF price'!D306</f>
        <v>1.3400000000000034</v>
      </c>
      <c r="D305" s="3">
        <f ca="1">'ETF price'!E307-'ETF price'!E306</f>
        <v>0.28999999999999204</v>
      </c>
      <c r="E305" s="3">
        <f ca="1">'ETF price'!F307-'ETF price'!F306</f>
        <v>0.83999999999999631</v>
      </c>
      <c r="F305" s="3">
        <f ca="1">'ETF price'!G307-'ETF price'!G306</f>
        <v>0.46000000000000085</v>
      </c>
      <c r="G305" s="3">
        <f ca="1">'ETF price'!H307-'ETF price'!H306</f>
        <v>0.39000000000000057</v>
      </c>
      <c r="H305" s="3">
        <f ca="1">'ETF price'!I307-'ETF price'!I306</f>
        <v>0.77000000000001023</v>
      </c>
      <c r="I305" s="3">
        <f ca="1">'ETF price'!J307-'ETF price'!J306</f>
        <v>1.6499999999999773</v>
      </c>
      <c r="J305" s="3">
        <f ca="1">'ETF price'!K307-'ETF price'!K306</f>
        <v>0.15000000000000568</v>
      </c>
      <c r="K305" s="3">
        <f ca="1">'ETF price'!L307-'ETF price'!L306</f>
        <v>-0.76000000000000512</v>
      </c>
      <c r="L305" s="3">
        <f ca="1">'ETF price'!M307-'ETF price'!M306</f>
        <v>-5.9999999999995168E-2</v>
      </c>
      <c r="M305" s="3">
        <f ca="1">'ETF price'!N307-'ETF price'!N306</f>
        <v>0.46000000000000085</v>
      </c>
      <c r="N305" s="3">
        <f ca="1">'ETF price'!O307-'ETF price'!O306</f>
        <v>0.82000000000000028</v>
      </c>
      <c r="O305" s="3">
        <f ca="1">'ETF price'!P307-'ETF price'!P306</f>
        <v>2.6899999999999977</v>
      </c>
      <c r="P305" s="3">
        <f ca="1">'ETF price'!Q307-'ETF price'!Q306</f>
        <v>3.710000000000008</v>
      </c>
      <c r="Q305" s="3">
        <f ca="1">'ETF price'!R307-'ETF price'!R306</f>
        <v>0.92999999999999261</v>
      </c>
      <c r="R305" s="3">
        <f ca="1">'ETF price'!S307-'ETF price'!S306</f>
        <v>0.74000000000000199</v>
      </c>
      <c r="S305" s="3">
        <f ca="1">'ETF price'!T307-'ETF price'!T306</f>
        <v>8.0000000000001847E-2</v>
      </c>
      <c r="T305" s="3">
        <f ca="1">'ETF price'!U307-'ETF price'!U306</f>
        <v>1.4399999999999977</v>
      </c>
      <c r="U305" s="3">
        <f ca="1">'ETF price'!V307-'ETF price'!V306</f>
        <v>3.5699999999999932</v>
      </c>
      <c r="V305" s="3">
        <f ca="1">'ETF price'!W307-'ETF price'!W306</f>
        <v>0.78999999999999915</v>
      </c>
      <c r="W305" s="3">
        <f ca="1">'ETF price'!X307-'ETF price'!X306</f>
        <v>2.3100000000000023</v>
      </c>
      <c r="X305" s="3">
        <f ca="1">'ETF price'!Y307-'ETF price'!Y306</f>
        <v>1.8999999999999986</v>
      </c>
      <c r="Y305" s="3">
        <f ca="1">'ETF price'!Z307-'ETF price'!Z306</f>
        <v>1.980000000000004</v>
      </c>
      <c r="Z305" s="3">
        <f ca="1">'ETF price'!AA307-'ETF price'!AA306</f>
        <v>-0.21000000000000085</v>
      </c>
      <c r="AA305" s="3">
        <f ca="1">'ETF price'!AB307-'ETF price'!AB306</f>
        <v>2.509999999999998</v>
      </c>
      <c r="AB305" s="3">
        <f ca="1">'ETF price'!AC307-'ETF price'!AC306</f>
        <v>-0.61999999999999744</v>
      </c>
      <c r="AC305" s="3">
        <f ca="1">'ETF price'!AD307-'ETF price'!AD306</f>
        <v>0.14999999999999858</v>
      </c>
      <c r="AD305" s="3">
        <f ca="1">'ETF price'!AE307-'ETF price'!AE306</f>
        <v>0.23999999999999844</v>
      </c>
      <c r="AE305" s="3">
        <f ca="1">'ETF price'!AF307-'ETF price'!AF306</f>
        <v>-8.9999999999999858E-2</v>
      </c>
      <c r="AF305" s="3">
        <f ca="1">'ETF price'!AG307-'ETF price'!AG306</f>
        <v>1.3800000000000026</v>
      </c>
    </row>
    <row r="306" spans="1:32" ht="12.75" x14ac:dyDescent="0.2">
      <c r="A306" s="3">
        <f ca="1">'ETF price'!B308-'ETF price'!B307</f>
        <v>-1.4399999999999977</v>
      </c>
      <c r="B306" s="3">
        <f ca="1">'ETF price'!C308-'ETF price'!C307</f>
        <v>-4.5100000000000477</v>
      </c>
      <c r="C306" s="3">
        <f ca="1">'ETF price'!D308-'ETF price'!D307</f>
        <v>0.11999999999999034</v>
      </c>
      <c r="D306" s="3">
        <f ca="1">'ETF price'!E308-'ETF price'!E307</f>
        <v>-1.4300000000000068</v>
      </c>
      <c r="E306" s="3">
        <f ca="1">'ETF price'!F308-'ETF price'!F307</f>
        <v>-0.99000000000000199</v>
      </c>
      <c r="F306" s="3">
        <f ca="1">'ETF price'!G308-'ETF price'!G307</f>
        <v>-0.28000000000000114</v>
      </c>
      <c r="G306" s="3">
        <f ca="1">'ETF price'!H308-'ETF price'!H307</f>
        <v>-0.5400000000000027</v>
      </c>
      <c r="H306" s="3">
        <f ca="1">'ETF price'!I308-'ETF price'!I307</f>
        <v>-1.9300000000000068</v>
      </c>
      <c r="I306" s="3">
        <f ca="1">'ETF price'!J308-'ETF price'!J307</f>
        <v>-3.8100000000000023</v>
      </c>
      <c r="J306" s="3">
        <f ca="1">'ETF price'!K308-'ETF price'!K307</f>
        <v>-2.7000000000000028</v>
      </c>
      <c r="K306" s="3">
        <f ca="1">'ETF price'!L308-'ETF price'!L307</f>
        <v>-2.8900000000000006</v>
      </c>
      <c r="L306" s="3">
        <f ca="1">'ETF price'!M308-'ETF price'!M307</f>
        <v>-1.9400000000000048</v>
      </c>
      <c r="M306" s="3">
        <f ca="1">'ETF price'!N308-'ETF price'!N307</f>
        <v>-1</v>
      </c>
      <c r="N306" s="3">
        <f ca="1">'ETF price'!O308-'ETF price'!O307</f>
        <v>-1.4399999999999977</v>
      </c>
      <c r="O306" s="3">
        <f ca="1">'ETF price'!P308-'ETF price'!P307</f>
        <v>-1.7099999999999937</v>
      </c>
      <c r="P306" s="3">
        <f ca="1">'ETF price'!Q308-'ETF price'!Q307</f>
        <v>-2.4399999999999977</v>
      </c>
      <c r="Q306" s="3">
        <f ca="1">'ETF price'!R308-'ETF price'!R307</f>
        <v>-1.3799999999999955</v>
      </c>
      <c r="R306" s="3">
        <f ca="1">'ETF price'!S308-'ETF price'!S307</f>
        <v>-1.1000000000000014</v>
      </c>
      <c r="S306" s="3">
        <f ca="1">'ETF price'!T308-'ETF price'!T307</f>
        <v>5.9999999999998721E-2</v>
      </c>
      <c r="T306" s="3">
        <f ca="1">'ETF price'!U308-'ETF price'!U307</f>
        <v>0.38000000000000256</v>
      </c>
      <c r="U306" s="3">
        <f ca="1">'ETF price'!V308-'ETF price'!V307</f>
        <v>-1.5900000000000034</v>
      </c>
      <c r="V306" s="3">
        <f ca="1">'ETF price'!W308-'ETF price'!W307</f>
        <v>-0.74000000000000199</v>
      </c>
      <c r="W306" s="3">
        <f ca="1">'ETF price'!X308-'ETF price'!X307</f>
        <v>-2.2600000000000051</v>
      </c>
      <c r="X306" s="3">
        <f ca="1">'ETF price'!Y308-'ETF price'!Y307</f>
        <v>-1.9599999999999937</v>
      </c>
      <c r="Y306" s="3">
        <f ca="1">'ETF price'!Z308-'ETF price'!Z307</f>
        <v>-1.9000000000000057</v>
      </c>
      <c r="Z306" s="3">
        <f ca="1">'ETF price'!AA308-'ETF price'!AA307</f>
        <v>-1.3200000000000003</v>
      </c>
      <c r="AA306" s="3">
        <f ca="1">'ETF price'!AB308-'ETF price'!AB307</f>
        <v>-2.6199999999999974</v>
      </c>
      <c r="AB306" s="3">
        <f ca="1">'ETF price'!AC308-'ETF price'!AC307</f>
        <v>-0.16000000000000369</v>
      </c>
      <c r="AC306" s="3">
        <f ca="1">'ETF price'!AD308-'ETF price'!AD307</f>
        <v>-0.60999999999999943</v>
      </c>
      <c r="AD306" s="3">
        <f ca="1">'ETF price'!AE308-'ETF price'!AE307</f>
        <v>-0.98999999999999844</v>
      </c>
      <c r="AE306" s="3">
        <f ca="1">'ETF price'!AF308-'ETF price'!AF307</f>
        <v>0.16000000000000014</v>
      </c>
      <c r="AF306" s="3">
        <f ca="1">'ETF price'!AG308-'ETF price'!AG307</f>
        <v>-1.5</v>
      </c>
    </row>
    <row r="307" spans="1:32" ht="12.75" x14ac:dyDescent="0.2">
      <c r="A307" s="3">
        <f ca="1">'ETF price'!B309-'ETF price'!B308</f>
        <v>2.3300000000000125</v>
      </c>
      <c r="B307" s="3">
        <f ca="1">'ETF price'!C309-'ETF price'!C308</f>
        <v>5.1800000000000068</v>
      </c>
      <c r="C307" s="3">
        <f ca="1">'ETF price'!D309-'ETF price'!D308</f>
        <v>-1.4099999999999966</v>
      </c>
      <c r="D307" s="3">
        <f ca="1">'ETF price'!E309-'ETF price'!E308</f>
        <v>3.5100000000000193</v>
      </c>
      <c r="E307" s="3">
        <f ca="1">'ETF price'!F309-'ETF price'!F308</f>
        <v>0.62000000000000455</v>
      </c>
      <c r="F307" s="3">
        <f ca="1">'ETF price'!G309-'ETF price'!G308</f>
        <v>0.21999999999999886</v>
      </c>
      <c r="G307" s="3">
        <f ca="1">'ETF price'!H309-'ETF price'!H308</f>
        <v>0.17000000000000171</v>
      </c>
      <c r="H307" s="3">
        <f ca="1">'ETF price'!I309-'ETF price'!I308</f>
        <v>-0.23999999999999488</v>
      </c>
      <c r="I307" s="3">
        <f ca="1">'ETF price'!J309-'ETF price'!J308</f>
        <v>-0.38999999999998636</v>
      </c>
      <c r="J307" s="3">
        <f ca="1">'ETF price'!K309-'ETF price'!K308</f>
        <v>1.0499999999999972</v>
      </c>
      <c r="K307" s="3">
        <f ca="1">'ETF price'!L309-'ETF price'!L308</f>
        <v>0.59000000000000341</v>
      </c>
      <c r="L307" s="3">
        <f ca="1">'ETF price'!M309-'ETF price'!M308</f>
        <v>0.5</v>
      </c>
      <c r="M307" s="3">
        <f ca="1">'ETF price'!N309-'ETF price'!N308</f>
        <v>-0.10000000000000142</v>
      </c>
      <c r="N307" s="3">
        <f ca="1">'ETF price'!O309-'ETF price'!O308</f>
        <v>0</v>
      </c>
      <c r="O307" s="3">
        <f ca="1">'ETF price'!P309-'ETF price'!P308</f>
        <v>-1.0900000000000034</v>
      </c>
      <c r="P307" s="3">
        <f ca="1">'ETF price'!Q309-'ETF price'!Q308</f>
        <v>-1.5500000000000114</v>
      </c>
      <c r="Q307" s="3">
        <f ca="1">'ETF price'!R309-'ETF price'!R308</f>
        <v>-9.0000000000003411E-2</v>
      </c>
      <c r="R307" s="3">
        <f ca="1">'ETF price'!S309-'ETF price'!S308</f>
        <v>0.17000000000000171</v>
      </c>
      <c r="S307" s="3">
        <f ca="1">'ETF price'!T309-'ETF price'!T308</f>
        <v>-5.9999999999998721E-2</v>
      </c>
      <c r="T307" s="3">
        <f ca="1">'ETF price'!U309-'ETF price'!U308</f>
        <v>-0.61999999999999744</v>
      </c>
      <c r="U307" s="3">
        <f ca="1">'ETF price'!V309-'ETF price'!V308</f>
        <v>1.0900000000000034</v>
      </c>
      <c r="V307" s="3">
        <f ca="1">'ETF price'!W309-'ETF price'!W308</f>
        <v>-0.2099999999999973</v>
      </c>
      <c r="W307" s="3">
        <f ca="1">'ETF price'!X309-'ETF price'!X308</f>
        <v>-0.79000000000000625</v>
      </c>
      <c r="X307" s="3">
        <f ca="1">'ETF price'!Y309-'ETF price'!Y308</f>
        <v>-0.90000000000000568</v>
      </c>
      <c r="Y307" s="3">
        <f ca="1">'ETF price'!Z309-'ETF price'!Z308</f>
        <v>-1.0899999999999892</v>
      </c>
      <c r="Z307" s="3">
        <f ca="1">'ETF price'!AA309-'ETF price'!AA308</f>
        <v>-0.21000000000000085</v>
      </c>
      <c r="AA307" s="3">
        <f ca="1">'ETF price'!AB309-'ETF price'!AB308</f>
        <v>-1.2100000000000009</v>
      </c>
      <c r="AB307" s="3">
        <f ca="1">'ETF price'!AC309-'ETF price'!AC308</f>
        <v>0.77000000000000313</v>
      </c>
      <c r="AC307" s="3">
        <f ca="1">'ETF price'!AD309-'ETF price'!AD308</f>
        <v>0.72000000000000064</v>
      </c>
      <c r="AD307" s="3">
        <f ca="1">'ETF price'!AE309-'ETF price'!AE308</f>
        <v>1.1599999999999966</v>
      </c>
      <c r="AE307" s="3">
        <f ca="1">'ETF price'!AF309-'ETF price'!AF308</f>
        <v>-0.18000000000000016</v>
      </c>
      <c r="AF307" s="3">
        <f ca="1">'ETF price'!AG309-'ETF price'!AG308</f>
        <v>2.9999999999997584E-2</v>
      </c>
    </row>
    <row r="308" spans="1:32" ht="12.75" x14ac:dyDescent="0.2">
      <c r="A308" s="3">
        <f ca="1">'ETF price'!B310-'ETF price'!B309</f>
        <v>0.37999999999999545</v>
      </c>
      <c r="B308" s="3">
        <f ca="1">'ETF price'!C310-'ETF price'!C309</f>
        <v>-9.9999999999965894E-2</v>
      </c>
      <c r="C308" s="3">
        <f ca="1">'ETF price'!D310-'ETF price'!D309</f>
        <v>1.7099999999999937</v>
      </c>
      <c r="D308" s="3">
        <f ca="1">'ETF price'!E310-'ETF price'!E309</f>
        <v>-2.5300000000000011</v>
      </c>
      <c r="E308" s="3">
        <f ca="1">'ETF price'!F310-'ETF price'!F309</f>
        <v>-9.0000000000003411E-2</v>
      </c>
      <c r="F308" s="3">
        <f ca="1">'ETF price'!G310-'ETF price'!G309</f>
        <v>-8.9999999999999858E-2</v>
      </c>
      <c r="G308" s="3">
        <f ca="1">'ETF price'!H310-'ETF price'!H309</f>
        <v>-3.0000000000001137E-2</v>
      </c>
      <c r="H308" s="3">
        <f ca="1">'ETF price'!I310-'ETF price'!I309</f>
        <v>1.7399999999999949</v>
      </c>
      <c r="I308" s="3">
        <f ca="1">'ETF price'!J310-'ETF price'!J309</f>
        <v>2.0699999999999932</v>
      </c>
      <c r="J308" s="3">
        <f ca="1">'ETF price'!K310-'ETF price'!K309</f>
        <v>1.5200000000000102</v>
      </c>
      <c r="K308" s="3">
        <f ca="1">'ETF price'!L310-'ETF price'!L309</f>
        <v>0.46999999999999886</v>
      </c>
      <c r="L308" s="3">
        <f ca="1">'ETF price'!M310-'ETF price'!M309</f>
        <v>0.38000000000000256</v>
      </c>
      <c r="M308" s="3">
        <f ca="1">'ETF price'!N310-'ETF price'!N309</f>
        <v>0.77000000000000313</v>
      </c>
      <c r="N308" s="3">
        <f ca="1">'ETF price'!O310-'ETF price'!O309</f>
        <v>0.39999999999999858</v>
      </c>
      <c r="O308" s="3">
        <f ca="1">'ETF price'!P310-'ETF price'!P309</f>
        <v>0.29999999999999716</v>
      </c>
      <c r="P308" s="3">
        <f ca="1">'ETF price'!Q310-'ETF price'!Q309</f>
        <v>-0.68999999999999773</v>
      </c>
      <c r="Q308" s="3">
        <f ca="1">'ETF price'!R310-'ETF price'!R309</f>
        <v>0.62000000000000455</v>
      </c>
      <c r="R308" s="3">
        <f ca="1">'ETF price'!S310-'ETF price'!S309</f>
        <v>0.38000000000000256</v>
      </c>
      <c r="S308" s="3">
        <f ca="1">'ETF price'!T310-'ETF price'!T309</f>
        <v>0.10999999999999943</v>
      </c>
      <c r="T308" s="3">
        <f ca="1">'ETF price'!U310-'ETF price'!U309</f>
        <v>-3.0000000000001137E-2</v>
      </c>
      <c r="U308" s="3">
        <f ca="1">'ETF price'!V310-'ETF price'!V309</f>
        <v>-0.59999999999999432</v>
      </c>
      <c r="V308" s="3">
        <f ca="1">'ETF price'!W310-'ETF price'!W309</f>
        <v>-2.0000000000003126E-2</v>
      </c>
      <c r="W308" s="3">
        <f ca="1">'ETF price'!X310-'ETF price'!X309</f>
        <v>-0.25999999999999091</v>
      </c>
      <c r="X308" s="3">
        <f ca="1">'ETF price'!Y310-'ETF price'!Y309</f>
        <v>0.78999999999999915</v>
      </c>
      <c r="Y308" s="3">
        <f ca="1">'ETF price'!Z310-'ETF price'!Z309</f>
        <v>0.14999999999999147</v>
      </c>
      <c r="Z308" s="3">
        <f ca="1">'ETF price'!AA310-'ETF price'!AA309</f>
        <v>0.89000000000000057</v>
      </c>
      <c r="AA308" s="3">
        <f ca="1">'ETF price'!AB310-'ETF price'!AB309</f>
        <v>1.2800000000000011</v>
      </c>
      <c r="AB308" s="3">
        <f ca="1">'ETF price'!AC310-'ETF price'!AC309</f>
        <v>0.78999999999999915</v>
      </c>
      <c r="AC308" s="3">
        <f ca="1">'ETF price'!AD310-'ETF price'!AD309</f>
        <v>-0.27000000000000135</v>
      </c>
      <c r="AD308" s="3">
        <f ca="1">'ETF price'!AE310-'ETF price'!AE309</f>
        <v>-0.41999999999999815</v>
      </c>
      <c r="AE308" s="3">
        <f ca="1">'ETF price'!AF310-'ETF price'!AF309</f>
        <v>8.0000000000000071E-2</v>
      </c>
      <c r="AF308" s="3">
        <f ca="1">'ETF price'!AG310-'ETF price'!AG309</f>
        <v>-0.83999999999999986</v>
      </c>
    </row>
    <row r="309" spans="1:32" ht="12.75" x14ac:dyDescent="0.2">
      <c r="A309" s="3">
        <f ca="1">'ETF price'!B311-'ETF price'!B310</f>
        <v>-1.1299999999999955</v>
      </c>
      <c r="B309" s="3">
        <f ca="1">'ETF price'!C311-'ETF price'!C310</f>
        <v>-2.3300000000000409</v>
      </c>
      <c r="C309" s="3">
        <f ca="1">'ETF price'!D311-'ETF price'!D310</f>
        <v>0.90000000000000568</v>
      </c>
      <c r="D309" s="3">
        <f ca="1">'ETF price'!E311-'ETF price'!E310</f>
        <v>-1.6800000000000068</v>
      </c>
      <c r="E309" s="3">
        <f ca="1">'ETF price'!F311-'ETF price'!F310</f>
        <v>0.28999999999999915</v>
      </c>
      <c r="F309" s="3">
        <f ca="1">'ETF price'!G311-'ETF price'!G310</f>
        <v>0.12000000000000099</v>
      </c>
      <c r="G309" s="3">
        <f ca="1">'ETF price'!H311-'ETF price'!H310</f>
        <v>0.13000000000000256</v>
      </c>
      <c r="H309" s="3">
        <f ca="1">'ETF price'!I311-'ETF price'!I310</f>
        <v>0.51999999999999602</v>
      </c>
      <c r="I309" s="3">
        <f ca="1">'ETF price'!J311-'ETF price'!J310</f>
        <v>1.210000000000008</v>
      </c>
      <c r="J309" s="3">
        <f ca="1">'ETF price'!K311-'ETF price'!K310</f>
        <v>0.15999999999999659</v>
      </c>
      <c r="K309" s="3">
        <f ca="1">'ETF price'!L311-'ETF price'!L310</f>
        <v>0.76000000000000512</v>
      </c>
      <c r="L309" s="3">
        <f ca="1">'ETF price'!M311-'ETF price'!M310</f>
        <v>0.59000000000000341</v>
      </c>
      <c r="M309" s="3">
        <f ca="1">'ETF price'!N311-'ETF price'!N310</f>
        <v>0.25999999999999801</v>
      </c>
      <c r="N309" s="3">
        <f ca="1">'ETF price'!O311-'ETF price'!O310</f>
        <v>7.9999999999998295E-2</v>
      </c>
      <c r="O309" s="3">
        <f ca="1">'ETF price'!P311-'ETF price'!P310</f>
        <v>1.6599999999999966</v>
      </c>
      <c r="P309" s="3">
        <f ca="1">'ETF price'!Q311-'ETF price'!Q310</f>
        <v>2.4200000000000017</v>
      </c>
      <c r="Q309" s="3">
        <f ca="1">'ETF price'!R311-'ETF price'!R310</f>
        <v>0.56999999999999318</v>
      </c>
      <c r="R309" s="3">
        <f ca="1">'ETF price'!S311-'ETF price'!S310</f>
        <v>0.70999999999999375</v>
      </c>
      <c r="S309" s="3">
        <f ca="1">'ETF price'!T311-'ETF price'!T310</f>
        <v>0.42999999999999972</v>
      </c>
      <c r="T309" s="3">
        <f ca="1">'ETF price'!U311-'ETF price'!U310</f>
        <v>3.1900000000000048</v>
      </c>
      <c r="U309" s="3">
        <f ca="1">'ETF price'!V311-'ETF price'!V310</f>
        <v>-6.0000000000002274E-2</v>
      </c>
      <c r="V309" s="3">
        <f ca="1">'ETF price'!W311-'ETF price'!W310</f>
        <v>0.43000000000000327</v>
      </c>
      <c r="W309" s="3">
        <f ca="1">'ETF price'!X311-'ETF price'!X310</f>
        <v>1.1799999999999926</v>
      </c>
      <c r="X309" s="3">
        <f ca="1">'ETF price'!Y311-'ETF price'!Y310</f>
        <v>0.79000000000000625</v>
      </c>
      <c r="Y309" s="3">
        <f ca="1">'ETF price'!Z311-'ETF price'!Z310</f>
        <v>1.1300000000000097</v>
      </c>
      <c r="Z309" s="3">
        <f ca="1">'ETF price'!AA311-'ETF price'!AA310</f>
        <v>-0.11999999999999744</v>
      </c>
      <c r="AA309" s="3">
        <f ca="1">'ETF price'!AB311-'ETF price'!AB310</f>
        <v>0.37999999999999545</v>
      </c>
      <c r="AB309" s="3">
        <f ca="1">'ETF price'!AC311-'ETF price'!AC310</f>
        <v>-0.24000000000000199</v>
      </c>
      <c r="AC309" s="3">
        <f ca="1">'ETF price'!AD311-'ETF price'!AD310</f>
        <v>-0.34999999999999964</v>
      </c>
      <c r="AD309" s="3">
        <f ca="1">'ETF price'!AE311-'ETF price'!AE310</f>
        <v>-0.55999999999999872</v>
      </c>
      <c r="AE309" s="3">
        <f ca="1">'ETF price'!AF311-'ETF price'!AF310</f>
        <v>-6.0000000000000053E-2</v>
      </c>
      <c r="AF309" s="3">
        <f ca="1">'ETF price'!AG311-'ETF price'!AG310</f>
        <v>-0.68999999999999773</v>
      </c>
    </row>
    <row r="310" spans="1:32" ht="12.75" x14ac:dyDescent="0.2">
      <c r="A310" s="3">
        <f ca="1">'ETF price'!B312-'ETF price'!B311</f>
        <v>-0.68000000000000682</v>
      </c>
      <c r="B310" s="3">
        <f ca="1">'ETF price'!C312-'ETF price'!C311</f>
        <v>-1.589999999999975</v>
      </c>
      <c r="C310" s="3">
        <f ca="1">'ETF price'!D312-'ETF price'!D311</f>
        <v>1.5600000000000023</v>
      </c>
      <c r="D310" s="3">
        <f ca="1">'ETF price'!E312-'ETF price'!E311</f>
        <v>-1.0600000000000023</v>
      </c>
      <c r="E310" s="3">
        <f ca="1">'ETF price'!F312-'ETF price'!F311</f>
        <v>-0.12999999999999545</v>
      </c>
      <c r="F310" s="3">
        <f ca="1">'ETF price'!G312-'ETF price'!G311</f>
        <v>-0.12000000000000099</v>
      </c>
      <c r="G310" s="3">
        <f ca="1">'ETF price'!H312-'ETF price'!H311</f>
        <v>-2.0000000000003126E-2</v>
      </c>
      <c r="H310" s="3">
        <f ca="1">'ETF price'!I312-'ETF price'!I311</f>
        <v>-0.76999999999999602</v>
      </c>
      <c r="I310" s="3">
        <f ca="1">'ETF price'!J312-'ETF price'!J311</f>
        <v>-1.3700000000000045</v>
      </c>
      <c r="J310" s="3">
        <f ca="1">'ETF price'!K312-'ETF price'!K311</f>
        <v>3.0000000000001137E-2</v>
      </c>
      <c r="K310" s="3">
        <f ca="1">'ETF price'!L312-'ETF price'!L311</f>
        <v>-0.5</v>
      </c>
      <c r="L310" s="3">
        <f ca="1">'ETF price'!M312-'ETF price'!M311</f>
        <v>-0.20000000000000284</v>
      </c>
      <c r="M310" s="3">
        <f ca="1">'ETF price'!N312-'ETF price'!N311</f>
        <v>-0.32999999999999829</v>
      </c>
      <c r="N310" s="3">
        <f ca="1">'ETF price'!O312-'ETF price'!O311</f>
        <v>-0.87999999999999545</v>
      </c>
      <c r="O310" s="3">
        <f ca="1">'ETF price'!P312-'ETF price'!P311</f>
        <v>1.230000000000004</v>
      </c>
      <c r="P310" s="3">
        <f ca="1">'ETF price'!Q312-'ETF price'!Q311</f>
        <v>1.6800000000000068</v>
      </c>
      <c r="Q310" s="3">
        <f ca="1">'ETF price'!R312-'ETF price'!R311</f>
        <v>0.37000000000000455</v>
      </c>
      <c r="R310" s="3">
        <f ca="1">'ETF price'!S312-'ETF price'!S311</f>
        <v>0.57000000000000028</v>
      </c>
      <c r="S310" s="3">
        <f ca="1">'ETF price'!T312-'ETF price'!T311</f>
        <v>0.10999999999999943</v>
      </c>
      <c r="T310" s="3">
        <f ca="1">'ETF price'!U312-'ETF price'!U311</f>
        <v>0.39999999999999147</v>
      </c>
      <c r="U310" s="3">
        <f ca="1">'ETF price'!V312-'ETF price'!V311</f>
        <v>-0.35999999999999943</v>
      </c>
      <c r="V310" s="3">
        <f ca="1">'ETF price'!W312-'ETF price'!W311</f>
        <v>-1.0000000000001563E-2</v>
      </c>
      <c r="W310" s="3">
        <f ca="1">'ETF price'!X312-'ETF price'!X311</f>
        <v>4.0000000000006253E-2</v>
      </c>
      <c r="X310" s="3">
        <f ca="1">'ETF price'!Y312-'ETF price'!Y311</f>
        <v>-2.0000000000003126E-2</v>
      </c>
      <c r="Y310" s="3">
        <f ca="1">'ETF price'!Z312-'ETF price'!Z311</f>
        <v>5.9999999999988063E-2</v>
      </c>
      <c r="Z310" s="3">
        <f ca="1">'ETF price'!AA312-'ETF price'!AA311</f>
        <v>-0.11999999999999744</v>
      </c>
      <c r="AA310" s="3">
        <f ca="1">'ETF price'!AB312-'ETF price'!AB311</f>
        <v>-3.9999999999999147E-2</v>
      </c>
      <c r="AB310" s="3">
        <f ca="1">'ETF price'!AC312-'ETF price'!AC311</f>
        <v>0.59000000000000341</v>
      </c>
      <c r="AC310" s="3">
        <f ca="1">'ETF price'!AD312-'ETF price'!AD311</f>
        <v>0.1899999999999995</v>
      </c>
      <c r="AD310" s="3">
        <f ca="1">'ETF price'!AE312-'ETF price'!AE311</f>
        <v>0.27999999999999758</v>
      </c>
      <c r="AE310" s="3">
        <f ca="1">'ETF price'!AF312-'ETF price'!AF311</f>
        <v>-0.10000000000000009</v>
      </c>
      <c r="AF310" s="3">
        <f ca="1">'ETF price'!AG312-'ETF price'!AG311</f>
        <v>-6.0000000000002274E-2</v>
      </c>
    </row>
    <row r="311" spans="1:32" ht="12.75" x14ac:dyDescent="0.2">
      <c r="A311" s="3">
        <f ca="1">'ETF price'!B313-'ETF price'!B312</f>
        <v>3.0199999999999818</v>
      </c>
      <c r="B311" s="3">
        <f ca="1">'ETF price'!C313-'ETF price'!C312</f>
        <v>7.5199999999999818</v>
      </c>
      <c r="C311" s="3">
        <f ca="1">'ETF price'!D313-'ETF price'!D312</f>
        <v>-4.0000000000006253E-2</v>
      </c>
      <c r="D311" s="3">
        <f ca="1">'ETF price'!E313-'ETF price'!E312</f>
        <v>4.5099999999999909</v>
      </c>
      <c r="E311" s="3">
        <f ca="1">'ETF price'!F313-'ETF price'!F312</f>
        <v>0.36999999999999744</v>
      </c>
      <c r="F311" s="3">
        <f ca="1">'ETF price'!G313-'ETF price'!G312</f>
        <v>0.46999999999999886</v>
      </c>
      <c r="G311" s="3">
        <f ca="1">'ETF price'!H313-'ETF price'!H312</f>
        <v>0.37000000000000099</v>
      </c>
      <c r="H311" s="3">
        <f ca="1">'ETF price'!I313-'ETF price'!I312</f>
        <v>0.35000000000000853</v>
      </c>
      <c r="I311" s="3">
        <f ca="1">'ETF price'!J313-'ETF price'!J312</f>
        <v>0.96000000000000796</v>
      </c>
      <c r="J311" s="3">
        <f ca="1">'ETF price'!K313-'ETF price'!K312</f>
        <v>1.769999999999996</v>
      </c>
      <c r="K311" s="3">
        <f ca="1">'ETF price'!L313-'ETF price'!L312</f>
        <v>1.8699999999999903</v>
      </c>
      <c r="L311" s="3">
        <f ca="1">'ETF price'!M313-'ETF price'!M312</f>
        <v>0.82000000000000028</v>
      </c>
      <c r="M311" s="3">
        <f ca="1">'ETF price'!N313-'ETF price'!N312</f>
        <v>0.23999999999999488</v>
      </c>
      <c r="N311" s="3">
        <f ca="1">'ETF price'!O313-'ETF price'!O312</f>
        <v>1.0899999999999963</v>
      </c>
      <c r="O311" s="3">
        <f ca="1">'ETF price'!P313-'ETF price'!P312</f>
        <v>1.1200000000000045</v>
      </c>
      <c r="P311" s="3">
        <f ca="1">'ETF price'!Q313-'ETF price'!Q312</f>
        <v>1.6099999999999994</v>
      </c>
      <c r="Q311" s="3">
        <f ca="1">'ETF price'!R313-'ETF price'!R312</f>
        <v>1.0799999999999983</v>
      </c>
      <c r="R311" s="3">
        <f ca="1">'ETF price'!S313-'ETF price'!S312</f>
        <v>0.5</v>
      </c>
      <c r="S311" s="3">
        <f ca="1">'ETF price'!T313-'ETF price'!T312</f>
        <v>-0.14999999999999858</v>
      </c>
      <c r="T311" s="3">
        <f ca="1">'ETF price'!U313-'ETF price'!U312</f>
        <v>-0.39999999999999147</v>
      </c>
      <c r="U311" s="3">
        <f ca="1">'ETF price'!V313-'ETF price'!V312</f>
        <v>1.6400000000000006</v>
      </c>
      <c r="V311" s="3">
        <f ca="1">'ETF price'!W313-'ETF price'!W312</f>
        <v>0.46000000000000085</v>
      </c>
      <c r="W311" s="3">
        <f ca="1">'ETF price'!X313-'ETF price'!X312</f>
        <v>1.1200000000000045</v>
      </c>
      <c r="X311" s="3">
        <f ca="1">'ETF price'!Y313-'ETF price'!Y312</f>
        <v>0.53999999999999915</v>
      </c>
      <c r="Y311" s="3">
        <f ca="1">'ETF price'!Z313-'ETF price'!Z312</f>
        <v>1.0300000000000011</v>
      </c>
      <c r="Z311" s="3">
        <f ca="1">'ETF price'!AA313-'ETF price'!AA312</f>
        <v>0.83999999999999631</v>
      </c>
      <c r="AA311" s="3">
        <f ca="1">'ETF price'!AB313-'ETF price'!AB312</f>
        <v>0.46999999999999886</v>
      </c>
      <c r="AB311" s="3">
        <f ca="1">'ETF price'!AC313-'ETF price'!AC312</f>
        <v>-3.0000000000001137E-2</v>
      </c>
      <c r="AC311" s="3">
        <f ca="1">'ETF price'!AD313-'ETF price'!AD312</f>
        <v>0.39000000000000057</v>
      </c>
      <c r="AD311" s="3">
        <f ca="1">'ETF price'!AE313-'ETF price'!AE312</f>
        <v>0.60999999999999943</v>
      </c>
      <c r="AE311" s="3">
        <f ca="1">'ETF price'!AF313-'ETF price'!AF312</f>
        <v>2.0000000000000018E-2</v>
      </c>
      <c r="AF311" s="3">
        <f ca="1">'ETF price'!AG313-'ETF price'!AG312</f>
        <v>1.5</v>
      </c>
    </row>
    <row r="312" spans="1:32" ht="12.75" x14ac:dyDescent="0.2">
      <c r="A312" s="3">
        <f ca="1">'ETF price'!B314-'ETF price'!B313</f>
        <v>1.710000000000008</v>
      </c>
      <c r="B312" s="3">
        <f ca="1">'ETF price'!C314-'ETF price'!C313</f>
        <v>3.7900000000000205</v>
      </c>
      <c r="C312" s="3">
        <f ca="1">'ETF price'!D314-'ETF price'!D313</f>
        <v>-0.42999999999999261</v>
      </c>
      <c r="D312" s="3">
        <f ca="1">'ETF price'!E314-'ETF price'!E313</f>
        <v>2.3900000000000148</v>
      </c>
      <c r="E312" s="3">
        <f ca="1">'ETF price'!F314-'ETF price'!F313</f>
        <v>0.24000000000000199</v>
      </c>
      <c r="F312" s="3">
        <f ca="1">'ETF price'!G314-'ETF price'!G313</f>
        <v>0.20000000000000284</v>
      </c>
      <c r="G312" s="3">
        <f ca="1">'ETF price'!H314-'ETF price'!H313</f>
        <v>0.10999999999999943</v>
      </c>
      <c r="H312" s="3">
        <f ca="1">'ETF price'!I314-'ETF price'!I313</f>
        <v>0.68999999999999773</v>
      </c>
      <c r="I312" s="3">
        <f ca="1">'ETF price'!J314-'ETF price'!J313</f>
        <v>1.0199999999999818</v>
      </c>
      <c r="J312" s="3">
        <f ca="1">'ETF price'!K314-'ETF price'!K313</f>
        <v>-0.59999999999999432</v>
      </c>
      <c r="K312" s="3">
        <f ca="1">'ETF price'!L314-'ETF price'!L313</f>
        <v>-1.6499999999999915</v>
      </c>
      <c r="L312" s="3">
        <f ca="1">'ETF price'!M314-'ETF price'!M313</f>
        <v>-0.39000000000000057</v>
      </c>
      <c r="M312" s="3">
        <f ca="1">'ETF price'!N314-'ETF price'!N313</f>
        <v>0.26000000000000512</v>
      </c>
      <c r="N312" s="3">
        <f ca="1">'ETF price'!O314-'ETF price'!O313</f>
        <v>-0.32999999999999829</v>
      </c>
      <c r="O312" s="3">
        <f ca="1">'ETF price'!P314-'ETF price'!P313</f>
        <v>0.35999999999999943</v>
      </c>
      <c r="P312" s="3">
        <f ca="1">'ETF price'!Q314-'ETF price'!Q313</f>
        <v>0.29999999999999716</v>
      </c>
      <c r="Q312" s="3">
        <f ca="1">'ETF price'!R314-'ETF price'!R313</f>
        <v>0.54000000000000625</v>
      </c>
      <c r="R312" s="3">
        <f ca="1">'ETF price'!S314-'ETF price'!S313</f>
        <v>0.37000000000000455</v>
      </c>
      <c r="S312" s="3">
        <f ca="1">'ETF price'!T314-'ETF price'!T313</f>
        <v>0.16999999999999815</v>
      </c>
      <c r="T312" s="3">
        <f ca="1">'ETF price'!U314-'ETF price'!U313</f>
        <v>1.1699999999999875</v>
      </c>
      <c r="U312" s="3">
        <f ca="1">'ETF price'!V314-'ETF price'!V313</f>
        <v>1.5499999999999972</v>
      </c>
      <c r="V312" s="3">
        <f ca="1">'ETF price'!W314-'ETF price'!W313</f>
        <v>-7.0000000000000284E-2</v>
      </c>
      <c r="W312" s="3">
        <f ca="1">'ETF price'!X314-'ETF price'!X313</f>
        <v>-0.28000000000000114</v>
      </c>
      <c r="X312" s="3">
        <f ca="1">'ETF price'!Y314-'ETF price'!Y313</f>
        <v>-0.56000000000000227</v>
      </c>
      <c r="Y312" s="3">
        <f ca="1">'ETF price'!Z314-'ETF price'!Z313</f>
        <v>-0.19999999999998863</v>
      </c>
      <c r="Z312" s="3">
        <f ca="1">'ETF price'!AA314-'ETF price'!AA313</f>
        <v>0.46999999999999886</v>
      </c>
      <c r="AA312" s="3">
        <f ca="1">'ETF price'!AB314-'ETF price'!AB313</f>
        <v>-0.89999999999999858</v>
      </c>
      <c r="AB312" s="3">
        <f ca="1">'ETF price'!AC314-'ETF price'!AC313</f>
        <v>-0.64999999999999858</v>
      </c>
      <c r="AC312" s="3">
        <f ca="1">'ETF price'!AD314-'ETF price'!AD313</f>
        <v>-0.16999999999999993</v>
      </c>
      <c r="AD312" s="3">
        <f ca="1">'ETF price'!AE314-'ETF price'!AE313</f>
        <v>-0.25999999999999801</v>
      </c>
      <c r="AE312" s="3">
        <f ca="1">'ETF price'!AF314-'ETF price'!AF313</f>
        <v>0.14000000000000012</v>
      </c>
      <c r="AF312" s="3">
        <f ca="1">'ETF price'!AG314-'ETF price'!AG313</f>
        <v>0.13000000000000256</v>
      </c>
    </row>
    <row r="313" spans="1:32" ht="12.75" x14ac:dyDescent="0.2">
      <c r="A313" s="3">
        <f ca="1">'ETF price'!B315-'ETF price'!B314</f>
        <v>2.1299999999999955</v>
      </c>
      <c r="B313" s="3">
        <f ca="1">'ETF price'!C315-'ETF price'!C314</f>
        <v>6.160000000000025</v>
      </c>
      <c r="C313" s="3">
        <f ca="1">'ETF price'!D315-'ETF price'!D314</f>
        <v>-1.1500000000000057</v>
      </c>
      <c r="D313" s="3">
        <f ca="1">'ETF price'!E315-'ETF price'!E314</f>
        <v>0.90999999999999659</v>
      </c>
      <c r="E313" s="3">
        <f ca="1">'ETF price'!F315-'ETF price'!F314</f>
        <v>1.0799999999999983</v>
      </c>
      <c r="F313" s="3">
        <f ca="1">'ETF price'!G315-'ETF price'!G314</f>
        <v>0.46999999999999886</v>
      </c>
      <c r="G313" s="3">
        <f ca="1">'ETF price'!H315-'ETF price'!H314</f>
        <v>0.44000000000000128</v>
      </c>
      <c r="H313" s="3">
        <f ca="1">'ETF price'!I315-'ETF price'!I314</f>
        <v>1.3700000000000045</v>
      </c>
      <c r="I313" s="3">
        <f ca="1">'ETF price'!J315-'ETF price'!J314</f>
        <v>2.7600000000000193</v>
      </c>
      <c r="J313" s="3">
        <f ca="1">'ETF price'!K315-'ETF price'!K314</f>
        <v>1.9299999999999926</v>
      </c>
      <c r="K313" s="3">
        <f ca="1">'ETF price'!L315-'ETF price'!L314</f>
        <v>1.539999999999992</v>
      </c>
      <c r="L313" s="3">
        <f ca="1">'ETF price'!M315-'ETF price'!M314</f>
        <v>0.95000000000000284</v>
      </c>
      <c r="M313" s="3">
        <f ca="1">'ETF price'!N315-'ETF price'!N314</f>
        <v>0.69999999999999574</v>
      </c>
      <c r="N313" s="3">
        <f ca="1">'ETF price'!O315-'ETF price'!O314</f>
        <v>1.6000000000000014</v>
      </c>
      <c r="O313" s="3">
        <f ca="1">'ETF price'!P315-'ETF price'!P314</f>
        <v>0.56999999999999318</v>
      </c>
      <c r="P313" s="3">
        <f ca="1">'ETF price'!Q315-'ETF price'!Q314</f>
        <v>0.67000000000000171</v>
      </c>
      <c r="Q313" s="3">
        <f ca="1">'ETF price'!R315-'ETF price'!R314</f>
        <v>1.289999999999992</v>
      </c>
      <c r="R313" s="3">
        <f ca="1">'ETF price'!S315-'ETF price'!S314</f>
        <v>0.73999999999999488</v>
      </c>
      <c r="S313" s="3">
        <f ca="1">'ETF price'!T315-'ETF price'!T314</f>
        <v>0.21999999999999886</v>
      </c>
      <c r="T313" s="3">
        <f ca="1">'ETF price'!U315-'ETF price'!U314</f>
        <v>1.1200000000000045</v>
      </c>
      <c r="U313" s="3">
        <f ca="1">'ETF price'!V315-'ETF price'!V314</f>
        <v>1.8799999999999955</v>
      </c>
      <c r="V313" s="3">
        <f ca="1">'ETF price'!W315-'ETF price'!W314</f>
        <v>0.34999999999999787</v>
      </c>
      <c r="W313" s="3">
        <f ca="1">'ETF price'!X315-'ETF price'!X314</f>
        <v>0.87999999999999545</v>
      </c>
      <c r="X313" s="3">
        <f ca="1">'ETF price'!Y315-'ETF price'!Y314</f>
        <v>0.41000000000000369</v>
      </c>
      <c r="Y313" s="3">
        <f ca="1">'ETF price'!Z315-'ETF price'!Z314</f>
        <v>0.73999999999999488</v>
      </c>
      <c r="Z313" s="3">
        <f ca="1">'ETF price'!AA315-'ETF price'!AA314</f>
        <v>0.80000000000000426</v>
      </c>
      <c r="AA313" s="3">
        <f ca="1">'ETF price'!AB315-'ETF price'!AB314</f>
        <v>0.42999999999999972</v>
      </c>
      <c r="AB313" s="3">
        <f ca="1">'ETF price'!AC315-'ETF price'!AC314</f>
        <v>-0.21999999999999886</v>
      </c>
      <c r="AC313" s="3">
        <f ca="1">'ETF price'!AD315-'ETF price'!AD314</f>
        <v>0.17999999999999972</v>
      </c>
      <c r="AD313" s="3">
        <f ca="1">'ETF price'!AE315-'ETF price'!AE314</f>
        <v>0.28999999999999915</v>
      </c>
      <c r="AE313" s="3">
        <f ca="1">'ETF price'!AF315-'ETF price'!AF314</f>
        <v>4.0000000000000036E-2</v>
      </c>
      <c r="AF313" s="3">
        <f ca="1">'ETF price'!AG315-'ETF price'!AG314</f>
        <v>0.98999999999999844</v>
      </c>
    </row>
    <row r="314" spans="1:32" ht="12.75" x14ac:dyDescent="0.2">
      <c r="A314" s="3">
        <f ca="1">'ETF price'!B316-'ETF price'!B315</f>
        <v>-0.23999999999998067</v>
      </c>
      <c r="B314" s="3">
        <f ca="1">'ETF price'!C316-'ETF price'!C315</f>
        <v>-0.51000000000004775</v>
      </c>
      <c r="C314" s="3">
        <f ca="1">'ETF price'!D316-'ETF price'!D315</f>
        <v>0.82000000000000739</v>
      </c>
      <c r="D314" s="3">
        <f ca="1">'ETF price'!E316-'ETF price'!E315</f>
        <v>-1.2800000000000011</v>
      </c>
      <c r="E314" s="3">
        <f ca="1">'ETF price'!F316-'ETF price'!F315</f>
        <v>-0.13000000000000256</v>
      </c>
      <c r="F314" s="3">
        <f ca="1">'ETF price'!G316-'ETF price'!G315</f>
        <v>-3.9999999999999147E-2</v>
      </c>
      <c r="G314" s="3">
        <f ca="1">'ETF price'!H316-'ETF price'!H315</f>
        <v>-0.14999999999999858</v>
      </c>
      <c r="H314" s="3">
        <f ca="1">'ETF price'!I316-'ETF price'!I315</f>
        <v>1.4499999999999886</v>
      </c>
      <c r="I314" s="3">
        <f ca="1">'ETF price'!J316-'ETF price'!J315</f>
        <v>2.3199999999999932</v>
      </c>
      <c r="J314" s="3">
        <f ca="1">'ETF price'!K316-'ETF price'!K315</f>
        <v>0.61000000000001364</v>
      </c>
      <c r="K314" s="3">
        <f ca="1">'ETF price'!L316-'ETF price'!L315</f>
        <v>0.85000000000000853</v>
      </c>
      <c r="L314" s="3">
        <f ca="1">'ETF price'!M316-'ETF price'!M315</f>
        <v>0.12999999999999545</v>
      </c>
      <c r="M314" s="3">
        <f ca="1">'ETF price'!N316-'ETF price'!N315</f>
        <v>0.56000000000000227</v>
      </c>
      <c r="N314" s="3">
        <f ca="1">'ETF price'!O316-'ETF price'!O315</f>
        <v>-0.14000000000000057</v>
      </c>
      <c r="O314" s="3">
        <f ca="1">'ETF price'!P316-'ETF price'!P315</f>
        <v>3.75</v>
      </c>
      <c r="P314" s="3">
        <f ca="1">'ETF price'!Q316-'ETF price'!Q315</f>
        <v>5.4500000000000028</v>
      </c>
      <c r="Q314" s="3">
        <f ca="1">'ETF price'!R316-'ETF price'!R315</f>
        <v>0.51000000000000512</v>
      </c>
      <c r="R314" s="3">
        <f ca="1">'ETF price'!S316-'ETF price'!S315</f>
        <v>0.32000000000000028</v>
      </c>
      <c r="S314" s="3">
        <f ca="1">'ETF price'!T316-'ETF price'!T315</f>
        <v>0.39000000000000057</v>
      </c>
      <c r="T314" s="3">
        <f ca="1">'ETF price'!U316-'ETF price'!U315</f>
        <v>3.8299999999999983</v>
      </c>
      <c r="U314" s="3">
        <f ca="1">'ETF price'!V316-'ETF price'!V315</f>
        <v>-1.269999999999996</v>
      </c>
      <c r="V314" s="3">
        <f ca="1">'ETF price'!W316-'ETF price'!W315</f>
        <v>6.0000000000002274E-2</v>
      </c>
      <c r="W314" s="3">
        <f ca="1">'ETF price'!X316-'ETF price'!X315</f>
        <v>-0.14000000000000057</v>
      </c>
      <c r="X314" s="3">
        <f ca="1">'ETF price'!Y316-'ETF price'!Y315</f>
        <v>-0.31000000000000227</v>
      </c>
      <c r="Y314" s="3">
        <f ca="1">'ETF price'!Z316-'ETF price'!Z315</f>
        <v>4.9999999999997158E-2</v>
      </c>
      <c r="Z314" s="3">
        <f ca="1">'ETF price'!AA316-'ETF price'!AA315</f>
        <v>-0.35000000000000142</v>
      </c>
      <c r="AA314" s="3">
        <f ca="1">'ETF price'!AB316-'ETF price'!AB315</f>
        <v>-0.46000000000000085</v>
      </c>
      <c r="AB314" s="3">
        <f ca="1">'ETF price'!AC316-'ETF price'!AC315</f>
        <v>3.0000000000001137E-2</v>
      </c>
      <c r="AC314" s="3">
        <f ca="1">'ETF price'!AD316-'ETF price'!AD315</f>
        <v>-0.17999999999999972</v>
      </c>
      <c r="AD314" s="3">
        <f ca="1">'ETF price'!AE316-'ETF price'!AE315</f>
        <v>-0.75999999999999801</v>
      </c>
      <c r="AE314" s="3">
        <f ca="1">'ETF price'!AF316-'ETF price'!AF315</f>
        <v>4.0000000000000036E-2</v>
      </c>
      <c r="AF314" s="3">
        <f ca="1">'ETF price'!AG316-'ETF price'!AG315</f>
        <v>-0.42999999999999972</v>
      </c>
    </row>
    <row r="315" spans="1:32" ht="12.75" x14ac:dyDescent="0.2">
      <c r="A315" s="3">
        <f ca="1">'ETF price'!B317-'ETF price'!B316</f>
        <v>-0.83000000000001251</v>
      </c>
      <c r="B315" s="3">
        <f ca="1">'ETF price'!C317-'ETF price'!C316</f>
        <v>-2.4399999999999977</v>
      </c>
      <c r="C315" s="3">
        <f ca="1">'ETF price'!D317-'ETF price'!D316</f>
        <v>-0.14000000000000057</v>
      </c>
      <c r="D315" s="3">
        <f ca="1">'ETF price'!E317-'ETF price'!E316</f>
        <v>-2.7400000000000091</v>
      </c>
      <c r="E315" s="3">
        <f ca="1">'ETF price'!F317-'ETF price'!F316</f>
        <v>-7.0000000000000284E-2</v>
      </c>
      <c r="F315" s="3">
        <f ca="1">'ETF price'!G317-'ETF price'!G316</f>
        <v>-0.39000000000000057</v>
      </c>
      <c r="G315" s="3">
        <f ca="1">'ETF price'!H317-'ETF price'!H316</f>
        <v>-0.24000000000000199</v>
      </c>
      <c r="H315" s="3">
        <f ca="1">'ETF price'!I317-'ETF price'!I316</f>
        <v>2.0000000000010232E-2</v>
      </c>
      <c r="I315" s="3">
        <f ca="1">'ETF price'!J317-'ETF price'!J316</f>
        <v>-0.14000000000001478</v>
      </c>
      <c r="J315" s="3">
        <f ca="1">'ETF price'!K317-'ETF price'!K316</f>
        <v>-0.90999999999999659</v>
      </c>
      <c r="K315" s="3">
        <f ca="1">'ETF price'!L317-'ETF price'!L316</f>
        <v>-1.4900000000000091</v>
      </c>
      <c r="L315" s="3">
        <f ca="1">'ETF price'!M317-'ETF price'!M316</f>
        <v>-0.30999999999999517</v>
      </c>
      <c r="M315" s="3">
        <f ca="1">'ETF price'!N317-'ETF price'!N316</f>
        <v>1.9999999999996021E-2</v>
      </c>
      <c r="N315" s="3">
        <f ca="1">'ETF price'!O317-'ETF price'!O316</f>
        <v>-0.52000000000000313</v>
      </c>
      <c r="O315" s="3">
        <f ca="1">'ETF price'!P317-'ETF price'!P316</f>
        <v>-1.5699999999999932</v>
      </c>
      <c r="P315" s="3">
        <f ca="1">'ETF price'!Q317-'ETF price'!Q316</f>
        <v>-2.3400000000000034</v>
      </c>
      <c r="Q315" s="3">
        <f ca="1">'ETF price'!R317-'ETF price'!R316</f>
        <v>-1.1700000000000017</v>
      </c>
      <c r="R315" s="3">
        <f ca="1">'ETF price'!S317-'ETF price'!S316</f>
        <v>-1.3499999999999943</v>
      </c>
      <c r="S315" s="3">
        <f ca="1">'ETF price'!T317-'ETF price'!T316</f>
        <v>-2.9999999999997584E-2</v>
      </c>
      <c r="T315" s="3">
        <f ca="1">'ETF price'!U317-'ETF price'!U316</f>
        <v>0</v>
      </c>
      <c r="U315" s="3">
        <f ca="1">'ETF price'!V317-'ETF price'!V316</f>
        <v>-0.53000000000000114</v>
      </c>
      <c r="V315" s="3">
        <f ca="1">'ETF price'!W317-'ETF price'!W316</f>
        <v>-0.30000000000000071</v>
      </c>
      <c r="W315" s="3">
        <f ca="1">'ETF price'!X317-'ETF price'!X316</f>
        <v>-0.95000000000000284</v>
      </c>
      <c r="X315" s="3">
        <f ca="1">'ETF price'!Y317-'ETF price'!Y316</f>
        <v>-0.72999999999999687</v>
      </c>
      <c r="Y315" s="3">
        <f ca="1">'ETF price'!Z317-'ETF price'!Z316</f>
        <v>-0.87999999999999545</v>
      </c>
      <c r="Z315" s="3">
        <f ca="1">'ETF price'!AA317-'ETF price'!AA316</f>
        <v>9.9999999999980105E-3</v>
      </c>
      <c r="AA315" s="3">
        <f ca="1">'ETF price'!AB317-'ETF price'!AB316</f>
        <v>-0.96000000000000085</v>
      </c>
      <c r="AB315" s="3">
        <f ca="1">'ETF price'!AC317-'ETF price'!AC316</f>
        <v>0.25</v>
      </c>
      <c r="AC315" s="3">
        <f ca="1">'ETF price'!AD317-'ETF price'!AD316</f>
        <v>4.0000000000000924E-2</v>
      </c>
      <c r="AD315" s="3">
        <f ca="1">'ETF price'!AE317-'ETF price'!AE316</f>
        <v>6.9999999999996732E-2</v>
      </c>
      <c r="AE315" s="3">
        <f ca="1">'ETF price'!AF317-'ETF price'!AF316</f>
        <v>-2.0000000000000018E-2</v>
      </c>
      <c r="AF315" s="3">
        <f ca="1">'ETF price'!AG317-'ETF price'!AG316</f>
        <v>-0.19000000000000128</v>
      </c>
    </row>
    <row r="316" spans="1:32" ht="12.75" x14ac:dyDescent="0.2">
      <c r="A316" s="3">
        <f ca="1">'ETF price'!B318-'ETF price'!B317</f>
        <v>-1.710000000000008</v>
      </c>
      <c r="B316" s="3">
        <f ca="1">'ETF price'!C318-'ETF price'!C317</f>
        <v>-4.5999999999999659</v>
      </c>
      <c r="C316" s="3">
        <f ca="1">'ETF price'!D318-'ETF price'!D317</f>
        <v>-0.82000000000000739</v>
      </c>
      <c r="D316" s="3">
        <f ca="1">'ETF price'!E318-'ETF price'!E317</f>
        <v>-2.5</v>
      </c>
      <c r="E316" s="3">
        <f ca="1">'ETF price'!F318-'ETF price'!F317</f>
        <v>-0.71999999999999886</v>
      </c>
      <c r="F316" s="3">
        <f ca="1">'ETF price'!G318-'ETF price'!G317</f>
        <v>-0.48000000000000043</v>
      </c>
      <c r="G316" s="3">
        <f ca="1">'ETF price'!H318-'ETF price'!H317</f>
        <v>-0.28999999999999915</v>
      </c>
      <c r="H316" s="3">
        <f ca="1">'ETF price'!I318-'ETF price'!I317</f>
        <v>2.2599999999999909</v>
      </c>
      <c r="I316" s="3">
        <f ca="1">'ETF price'!J318-'ETF price'!J317</f>
        <v>3.7200000000000273</v>
      </c>
      <c r="J316" s="3">
        <f ca="1">'ETF price'!K318-'ETF price'!K317</f>
        <v>0.64999999999997726</v>
      </c>
      <c r="K316" s="3">
        <f ca="1">'ETF price'!L318-'ETF price'!L317</f>
        <v>-0.18999999999999773</v>
      </c>
      <c r="L316" s="3">
        <f ca="1">'ETF price'!M318-'ETF price'!M317</f>
        <v>0.59999999999999432</v>
      </c>
      <c r="M316" s="3">
        <f ca="1">'ETF price'!N318-'ETF price'!N317</f>
        <v>0.92999999999999972</v>
      </c>
      <c r="N316" s="3">
        <f ca="1">'ETF price'!O318-'ETF price'!O317</f>
        <v>-0.37999999999999545</v>
      </c>
      <c r="O316" s="3">
        <f ca="1">'ETF price'!P318-'ETF price'!P317</f>
        <v>1.2800000000000011</v>
      </c>
      <c r="P316" s="3">
        <f ca="1">'ETF price'!Q318-'ETF price'!Q317</f>
        <v>1.5999999999999943</v>
      </c>
      <c r="Q316" s="3">
        <f ca="1">'ETF price'!R318-'ETF price'!R317</f>
        <v>-0.18000000000000682</v>
      </c>
      <c r="R316" s="3">
        <f ca="1">'ETF price'!S318-'ETF price'!S317</f>
        <v>-0.60000000000000142</v>
      </c>
      <c r="S316" s="3">
        <f ca="1">'ETF price'!T318-'ETF price'!T317</f>
        <v>8.9999999999999858E-2</v>
      </c>
      <c r="T316" s="3">
        <f ca="1">'ETF price'!U318-'ETF price'!U317</f>
        <v>-3.0000000000001137E-2</v>
      </c>
      <c r="U316" s="3">
        <f ca="1">'ETF price'!V318-'ETF price'!V317</f>
        <v>-2.1400000000000006</v>
      </c>
      <c r="V316" s="3">
        <f ca="1">'ETF price'!W318-'ETF price'!W317</f>
        <v>-3.9999999999999147E-2</v>
      </c>
      <c r="W316" s="3">
        <f ca="1">'ETF price'!X318-'ETF price'!X317</f>
        <v>-9.0000000000003411E-2</v>
      </c>
      <c r="X316" s="3">
        <f ca="1">'ETF price'!Y318-'ETF price'!Y317</f>
        <v>-0.23000000000000398</v>
      </c>
      <c r="Y316" s="3">
        <f ca="1">'ETF price'!Z318-'ETF price'!Z317</f>
        <v>-4.0000000000006253E-2</v>
      </c>
      <c r="Z316" s="3">
        <f ca="1">'ETF price'!AA318-'ETF price'!AA317</f>
        <v>-0.18999999999999773</v>
      </c>
      <c r="AA316" s="3">
        <f ca="1">'ETF price'!AB318-'ETF price'!AB317</f>
        <v>-0.42999999999999972</v>
      </c>
      <c r="AB316" s="3">
        <f ca="1">'ETF price'!AC318-'ETF price'!AC317</f>
        <v>0.54999999999999716</v>
      </c>
      <c r="AC316" s="3">
        <f ca="1">'ETF price'!AD318-'ETF price'!AD317</f>
        <v>0</v>
      </c>
      <c r="AD316" s="3">
        <f ca="1">'ETF price'!AE318-'ETF price'!AE317</f>
        <v>1.0000000000001563E-2</v>
      </c>
      <c r="AE316" s="3">
        <f ca="1">'ETF price'!AF318-'ETF price'!AF317</f>
        <v>4.0000000000000036E-2</v>
      </c>
      <c r="AF316" s="3">
        <f ca="1">'ETF price'!AG318-'ETF price'!AG317</f>
        <v>-0.76999999999999957</v>
      </c>
    </row>
    <row r="317" spans="1:32" ht="12.75" x14ac:dyDescent="0.2">
      <c r="A317" s="3">
        <f ca="1">'ETF price'!B319-'ETF price'!B318</f>
        <v>0.84000000000000341</v>
      </c>
      <c r="B317" s="3">
        <f ca="1">'ETF price'!C319-'ETF price'!C318</f>
        <v>1.9599999999999795</v>
      </c>
      <c r="C317" s="3">
        <f ca="1">'ETF price'!D319-'ETF price'!D318</f>
        <v>-0.54999999999999716</v>
      </c>
      <c r="D317" s="3">
        <f ca="1">'ETF price'!E319-'ETF price'!E318</f>
        <v>-0.72999999999998977</v>
      </c>
      <c r="E317" s="3">
        <f ca="1">'ETF price'!F319-'ETF price'!F318</f>
        <v>0.27000000000000313</v>
      </c>
      <c r="F317" s="3">
        <f ca="1">'ETF price'!G319-'ETF price'!G318</f>
        <v>-8.9999999999999858E-2</v>
      </c>
      <c r="G317" s="3">
        <f ca="1">'ETF price'!H319-'ETF price'!H318</f>
        <v>0.12999999999999901</v>
      </c>
      <c r="H317" s="3">
        <f ca="1">'ETF price'!I319-'ETF price'!I318</f>
        <v>0.33000000000001251</v>
      </c>
      <c r="I317" s="3">
        <f ca="1">'ETF price'!J319-'ETF price'!J318</f>
        <v>0.72999999999998977</v>
      </c>
      <c r="J317" s="3">
        <f ca="1">'ETF price'!K319-'ETF price'!K318</f>
        <v>1.5400000000000205</v>
      </c>
      <c r="K317" s="3">
        <f ca="1">'ETF price'!L319-'ETF price'!L318</f>
        <v>1.4900000000000091</v>
      </c>
      <c r="L317" s="3">
        <f ca="1">'ETF price'!M319-'ETF price'!M318</f>
        <v>0.90999999999999659</v>
      </c>
      <c r="M317" s="3">
        <f ca="1">'ETF price'!N319-'ETF price'!N318</f>
        <v>0.23000000000000398</v>
      </c>
      <c r="N317" s="3">
        <f ca="1">'ETF price'!O319-'ETF price'!O318</f>
        <v>0.68999999999999773</v>
      </c>
      <c r="O317" s="3">
        <f ca="1">'ETF price'!P319-'ETF price'!P318</f>
        <v>-1.3100000000000023</v>
      </c>
      <c r="P317" s="3">
        <f ca="1">'ETF price'!Q319-'ETF price'!Q318</f>
        <v>-1.7599999999999909</v>
      </c>
      <c r="Q317" s="3">
        <f ca="1">'ETF price'!R319-'ETF price'!R318</f>
        <v>-0.18999999999999773</v>
      </c>
      <c r="R317" s="3">
        <f ca="1">'ETF price'!S319-'ETF price'!S318</f>
        <v>-0.17000000000000171</v>
      </c>
      <c r="S317" s="3">
        <f ca="1">'ETF price'!T319-'ETF price'!T318</f>
        <v>-7.0000000000000284E-2</v>
      </c>
      <c r="T317" s="3">
        <f ca="1">'ETF price'!U319-'ETF price'!U318</f>
        <v>2.0000000000010232E-2</v>
      </c>
      <c r="U317" s="3">
        <f ca="1">'ETF price'!V319-'ETF price'!V318</f>
        <v>-9.9999999999909051E-3</v>
      </c>
      <c r="V317" s="3">
        <f ca="1">'ETF price'!W319-'ETF price'!W318</f>
        <v>0.11999999999999744</v>
      </c>
      <c r="W317" s="3">
        <f ca="1">'ETF price'!X319-'ETF price'!X318</f>
        <v>0.34000000000000341</v>
      </c>
      <c r="X317" s="3">
        <f ca="1">'ETF price'!Y319-'ETF price'!Y318</f>
        <v>0.41000000000000369</v>
      </c>
      <c r="Y317" s="3">
        <f ca="1">'ETF price'!Z319-'ETF price'!Z318</f>
        <v>0.37000000000000455</v>
      </c>
      <c r="Z317" s="3">
        <f ca="1">'ETF price'!AA319-'ETF price'!AA318</f>
        <v>0.25</v>
      </c>
      <c r="AA317" s="3">
        <f ca="1">'ETF price'!AB319-'ETF price'!AB318</f>
        <v>0.62000000000000455</v>
      </c>
      <c r="AB317" s="3">
        <f ca="1">'ETF price'!AC319-'ETF price'!AC318</f>
        <v>-0.17999999999999972</v>
      </c>
      <c r="AC317" s="3">
        <f ca="1">'ETF price'!AD319-'ETF price'!AD318</f>
        <v>-8.9999999999999858E-2</v>
      </c>
      <c r="AD317" s="3">
        <f ca="1">'ETF price'!AE319-'ETF price'!AE318</f>
        <v>-0.14999999999999858</v>
      </c>
      <c r="AE317" s="3">
        <f ca="1">'ETF price'!AF319-'ETF price'!AF318</f>
        <v>-0.10000000000000009</v>
      </c>
      <c r="AF317" s="3">
        <f ca="1">'ETF price'!AG319-'ETF price'!AG318</f>
        <v>0.28000000000000114</v>
      </c>
    </row>
    <row r="318" spans="1:32" ht="12.75" x14ac:dyDescent="0.2">
      <c r="A318" s="3">
        <f ca="1">'ETF price'!B320-'ETF price'!B319</f>
        <v>-7.9999999999984084E-2</v>
      </c>
      <c r="B318" s="3">
        <f ca="1">'ETF price'!C320-'ETF price'!C319</f>
        <v>-0.21999999999997044</v>
      </c>
      <c r="C318" s="3">
        <f ca="1">'ETF price'!D320-'ETF price'!D319</f>
        <v>1.7999999999999972</v>
      </c>
      <c r="D318" s="3">
        <f ca="1">'ETF price'!E320-'ETF price'!E319</f>
        <v>2.4900000000000091</v>
      </c>
      <c r="E318" s="3">
        <f ca="1">'ETF price'!F320-'ETF price'!F319</f>
        <v>9.9999999999980105E-3</v>
      </c>
      <c r="F318" s="3">
        <f ca="1">'ETF price'!G320-'ETF price'!G319</f>
        <v>0.19000000000000128</v>
      </c>
      <c r="G318" s="3">
        <f ca="1">'ETF price'!H320-'ETF price'!H319</f>
        <v>0.19999999999999929</v>
      </c>
      <c r="H318" s="3">
        <f ca="1">'ETF price'!I320-'ETF price'!I319</f>
        <v>-9.0000000000003411E-2</v>
      </c>
      <c r="I318" s="3">
        <f ca="1">'ETF price'!J320-'ETF price'!J319</f>
        <v>-6.9999999999993179E-2</v>
      </c>
      <c r="J318" s="3">
        <f ca="1">'ETF price'!K320-'ETF price'!K319</f>
        <v>-0.68999999999999773</v>
      </c>
      <c r="K318" s="3">
        <f ca="1">'ETF price'!L320-'ETF price'!L319</f>
        <v>-0.71999999999999886</v>
      </c>
      <c r="L318" s="3">
        <f ca="1">'ETF price'!M320-'ETF price'!M319</f>
        <v>-0.62999999999999545</v>
      </c>
      <c r="M318" s="3">
        <f ca="1">'ETF price'!N320-'ETF price'!N319</f>
        <v>-9.9999999999980105E-3</v>
      </c>
      <c r="N318" s="3">
        <f ca="1">'ETF price'!O320-'ETF price'!O319</f>
        <v>-0.39000000000000057</v>
      </c>
      <c r="O318" s="3">
        <f ca="1">'ETF price'!P320-'ETF price'!P319</f>
        <v>0.67999999999999261</v>
      </c>
      <c r="P318" s="3">
        <f ca="1">'ETF price'!Q320-'ETF price'!Q319</f>
        <v>0.88999999999998636</v>
      </c>
      <c r="Q318" s="3">
        <f ca="1">'ETF price'!R320-'ETF price'!R319</f>
        <v>0.38000000000000966</v>
      </c>
      <c r="R318" s="3">
        <f ca="1">'ETF price'!S320-'ETF price'!S319</f>
        <v>0.41000000000000369</v>
      </c>
      <c r="S318" s="3">
        <f ca="1">'ETF price'!T320-'ETF price'!T319</f>
        <v>0</v>
      </c>
      <c r="T318" s="3">
        <f ca="1">'ETF price'!U320-'ETF price'!U319</f>
        <v>-0.5</v>
      </c>
      <c r="U318" s="3">
        <f ca="1">'ETF price'!V320-'ETF price'!V319</f>
        <v>1.5099999999999909</v>
      </c>
      <c r="V318" s="3">
        <f ca="1">'ETF price'!W320-'ETF price'!W319</f>
        <v>7.0000000000003837E-2</v>
      </c>
      <c r="W318" s="3">
        <f ca="1">'ETF price'!X320-'ETF price'!X319</f>
        <v>0.31000000000000227</v>
      </c>
      <c r="X318" s="3">
        <f ca="1">'ETF price'!Y320-'ETF price'!Y319</f>
        <v>0.25</v>
      </c>
      <c r="Y318" s="3">
        <f ca="1">'ETF price'!Z320-'ETF price'!Z319</f>
        <v>0.26000000000000512</v>
      </c>
      <c r="Z318" s="3">
        <f ca="1">'ETF price'!AA320-'ETF price'!AA319</f>
        <v>0.18999999999999773</v>
      </c>
      <c r="AA318" s="3">
        <f ca="1">'ETF price'!AB320-'ETF price'!AB319</f>
        <v>0.21999999999999886</v>
      </c>
      <c r="AB318" s="3">
        <f ca="1">'ETF price'!AC320-'ETF price'!AC319</f>
        <v>0.53999999999999915</v>
      </c>
      <c r="AC318" s="3">
        <f ca="1">'ETF price'!AD320-'ETF price'!AD319</f>
        <v>0.48999999999999844</v>
      </c>
      <c r="AD318" s="3">
        <f ca="1">'ETF price'!AE320-'ETF price'!AE319</f>
        <v>0.77999999999999758</v>
      </c>
      <c r="AE318" s="3">
        <f ca="1">'ETF price'!AF320-'ETF price'!AF319</f>
        <v>0.29999999999999982</v>
      </c>
      <c r="AF318" s="3">
        <f ca="1">'ETF price'!AG320-'ETF price'!AG319</f>
        <v>1.5599999999999987</v>
      </c>
    </row>
    <row r="319" spans="1:32" ht="12.75" x14ac:dyDescent="0.2">
      <c r="A319" s="3">
        <f ca="1">'ETF price'!B321-'ETF price'!B320</f>
        <v>-1.4000000000000057</v>
      </c>
      <c r="B319" s="3">
        <f ca="1">'ETF price'!C321-'ETF price'!C320</f>
        <v>-2.82000000000005</v>
      </c>
      <c r="C319" s="3">
        <f ca="1">'ETF price'!D321-'ETF price'!D320</f>
        <v>-0.26999999999999602</v>
      </c>
      <c r="D319" s="3">
        <f ca="1">'ETF price'!E321-'ETF price'!E320</f>
        <v>-0.75</v>
      </c>
      <c r="E319" s="3">
        <f ca="1">'ETF price'!F321-'ETF price'!F320</f>
        <v>0.11999999999999744</v>
      </c>
      <c r="F319" s="3">
        <f ca="1">'ETF price'!G321-'ETF price'!G320</f>
        <v>3.9999999999999147E-2</v>
      </c>
      <c r="G319" s="3">
        <f ca="1">'ETF price'!H321-'ETF price'!H320</f>
        <v>0.12000000000000099</v>
      </c>
      <c r="H319" s="3">
        <f ca="1">'ETF price'!I321-'ETF price'!I320</f>
        <v>0.44999999999998863</v>
      </c>
      <c r="I319" s="3">
        <f ca="1">'ETF price'!J321-'ETF price'!J320</f>
        <v>0.93999999999999773</v>
      </c>
      <c r="J319" s="3">
        <f ca="1">'ETF price'!K321-'ETF price'!K320</f>
        <v>0.34999999999999432</v>
      </c>
      <c r="K319" s="3">
        <f ca="1">'ETF price'!L321-'ETF price'!L320</f>
        <v>0.72999999999998977</v>
      </c>
      <c r="L319" s="3">
        <f ca="1">'ETF price'!M321-'ETF price'!M320</f>
        <v>0.24000000000000199</v>
      </c>
      <c r="M319" s="3">
        <f ca="1">'ETF price'!N321-'ETF price'!N320</f>
        <v>0.23999999999999488</v>
      </c>
      <c r="N319" s="3">
        <f ca="1">'ETF price'!O321-'ETF price'!O320</f>
        <v>0.18999999999999773</v>
      </c>
      <c r="O319" s="3">
        <f ca="1">'ETF price'!P321-'ETF price'!P320</f>
        <v>0.81000000000000227</v>
      </c>
      <c r="P319" s="3">
        <f ca="1">'ETF price'!Q321-'ETF price'!Q320</f>
        <v>1.0700000000000074</v>
      </c>
      <c r="Q319" s="3">
        <f ca="1">'ETF price'!R321-'ETF price'!R320</f>
        <v>0.61999999999999034</v>
      </c>
      <c r="R319" s="3">
        <f ca="1">'ETF price'!S321-'ETF price'!S320</f>
        <v>0.75999999999999801</v>
      </c>
      <c r="S319" s="3">
        <f ca="1">'ETF price'!T321-'ETF price'!T320</f>
        <v>0.12999999999999901</v>
      </c>
      <c r="T319" s="3">
        <f ca="1">'ETF price'!U321-'ETF price'!U320</f>
        <v>1.3099999999999881</v>
      </c>
      <c r="U319" s="3">
        <f ca="1">'ETF price'!V321-'ETF price'!V320</f>
        <v>0.53000000000000114</v>
      </c>
      <c r="V319" s="3">
        <f ca="1">'ETF price'!W321-'ETF price'!W320</f>
        <v>0.28000000000000114</v>
      </c>
      <c r="W319" s="3">
        <f ca="1">'ETF price'!X321-'ETF price'!X320</f>
        <v>0.68000000000000682</v>
      </c>
      <c r="X319" s="3">
        <f ca="1">'ETF price'!Y321-'ETF price'!Y320</f>
        <v>0.25999999999999801</v>
      </c>
      <c r="Y319" s="3">
        <f ca="1">'ETF price'!Z321-'ETF price'!Z320</f>
        <v>0.56999999999999318</v>
      </c>
      <c r="Z319" s="3">
        <f ca="1">'ETF price'!AA321-'ETF price'!AA320</f>
        <v>0.17999999999999972</v>
      </c>
      <c r="AA319" s="3">
        <f ca="1">'ETF price'!AB321-'ETF price'!AB320</f>
        <v>0.11999999999999744</v>
      </c>
      <c r="AB319" s="3">
        <f ca="1">'ETF price'!AC321-'ETF price'!AC320</f>
        <v>0.71000000000000085</v>
      </c>
      <c r="AC319" s="3">
        <f ca="1">'ETF price'!AD321-'ETF price'!AD320</f>
        <v>0.36000000000000121</v>
      </c>
      <c r="AD319" s="3">
        <f ca="1">'ETF price'!AE321-'ETF price'!AE320</f>
        <v>0.5400000000000027</v>
      </c>
      <c r="AE319" s="3">
        <f ca="1">'ETF price'!AF321-'ETF price'!AF320</f>
        <v>0.12000000000000011</v>
      </c>
      <c r="AF319" s="3">
        <f ca="1">'ETF price'!AG321-'ETF price'!AG320</f>
        <v>1.75</v>
      </c>
    </row>
    <row r="320" spans="1:32" ht="12.75" x14ac:dyDescent="0.2">
      <c r="A320" s="3">
        <f ca="1">'ETF price'!B322-'ETF price'!B321</f>
        <v>-0.84000000000000341</v>
      </c>
      <c r="B320" s="3">
        <f ca="1">'ETF price'!C322-'ETF price'!C321</f>
        <v>-2.2599999999999909</v>
      </c>
      <c r="C320" s="3">
        <f ca="1">'ETF price'!D322-'ETF price'!D321</f>
        <v>3.0000000000001137E-2</v>
      </c>
      <c r="D320" s="3">
        <f ca="1">'ETF price'!E322-'ETF price'!E321</f>
        <v>-2.6100000000000136</v>
      </c>
      <c r="E320" s="3">
        <f ca="1">'ETF price'!F322-'ETF price'!F321</f>
        <v>0.17999999999999972</v>
      </c>
      <c r="F320" s="3">
        <f ca="1">'ETF price'!G322-'ETF price'!G321</f>
        <v>-8.9999999999999858E-2</v>
      </c>
      <c r="G320" s="3">
        <f ca="1">'ETF price'!H322-'ETF price'!H321</f>
        <v>-0.23999999999999844</v>
      </c>
      <c r="H320" s="3">
        <f ca="1">'ETF price'!I322-'ETF price'!I321</f>
        <v>3.9999999999992042E-2</v>
      </c>
      <c r="I320" s="3">
        <f ca="1">'ETF price'!J322-'ETF price'!J321</f>
        <v>-0.15999999999999659</v>
      </c>
      <c r="J320" s="3">
        <f ca="1">'ETF price'!K322-'ETF price'!K321</f>
        <v>-0.15000000000000568</v>
      </c>
      <c r="K320" s="3">
        <f ca="1">'ETF price'!L322-'ETF price'!L321</f>
        <v>-0.82999999999999829</v>
      </c>
      <c r="L320" s="3">
        <f ca="1">'ETF price'!M322-'ETF price'!M321</f>
        <v>-0.24000000000000199</v>
      </c>
      <c r="M320" s="3">
        <f ca="1">'ETF price'!N322-'ETF price'!N321</f>
        <v>-9.9999999999994316E-2</v>
      </c>
      <c r="N320" s="3">
        <f ca="1">'ETF price'!O322-'ETF price'!O321</f>
        <v>-4.9999999999997158E-2</v>
      </c>
      <c r="O320" s="3">
        <f ca="1">'ETF price'!P322-'ETF price'!P321</f>
        <v>6.0000000000002274E-2</v>
      </c>
      <c r="P320" s="3">
        <f ca="1">'ETF price'!Q322-'ETF price'!Q321</f>
        <v>1.0000000000005116E-2</v>
      </c>
      <c r="Q320" s="3">
        <f ca="1">'ETF price'!R322-'ETF price'!R321</f>
        <v>6.0000000000002274E-2</v>
      </c>
      <c r="R320" s="3">
        <f ca="1">'ETF price'!S322-'ETF price'!S321</f>
        <v>-0.39999999999999858</v>
      </c>
      <c r="S320" s="3">
        <f ca="1">'ETF price'!T322-'ETF price'!T321</f>
        <v>0.19000000000000128</v>
      </c>
      <c r="T320" s="3">
        <f ca="1">'ETF price'!U322-'ETF price'!U321</f>
        <v>1.3600000000000136</v>
      </c>
      <c r="U320" s="3">
        <f ca="1">'ETF price'!V322-'ETF price'!V321</f>
        <v>-1.0799999999999983</v>
      </c>
      <c r="V320" s="3">
        <f ca="1">'ETF price'!W322-'ETF price'!W321</f>
        <v>-7.0000000000000284E-2</v>
      </c>
      <c r="W320" s="3">
        <f ca="1">'ETF price'!X322-'ETF price'!X321</f>
        <v>-0.18000000000000682</v>
      </c>
      <c r="X320" s="3">
        <f ca="1">'ETF price'!Y322-'ETF price'!Y321</f>
        <v>-0.32999999999999829</v>
      </c>
      <c r="Y320" s="3">
        <f ca="1">'ETF price'!Z322-'ETF price'!Z321</f>
        <v>-1.9999999999996021E-2</v>
      </c>
      <c r="Z320" s="3">
        <f ca="1">'ETF price'!AA322-'ETF price'!AA321</f>
        <v>-0.10999999999999943</v>
      </c>
      <c r="AA320" s="3">
        <f ca="1">'ETF price'!AB322-'ETF price'!AB321</f>
        <v>-0.46999999999999886</v>
      </c>
      <c r="AB320" s="3">
        <f ca="1">'ETF price'!AC322-'ETF price'!AC321</f>
        <v>0.60000000000000142</v>
      </c>
      <c r="AC320" s="3">
        <f ca="1">'ETF price'!AD322-'ETF price'!AD321</f>
        <v>-0.14000000000000057</v>
      </c>
      <c r="AD320" s="3">
        <f ca="1">'ETF price'!AE322-'ETF price'!AE321</f>
        <v>-0.22000000000000242</v>
      </c>
      <c r="AE320" s="3">
        <f ca="1">'ETF price'!AF322-'ETF price'!AF321</f>
        <v>-2.9999999999999805E-2</v>
      </c>
      <c r="AF320" s="3">
        <f ca="1">'ETF price'!AG322-'ETF price'!AG321</f>
        <v>-0.53999999999999915</v>
      </c>
    </row>
    <row r="321" spans="1:32" ht="12.75" x14ac:dyDescent="0.2">
      <c r="A321" s="3">
        <f ca="1">'ETF price'!B323-'ETF price'!B322</f>
        <v>2.7299999999999898</v>
      </c>
      <c r="B321" s="3">
        <f ca="1">'ETF price'!C323-'ETF price'!C322</f>
        <v>7.25</v>
      </c>
      <c r="C321" s="3">
        <f ca="1">'ETF price'!D323-'ETF price'!D322</f>
        <v>9.0000000000003411E-2</v>
      </c>
      <c r="D321" s="3">
        <f ca="1">'ETF price'!E323-'ETF price'!E322</f>
        <v>1.1500000000000057</v>
      </c>
      <c r="E321" s="3">
        <f ca="1">'ETF price'!F323-'ETF price'!F322</f>
        <v>0.64000000000000057</v>
      </c>
      <c r="F321" s="3">
        <f ca="1">'ETF price'!G323-'ETF price'!G322</f>
        <v>0.41000000000000014</v>
      </c>
      <c r="G321" s="3">
        <f ca="1">'ETF price'!H323-'ETF price'!H322</f>
        <v>0.26999999999999957</v>
      </c>
      <c r="H321" s="3">
        <f ca="1">'ETF price'!I323-'ETF price'!I322</f>
        <v>1.7400000000000091</v>
      </c>
      <c r="I321" s="3">
        <f ca="1">'ETF price'!J323-'ETF price'!J322</f>
        <v>3.5</v>
      </c>
      <c r="J321" s="3">
        <f ca="1">'ETF price'!K323-'ETF price'!K322</f>
        <v>3.0200000000000102</v>
      </c>
      <c r="K321" s="3">
        <f ca="1">'ETF price'!L323-'ETF price'!L322</f>
        <v>3.3800000000000097</v>
      </c>
      <c r="L321" s="3">
        <f ca="1">'ETF price'!M323-'ETF price'!M322</f>
        <v>1.269999999999996</v>
      </c>
      <c r="M321" s="3">
        <f ca="1">'ETF price'!N323-'ETF price'!N322</f>
        <v>0.92000000000000171</v>
      </c>
      <c r="N321" s="3">
        <f ca="1">'ETF price'!O323-'ETF price'!O322</f>
        <v>2.0399999999999991</v>
      </c>
      <c r="O321" s="3">
        <f ca="1">'ETF price'!P323-'ETF price'!P322</f>
        <v>0.53999999999999204</v>
      </c>
      <c r="P321" s="3">
        <f ca="1">'ETF price'!Q323-'ETF price'!Q322</f>
        <v>0.73999999999999488</v>
      </c>
      <c r="Q321" s="3">
        <f ca="1">'ETF price'!R323-'ETF price'!R322</f>
        <v>0.82999999999999829</v>
      </c>
      <c r="R321" s="3">
        <f ca="1">'ETF price'!S323-'ETF price'!S322</f>
        <v>1.1299999999999955</v>
      </c>
      <c r="S321" s="3">
        <f ca="1">'ETF price'!T323-'ETF price'!T322</f>
        <v>0</v>
      </c>
      <c r="T321" s="3">
        <f ca="1">'ETF price'!U323-'ETF price'!U322</f>
        <v>-0.63000000000000966</v>
      </c>
      <c r="U321" s="3">
        <f ca="1">'ETF price'!V323-'ETF price'!V322</f>
        <v>2.3499999999999943</v>
      </c>
      <c r="V321" s="3">
        <f ca="1">'ETF price'!W323-'ETF price'!W322</f>
        <v>0.28999999999999915</v>
      </c>
      <c r="W321" s="3">
        <f ca="1">'ETF price'!X323-'ETF price'!X322</f>
        <v>0.45999999999999375</v>
      </c>
      <c r="X321" s="3">
        <f ca="1">'ETF price'!Y323-'ETF price'!Y322</f>
        <v>0.50999999999999801</v>
      </c>
      <c r="Y321" s="3">
        <f ca="1">'ETF price'!Z323-'ETF price'!Z322</f>
        <v>0.40999999999999659</v>
      </c>
      <c r="Z321" s="3">
        <f ca="1">'ETF price'!AA323-'ETF price'!AA322</f>
        <v>-0.11999999999999744</v>
      </c>
      <c r="AA321" s="3">
        <f ca="1">'ETF price'!AB323-'ETF price'!AB322</f>
        <v>0.64999999999999858</v>
      </c>
      <c r="AB321" s="3">
        <f ca="1">'ETF price'!AC323-'ETF price'!AC322</f>
        <v>0.18999999999999773</v>
      </c>
      <c r="AC321" s="3">
        <f ca="1">'ETF price'!AD323-'ETF price'!AD322</f>
        <v>0.24000000000000021</v>
      </c>
      <c r="AD321" s="3">
        <f ca="1">'ETF price'!AE323-'ETF price'!AE322</f>
        <v>0.37000000000000099</v>
      </c>
      <c r="AE321" s="3">
        <f ca="1">'ETF price'!AF323-'ETF price'!AF322</f>
        <v>0.21999999999999975</v>
      </c>
      <c r="AF321" s="3">
        <f ca="1">'ETF price'!AG323-'ETF price'!AG322</f>
        <v>2.129999999999999</v>
      </c>
    </row>
    <row r="322" spans="1:32" ht="12.75" x14ac:dyDescent="0.2">
      <c r="A322" s="3">
        <f ca="1">'ETF price'!B324-'ETF price'!B323</f>
        <v>-0.82999999999998408</v>
      </c>
      <c r="B322" s="3">
        <f ca="1">'ETF price'!C324-'ETF price'!C323</f>
        <v>-1.4599999999999795</v>
      </c>
      <c r="C322" s="3">
        <f ca="1">'ETF price'!D324-'ETF price'!D323</f>
        <v>-0.20000000000000284</v>
      </c>
      <c r="D322" s="3">
        <f ca="1">'ETF price'!E324-'ETF price'!E323</f>
        <v>-0.21999999999999886</v>
      </c>
      <c r="E322" s="3">
        <f ca="1">'ETF price'!F324-'ETF price'!F323</f>
        <v>-0.28999999999999915</v>
      </c>
      <c r="F322" s="3">
        <f ca="1">'ETF price'!G324-'ETF price'!G323</f>
        <v>-0.16000000000000014</v>
      </c>
      <c r="G322" s="3">
        <f ca="1">'ETF price'!H324-'ETF price'!H323</f>
        <v>-0.14000000000000057</v>
      </c>
      <c r="H322" s="3">
        <f ca="1">'ETF price'!I324-'ETF price'!I323</f>
        <v>-1.0900000000000034</v>
      </c>
      <c r="I322" s="3">
        <f ca="1">'ETF price'!J324-'ETF price'!J323</f>
        <v>-2.1400000000000148</v>
      </c>
      <c r="J322" s="3">
        <f ca="1">'ETF price'!K324-'ETF price'!K323</f>
        <v>-1.1500000000000057</v>
      </c>
      <c r="K322" s="3">
        <f ca="1">'ETF price'!L324-'ETF price'!L323</f>
        <v>-1.2400000000000091</v>
      </c>
      <c r="L322" s="3">
        <f ca="1">'ETF price'!M324-'ETF price'!M323</f>
        <v>-1.2999999999999972</v>
      </c>
      <c r="M322" s="3">
        <f ca="1">'ETF price'!N324-'ETF price'!N323</f>
        <v>-0.53000000000000824</v>
      </c>
      <c r="N322" s="3">
        <f ca="1">'ETF price'!O324-'ETF price'!O323</f>
        <v>-0.60000000000000142</v>
      </c>
      <c r="O322" s="3">
        <f ca="1">'ETF price'!P324-'ETF price'!P323</f>
        <v>0.1600000000000108</v>
      </c>
      <c r="P322" s="3">
        <f ca="1">'ETF price'!Q324-'ETF price'!Q323</f>
        <v>9.9999999999994316E-2</v>
      </c>
      <c r="Q322" s="3">
        <f ca="1">'ETF price'!R324-'ETF price'!R323</f>
        <v>-0.5899999999999892</v>
      </c>
      <c r="R322" s="3">
        <f ca="1">'ETF price'!S324-'ETF price'!S323</f>
        <v>-0.85000000000000142</v>
      </c>
      <c r="S322" s="3">
        <f ca="1">'ETF price'!T324-'ETF price'!T323</f>
        <v>2.9999999999997584E-2</v>
      </c>
      <c r="T322" s="3">
        <f ca="1">'ETF price'!U324-'ETF price'!U323</f>
        <v>0.29000000000000625</v>
      </c>
      <c r="U322" s="3">
        <f ca="1">'ETF price'!V324-'ETF price'!V323</f>
        <v>-0.65999999999999659</v>
      </c>
      <c r="V322" s="3">
        <f ca="1">'ETF price'!W324-'ETF price'!W323</f>
        <v>0.32000000000000028</v>
      </c>
      <c r="W322" s="3">
        <f ca="1">'ETF price'!X324-'ETF price'!X323</f>
        <v>0.6600000000000108</v>
      </c>
      <c r="X322" s="3">
        <f ca="1">'ETF price'!Y324-'ETF price'!Y323</f>
        <v>-0.40999999999999659</v>
      </c>
      <c r="Y322" s="3">
        <f ca="1">'ETF price'!Z324-'ETF price'!Z323</f>
        <v>0.68000000000000682</v>
      </c>
      <c r="Z322" s="3">
        <f ca="1">'ETF price'!AA324-'ETF price'!AA323</f>
        <v>-0.64000000000000057</v>
      </c>
      <c r="AA322" s="3">
        <f ca="1">'ETF price'!AB324-'ETF price'!AB323</f>
        <v>-0.83999999999999631</v>
      </c>
      <c r="AB322" s="3">
        <f ca="1">'ETF price'!AC324-'ETF price'!AC323</f>
        <v>0.28000000000000114</v>
      </c>
      <c r="AC322" s="3">
        <f ca="1">'ETF price'!AD324-'ETF price'!AD323</f>
        <v>-1.9999999999999574E-2</v>
      </c>
      <c r="AD322" s="3">
        <f ca="1">'ETF price'!AE324-'ETF price'!AE323</f>
        <v>-5.0000000000000711E-2</v>
      </c>
      <c r="AE322" s="3">
        <f ca="1">'ETF price'!AF324-'ETF price'!AF323</f>
        <v>0</v>
      </c>
      <c r="AF322" s="3">
        <f ca="1">'ETF price'!AG324-'ETF price'!AG323</f>
        <v>0.17000000000000171</v>
      </c>
    </row>
    <row r="323" spans="1:32" ht="12.75" x14ac:dyDescent="0.2">
      <c r="A323" s="3">
        <f ca="1">'ETF price'!B325-'ETF price'!B324</f>
        <v>0.53999999999999204</v>
      </c>
      <c r="B323" s="3">
        <f ca="1">'ETF price'!C325-'ETF price'!C324</f>
        <v>1.3799999999999955</v>
      </c>
      <c r="C323" s="3">
        <f ca="1">'ETF price'!D325-'ETF price'!D324</f>
        <v>-0.49000000000000909</v>
      </c>
      <c r="D323" s="3">
        <f ca="1">'ETF price'!E325-'ETF price'!E324</f>
        <v>0</v>
      </c>
      <c r="E323" s="3">
        <f ca="1">'ETF price'!F325-'ETF price'!F324</f>
        <v>0.26000000000000512</v>
      </c>
      <c r="F323" s="3">
        <f ca="1">'ETF price'!G325-'ETF price'!G324</f>
        <v>8.9999999999999858E-2</v>
      </c>
      <c r="G323" s="3">
        <f ca="1">'ETF price'!H325-'ETF price'!H324</f>
        <v>0.21000000000000085</v>
      </c>
      <c r="H323" s="3">
        <f ca="1">'ETF price'!I325-'ETF price'!I324</f>
        <v>-0.10999999999998522</v>
      </c>
      <c r="I323" s="3">
        <f ca="1">'ETF price'!J325-'ETF price'!J324</f>
        <v>0.34999999999999432</v>
      </c>
      <c r="J323" s="3">
        <f ca="1">'ETF price'!K325-'ETF price'!K324</f>
        <v>1.1399999999999864</v>
      </c>
      <c r="K323" s="3">
        <f ca="1">'ETF price'!L325-'ETF price'!L324</f>
        <v>3.6400000000000006</v>
      </c>
      <c r="L323" s="3">
        <f ca="1">'ETF price'!M325-'ETF price'!M324</f>
        <v>0.84000000000000341</v>
      </c>
      <c r="M323" s="3">
        <f ca="1">'ETF price'!N325-'ETF price'!N324</f>
        <v>0.10000000000000142</v>
      </c>
      <c r="N323" s="3">
        <f ca="1">'ETF price'!O325-'ETF price'!O324</f>
        <v>0.52000000000000313</v>
      </c>
      <c r="O323" s="3">
        <f ca="1">'ETF price'!P325-'ETF price'!P324</f>
        <v>-1.0300000000000011</v>
      </c>
      <c r="P323" s="3">
        <f ca="1">'ETF price'!Q325-'ETF price'!Q324</f>
        <v>-1.3999999999999915</v>
      </c>
      <c r="Q323" s="3">
        <f ca="1">'ETF price'!R325-'ETF price'!R324</f>
        <v>0.46999999999999886</v>
      </c>
      <c r="R323" s="3">
        <f ca="1">'ETF price'!S325-'ETF price'!S324</f>
        <v>0.31000000000000227</v>
      </c>
      <c r="S323" s="3">
        <f ca="1">'ETF price'!T325-'ETF price'!T324</f>
        <v>-9.9999999999997868E-2</v>
      </c>
      <c r="T323" s="3">
        <f ca="1">'ETF price'!U325-'ETF price'!U324</f>
        <v>-1.25</v>
      </c>
      <c r="U323" s="3">
        <f ca="1">'ETF price'!V325-'ETF price'!V324</f>
        <v>2.0300000000000011</v>
      </c>
      <c r="V323" s="3">
        <f ca="1">'ETF price'!W325-'ETF price'!W324</f>
        <v>0.37999999999999545</v>
      </c>
      <c r="W323" s="3">
        <f ca="1">'ETF price'!X325-'ETF price'!X324</f>
        <v>1.1400000000000006</v>
      </c>
      <c r="X323" s="3">
        <f ca="1">'ETF price'!Y325-'ETF price'!Y324</f>
        <v>0.82999999999999829</v>
      </c>
      <c r="Y323" s="3">
        <f ca="1">'ETF price'!Z325-'ETF price'!Z324</f>
        <v>0.96999999999999886</v>
      </c>
      <c r="Z323" s="3">
        <f ca="1">'ETF price'!AA325-'ETF price'!AA324</f>
        <v>0.82999999999999829</v>
      </c>
      <c r="AA323" s="3">
        <f ca="1">'ETF price'!AB325-'ETF price'!AB324</f>
        <v>1.259999999999998</v>
      </c>
      <c r="AB323" s="3">
        <f ca="1">'ETF price'!AC325-'ETF price'!AC324</f>
        <v>-0.32999999999999829</v>
      </c>
      <c r="AC323" s="3">
        <f ca="1">'ETF price'!AD325-'ETF price'!AD324</f>
        <v>-0.38000000000000078</v>
      </c>
      <c r="AD323" s="3">
        <f ca="1">'ETF price'!AE325-'ETF price'!AE324</f>
        <v>-0.55999999999999872</v>
      </c>
      <c r="AE323" s="3">
        <f ca="1">'ETF price'!AF325-'ETF price'!AF324</f>
        <v>-6.0000000000000053E-2</v>
      </c>
      <c r="AF323" s="3">
        <f ca="1">'ETF price'!AG325-'ETF price'!AG324</f>
        <v>-0.44999999999999929</v>
      </c>
    </row>
    <row r="324" spans="1:32" ht="12.75" x14ac:dyDescent="0.2">
      <c r="A324" s="3">
        <f ca="1">'ETF price'!B326-'ETF price'!B325</f>
        <v>0.46000000000000796</v>
      </c>
      <c r="B324" s="3">
        <f ca="1">'ETF price'!C326-'ETF price'!C325</f>
        <v>1.0799999999999841</v>
      </c>
      <c r="C324" s="3">
        <f ca="1">'ETF price'!D326-'ETF price'!D325</f>
        <v>-0.31999999999999318</v>
      </c>
      <c r="D324" s="3">
        <f ca="1">'ETF price'!E326-'ETF price'!E325</f>
        <v>0.60999999999998522</v>
      </c>
      <c r="E324" s="3">
        <f ca="1">'ETF price'!F326-'ETF price'!F325</f>
        <v>-0.11000000000000654</v>
      </c>
      <c r="F324" s="3">
        <f ca="1">'ETF price'!G326-'ETF price'!G325</f>
        <v>0.12000000000000099</v>
      </c>
      <c r="G324" s="3">
        <f ca="1">'ETF price'!H326-'ETF price'!H325</f>
        <v>-5.0000000000000711E-2</v>
      </c>
      <c r="H324" s="3">
        <f ca="1">'ETF price'!I326-'ETF price'!I325</f>
        <v>-0.92000000000001592</v>
      </c>
      <c r="I324" s="3">
        <f ca="1">'ETF price'!J326-'ETF price'!J325</f>
        <v>-1.5199999999999818</v>
      </c>
      <c r="J324" s="3">
        <f ca="1">'ETF price'!K326-'ETF price'!K325</f>
        <v>-0.90999999999999659</v>
      </c>
      <c r="K324" s="3">
        <f ca="1">'ETF price'!L326-'ETF price'!L325</f>
        <v>-0.5</v>
      </c>
      <c r="L324" s="3">
        <f ca="1">'ETF price'!M326-'ETF price'!M325</f>
        <v>-0.67999999999999972</v>
      </c>
      <c r="M324" s="3">
        <f ca="1">'ETF price'!N326-'ETF price'!N325</f>
        <v>-0.43999999999999773</v>
      </c>
      <c r="N324" s="3">
        <f ca="1">'ETF price'!O326-'ETF price'!O325</f>
        <v>-0.68999999999999773</v>
      </c>
      <c r="O324" s="3">
        <f ca="1">'ETF price'!P326-'ETF price'!P325</f>
        <v>0.34000000000000341</v>
      </c>
      <c r="P324" s="3">
        <f ca="1">'ETF price'!Q326-'ETF price'!Q325</f>
        <v>0.31000000000000227</v>
      </c>
      <c r="Q324" s="3">
        <f ca="1">'ETF price'!R326-'ETF price'!R325</f>
        <v>0.3399999999999892</v>
      </c>
      <c r="R324" s="3">
        <f ca="1">'ETF price'!S326-'ETF price'!S325</f>
        <v>0.32000000000000028</v>
      </c>
      <c r="S324" s="3">
        <f ca="1">'ETF price'!T326-'ETF price'!T325</f>
        <v>5.0000000000000711E-2</v>
      </c>
      <c r="T324" s="3">
        <f ca="1">'ETF price'!U326-'ETF price'!U325</f>
        <v>-0.10999999999999943</v>
      </c>
      <c r="U324" s="3">
        <f ca="1">'ETF price'!V326-'ETF price'!V325</f>
        <v>4.0000000000006253E-2</v>
      </c>
      <c r="V324" s="3">
        <f ca="1">'ETF price'!W326-'ETF price'!W325</f>
        <v>0.10000000000000142</v>
      </c>
      <c r="W324" s="3">
        <f ca="1">'ETF price'!X326-'ETF price'!X325</f>
        <v>0.22999999999998977</v>
      </c>
      <c r="X324" s="3">
        <f ca="1">'ETF price'!Y326-'ETF price'!Y325</f>
        <v>-0.5</v>
      </c>
      <c r="Y324" s="3">
        <f ca="1">'ETF price'!Z326-'ETF price'!Z325</f>
        <v>0.36999999999999034</v>
      </c>
      <c r="Z324" s="3">
        <f ca="1">'ETF price'!AA326-'ETF price'!AA325</f>
        <v>-6.0000000000002274E-2</v>
      </c>
      <c r="AA324" s="3">
        <f ca="1">'ETF price'!AB326-'ETF price'!AB325</f>
        <v>-0.93999999999999773</v>
      </c>
      <c r="AB324" s="3">
        <f ca="1">'ETF price'!AC326-'ETF price'!AC325</f>
        <v>-0.25</v>
      </c>
      <c r="AC324" s="3">
        <f ca="1">'ETF price'!AD326-'ETF price'!AD325</f>
        <v>0.32000000000000028</v>
      </c>
      <c r="AD324" s="3">
        <f ca="1">'ETF price'!AE326-'ETF price'!AE325</f>
        <v>0.46999999999999886</v>
      </c>
      <c r="AE324" s="3">
        <f ca="1">'ETF price'!AF326-'ETF price'!AF325</f>
        <v>6.0000000000000053E-2</v>
      </c>
      <c r="AF324" s="3">
        <f ca="1">'ETF price'!AG326-'ETF price'!AG325</f>
        <v>0.41999999999999815</v>
      </c>
    </row>
    <row r="325" spans="1:32" ht="12.75" x14ac:dyDescent="0.2">
      <c r="A325" s="3">
        <f ca="1">'ETF price'!B327-'ETF price'!B326</f>
        <v>-0.43000000000000682</v>
      </c>
      <c r="B325" s="3">
        <f ca="1">'ETF price'!C327-'ETF price'!C326</f>
        <v>-0.80000000000001137</v>
      </c>
      <c r="C325" s="3">
        <f ca="1">'ETF price'!D327-'ETF price'!D326</f>
        <v>-0.35999999999999943</v>
      </c>
      <c r="D325" s="3">
        <f ca="1">'ETF price'!E327-'ETF price'!E326</f>
        <v>-1.5499999999999829</v>
      </c>
      <c r="E325" s="3">
        <f ca="1">'ETF price'!F327-'ETF price'!F326</f>
        <v>-0.69999999999999574</v>
      </c>
      <c r="F325" s="3">
        <f ca="1">'ETF price'!G327-'ETF price'!G326</f>
        <v>1.9999999999999574E-2</v>
      </c>
      <c r="G325" s="3">
        <f ca="1">'ETF price'!H327-'ETF price'!H326</f>
        <v>-0.14999999999999858</v>
      </c>
      <c r="H325" s="3">
        <f ca="1">'ETF price'!I327-'ETF price'!I326</f>
        <v>0.40999999999999659</v>
      </c>
      <c r="I325" s="3">
        <f ca="1">'ETF price'!J327-'ETF price'!J326</f>
        <v>0.78999999999999204</v>
      </c>
      <c r="J325" s="3">
        <f ca="1">'ETF price'!K327-'ETF price'!K326</f>
        <v>0.56000000000000227</v>
      </c>
      <c r="K325" s="3">
        <f ca="1">'ETF price'!L327-'ETF price'!L326</f>
        <v>1.019999999999996</v>
      </c>
      <c r="L325" s="3">
        <f ca="1">'ETF price'!M327-'ETF price'!M326</f>
        <v>4.9999999999997158E-2</v>
      </c>
      <c r="M325" s="3">
        <f ca="1">'ETF price'!N327-'ETF price'!N326</f>
        <v>0.21999999999999886</v>
      </c>
      <c r="N325" s="3">
        <f ca="1">'ETF price'!O327-'ETF price'!O326</f>
        <v>0.68999999999999773</v>
      </c>
      <c r="O325" s="3">
        <f ca="1">'ETF price'!P327-'ETF price'!P326</f>
        <v>-0.30000000000001137</v>
      </c>
      <c r="P325" s="3">
        <f ca="1">'ETF price'!Q327-'ETF price'!Q326</f>
        <v>-0.44000000000001194</v>
      </c>
      <c r="Q325" s="3">
        <f ca="1">'ETF price'!R327-'ETF price'!R326</f>
        <v>-0.22999999999998977</v>
      </c>
      <c r="R325" s="3">
        <f ca="1">'ETF price'!S327-'ETF price'!S326</f>
        <v>-0.71999999999999886</v>
      </c>
      <c r="S325" s="3">
        <f ca="1">'ETF price'!T327-'ETF price'!T326</f>
        <v>-0.34000000000000341</v>
      </c>
      <c r="T325" s="3">
        <f ca="1">'ETF price'!U327-'ETF price'!U326</f>
        <v>-1.4300000000000068</v>
      </c>
      <c r="U325" s="3">
        <f ca="1">'ETF price'!V327-'ETF price'!V326</f>
        <v>-0.62000000000000455</v>
      </c>
      <c r="V325" s="3">
        <f ca="1">'ETF price'!W327-'ETF price'!W326</f>
        <v>7.9999999999998295E-2</v>
      </c>
      <c r="W325" s="3">
        <f ca="1">'ETF price'!X327-'ETF price'!X326</f>
        <v>0.58000000000001251</v>
      </c>
      <c r="X325" s="3">
        <f ca="1">'ETF price'!Y327-'ETF price'!Y326</f>
        <v>1.1300000000000026</v>
      </c>
      <c r="Y325" s="3">
        <f ca="1">'ETF price'!Z327-'ETF price'!Z326</f>
        <v>0.40000000000000568</v>
      </c>
      <c r="Z325" s="3">
        <f ca="1">'ETF price'!AA327-'ETF price'!AA326</f>
        <v>0.22000000000000597</v>
      </c>
      <c r="AA325" s="3">
        <f ca="1">'ETF price'!AB327-'ETF price'!AB326</f>
        <v>1.6799999999999997</v>
      </c>
      <c r="AB325" s="3">
        <f ca="1">'ETF price'!AC327-'ETF price'!AC326</f>
        <v>-0.24000000000000199</v>
      </c>
      <c r="AC325" s="3">
        <f ca="1">'ETF price'!AD327-'ETF price'!AD326</f>
        <v>-0.41000000000000014</v>
      </c>
      <c r="AD325" s="3">
        <f ca="1">'ETF price'!AE327-'ETF price'!AE326</f>
        <v>-0.62000000000000099</v>
      </c>
      <c r="AE325" s="3">
        <f ca="1">'ETF price'!AF327-'ETF price'!AF326</f>
        <v>-0.21999999999999975</v>
      </c>
      <c r="AF325" s="3">
        <f ca="1">'ETF price'!AG327-'ETF price'!AG326</f>
        <v>-1.5199999999999996</v>
      </c>
    </row>
    <row r="326" spans="1:32" ht="12.75" x14ac:dyDescent="0.2">
      <c r="A326" s="3">
        <f ca="1">'ETF price'!B328-'ETF price'!B327</f>
        <v>-0.97999999999998977</v>
      </c>
      <c r="B326" s="3">
        <f ca="1">'ETF price'!C328-'ETF price'!C327</f>
        <v>-2.7399999999999523</v>
      </c>
      <c r="C326" s="3">
        <f ca="1">'ETF price'!D328-'ETF price'!D327</f>
        <v>-2.0999999999999943</v>
      </c>
      <c r="D326" s="3">
        <f ca="1">'ETF price'!E328-'ETF price'!E327</f>
        <v>-0.12999999999999545</v>
      </c>
      <c r="E326" s="3">
        <f ca="1">'ETF price'!F328-'ETF price'!F327</f>
        <v>-0.34000000000000341</v>
      </c>
      <c r="F326" s="3">
        <f ca="1">'ETF price'!G328-'ETF price'!G327</f>
        <v>-0.12000000000000099</v>
      </c>
      <c r="G326" s="3">
        <f ca="1">'ETF price'!H328-'ETF price'!H327</f>
        <v>-0.14000000000000057</v>
      </c>
      <c r="H326" s="3">
        <f ca="1">'ETF price'!I328-'ETF price'!I327</f>
        <v>-0.54999999999998295</v>
      </c>
      <c r="I326" s="3">
        <f ca="1">'ETF price'!J328-'ETF price'!J327</f>
        <v>-1.1500000000000057</v>
      </c>
      <c r="J326" s="3">
        <f ca="1">'ETF price'!K328-'ETF price'!K327</f>
        <v>-1.2800000000000011</v>
      </c>
      <c r="K326" s="3">
        <f ca="1">'ETF price'!L328-'ETF price'!L327</f>
        <v>-1.7299999999999898</v>
      </c>
      <c r="L326" s="3">
        <f ca="1">'ETF price'!M328-'ETF price'!M327</f>
        <v>-0.60999999999999943</v>
      </c>
      <c r="M326" s="3">
        <f ca="1">'ETF price'!N328-'ETF price'!N327</f>
        <v>-0.25</v>
      </c>
      <c r="N326" s="3">
        <f ca="1">'ETF price'!O328-'ETF price'!O327</f>
        <v>-1.0799999999999983</v>
      </c>
      <c r="O326" s="3">
        <f ca="1">'ETF price'!P328-'ETF price'!P327</f>
        <v>-0.75999999999999091</v>
      </c>
      <c r="P326" s="3">
        <f ca="1">'ETF price'!Q328-'ETF price'!Q327</f>
        <v>-1.1400000000000006</v>
      </c>
      <c r="Q326" s="3">
        <f ca="1">'ETF price'!R328-'ETF price'!R327</f>
        <v>-9.0000000000003411E-2</v>
      </c>
      <c r="R326" s="3">
        <f ca="1">'ETF price'!S328-'ETF price'!S327</f>
        <v>-0.79999999999999716</v>
      </c>
      <c r="S326" s="3">
        <f ca="1">'ETF price'!T328-'ETF price'!T327</f>
        <v>-0.2099999999999973</v>
      </c>
      <c r="T326" s="3">
        <f ca="1">'ETF price'!U328-'ETF price'!U327</f>
        <v>-1.7000000000000028</v>
      </c>
      <c r="U326" s="3">
        <f ca="1">'ETF price'!V328-'ETF price'!V327</f>
        <v>-0.15000000000000568</v>
      </c>
      <c r="V326" s="3">
        <f ca="1">'ETF price'!W328-'ETF price'!W327</f>
        <v>-9.9999999999994316E-2</v>
      </c>
      <c r="W326" s="3">
        <f ca="1">'ETF price'!X328-'ETF price'!X327</f>
        <v>-0.51000000000000512</v>
      </c>
      <c r="X326" s="3">
        <f ca="1">'ETF price'!Y328-'ETF price'!Y327</f>
        <v>-0.63000000000000256</v>
      </c>
      <c r="Y326" s="3">
        <f ca="1">'ETF price'!Z328-'ETF price'!Z327</f>
        <v>-0.43999999999999773</v>
      </c>
      <c r="Z326" s="3">
        <f ca="1">'ETF price'!AA328-'ETF price'!AA327</f>
        <v>-0.45000000000000284</v>
      </c>
      <c r="AA326" s="3">
        <f ca="1">'ETF price'!AB328-'ETF price'!AB327</f>
        <v>-0.8300000000000054</v>
      </c>
      <c r="AB326" s="3">
        <f ca="1">'ETF price'!AC328-'ETF price'!AC327</f>
        <v>-1.2199999999999989</v>
      </c>
      <c r="AC326" s="3">
        <f ca="1">'ETF price'!AD328-'ETF price'!AD327</f>
        <v>-0.45999999999999908</v>
      </c>
      <c r="AD326" s="3">
        <f ca="1">'ETF price'!AE328-'ETF price'!AE327</f>
        <v>-0.7099999999999973</v>
      </c>
      <c r="AE326" s="3">
        <f ca="1">'ETF price'!AF328-'ETF price'!AF327</f>
        <v>-0.12000000000000011</v>
      </c>
      <c r="AF326" s="3">
        <f ca="1">'ETF price'!AG328-'ETF price'!AG327</f>
        <v>-1.6799999999999997</v>
      </c>
    </row>
    <row r="327" spans="1:32" ht="12.75" x14ac:dyDescent="0.2">
      <c r="A327" s="3">
        <f ca="1">'ETF price'!B329-'ETF price'!B328</f>
        <v>-0.48000000000001819</v>
      </c>
      <c r="B327" s="3">
        <f ca="1">'ETF price'!C329-'ETF price'!C328</f>
        <v>-1.1200000000000045</v>
      </c>
      <c r="C327" s="3">
        <f ca="1">'ETF price'!D329-'ETF price'!D328</f>
        <v>1.2799999999999869</v>
      </c>
      <c r="D327" s="3">
        <f ca="1">'ETF price'!E329-'ETF price'!E328</f>
        <v>-1.0200000000000102</v>
      </c>
      <c r="E327" s="3">
        <f ca="1">'ETF price'!F329-'ETF price'!F328</f>
        <v>0.21999999999999886</v>
      </c>
      <c r="F327" s="3">
        <f ca="1">'ETF price'!G329-'ETF price'!G328</f>
        <v>0.19999999999999929</v>
      </c>
      <c r="G327" s="3">
        <f ca="1">'ETF price'!H329-'ETF price'!H328</f>
        <v>9.9999999999980105E-3</v>
      </c>
      <c r="H327" s="3">
        <f ca="1">'ETF price'!I329-'ETF price'!I328</f>
        <v>0.90000000000000568</v>
      </c>
      <c r="I327" s="3">
        <f ca="1">'ETF price'!J329-'ETF price'!J328</f>
        <v>1.9200000000000159</v>
      </c>
      <c r="J327" s="3">
        <f ca="1">'ETF price'!K329-'ETF price'!K328</f>
        <v>1.5200000000000102</v>
      </c>
      <c r="K327" s="3">
        <f ca="1">'ETF price'!L329-'ETF price'!L328</f>
        <v>1.6499999999999915</v>
      </c>
      <c r="L327" s="3">
        <f ca="1">'ETF price'!M329-'ETF price'!M328</f>
        <v>0.67000000000000171</v>
      </c>
      <c r="M327" s="3">
        <f ca="1">'ETF price'!N329-'ETF price'!N328</f>
        <v>0.46000000000000085</v>
      </c>
      <c r="N327" s="3">
        <f ca="1">'ETF price'!O329-'ETF price'!O328</f>
        <v>0.64000000000000057</v>
      </c>
      <c r="O327" s="3">
        <f ca="1">'ETF price'!P329-'ETF price'!P328</f>
        <v>-0.5</v>
      </c>
      <c r="P327" s="3">
        <f ca="1">'ETF price'!Q329-'ETF price'!Q328</f>
        <v>-0.69999999999998863</v>
      </c>
      <c r="Q327" s="3">
        <f ca="1">'ETF price'!R329-'ETF price'!R328</f>
        <v>-0.71999999999999886</v>
      </c>
      <c r="R327" s="3">
        <f ca="1">'ETF price'!S329-'ETF price'!S328</f>
        <v>-1.3300000000000054</v>
      </c>
      <c r="S327" s="3">
        <f ca="1">'ETF price'!T329-'ETF price'!T328</f>
        <v>-5.0000000000000711E-2</v>
      </c>
      <c r="T327" s="3">
        <f ca="1">'ETF price'!U329-'ETF price'!U328</f>
        <v>0.60999999999999943</v>
      </c>
      <c r="U327" s="3">
        <f ca="1">'ETF price'!V329-'ETF price'!V328</f>
        <v>9.0000000000003411E-2</v>
      </c>
      <c r="V327" s="3">
        <f ca="1">'ETF price'!W329-'ETF price'!W328</f>
        <v>-0.12000000000000455</v>
      </c>
      <c r="W327" s="3">
        <f ca="1">'ETF price'!X329-'ETF price'!X328</f>
        <v>-0.48000000000000398</v>
      </c>
      <c r="X327" s="3">
        <f ca="1">'ETF price'!Y329-'ETF price'!Y328</f>
        <v>-0.45000000000000284</v>
      </c>
      <c r="Y327" s="3">
        <f ca="1">'ETF price'!Z329-'ETF price'!Z328</f>
        <v>-0.43999999999999773</v>
      </c>
      <c r="Z327" s="3">
        <f ca="1">'ETF price'!AA329-'ETF price'!AA328</f>
        <v>3.9999999999999147E-2</v>
      </c>
      <c r="AA327" s="3">
        <f ca="1">'ETF price'!AB329-'ETF price'!AB328</f>
        <v>-0.54999999999999716</v>
      </c>
      <c r="AB327" s="3">
        <f ca="1">'ETF price'!AC329-'ETF price'!AC328</f>
        <v>-0.45000000000000284</v>
      </c>
      <c r="AC327" s="3">
        <f ca="1">'ETF price'!AD329-'ETF price'!AD328</f>
        <v>-0.3100000000000005</v>
      </c>
      <c r="AD327" s="3">
        <f ca="1">'ETF price'!AE329-'ETF price'!AE328</f>
        <v>-0.47000000000000242</v>
      </c>
      <c r="AE327" s="3">
        <f ca="1">'ETF price'!AF329-'ETF price'!AF328</f>
        <v>-4.0000000000000036E-2</v>
      </c>
      <c r="AF327" s="3">
        <f ca="1">'ETF price'!AG329-'ETF price'!AG328</f>
        <v>-0.30000000000000071</v>
      </c>
    </row>
    <row r="328" spans="1:32" ht="12.75" x14ac:dyDescent="0.2">
      <c r="A328" s="3">
        <f ca="1">'ETF price'!B330-'ETF price'!B329</f>
        <v>-0.64999999999997726</v>
      </c>
      <c r="B328" s="3">
        <f ca="1">'ETF price'!C330-'ETF price'!C329</f>
        <v>-1.6400000000000432</v>
      </c>
      <c r="C328" s="3">
        <f ca="1">'ETF price'!D330-'ETF price'!D329</f>
        <v>2.3500000000000085</v>
      </c>
      <c r="D328" s="3">
        <f ca="1">'ETF price'!E330-'ETF price'!E329</f>
        <v>-0.62999999999999545</v>
      </c>
      <c r="E328" s="3">
        <f ca="1">'ETF price'!F330-'ETF price'!F329</f>
        <v>-0.43999999999999773</v>
      </c>
      <c r="F328" s="3">
        <f ca="1">'ETF price'!G330-'ETF price'!G329</f>
        <v>-8.9999999999999858E-2</v>
      </c>
      <c r="G328" s="3">
        <f ca="1">'ETF price'!H330-'ETF price'!H329</f>
        <v>-7.0000000000000284E-2</v>
      </c>
      <c r="H328" s="3">
        <f ca="1">'ETF price'!I330-'ETF price'!I329</f>
        <v>0.75</v>
      </c>
      <c r="I328" s="3">
        <f ca="1">'ETF price'!J330-'ETF price'!J329</f>
        <v>1.1099999999999852</v>
      </c>
      <c r="J328" s="3">
        <f ca="1">'ETF price'!K330-'ETF price'!K329</f>
        <v>-0.40999999999999659</v>
      </c>
      <c r="K328" s="3">
        <f ca="1">'ETF price'!L330-'ETF price'!L329</f>
        <v>-1.0499999999999972</v>
      </c>
      <c r="L328" s="3">
        <f ca="1">'ETF price'!M330-'ETF price'!M329</f>
        <v>-0.67999999999999972</v>
      </c>
      <c r="M328" s="3">
        <f ca="1">'ETF price'!N330-'ETF price'!N329</f>
        <v>0.30000000000000426</v>
      </c>
      <c r="N328" s="3">
        <f ca="1">'ETF price'!O330-'ETF price'!O329</f>
        <v>-0.37000000000000455</v>
      </c>
      <c r="O328" s="3">
        <f ca="1">'ETF price'!P330-'ETF price'!P329</f>
        <v>1.2999999999999972</v>
      </c>
      <c r="P328" s="3">
        <f ca="1">'ETF price'!Q330-'ETF price'!Q329</f>
        <v>1.8599999999999994</v>
      </c>
      <c r="Q328" s="3">
        <f ca="1">'ETF price'!R330-'ETF price'!R329</f>
        <v>0.54999999999999716</v>
      </c>
      <c r="R328" s="3">
        <f ca="1">'ETF price'!S330-'ETF price'!S329</f>
        <v>0.46999999999999886</v>
      </c>
      <c r="S328" s="3">
        <f ca="1">'ETF price'!T330-'ETF price'!T329</f>
        <v>0.19000000000000128</v>
      </c>
      <c r="T328" s="3">
        <f ca="1">'ETF price'!U330-'ETF price'!U329</f>
        <v>1.0400000000000063</v>
      </c>
      <c r="U328" s="3">
        <f ca="1">'ETF price'!V330-'ETF price'!V329</f>
        <v>-3.9999999999992042E-2</v>
      </c>
      <c r="V328" s="3">
        <f ca="1">'ETF price'!W330-'ETF price'!W329</f>
        <v>-7.9999999999998295E-2</v>
      </c>
      <c r="W328" s="3">
        <f ca="1">'ETF price'!X330-'ETF price'!X329</f>
        <v>-0.18999999999999773</v>
      </c>
      <c r="X328" s="3">
        <f ca="1">'ETF price'!Y330-'ETF price'!Y329</f>
        <v>-0.1699999999999946</v>
      </c>
      <c r="Y328" s="3">
        <f ca="1">'ETF price'!Z330-'ETF price'!Z329</f>
        <v>-0.15000000000000568</v>
      </c>
      <c r="Z328" s="3">
        <f ca="1">'ETF price'!AA330-'ETF price'!AA329</f>
        <v>-0.10000000000000142</v>
      </c>
      <c r="AA328" s="3">
        <f ca="1">'ETF price'!AB330-'ETF price'!AB329</f>
        <v>-0.21999999999999886</v>
      </c>
      <c r="AB328" s="3">
        <f ca="1">'ETF price'!AC330-'ETF price'!AC329</f>
        <v>0.75999999999999801</v>
      </c>
      <c r="AC328" s="3">
        <f ca="1">'ETF price'!AD330-'ETF price'!AD329</f>
        <v>4.9999999999998934E-2</v>
      </c>
      <c r="AD328" s="3">
        <f ca="1">'ETF price'!AE330-'ETF price'!AE329</f>
        <v>6.0000000000002274E-2</v>
      </c>
      <c r="AE328" s="3">
        <f ca="1">'ETF price'!AF330-'ETF price'!AF329</f>
        <v>4.0000000000000036E-2</v>
      </c>
      <c r="AF328" s="3">
        <f ca="1">'ETF price'!AG330-'ETF price'!AG329</f>
        <v>-0.42999999999999972</v>
      </c>
    </row>
    <row r="329" spans="1:32" ht="12.75" x14ac:dyDescent="0.2">
      <c r="A329" s="3">
        <f ca="1">'ETF price'!B331-'ETF price'!B330</f>
        <v>-3.1400000000000148</v>
      </c>
      <c r="B329" s="3">
        <f ca="1">'ETF price'!C331-'ETF price'!C330</f>
        <v>-8.1299999999999955</v>
      </c>
      <c r="C329" s="3">
        <f ca="1">'ETF price'!D331-'ETF price'!D330</f>
        <v>0.73000000000000398</v>
      </c>
      <c r="D329" s="3">
        <f ca="1">'ETF price'!E331-'ETF price'!E330</f>
        <v>-4.6400000000000148</v>
      </c>
      <c r="E329" s="3">
        <f ca="1">'ETF price'!F331-'ETF price'!F330</f>
        <v>-1.6400000000000006</v>
      </c>
      <c r="F329" s="3">
        <f ca="1">'ETF price'!G331-'ETF price'!G330</f>
        <v>-0.48999999999999844</v>
      </c>
      <c r="G329" s="3">
        <f ca="1">'ETF price'!H331-'ETF price'!H330</f>
        <v>-0.57999999999999829</v>
      </c>
      <c r="H329" s="3">
        <f ca="1">'ETF price'!I331-'ETF price'!I330</f>
        <v>-1.4399999999999977</v>
      </c>
      <c r="I329" s="3">
        <f ca="1">'ETF price'!J331-'ETF price'!J330</f>
        <v>-3.0099999999999909</v>
      </c>
      <c r="J329" s="3">
        <f ca="1">'ETF price'!K331-'ETF price'!K330</f>
        <v>-2.5500000000000114</v>
      </c>
      <c r="K329" s="3">
        <f ca="1">'ETF price'!L331-'ETF price'!L330</f>
        <v>-1.2099999999999937</v>
      </c>
      <c r="L329" s="3">
        <f ca="1">'ETF price'!M331-'ETF price'!M330</f>
        <v>-1.0799999999999983</v>
      </c>
      <c r="M329" s="3">
        <f ca="1">'ETF price'!N331-'ETF price'!N330</f>
        <v>-0.75000000000000711</v>
      </c>
      <c r="N329" s="3">
        <f ca="1">'ETF price'!O331-'ETF price'!O330</f>
        <v>-1.5</v>
      </c>
      <c r="O329" s="3">
        <f ca="1">'ETF price'!P331-'ETF price'!P330</f>
        <v>-1.6200000000000045</v>
      </c>
      <c r="P329" s="3">
        <f ca="1">'ETF price'!Q331-'ETF price'!Q330</f>
        <v>-2.5</v>
      </c>
      <c r="Q329" s="3">
        <f ca="1">'ETF price'!R331-'ETF price'!R330</f>
        <v>-1.7600000000000051</v>
      </c>
      <c r="R329" s="3">
        <f ca="1">'ETF price'!S331-'ETF price'!S330</f>
        <v>-1.509999999999998</v>
      </c>
      <c r="S329" s="3">
        <f ca="1">'ETF price'!T331-'ETF price'!T330</f>
        <v>-0.33999999999999986</v>
      </c>
      <c r="T329" s="3">
        <f ca="1">'ETF price'!U331-'ETF price'!U330</f>
        <v>-1.6299999999999955</v>
      </c>
      <c r="U329" s="3">
        <f ca="1">'ETF price'!V331-'ETF price'!V330</f>
        <v>-2.0600000000000023</v>
      </c>
      <c r="V329" s="3">
        <f ca="1">'ETF price'!W331-'ETF price'!W330</f>
        <v>-0.57000000000000028</v>
      </c>
      <c r="W329" s="3">
        <f ca="1">'ETF price'!X331-'ETF price'!X330</f>
        <v>-1.6099999999999994</v>
      </c>
      <c r="X329" s="3">
        <f ca="1">'ETF price'!Y331-'ETF price'!Y330</f>
        <v>-1.3500000000000014</v>
      </c>
      <c r="Y329" s="3">
        <f ca="1">'ETF price'!Z331-'ETF price'!Z330</f>
        <v>-1.3599999999999994</v>
      </c>
      <c r="Z329" s="3">
        <f ca="1">'ETF price'!AA331-'ETF price'!AA330</f>
        <v>-0.33999999999999631</v>
      </c>
      <c r="AA329" s="3">
        <f ca="1">'ETF price'!AB331-'ETF price'!AB330</f>
        <v>-1.8000000000000043</v>
      </c>
      <c r="AB329" s="3">
        <f ca="1">'ETF price'!AC331-'ETF price'!AC330</f>
        <v>0.70000000000000284</v>
      </c>
      <c r="AC329" s="3">
        <f ca="1">'ETF price'!AD331-'ETF price'!AD330</f>
        <v>7.0000000000000284E-2</v>
      </c>
      <c r="AD329" s="3">
        <f ca="1">'ETF price'!AE331-'ETF price'!AE330</f>
        <v>0.14000000000000057</v>
      </c>
      <c r="AE329" s="3">
        <f ca="1">'ETF price'!AF331-'ETF price'!AF330</f>
        <v>6.0000000000000053E-2</v>
      </c>
      <c r="AF329" s="3">
        <f ca="1">'ETF price'!AG331-'ETF price'!AG330</f>
        <v>-0.25</v>
      </c>
    </row>
    <row r="330" spans="1:32" ht="12.75" x14ac:dyDescent="0.2">
      <c r="A330" s="3">
        <f ca="1">'ETF price'!B332-'ETF price'!B331</f>
        <v>2.1400000000000148</v>
      </c>
      <c r="B330" s="3">
        <f ca="1">'ETF price'!C332-'ETF price'!C331</f>
        <v>4.9000000000000341</v>
      </c>
      <c r="C330" s="3">
        <f ca="1">'ETF price'!D332-'ETF price'!D331</f>
        <v>0.12999999999999545</v>
      </c>
      <c r="D330" s="3">
        <f ca="1">'ETF price'!E332-'ETF price'!E331</f>
        <v>0.71000000000000796</v>
      </c>
      <c r="E330" s="3">
        <f ca="1">'ETF price'!F332-'ETF price'!F331</f>
        <v>-0.12999999999999545</v>
      </c>
      <c r="F330" s="3">
        <f ca="1">'ETF price'!G332-'ETF price'!G331</f>
        <v>-8.9999999999999858E-2</v>
      </c>
      <c r="G330" s="3">
        <f ca="1">'ETF price'!H332-'ETF price'!H331</f>
        <v>-0.14000000000000057</v>
      </c>
      <c r="H330" s="3">
        <f ca="1">'ETF price'!I332-'ETF price'!I331</f>
        <v>-1.9000000000000057</v>
      </c>
      <c r="I330" s="3">
        <f ca="1">'ETF price'!J332-'ETF price'!J331</f>
        <v>-3.2000000000000171</v>
      </c>
      <c r="J330" s="3">
        <f ca="1">'ETF price'!K332-'ETF price'!K331</f>
        <v>-1.7599999999999909</v>
      </c>
      <c r="K330" s="3">
        <f ca="1">'ETF price'!L332-'ETF price'!L331</f>
        <v>-0.6600000000000108</v>
      </c>
      <c r="L330" s="3">
        <f ca="1">'ETF price'!M332-'ETF price'!M331</f>
        <v>-0.70000000000000284</v>
      </c>
      <c r="M330" s="3">
        <f ca="1">'ETF price'!N332-'ETF price'!N331</f>
        <v>-0.83999999999999631</v>
      </c>
      <c r="N330" s="3">
        <f ca="1">'ETF price'!O332-'ETF price'!O331</f>
        <v>-0.36999999999999744</v>
      </c>
      <c r="O330" s="3">
        <f ca="1">'ETF price'!P332-'ETF price'!P331</f>
        <v>-1.1299999999999955</v>
      </c>
      <c r="P330" s="3">
        <f ca="1">'ETF price'!Q332-'ETF price'!Q331</f>
        <v>-1.5200000000000102</v>
      </c>
      <c r="Q330" s="3">
        <f ca="1">'ETF price'!R332-'ETF price'!R331</f>
        <v>-0.93999999999999773</v>
      </c>
      <c r="R330" s="3">
        <f ca="1">'ETF price'!S332-'ETF price'!S331</f>
        <v>-0.55999999999999517</v>
      </c>
      <c r="S330" s="3">
        <f ca="1">'ETF price'!T332-'ETF price'!T331</f>
        <v>-0.36000000000000298</v>
      </c>
      <c r="T330" s="3">
        <f ca="1">'ETF price'!U332-'ETF price'!U331</f>
        <v>-2.2600000000000051</v>
      </c>
      <c r="U330" s="3">
        <f ca="1">'ETF price'!V332-'ETF price'!V331</f>
        <v>-4.1700000000000017</v>
      </c>
      <c r="V330" s="3">
        <f ca="1">'ETF price'!W332-'ETF price'!W331</f>
        <v>-0.31000000000000227</v>
      </c>
      <c r="W330" s="3">
        <f ca="1">'ETF price'!X332-'ETF price'!X331</f>
        <v>-0.79000000000000625</v>
      </c>
      <c r="X330" s="3">
        <f ca="1">'ETF price'!Y332-'ETF price'!Y331</f>
        <v>0.14999999999999858</v>
      </c>
      <c r="Y330" s="3">
        <f ca="1">'ETF price'!Z332-'ETF price'!Z331</f>
        <v>-0.78000000000000114</v>
      </c>
      <c r="Z330" s="3">
        <f ca="1">'ETF price'!AA332-'ETF price'!AA331</f>
        <v>-0.30000000000000426</v>
      </c>
      <c r="AA330" s="3">
        <f ca="1">'ETF price'!AB332-'ETF price'!AB331</f>
        <v>0.25</v>
      </c>
      <c r="AB330" s="3">
        <f ca="1">'ETF price'!AC332-'ETF price'!AC331</f>
        <v>-0.25999999999999801</v>
      </c>
      <c r="AC330" s="3">
        <f ca="1">'ETF price'!AD332-'ETF price'!AD331</f>
        <v>9.9999999999999645E-2</v>
      </c>
      <c r="AD330" s="3">
        <f ca="1">'ETF price'!AE332-'ETF price'!AE331</f>
        <v>0.17999999999999972</v>
      </c>
      <c r="AE330" s="3">
        <f ca="1">'ETF price'!AF332-'ETF price'!AF331</f>
        <v>2.9999999999999805E-2</v>
      </c>
      <c r="AF330" s="3">
        <f ca="1">'ETF price'!AG332-'ETF price'!AG331</f>
        <v>0.62000000000000099</v>
      </c>
    </row>
    <row r="331" spans="1:32" ht="12.75" x14ac:dyDescent="0.2">
      <c r="A331" s="3">
        <f ca="1">'ETF price'!B333-'ETF price'!B332</f>
        <v>3.0999999999999943</v>
      </c>
      <c r="B331" s="3">
        <f ca="1">'ETF price'!C333-'ETF price'!C332</f>
        <v>7.0699999999999932</v>
      </c>
      <c r="C331" s="3">
        <f ca="1">'ETF price'!D333-'ETF price'!D332</f>
        <v>-0.98000000000000398</v>
      </c>
      <c r="D331" s="3">
        <f ca="1">'ETF price'!E333-'ETF price'!E332</f>
        <v>0.56999999999999318</v>
      </c>
      <c r="E331" s="3">
        <f ca="1">'ETF price'!F333-'ETF price'!F332</f>
        <v>0.55999999999999517</v>
      </c>
      <c r="F331" s="3">
        <f ca="1">'ETF price'!G333-'ETF price'!G332</f>
        <v>0.46999999999999886</v>
      </c>
      <c r="G331" s="3">
        <f ca="1">'ETF price'!H333-'ETF price'!H332</f>
        <v>0.35999999999999943</v>
      </c>
      <c r="H331" s="3">
        <f ca="1">'ETF price'!I333-'ETF price'!I332</f>
        <v>0.68999999999999773</v>
      </c>
      <c r="I331" s="3">
        <f ca="1">'ETF price'!J333-'ETF price'!J332</f>
        <v>1.0800000000000125</v>
      </c>
      <c r="J331" s="3">
        <f ca="1">'ETF price'!K333-'ETF price'!K332</f>
        <v>0.45999999999997954</v>
      </c>
      <c r="K331" s="3">
        <f ca="1">'ETF price'!L333-'ETF price'!L332</f>
        <v>-0.54999999999999716</v>
      </c>
      <c r="L331" s="3">
        <f ca="1">'ETF price'!M333-'ETF price'!M332</f>
        <v>0.39999999999999858</v>
      </c>
      <c r="M331" s="3">
        <f ca="1">'ETF price'!N333-'ETF price'!N332</f>
        <v>0.26999999999999602</v>
      </c>
      <c r="N331" s="3">
        <f ca="1">'ETF price'!O333-'ETF price'!O332</f>
        <v>0.21000000000000085</v>
      </c>
      <c r="O331" s="3">
        <f ca="1">'ETF price'!P333-'ETF price'!P332</f>
        <v>0.29999999999999716</v>
      </c>
      <c r="P331" s="3">
        <f ca="1">'ETF price'!Q333-'ETF price'!Q332</f>
        <v>0.60999999999999943</v>
      </c>
      <c r="Q331" s="3">
        <f ca="1">'ETF price'!R333-'ETF price'!R332</f>
        <v>1.0700000000000074</v>
      </c>
      <c r="R331" s="3">
        <f ca="1">'ETF price'!S333-'ETF price'!S332</f>
        <v>0.89999999999999858</v>
      </c>
      <c r="S331" s="3">
        <f ca="1">'ETF price'!T333-'ETF price'!T332</f>
        <v>3.0000000000001137E-2</v>
      </c>
      <c r="T331" s="3">
        <f ca="1">'ETF price'!U333-'ETF price'!U332</f>
        <v>0.45000000000000284</v>
      </c>
      <c r="U331" s="3">
        <f ca="1">'ETF price'!V333-'ETF price'!V332</f>
        <v>1.2999999999999972</v>
      </c>
      <c r="V331" s="3">
        <f ca="1">'ETF price'!W333-'ETF price'!W332</f>
        <v>0.52000000000000313</v>
      </c>
      <c r="W331" s="3">
        <f ca="1">'ETF price'!X333-'ETF price'!X332</f>
        <v>1.3100000000000023</v>
      </c>
      <c r="X331" s="3">
        <f ca="1">'ETF price'!Y333-'ETF price'!Y332</f>
        <v>0.64000000000000057</v>
      </c>
      <c r="Y331" s="3">
        <f ca="1">'ETF price'!Z333-'ETF price'!Z332</f>
        <v>1.2099999999999937</v>
      </c>
      <c r="Z331" s="3">
        <f ca="1">'ETF price'!AA333-'ETF price'!AA332</f>
        <v>0.88000000000000256</v>
      </c>
      <c r="AA331" s="3">
        <f ca="1">'ETF price'!AB333-'ETF price'!AB332</f>
        <v>0.77000000000000313</v>
      </c>
      <c r="AB331" s="3">
        <f ca="1">'ETF price'!AC333-'ETF price'!AC332</f>
        <v>-1.3700000000000045</v>
      </c>
      <c r="AC331" s="3">
        <f ca="1">'ETF price'!AD333-'ETF price'!AD332</f>
        <v>0.73000000000000043</v>
      </c>
      <c r="AD331" s="3">
        <f ca="1">'ETF price'!AE333-'ETF price'!AE332</f>
        <v>1.0999999999999979</v>
      </c>
      <c r="AE331" s="3">
        <f ca="1">'ETF price'!AF333-'ETF price'!AF332</f>
        <v>-4.9999999999999822E-2</v>
      </c>
      <c r="AF331" s="3">
        <f ca="1">'ETF price'!AG333-'ETF price'!AG332</f>
        <v>0.86999999999999744</v>
      </c>
    </row>
    <row r="332" spans="1:32" ht="12.75" x14ac:dyDescent="0.2">
      <c r="A332" s="3">
        <f ca="1">'ETF price'!B334-'ETF price'!B333</f>
        <v>1.6200000000000045</v>
      </c>
      <c r="B332" s="3">
        <f ca="1">'ETF price'!C334-'ETF price'!C333</f>
        <v>3.9900000000000091</v>
      </c>
      <c r="C332" s="3">
        <f ca="1">'ETF price'!D334-'ETF price'!D333</f>
        <v>-0.71999999999999886</v>
      </c>
      <c r="D332" s="3">
        <f ca="1">'ETF price'!E334-'ETF price'!E333</f>
        <v>2.4300000000000068</v>
      </c>
      <c r="E332" s="3">
        <f ca="1">'ETF price'!F334-'ETF price'!F333</f>
        <v>-0.60000000000000142</v>
      </c>
      <c r="F332" s="3">
        <f ca="1">'ETF price'!G334-'ETF price'!G333</f>
        <v>-8.9999999999999858E-2</v>
      </c>
      <c r="G332" s="3">
        <f ca="1">'ETF price'!H334-'ETF price'!H333</f>
        <v>0.23000000000000043</v>
      </c>
      <c r="H332" s="3">
        <f ca="1">'ETF price'!I334-'ETF price'!I333</f>
        <v>1.1299999999999955</v>
      </c>
      <c r="I332" s="3">
        <f ca="1">'ETF price'!J334-'ETF price'!J333</f>
        <v>2.210000000000008</v>
      </c>
      <c r="J332" s="3">
        <f ca="1">'ETF price'!K334-'ETF price'!K333</f>
        <v>1.3100000000000023</v>
      </c>
      <c r="K332" s="3">
        <f ca="1">'ETF price'!L334-'ETF price'!L333</f>
        <v>1.4000000000000057</v>
      </c>
      <c r="L332" s="3">
        <f ca="1">'ETF price'!M334-'ETF price'!M333</f>
        <v>0.95000000000000284</v>
      </c>
      <c r="M332" s="3">
        <f ca="1">'ETF price'!N334-'ETF price'!N333</f>
        <v>0.55000000000000426</v>
      </c>
      <c r="N332" s="3">
        <f ca="1">'ETF price'!O334-'ETF price'!O333</f>
        <v>0.86999999999999744</v>
      </c>
      <c r="O332" s="3">
        <f ca="1">'ETF price'!P334-'ETF price'!P333</f>
        <v>1.2999999999999972</v>
      </c>
      <c r="P332" s="3">
        <f ca="1">'ETF price'!Q334-'ETF price'!Q333</f>
        <v>1.8700000000000045</v>
      </c>
      <c r="Q332" s="3">
        <f ca="1">'ETF price'!R334-'ETF price'!R333</f>
        <v>0.92999999999999261</v>
      </c>
      <c r="R332" s="3">
        <f ca="1">'ETF price'!S334-'ETF price'!S333</f>
        <v>-9.0000000000003411E-2</v>
      </c>
      <c r="S332" s="3">
        <f ca="1">'ETF price'!T334-'ETF price'!T333</f>
        <v>0.21999999999999886</v>
      </c>
      <c r="T332" s="3">
        <f ca="1">'ETF price'!U334-'ETF price'!U333</f>
        <v>1.6899999999999977</v>
      </c>
      <c r="U332" s="3">
        <f ca="1">'ETF price'!V334-'ETF price'!V333</f>
        <v>-0.76000000000000512</v>
      </c>
      <c r="V332" s="3">
        <f ca="1">'ETF price'!W334-'ETF price'!W333</f>
        <v>0.39000000000000057</v>
      </c>
      <c r="W332" s="3">
        <f ca="1">'ETF price'!X334-'ETF price'!X333</f>
        <v>0.92000000000000171</v>
      </c>
      <c r="X332" s="3">
        <f ca="1">'ETF price'!Y334-'ETF price'!Y333</f>
        <v>0.49000000000000199</v>
      </c>
      <c r="Y332" s="3">
        <f ca="1">'ETF price'!Z334-'ETF price'!Z333</f>
        <v>0.85000000000000853</v>
      </c>
      <c r="Z332" s="3">
        <f ca="1">'ETF price'!AA334-'ETF price'!AA333</f>
        <v>0.42999999999999972</v>
      </c>
      <c r="AA332" s="3">
        <f ca="1">'ETF price'!AB334-'ETF price'!AB333</f>
        <v>0.72999999999999687</v>
      </c>
      <c r="AB332" s="3">
        <f ca="1">'ETF price'!AC334-'ETF price'!AC333</f>
        <v>-0.6699999999999946</v>
      </c>
      <c r="AC332" s="3">
        <f ca="1">'ETF price'!AD334-'ETF price'!AD333</f>
        <v>-0.17999999999999972</v>
      </c>
      <c r="AD332" s="3">
        <f ca="1">'ETF price'!AE334-'ETF price'!AE333</f>
        <v>-0.28999999999999915</v>
      </c>
      <c r="AE332" s="3">
        <f ca="1">'ETF price'!AF334-'ETF price'!AF333</f>
        <v>-0.12999999999999989</v>
      </c>
      <c r="AF332" s="3">
        <f ca="1">'ETF price'!AG334-'ETF price'!AG333</f>
        <v>-6.9999999999996732E-2</v>
      </c>
    </row>
    <row r="333" spans="1:32" ht="12.75" x14ac:dyDescent="0.2">
      <c r="A333" s="3">
        <f ca="1">'ETF price'!B335-'ETF price'!B334</f>
        <v>8.9999999999974989E-2</v>
      </c>
      <c r="B333" s="3">
        <f ca="1">'ETF price'!C335-'ETF price'!C334</f>
        <v>0.39999999999997726</v>
      </c>
      <c r="C333" s="3">
        <f ca="1">'ETF price'!D335-'ETF price'!D334</f>
        <v>-0.40000000000000568</v>
      </c>
      <c r="D333" s="3">
        <f ca="1">'ETF price'!E335-'ETF price'!E334</f>
        <v>1.2400000000000091</v>
      </c>
      <c r="E333" s="3">
        <f ca="1">'ETF price'!F335-'ETF price'!F334</f>
        <v>-0.28999999999999915</v>
      </c>
      <c r="F333" s="3">
        <f ca="1">'ETF price'!G335-'ETF price'!G334</f>
        <v>0.21000000000000085</v>
      </c>
      <c r="G333" s="3">
        <f ca="1">'ETF price'!H335-'ETF price'!H334</f>
        <v>7.0000000000000284E-2</v>
      </c>
      <c r="H333" s="3">
        <f ca="1">'ETF price'!I335-'ETF price'!I334</f>
        <v>0.68999999999999773</v>
      </c>
      <c r="I333" s="3">
        <f ca="1">'ETF price'!J335-'ETF price'!J334</f>
        <v>1.5499999999999829</v>
      </c>
      <c r="J333" s="3">
        <f ca="1">'ETF price'!K335-'ETF price'!K334</f>
        <v>1.0300000000000011</v>
      </c>
      <c r="K333" s="3">
        <f ca="1">'ETF price'!L335-'ETF price'!L334</f>
        <v>1.8699999999999903</v>
      </c>
      <c r="L333" s="3">
        <f ca="1">'ETF price'!M335-'ETF price'!M334</f>
        <v>0.75</v>
      </c>
      <c r="M333" s="3">
        <f ca="1">'ETF price'!N335-'ETF price'!N334</f>
        <v>0.39999999999999858</v>
      </c>
      <c r="N333" s="3">
        <f ca="1">'ETF price'!O335-'ETF price'!O334</f>
        <v>0.48000000000000398</v>
      </c>
      <c r="O333" s="3">
        <f ca="1">'ETF price'!P335-'ETF price'!P334</f>
        <v>-0.95999999999999375</v>
      </c>
      <c r="P333" s="3">
        <f ca="1">'ETF price'!Q335-'ETF price'!Q334</f>
        <v>-1.3100000000000023</v>
      </c>
      <c r="Q333" s="3">
        <f ca="1">'ETF price'!R335-'ETF price'!R334</f>
        <v>-3.9999999999992042E-2</v>
      </c>
      <c r="R333" s="3">
        <f ca="1">'ETF price'!S335-'ETF price'!S334</f>
        <v>-0.58999999999999631</v>
      </c>
      <c r="S333" s="3">
        <f ca="1">'ETF price'!T335-'ETF price'!T334</f>
        <v>-0.19999999999999929</v>
      </c>
      <c r="T333" s="3">
        <f ca="1">'ETF price'!U335-'ETF price'!U334</f>
        <v>-0.95000000000000284</v>
      </c>
      <c r="U333" s="3">
        <f ca="1">'ETF price'!V335-'ETF price'!V334</f>
        <v>-0.85999999999999943</v>
      </c>
      <c r="V333" s="3">
        <f ca="1">'ETF price'!W335-'ETF price'!W334</f>
        <v>-9.0000000000003411E-2</v>
      </c>
      <c r="W333" s="3">
        <f ca="1">'ETF price'!X335-'ETF price'!X334</f>
        <v>-0.29999999999999716</v>
      </c>
      <c r="X333" s="3">
        <f ca="1">'ETF price'!Y335-'ETF price'!Y334</f>
        <v>-0.81000000000000227</v>
      </c>
      <c r="Y333" s="3">
        <f ca="1">'ETF price'!Z335-'ETF price'!Z334</f>
        <v>-0.20000000000000284</v>
      </c>
      <c r="Z333" s="3">
        <f ca="1">'ETF price'!AA335-'ETF price'!AA334</f>
        <v>-0.35000000000000142</v>
      </c>
      <c r="AA333" s="3">
        <f ca="1">'ETF price'!AB335-'ETF price'!AB334</f>
        <v>-1.1999999999999957</v>
      </c>
      <c r="AB333" s="3">
        <f ca="1">'ETF price'!AC335-'ETF price'!AC334</f>
        <v>-0.91000000000000369</v>
      </c>
      <c r="AC333" s="3">
        <f ca="1">'ETF price'!AD335-'ETF price'!AD334</f>
        <v>-0.61999999999999922</v>
      </c>
      <c r="AD333" s="3">
        <f ca="1">'ETF price'!AE335-'ETF price'!AE334</f>
        <v>-1.3300000000000018</v>
      </c>
      <c r="AE333" s="3">
        <f ca="1">'ETF price'!AF335-'ETF price'!AF334</f>
        <v>8.9999999999999858E-2</v>
      </c>
      <c r="AF333" s="3">
        <f ca="1">'ETF price'!AG335-'ETF price'!AG334</f>
        <v>-1.3200000000000003</v>
      </c>
    </row>
    <row r="334" spans="1:32" ht="12.75" x14ac:dyDescent="0.2">
      <c r="A334" s="3">
        <f ca="1">'ETF price'!B336-'ETF price'!B335</f>
        <v>-1.4099999999999966</v>
      </c>
      <c r="B334" s="3">
        <f ca="1">'ETF price'!C336-'ETF price'!C335</f>
        <v>-4.3100000000000023</v>
      </c>
      <c r="C334" s="3">
        <f ca="1">'ETF price'!D336-'ETF price'!D335</f>
        <v>2.0400000000000063</v>
      </c>
      <c r="D334" s="3">
        <f ca="1">'ETF price'!E336-'ETF price'!E335</f>
        <v>-0.99000000000000909</v>
      </c>
      <c r="E334" s="3">
        <f ca="1">'ETF price'!F336-'ETF price'!F335</f>
        <v>-1.0700000000000003</v>
      </c>
      <c r="F334" s="3">
        <f ca="1">'ETF price'!G336-'ETF price'!G335</f>
        <v>-0.33999999999999986</v>
      </c>
      <c r="G334" s="3">
        <f ca="1">'ETF price'!H336-'ETF price'!H335</f>
        <v>-0.33999999999999986</v>
      </c>
      <c r="H334" s="3">
        <f ca="1">'ETF price'!I336-'ETF price'!I335</f>
        <v>-0.58000000000001251</v>
      </c>
      <c r="I334" s="3">
        <f ca="1">'ETF price'!J336-'ETF price'!J335</f>
        <v>-1.7099999999999795</v>
      </c>
      <c r="J334" s="3">
        <f ca="1">'ETF price'!K336-'ETF price'!K335</f>
        <v>-1.7299999999999898</v>
      </c>
      <c r="K334" s="3">
        <f ca="1">'ETF price'!L336-'ETF price'!L335</f>
        <v>-2.3399999999999892</v>
      </c>
      <c r="L334" s="3">
        <f ca="1">'ETF price'!M336-'ETF price'!M335</f>
        <v>-1.1300000000000026</v>
      </c>
      <c r="M334" s="3">
        <f ca="1">'ETF price'!N336-'ETF price'!N335</f>
        <v>-0.43999999999999773</v>
      </c>
      <c r="N334" s="3">
        <f ca="1">'ETF price'!O336-'ETF price'!O335</f>
        <v>-1.1200000000000045</v>
      </c>
      <c r="O334" s="3">
        <f ca="1">'ETF price'!P336-'ETF price'!P335</f>
        <v>-3.6599999999999966</v>
      </c>
      <c r="P334" s="3">
        <f ca="1">'ETF price'!Q336-'ETF price'!Q335</f>
        <v>-4.9599999999999937</v>
      </c>
      <c r="Q334" s="3">
        <f ca="1">'ETF price'!R336-'ETF price'!R335</f>
        <v>-0.78000000000000114</v>
      </c>
      <c r="R334" s="3">
        <f ca="1">'ETF price'!S336-'ETF price'!S335</f>
        <v>-0.10999999999999943</v>
      </c>
      <c r="S334" s="3">
        <f ca="1">'ETF price'!T336-'ETF price'!T335</f>
        <v>-0.53000000000000114</v>
      </c>
      <c r="T334" s="3">
        <f ca="1">'ETF price'!U336-'ETF price'!U335</f>
        <v>-3.5</v>
      </c>
      <c r="U334" s="3">
        <f ca="1">'ETF price'!V336-'ETF price'!V335</f>
        <v>-2.3199999999999932</v>
      </c>
      <c r="V334" s="3">
        <f ca="1">'ETF price'!W336-'ETF price'!W335</f>
        <v>-0.75</v>
      </c>
      <c r="W334" s="3">
        <f ca="1">'ETF price'!X336-'ETF price'!X335</f>
        <v>-2.0999999999999943</v>
      </c>
      <c r="X334" s="3">
        <f ca="1">'ETF price'!Y336-'ETF price'!Y335</f>
        <v>-1.8599999999999994</v>
      </c>
      <c r="Y334" s="3">
        <f ca="1">'ETF price'!Z336-'ETF price'!Z335</f>
        <v>-1.789999999999992</v>
      </c>
      <c r="Z334" s="3">
        <f ca="1">'ETF price'!AA336-'ETF price'!AA335</f>
        <v>-0.64000000000000057</v>
      </c>
      <c r="AA334" s="3">
        <f ca="1">'ETF price'!AB336-'ETF price'!AB335</f>
        <v>-2.6000000000000014</v>
      </c>
      <c r="AB334" s="3">
        <f ca="1">'ETF price'!AC336-'ETF price'!AC335</f>
        <v>1.3999999999999986</v>
      </c>
      <c r="AC334" s="3">
        <f ca="1">'ETF price'!AD336-'ETF price'!AD335</f>
        <v>0.35999999999999943</v>
      </c>
      <c r="AD334" s="3">
        <f ca="1">'ETF price'!AE336-'ETF price'!AE335</f>
        <v>0.56000000000000227</v>
      </c>
      <c r="AE334" s="3">
        <f ca="1">'ETF price'!AF336-'ETF price'!AF335</f>
        <v>0</v>
      </c>
      <c r="AF334" s="3">
        <f ca="1">'ETF price'!AG336-'ETF price'!AG335</f>
        <v>0.71999999999999886</v>
      </c>
    </row>
    <row r="335" spans="1:32" ht="12.75" x14ac:dyDescent="0.2">
      <c r="A335" s="3">
        <f ca="1">'ETF price'!B337-'ETF price'!B336</f>
        <v>-1.2599999999999909</v>
      </c>
      <c r="B335" s="3">
        <f ca="1">'ETF price'!C337-'ETF price'!C336</f>
        <v>-2.6899999999999977</v>
      </c>
      <c r="C335" s="3">
        <f ca="1">'ETF price'!D337-'ETF price'!D336</f>
        <v>0.34999999999999432</v>
      </c>
      <c r="D335" s="3">
        <f ca="1">'ETF price'!E337-'ETF price'!E336</f>
        <v>-1.5799999999999841</v>
      </c>
      <c r="E335" s="3">
        <f ca="1">'ETF price'!F337-'ETF price'!F336</f>
        <v>6.0000000000002274E-2</v>
      </c>
      <c r="F335" s="3">
        <f ca="1">'ETF price'!G337-'ETF price'!G336</f>
        <v>7.9999999999998295E-2</v>
      </c>
      <c r="G335" s="3">
        <f ca="1">'ETF price'!H337-'ETF price'!H336</f>
        <v>-1.0000000000001563E-2</v>
      </c>
      <c r="H335" s="3">
        <f ca="1">'ETF price'!I337-'ETF price'!I336</f>
        <v>-0.1799999999999784</v>
      </c>
      <c r="I335" s="3">
        <f ca="1">'ETF price'!J337-'ETF price'!J336</f>
        <v>0.28999999999999204</v>
      </c>
      <c r="J335" s="3">
        <f ca="1">'ETF price'!K337-'ETF price'!K336</f>
        <v>0.87000000000000455</v>
      </c>
      <c r="K335" s="3">
        <f ca="1">'ETF price'!L337-'ETF price'!L336</f>
        <v>3.4799999999999898</v>
      </c>
      <c r="L335" s="3">
        <f ca="1">'ETF price'!M337-'ETF price'!M336</f>
        <v>0.24000000000000199</v>
      </c>
      <c r="M335" s="3">
        <f ca="1">'ETF price'!N337-'ETF price'!N336</f>
        <v>8.9999999999996305E-2</v>
      </c>
      <c r="N335" s="3">
        <f ca="1">'ETF price'!O337-'ETF price'!O336</f>
        <v>1.3200000000000003</v>
      </c>
      <c r="O335" s="3">
        <f ca="1">'ETF price'!P337-'ETF price'!P336</f>
        <v>-1.5200000000000102</v>
      </c>
      <c r="P335" s="3">
        <f ca="1">'ETF price'!Q337-'ETF price'!Q336</f>
        <v>-2.1599999999999966</v>
      </c>
      <c r="Q335" s="3">
        <f ca="1">'ETF price'!R337-'ETF price'!R336</f>
        <v>-0.88000000000000966</v>
      </c>
      <c r="R335" s="3">
        <f ca="1">'ETF price'!S337-'ETF price'!S336</f>
        <v>-0.5</v>
      </c>
      <c r="S335" s="3">
        <f ca="1">'ETF price'!T337-'ETF price'!T336</f>
        <v>-0.28999999999999915</v>
      </c>
      <c r="T335" s="3">
        <f ca="1">'ETF price'!U337-'ETF price'!U336</f>
        <v>-2.7399999999999949</v>
      </c>
      <c r="U335" s="3">
        <f ca="1">'ETF price'!V337-'ETF price'!V336</f>
        <v>-0.10000000000000853</v>
      </c>
      <c r="V335" s="3">
        <f ca="1">'ETF price'!W337-'ETF price'!W336</f>
        <v>-0.36999999999999744</v>
      </c>
      <c r="W335" s="3">
        <f ca="1">'ETF price'!X337-'ETF price'!X336</f>
        <v>-1.0100000000000051</v>
      </c>
      <c r="X335" s="3">
        <f ca="1">'ETF price'!Y337-'ETF price'!Y336</f>
        <v>-0.55000000000000426</v>
      </c>
      <c r="Y335" s="3">
        <f ca="1">'ETF price'!Z337-'ETF price'!Z336</f>
        <v>-0.98000000000000398</v>
      </c>
      <c r="Z335" s="3">
        <f ca="1">'ETF price'!AA337-'ETF price'!AA336</f>
        <v>-0.22999999999999687</v>
      </c>
      <c r="AA335" s="3">
        <f ca="1">'ETF price'!AB337-'ETF price'!AB336</f>
        <v>-0.70000000000000284</v>
      </c>
      <c r="AB335" s="3">
        <f ca="1">'ETF price'!AC337-'ETF price'!AC336</f>
        <v>-4.9999999999997158E-2</v>
      </c>
      <c r="AC335" s="3">
        <f ca="1">'ETF price'!AD337-'ETF price'!AD336</f>
        <v>-0.16000000000000014</v>
      </c>
      <c r="AD335" s="3">
        <f ca="1">'ETF price'!AE337-'ETF price'!AE336</f>
        <v>-0.26000000000000156</v>
      </c>
      <c r="AE335" s="3">
        <f ca="1">'ETF price'!AF337-'ETF price'!AF336</f>
        <v>-1.0000000000000231E-2</v>
      </c>
      <c r="AF335" s="3">
        <f ca="1">'ETF price'!AG337-'ETF price'!AG336</f>
        <v>-0.48000000000000043</v>
      </c>
    </row>
    <row r="336" spans="1:32" ht="12.75" x14ac:dyDescent="0.2">
      <c r="A336" s="3">
        <f ca="1">'ETF price'!B338-'ETF price'!B337</f>
        <v>-0.71000000000000796</v>
      </c>
      <c r="B336" s="3">
        <f ca="1">'ETF price'!C338-'ETF price'!C337</f>
        <v>-1.5299999999999727</v>
      </c>
      <c r="C336" s="3">
        <f ca="1">'ETF price'!D338-'ETF price'!D337</f>
        <v>-0.5899999999999892</v>
      </c>
      <c r="D336" s="3">
        <f ca="1">'ETF price'!E338-'ETF price'!E337</f>
        <v>-0.76000000000001933</v>
      </c>
      <c r="E336" s="3">
        <f ca="1">'ETF price'!F338-'ETF price'!F337</f>
        <v>-0.22999999999999687</v>
      </c>
      <c r="F336" s="3">
        <f ca="1">'ETF price'!G338-'ETF price'!G337</f>
        <v>6.0000000000002274E-2</v>
      </c>
      <c r="G336" s="3">
        <f ca="1">'ETF price'!H338-'ETF price'!H337</f>
        <v>-0.23999999999999844</v>
      </c>
      <c r="H336" s="3">
        <f ca="1">'ETF price'!I338-'ETF price'!I337</f>
        <v>-1.0600000000000023</v>
      </c>
      <c r="I336" s="3">
        <f ca="1">'ETF price'!J338-'ETF price'!J337</f>
        <v>-1.8300000000000125</v>
      </c>
      <c r="J336" s="3">
        <f ca="1">'ETF price'!K338-'ETF price'!K337</f>
        <v>-0.37999999999999545</v>
      </c>
      <c r="K336" s="3">
        <f ca="1">'ETF price'!L338-'ETF price'!L337</f>
        <v>0.77000000000001023</v>
      </c>
      <c r="L336" s="3">
        <f ca="1">'ETF price'!M338-'ETF price'!M337</f>
        <v>-0.16000000000000369</v>
      </c>
      <c r="M336" s="3">
        <f ca="1">'ETF price'!N338-'ETF price'!N337</f>
        <v>-0.46000000000000085</v>
      </c>
      <c r="N336" s="3">
        <f ca="1">'ETF price'!O338-'ETF price'!O337</f>
        <v>1.0500000000000043</v>
      </c>
      <c r="O336" s="3">
        <f ca="1">'ETF price'!P338-'ETF price'!P337</f>
        <v>-0.87999999999999545</v>
      </c>
      <c r="P336" s="3">
        <f ca="1">'ETF price'!Q338-'ETF price'!Q337</f>
        <v>-1.0900000000000034</v>
      </c>
      <c r="Q336" s="3">
        <f ca="1">'ETF price'!R338-'ETF price'!R337</f>
        <v>-0.50999999999999091</v>
      </c>
      <c r="R336" s="3">
        <f ca="1">'ETF price'!S338-'ETF price'!S337</f>
        <v>-0.96000000000000085</v>
      </c>
      <c r="S336" s="3">
        <f ca="1">'ETF price'!T338-'ETF price'!T337</f>
        <v>8.9999999999999858E-2</v>
      </c>
      <c r="T336" s="3">
        <f ca="1">'ETF price'!U338-'ETF price'!U337</f>
        <v>0.39000000000000057</v>
      </c>
      <c r="U336" s="3">
        <f ca="1">'ETF price'!V338-'ETF price'!V337</f>
        <v>-0.43999999999999773</v>
      </c>
      <c r="V336" s="3">
        <f ca="1">'ETF price'!W338-'ETF price'!W337</f>
        <v>-0.41000000000000014</v>
      </c>
      <c r="W336" s="3">
        <f ca="1">'ETF price'!X338-'ETF price'!X337</f>
        <v>-1.519999999999996</v>
      </c>
      <c r="X336" s="3">
        <f ca="1">'ETF price'!Y338-'ETF price'!Y337</f>
        <v>-1.509999999999998</v>
      </c>
      <c r="Y336" s="3">
        <f ca="1">'ETF price'!Z338-'ETF price'!Z337</f>
        <v>-1.2900000000000063</v>
      </c>
      <c r="Z336" s="3">
        <f ca="1">'ETF price'!AA338-'ETF price'!AA337</f>
        <v>0.33999999999999631</v>
      </c>
      <c r="AA336" s="3">
        <f ca="1">'ETF price'!AB338-'ETF price'!AB337</f>
        <v>-2.0799999999999983</v>
      </c>
      <c r="AB336" s="3">
        <f ca="1">'ETF price'!AC338-'ETF price'!AC337</f>
        <v>-7.0000000000000284E-2</v>
      </c>
      <c r="AC336" s="3">
        <f ca="1">'ETF price'!AD338-'ETF price'!AD337</f>
        <v>0.24000000000000021</v>
      </c>
      <c r="AD336" s="3">
        <f ca="1">'ETF price'!AE338-'ETF price'!AE337</f>
        <v>0.35999999999999943</v>
      </c>
      <c r="AE336" s="3">
        <f ca="1">'ETF price'!AF338-'ETF price'!AF337</f>
        <v>-2.9999999999999805E-2</v>
      </c>
      <c r="AF336" s="3">
        <f ca="1">'ETF price'!AG338-'ETF price'!AG337</f>
        <v>0.48999999999999844</v>
      </c>
    </row>
    <row r="337" spans="1:32" ht="12.75" x14ac:dyDescent="0.2">
      <c r="A337" s="3">
        <f ca="1">'ETF price'!B339-'ETF price'!B338</f>
        <v>3.7000000000000171</v>
      </c>
      <c r="B337" s="3">
        <f ca="1">'ETF price'!C339-'ETF price'!C338</f>
        <v>9.9499999999999886</v>
      </c>
      <c r="C337" s="3">
        <f ca="1">'ETF price'!D339-'ETF price'!D338</f>
        <v>1.4099999999999966</v>
      </c>
      <c r="D337" s="3">
        <f ca="1">'ETF price'!E339-'ETF price'!E338</f>
        <v>3.0100000000000193</v>
      </c>
      <c r="E337" s="3">
        <f ca="1">'ETF price'!F339-'ETF price'!F338</f>
        <v>1.0700000000000003</v>
      </c>
      <c r="F337" s="3">
        <f ca="1">'ETF price'!G339-'ETF price'!G338</f>
        <v>0.37999999999999901</v>
      </c>
      <c r="G337" s="3">
        <f ca="1">'ETF price'!H339-'ETF price'!H338</f>
        <v>0.37000000000000099</v>
      </c>
      <c r="H337" s="3">
        <f ca="1">'ETF price'!I339-'ETF price'!I338</f>
        <v>1.1899999999999977</v>
      </c>
      <c r="I337" s="3">
        <f ca="1">'ETF price'!J339-'ETF price'!J338</f>
        <v>2.5600000000000023</v>
      </c>
      <c r="J337" s="3">
        <f ca="1">'ETF price'!K339-'ETF price'!K338</f>
        <v>1.6199999999999761</v>
      </c>
      <c r="K337" s="3">
        <f ca="1">'ETF price'!L339-'ETF price'!L338</f>
        <v>1.3999999999999915</v>
      </c>
      <c r="L337" s="3">
        <f ca="1">'ETF price'!M339-'ETF price'!M338</f>
        <v>0.90000000000000568</v>
      </c>
      <c r="M337" s="3">
        <f ca="1">'ETF price'!N339-'ETF price'!N338</f>
        <v>0.60999999999999943</v>
      </c>
      <c r="N337" s="3">
        <f ca="1">'ETF price'!O339-'ETF price'!O338</f>
        <v>0.75</v>
      </c>
      <c r="O337" s="3">
        <f ca="1">'ETF price'!P339-'ETF price'!P338</f>
        <v>2.1200000000000045</v>
      </c>
      <c r="P337" s="3">
        <f ca="1">'ETF price'!Q339-'ETF price'!Q338</f>
        <v>3.019999999999996</v>
      </c>
      <c r="Q337" s="3">
        <f ca="1">'ETF price'!R339-'ETF price'!R338</f>
        <v>1.3199999999999932</v>
      </c>
      <c r="R337" s="3">
        <f ca="1">'ETF price'!S339-'ETF price'!S338</f>
        <v>1.2299999999999969</v>
      </c>
      <c r="S337" s="3">
        <f ca="1">'ETF price'!T339-'ETF price'!T338</f>
        <v>0.51000000000000156</v>
      </c>
      <c r="T337" s="3">
        <f ca="1">'ETF price'!U339-'ETF price'!U338</f>
        <v>2.3299999999999983</v>
      </c>
      <c r="U337" s="3">
        <f ca="1">'ETF price'!V339-'ETF price'!V338</f>
        <v>1.9399999999999977</v>
      </c>
      <c r="V337" s="3">
        <f ca="1">'ETF price'!W339-'ETF price'!W338</f>
        <v>0.77999999999999758</v>
      </c>
      <c r="W337" s="3">
        <f ca="1">'ETF price'!X339-'ETF price'!X338</f>
        <v>2.0499999999999972</v>
      </c>
      <c r="X337" s="3">
        <f ca="1">'ETF price'!Y339-'ETF price'!Y338</f>
        <v>1.75</v>
      </c>
      <c r="Y337" s="3">
        <f ca="1">'ETF price'!Z339-'ETF price'!Z338</f>
        <v>1.7800000000000011</v>
      </c>
      <c r="Z337" s="3">
        <f ca="1">'ETF price'!AA339-'ETF price'!AA338</f>
        <v>0.57000000000000028</v>
      </c>
      <c r="AA337" s="3">
        <f ca="1">'ETF price'!AB339-'ETF price'!AB338</f>
        <v>2.2700000000000031</v>
      </c>
      <c r="AB337" s="3">
        <f ca="1">'ETF price'!AC339-'ETF price'!AC338</f>
        <v>-0.17999999999999972</v>
      </c>
      <c r="AC337" s="3">
        <f ca="1">'ETF price'!AD339-'ETF price'!AD338</f>
        <v>0.28999999999999915</v>
      </c>
      <c r="AD337" s="3">
        <f ca="1">'ETF price'!AE339-'ETF price'!AE338</f>
        <v>0.45000000000000284</v>
      </c>
      <c r="AE337" s="3">
        <f ca="1">'ETF price'!AF339-'ETF price'!AF338</f>
        <v>-2.0000000000000018E-2</v>
      </c>
      <c r="AF337" s="3">
        <f ca="1">'ETF price'!AG339-'ETF price'!AG338</f>
        <v>1.0600000000000023</v>
      </c>
    </row>
    <row r="338" spans="1:32" ht="12.75" x14ac:dyDescent="0.2">
      <c r="A338" s="3">
        <f ca="1">'ETF price'!B340-'ETF price'!B339</f>
        <v>-8.0000000000012506E-2</v>
      </c>
      <c r="B338" s="3">
        <f ca="1">'ETF price'!C340-'ETF price'!C339</f>
        <v>0.40999999999996817</v>
      </c>
      <c r="C338" s="3">
        <f ca="1">'ETF price'!D340-'ETF price'!D339</f>
        <v>7.9999999999998295E-2</v>
      </c>
      <c r="D338" s="3">
        <f ca="1">'ETF price'!E340-'ETF price'!E339</f>
        <v>0.57999999999998408</v>
      </c>
      <c r="E338" s="3">
        <f ca="1">'ETF price'!F340-'ETF price'!F339</f>
        <v>0.82999999999999829</v>
      </c>
      <c r="F338" s="3">
        <f ca="1">'ETF price'!G340-'ETF price'!G339</f>
        <v>1.9999999999999574E-2</v>
      </c>
      <c r="G338" s="3">
        <f ca="1">'ETF price'!H340-'ETF price'!H339</f>
        <v>1.9999999999999574E-2</v>
      </c>
      <c r="H338" s="3">
        <f ca="1">'ETF price'!I340-'ETF price'!I339</f>
        <v>-0.28999999999999204</v>
      </c>
      <c r="I338" s="3">
        <f ca="1">'ETF price'!J340-'ETF price'!J339</f>
        <v>-0.75</v>
      </c>
      <c r="J338" s="3">
        <f ca="1">'ETF price'!K340-'ETF price'!K339</f>
        <v>-1.0699999999999932</v>
      </c>
      <c r="K338" s="3">
        <f ca="1">'ETF price'!L340-'ETF price'!L339</f>
        <v>-0.37999999999999545</v>
      </c>
      <c r="L338" s="3">
        <f ca="1">'ETF price'!M340-'ETF price'!M339</f>
        <v>-0.96000000000000085</v>
      </c>
      <c r="M338" s="3">
        <f ca="1">'ETF price'!N340-'ETF price'!N339</f>
        <v>-0.15999999999999659</v>
      </c>
      <c r="N338" s="3">
        <f ca="1">'ETF price'!O340-'ETF price'!O339</f>
        <v>-0.60000000000000142</v>
      </c>
      <c r="O338" s="3">
        <f ca="1">'ETF price'!P340-'ETF price'!P339</f>
        <v>0</v>
      </c>
      <c r="P338" s="3">
        <f ca="1">'ETF price'!Q340-'ETF price'!Q339</f>
        <v>7.000000000000739E-2</v>
      </c>
      <c r="Q338" s="3">
        <f ca="1">'ETF price'!R340-'ETF price'!R339</f>
        <v>-0.25999999999999091</v>
      </c>
      <c r="R338" s="3">
        <f ca="1">'ETF price'!S340-'ETF price'!S339</f>
        <v>0.30000000000000426</v>
      </c>
      <c r="S338" s="3">
        <f ca="1">'ETF price'!T340-'ETF price'!T339</f>
        <v>0.10999999999999943</v>
      </c>
      <c r="T338" s="3">
        <f ca="1">'ETF price'!U340-'ETF price'!U339</f>
        <v>1.230000000000004</v>
      </c>
      <c r="U338" s="3">
        <f ca="1">'ETF price'!V340-'ETF price'!V339</f>
        <v>-0.25999999999999091</v>
      </c>
      <c r="V338" s="3">
        <f ca="1">'ETF price'!W340-'ETF price'!W339</f>
        <v>5.0000000000004263E-2</v>
      </c>
      <c r="W338" s="3">
        <f ca="1">'ETF price'!X340-'ETF price'!X339</f>
        <v>-1.9999999999996021E-2</v>
      </c>
      <c r="X338" s="3">
        <f ca="1">'ETF price'!Y340-'ETF price'!Y339</f>
        <v>-0.37999999999999545</v>
      </c>
      <c r="Y338" s="3">
        <f ca="1">'ETF price'!Z340-'ETF price'!Z339</f>
        <v>0.10999999999999943</v>
      </c>
      <c r="Z338" s="3">
        <f ca="1">'ETF price'!AA340-'ETF price'!AA339</f>
        <v>-0.25999999999999801</v>
      </c>
      <c r="AA338" s="3">
        <f ca="1">'ETF price'!AB340-'ETF price'!AB339</f>
        <v>-0.77000000000000313</v>
      </c>
      <c r="AB338" s="3">
        <f ca="1">'ETF price'!AC340-'ETF price'!AC339</f>
        <v>-0.15999999999999659</v>
      </c>
      <c r="AC338" s="3">
        <f ca="1">'ETF price'!AD340-'ETF price'!AD339</f>
        <v>-0.91000000000000014</v>
      </c>
      <c r="AD338" s="3">
        <f ca="1">'ETF price'!AE340-'ETF price'!AE339</f>
        <v>-1.3800000000000008</v>
      </c>
      <c r="AE338" s="3">
        <f ca="1">'ETF price'!AF340-'ETF price'!AF339</f>
        <v>2.9999999999999805E-2</v>
      </c>
      <c r="AF338" s="3">
        <f ca="1">'ETF price'!AG340-'ETF price'!AG339</f>
        <v>-0.92999999999999972</v>
      </c>
    </row>
    <row r="339" spans="1:32" ht="12.75" x14ac:dyDescent="0.2">
      <c r="A339" s="3">
        <f ca="1">'ETF price'!B341-'ETF price'!B340</f>
        <v>-1.1599999999999966</v>
      </c>
      <c r="B339" s="3">
        <f ca="1">'ETF price'!C341-'ETF price'!C340</f>
        <v>-2.8100000000000023</v>
      </c>
      <c r="C339" s="3">
        <f ca="1">'ETF price'!D341-'ETF price'!D340</f>
        <v>-0.20000000000000284</v>
      </c>
      <c r="D339" s="3">
        <f ca="1">'ETF price'!E341-'ETF price'!E340</f>
        <v>-2.3599999999999852</v>
      </c>
      <c r="E339" s="3">
        <f ca="1">'ETF price'!F341-'ETF price'!F340</f>
        <v>-9.9999999999980105E-3</v>
      </c>
      <c r="F339" s="3">
        <f ca="1">'ETF price'!G341-'ETF price'!G340</f>
        <v>-3.9999999999999147E-2</v>
      </c>
      <c r="G339" s="3">
        <f ca="1">'ETF price'!H341-'ETF price'!H340</f>
        <v>-0.17000000000000171</v>
      </c>
      <c r="H339" s="3">
        <f ca="1">'ETF price'!I341-'ETF price'!I340</f>
        <v>-0.89000000000001478</v>
      </c>
      <c r="I339" s="3">
        <f ca="1">'ETF price'!J341-'ETF price'!J340</f>
        <v>-1.4099999999999966</v>
      </c>
      <c r="J339" s="3">
        <f ca="1">'ETF price'!K341-'ETF price'!K340</f>
        <v>-0.25</v>
      </c>
      <c r="K339" s="3">
        <f ca="1">'ETF price'!L341-'ETF price'!L340</f>
        <v>0.90999999999999659</v>
      </c>
      <c r="L339" s="3">
        <f ca="1">'ETF price'!M341-'ETF price'!M340</f>
        <v>0.25</v>
      </c>
      <c r="M339" s="3">
        <f ca="1">'ETF price'!N341-'ETF price'!N340</f>
        <v>-0.31000000000000227</v>
      </c>
      <c r="N339" s="3">
        <f ca="1">'ETF price'!O341-'ETF price'!O340</f>
        <v>3.9999999999999147E-2</v>
      </c>
      <c r="O339" s="3">
        <f ca="1">'ETF price'!P341-'ETF price'!P340</f>
        <v>3.0000000000001137E-2</v>
      </c>
      <c r="P339" s="3">
        <f ca="1">'ETF price'!Q341-'ETF price'!Q340</f>
        <v>4.9999999999997158E-2</v>
      </c>
      <c r="Q339" s="3">
        <f ca="1">'ETF price'!R341-'ETF price'!R340</f>
        <v>-0.71999999999999886</v>
      </c>
      <c r="R339" s="3">
        <f ca="1">'ETF price'!S341-'ETF price'!S340</f>
        <v>0.10999999999999943</v>
      </c>
      <c r="S339" s="3">
        <f ca="1">'ETF price'!T341-'ETF price'!T340</f>
        <v>7.0000000000000284E-2</v>
      </c>
      <c r="T339" s="3">
        <f ca="1">'ETF price'!U341-'ETF price'!U340</f>
        <v>0.60999999999999943</v>
      </c>
      <c r="U339" s="3">
        <f ca="1">'ETF price'!V341-'ETF price'!V340</f>
        <v>-0.70000000000000284</v>
      </c>
      <c r="V339" s="3">
        <f ca="1">'ETF price'!W341-'ETF price'!W340</f>
        <v>-0.12000000000000455</v>
      </c>
      <c r="W339" s="3">
        <f ca="1">'ETF price'!X341-'ETF price'!X340</f>
        <v>-0.1600000000000108</v>
      </c>
      <c r="X339" s="3">
        <f ca="1">'ETF price'!Y341-'ETF price'!Y340</f>
        <v>-0.17999999999999972</v>
      </c>
      <c r="Y339" s="3">
        <f ca="1">'ETF price'!Z341-'ETF price'!Z340</f>
        <v>-0.10999999999999943</v>
      </c>
      <c r="Z339" s="3">
        <f ca="1">'ETF price'!AA341-'ETF price'!AA340</f>
        <v>-0.11999999999999744</v>
      </c>
      <c r="AA339" s="3">
        <f ca="1">'ETF price'!AB341-'ETF price'!AB340</f>
        <v>-0.15999999999999659</v>
      </c>
      <c r="AB339" s="3">
        <f ca="1">'ETF price'!AC341-'ETF price'!AC340</f>
        <v>-0.18000000000000682</v>
      </c>
      <c r="AC339" s="3">
        <f ca="1">'ETF price'!AD341-'ETF price'!AD340</f>
        <v>0.13000000000000078</v>
      </c>
      <c r="AD339" s="3">
        <f ca="1">'ETF price'!AE341-'ETF price'!AE340</f>
        <v>0.20000000000000107</v>
      </c>
      <c r="AE339" s="3">
        <f ca="1">'ETF price'!AF341-'ETF price'!AF340</f>
        <v>8.0000000000000071E-2</v>
      </c>
      <c r="AF339" s="3">
        <f ca="1">'ETF price'!AG341-'ETF price'!AG340</f>
        <v>0.30999999999999872</v>
      </c>
    </row>
    <row r="340" spans="1:32" ht="12.75" x14ac:dyDescent="0.2">
      <c r="A340" s="3">
        <f ca="1">'ETF price'!B342-'ETF price'!B341</f>
        <v>1.8300000000000125</v>
      </c>
      <c r="B340" s="3">
        <f ca="1">'ETF price'!C342-'ETF price'!C341</f>
        <v>4.1800000000000068</v>
      </c>
      <c r="C340" s="3">
        <f ca="1">'ETF price'!D342-'ETF price'!D341</f>
        <v>0.84000000000000341</v>
      </c>
      <c r="D340" s="3">
        <f ca="1">'ETF price'!E342-'ETF price'!E341</f>
        <v>1.3899999999999864</v>
      </c>
      <c r="E340" s="3">
        <f ca="1">'ETF price'!F342-'ETF price'!F341</f>
        <v>0.85999999999999943</v>
      </c>
      <c r="F340" s="3">
        <f ca="1">'ETF price'!G342-'ETF price'!G341</f>
        <v>0.28999999999999915</v>
      </c>
      <c r="G340" s="3">
        <f ca="1">'ETF price'!H342-'ETF price'!H341</f>
        <v>1.9999999999999574E-2</v>
      </c>
      <c r="H340" s="3">
        <f ca="1">'ETF price'!I342-'ETF price'!I341</f>
        <v>0.37000000000000455</v>
      </c>
      <c r="I340" s="3">
        <f ca="1">'ETF price'!J342-'ETF price'!J341</f>
        <v>0.90000000000000568</v>
      </c>
      <c r="J340" s="3">
        <f ca="1">'ETF price'!K342-'ETF price'!K341</f>
        <v>0.43000000000000682</v>
      </c>
      <c r="K340" s="3">
        <f ca="1">'ETF price'!L342-'ETF price'!L341</f>
        <v>1.3700000000000045</v>
      </c>
      <c r="L340" s="3">
        <f ca="1">'ETF price'!M342-'ETF price'!M341</f>
        <v>0.28999999999999915</v>
      </c>
      <c r="M340" s="3">
        <f ca="1">'ETF price'!N342-'ETF price'!N341</f>
        <v>0.20000000000000284</v>
      </c>
      <c r="N340" s="3">
        <f ca="1">'ETF price'!O342-'ETF price'!O341</f>
        <v>0.43999999999999773</v>
      </c>
      <c r="O340" s="3">
        <f ca="1">'ETF price'!P342-'ETF price'!P341</f>
        <v>-0.9100000000000108</v>
      </c>
      <c r="P340" s="3">
        <f ca="1">'ETF price'!Q342-'ETF price'!Q341</f>
        <v>-1.0700000000000074</v>
      </c>
      <c r="Q340" s="3">
        <f ca="1">'ETF price'!R342-'ETF price'!R341</f>
        <v>4.9999999999997158E-2</v>
      </c>
      <c r="R340" s="3">
        <f ca="1">'ETF price'!S342-'ETF price'!S341</f>
        <v>-0.16000000000000369</v>
      </c>
      <c r="S340" s="3">
        <f ca="1">'ETF price'!T342-'ETF price'!T341</f>
        <v>-7.0000000000000284E-2</v>
      </c>
      <c r="T340" s="3">
        <f ca="1">'ETF price'!U342-'ETF price'!U341</f>
        <v>-0.48000000000000398</v>
      </c>
      <c r="U340" s="3">
        <f ca="1">'ETF price'!V342-'ETF price'!V341</f>
        <v>0.64000000000000057</v>
      </c>
      <c r="V340" s="3">
        <f ca="1">'ETF price'!W342-'ETF price'!W341</f>
        <v>-0.17999999999999972</v>
      </c>
      <c r="W340" s="3">
        <f ca="1">'ETF price'!X342-'ETF price'!X341</f>
        <v>-0.23999999999999488</v>
      </c>
      <c r="X340" s="3">
        <f ca="1">'ETF price'!Y342-'ETF price'!Y341</f>
        <v>-0.24000000000000199</v>
      </c>
      <c r="Y340" s="3">
        <f ca="1">'ETF price'!Z342-'ETF price'!Z341</f>
        <v>-0.20000000000000284</v>
      </c>
      <c r="Z340" s="3">
        <f ca="1">'ETF price'!AA342-'ETF price'!AA341</f>
        <v>0.34999999999999432</v>
      </c>
      <c r="AA340" s="3">
        <f ca="1">'ETF price'!AB342-'ETF price'!AB341</f>
        <v>-0.35999999999999943</v>
      </c>
      <c r="AB340" s="3">
        <f ca="1">'ETF price'!AC342-'ETF price'!AC341</f>
        <v>0.56000000000000227</v>
      </c>
      <c r="AC340" s="3">
        <f ca="1">'ETF price'!AD342-'ETF price'!AD341</f>
        <v>9.9999999999997868E-3</v>
      </c>
      <c r="AD340" s="3">
        <f ca="1">'ETF price'!AE342-'ETF price'!AE341</f>
        <v>0</v>
      </c>
      <c r="AE340" s="3">
        <f ca="1">'ETF price'!AF342-'ETF price'!AF341</f>
        <v>-0.16999999999999993</v>
      </c>
      <c r="AF340" s="3">
        <f ca="1">'ETF price'!AG342-'ETF price'!AG341</f>
        <v>0.80999999999999872</v>
      </c>
    </row>
    <row r="341" spans="1:32" ht="12.75" x14ac:dyDescent="0.2">
      <c r="A341" s="3">
        <f ca="1">'ETF price'!B343-'ETF price'!B342</f>
        <v>-0.68000000000000682</v>
      </c>
      <c r="B341" s="3">
        <f ca="1">'ETF price'!C343-'ETF price'!C342</f>
        <v>-1.6399999999999864</v>
      </c>
      <c r="C341" s="3">
        <f ca="1">'ETF price'!D343-'ETF price'!D342</f>
        <v>0.26000000000000512</v>
      </c>
      <c r="D341" s="3">
        <f ca="1">'ETF price'!E343-'ETF price'!E342</f>
        <v>-0.90000000000000568</v>
      </c>
      <c r="E341" s="3">
        <f ca="1">'ETF price'!F343-'ETF price'!F342</f>
        <v>-0.22000000000000597</v>
      </c>
      <c r="F341" s="3">
        <f ca="1">'ETF price'!G343-'ETF price'!G342</f>
        <v>-8.9999999999999858E-2</v>
      </c>
      <c r="G341" s="3">
        <f ca="1">'ETF price'!H343-'ETF price'!H342</f>
        <v>3.0000000000001137E-2</v>
      </c>
      <c r="H341" s="3">
        <f ca="1">'ETF price'!I343-'ETF price'!I342</f>
        <v>-0.40999999999999659</v>
      </c>
      <c r="I341" s="3">
        <f ca="1">'ETF price'!J343-'ETF price'!J342</f>
        <v>-0.90000000000000568</v>
      </c>
      <c r="J341" s="3">
        <f ca="1">'ETF price'!K343-'ETF price'!K342</f>
        <v>-0.59999999999999432</v>
      </c>
      <c r="K341" s="3">
        <f ca="1">'ETF price'!L343-'ETF price'!L342</f>
        <v>-1.269999999999996</v>
      </c>
      <c r="L341" s="3">
        <f ca="1">'ETF price'!M343-'ETF price'!M342</f>
        <v>-0.70000000000000284</v>
      </c>
      <c r="M341" s="3">
        <f ca="1">'ETF price'!N343-'ETF price'!N342</f>
        <v>-0.25</v>
      </c>
      <c r="N341" s="3">
        <f ca="1">'ETF price'!O343-'ETF price'!O342</f>
        <v>-0.46000000000000085</v>
      </c>
      <c r="O341" s="3">
        <f ca="1">'ETF price'!P343-'ETF price'!P342</f>
        <v>-0.94999999999998863</v>
      </c>
      <c r="P341" s="3">
        <f ca="1">'ETF price'!Q343-'ETF price'!Q342</f>
        <v>-1.4499999999999886</v>
      </c>
      <c r="Q341" s="3">
        <f ca="1">'ETF price'!R343-'ETF price'!R342</f>
        <v>-0.77000000000001023</v>
      </c>
      <c r="R341" s="3">
        <f ca="1">'ETF price'!S343-'ETF price'!S342</f>
        <v>-1.3699999999999974</v>
      </c>
      <c r="S341" s="3">
        <f ca="1">'ETF price'!T343-'ETF price'!T342</f>
        <v>-0.39999999999999858</v>
      </c>
      <c r="T341" s="3">
        <f ca="1">'ETF price'!U343-'ETF price'!U342</f>
        <v>-1.1400000000000006</v>
      </c>
      <c r="U341" s="3">
        <f ca="1">'ETF price'!V343-'ETF price'!V342</f>
        <v>-7.9999999999998295E-2</v>
      </c>
      <c r="V341" s="3">
        <f ca="1">'ETF price'!W343-'ETF price'!W342</f>
        <v>-4.9999999999997158E-2</v>
      </c>
      <c r="W341" s="3">
        <f ca="1">'ETF price'!X343-'ETF price'!X342</f>
        <v>-0.32000000000000739</v>
      </c>
      <c r="X341" s="3">
        <f ca="1">'ETF price'!Y343-'ETF price'!Y342</f>
        <v>-0.50999999999999801</v>
      </c>
      <c r="Y341" s="3">
        <f ca="1">'ETF price'!Z343-'ETF price'!Z342</f>
        <v>-0.20999999999999375</v>
      </c>
      <c r="Z341" s="3">
        <f ca="1">'ETF price'!AA343-'ETF price'!AA342</f>
        <v>-0.38999999999999346</v>
      </c>
      <c r="AA341" s="3">
        <f ca="1">'ETF price'!AB343-'ETF price'!AB342</f>
        <v>-0.92000000000000171</v>
      </c>
      <c r="AB341" s="3">
        <f ca="1">'ETF price'!AC343-'ETF price'!AC342</f>
        <v>-0.56000000000000227</v>
      </c>
      <c r="AC341" s="3">
        <f ca="1">'ETF price'!AD343-'ETF price'!AD342</f>
        <v>-0.34999999999999964</v>
      </c>
      <c r="AD341" s="3">
        <f ca="1">'ETF price'!AE343-'ETF price'!AE342</f>
        <v>-0.50000000000000178</v>
      </c>
      <c r="AE341" s="3">
        <f ca="1">'ETF price'!AF343-'ETF price'!AF342</f>
        <v>3.0000000000000249E-2</v>
      </c>
      <c r="AF341" s="3">
        <f ca="1">'ETF price'!AG343-'ETF price'!AG342</f>
        <v>-1.6899999999999977</v>
      </c>
    </row>
    <row r="342" spans="1:32" ht="12.75" x14ac:dyDescent="0.2">
      <c r="A342" s="3">
        <f ca="1">'ETF price'!B344-'ETF price'!B343</f>
        <v>-0.20000000000001705</v>
      </c>
      <c r="B342" s="3">
        <f ca="1">'ETF price'!C344-'ETF price'!C343</f>
        <v>-0.76999999999998181</v>
      </c>
      <c r="C342" s="3">
        <f ca="1">'ETF price'!D344-'ETF price'!D343</f>
        <v>1.4099999999999966</v>
      </c>
      <c r="D342" s="3">
        <f ca="1">'ETF price'!E344-'ETF price'!E343</f>
        <v>-0.12999999999999545</v>
      </c>
      <c r="E342" s="3">
        <f ca="1">'ETF price'!F344-'ETF price'!F343</f>
        <v>-0.20999999999999375</v>
      </c>
      <c r="F342" s="3">
        <f ca="1">'ETF price'!G344-'ETF price'!G343</f>
        <v>-0.12000000000000099</v>
      </c>
      <c r="G342" s="3">
        <f ca="1">'ETF price'!H344-'ETF price'!H343</f>
        <v>5.9999999999998721E-2</v>
      </c>
      <c r="H342" s="3">
        <f ca="1">'ETF price'!I344-'ETF price'!I343</f>
        <v>-0.18000000000000682</v>
      </c>
      <c r="I342" s="3">
        <f ca="1">'ETF price'!J344-'ETF price'!J343</f>
        <v>-0.60999999999998522</v>
      </c>
      <c r="J342" s="3">
        <f ca="1">'ETF price'!K344-'ETF price'!K343</f>
        <v>-0.25</v>
      </c>
      <c r="K342" s="3">
        <f ca="1">'ETF price'!L344-'ETF price'!L343</f>
        <v>-0.57999999999999829</v>
      </c>
      <c r="L342" s="3">
        <f ca="1">'ETF price'!M344-'ETF price'!M343</f>
        <v>-0.87999999999999545</v>
      </c>
      <c r="M342" s="3">
        <f ca="1">'ETF price'!N344-'ETF price'!N343</f>
        <v>-0.12000000000000455</v>
      </c>
      <c r="N342" s="3">
        <f ca="1">'ETF price'!O344-'ETF price'!O343</f>
        <v>-0.55999999999999517</v>
      </c>
      <c r="O342" s="3">
        <f ca="1">'ETF price'!P344-'ETF price'!P343</f>
        <v>0.11999999999999034</v>
      </c>
      <c r="P342" s="3">
        <f ca="1">'ETF price'!Q344-'ETF price'!Q343</f>
        <v>0.25</v>
      </c>
      <c r="Q342" s="3">
        <f ca="1">'ETF price'!R344-'ETF price'!R343</f>
        <v>0.14000000000000057</v>
      </c>
      <c r="R342" s="3">
        <f ca="1">'ETF price'!S344-'ETF price'!S343</f>
        <v>-0.13000000000000256</v>
      </c>
      <c r="S342" s="3">
        <f ca="1">'ETF price'!T344-'ETF price'!T343</f>
        <v>-0.17999999999999972</v>
      </c>
      <c r="T342" s="3">
        <f ca="1">'ETF price'!U344-'ETF price'!U343</f>
        <v>-1.1799999999999997</v>
      </c>
      <c r="U342" s="3">
        <f ca="1">'ETF price'!V344-'ETF price'!V343</f>
        <v>2.1299999999999955</v>
      </c>
      <c r="V342" s="3">
        <f ca="1">'ETF price'!W344-'ETF price'!W343</f>
        <v>-0.13000000000000256</v>
      </c>
      <c r="W342" s="3">
        <f ca="1">'ETF price'!X344-'ETF price'!X343</f>
        <v>-0.22999999999998977</v>
      </c>
      <c r="X342" s="3">
        <f ca="1">'ETF price'!Y344-'ETF price'!Y343</f>
        <v>0</v>
      </c>
      <c r="Y342" s="3">
        <f ca="1">'ETF price'!Z344-'ETF price'!Z343</f>
        <v>-0.28000000000000114</v>
      </c>
      <c r="Z342" s="3">
        <f ca="1">'ETF price'!AA344-'ETF price'!AA343</f>
        <v>7.0000000000000284E-2</v>
      </c>
      <c r="AA342" s="3">
        <f ca="1">'ETF price'!AB344-'ETF price'!AB343</f>
        <v>0.22999999999999687</v>
      </c>
      <c r="AB342" s="3">
        <f ca="1">'ETF price'!AC344-'ETF price'!AC343</f>
        <v>1.3800000000000026</v>
      </c>
      <c r="AC342" s="3">
        <f ca="1">'ETF price'!AD344-'ETF price'!AD343</f>
        <v>-0.16000000000000014</v>
      </c>
      <c r="AD342" s="3">
        <f ca="1">'ETF price'!AE344-'ETF price'!AE343</f>
        <v>-0.22000000000000064</v>
      </c>
      <c r="AE342" s="3">
        <f ca="1">'ETF price'!AF344-'ETF price'!AF343</f>
        <v>5.9999999999999609E-2</v>
      </c>
      <c r="AF342" s="3">
        <f ca="1">'ETF price'!AG344-'ETF price'!AG343</f>
        <v>-0.62999999999999901</v>
      </c>
    </row>
    <row r="343" spans="1:32" ht="12.75" x14ac:dyDescent="0.2">
      <c r="A343" s="3">
        <f ca="1">'ETF price'!B345-'ETF price'!B344</f>
        <v>1.25</v>
      </c>
      <c r="B343" s="3">
        <f ca="1">'ETF price'!C345-'ETF price'!C344</f>
        <v>3.25</v>
      </c>
      <c r="C343" s="3">
        <f ca="1">'ETF price'!D345-'ETF price'!D344</f>
        <v>2.0499999999999972</v>
      </c>
      <c r="D343" s="3">
        <f ca="1">'ETF price'!E345-'ETF price'!E344</f>
        <v>3.7199999999999989</v>
      </c>
      <c r="E343" s="3">
        <f ca="1">'ETF price'!F345-'ETF price'!F344</f>
        <v>0.62999999999999545</v>
      </c>
      <c r="F343" s="3">
        <f ca="1">'ETF price'!G345-'ETF price'!G344</f>
        <v>0.37000000000000099</v>
      </c>
      <c r="G343" s="3">
        <f ca="1">'ETF price'!H345-'ETF price'!H344</f>
        <v>0.33999999999999986</v>
      </c>
      <c r="H343" s="3">
        <f ca="1">'ETF price'!I345-'ETF price'!I344</f>
        <v>-0.22999999999998977</v>
      </c>
      <c r="I343" s="3">
        <f ca="1">'ETF price'!J345-'ETF price'!J344</f>
        <v>0.22999999999998977</v>
      </c>
      <c r="J343" s="3">
        <f ca="1">'ETF price'!K345-'ETF price'!K344</f>
        <v>1.5600000000000023</v>
      </c>
      <c r="K343" s="3">
        <f ca="1">'ETF price'!L345-'ETF price'!L344</f>
        <v>2.1199999999999903</v>
      </c>
      <c r="L343" s="3">
        <f ca="1">'ETF price'!M345-'ETF price'!M344</f>
        <v>2.0399999999999991</v>
      </c>
      <c r="M343" s="3">
        <f ca="1">'ETF price'!N345-'ETF price'!N344</f>
        <v>5.0000000000004263E-2</v>
      </c>
      <c r="N343" s="3">
        <f ca="1">'ETF price'!O345-'ETF price'!O344</f>
        <v>1.8999999999999986</v>
      </c>
      <c r="O343" s="3">
        <f ca="1">'ETF price'!P345-'ETF price'!P344</f>
        <v>0.40000000000000568</v>
      </c>
      <c r="P343" s="3">
        <f ca="1">'ETF price'!Q345-'ETF price'!Q344</f>
        <v>0.75</v>
      </c>
      <c r="Q343" s="3">
        <f ca="1">'ETF price'!R345-'ETF price'!R344</f>
        <v>0.6600000000000108</v>
      </c>
      <c r="R343" s="3">
        <f ca="1">'ETF price'!S345-'ETF price'!S344</f>
        <v>0.62000000000000455</v>
      </c>
      <c r="S343" s="3">
        <f ca="1">'ETF price'!T345-'ETF price'!T344</f>
        <v>0.25999999999999801</v>
      </c>
      <c r="T343" s="3">
        <f ca="1">'ETF price'!U345-'ETF price'!U344</f>
        <v>0.92000000000000171</v>
      </c>
      <c r="U343" s="3">
        <f ca="1">'ETF price'!V345-'ETF price'!V344</f>
        <v>0.75</v>
      </c>
      <c r="V343" s="3">
        <f ca="1">'ETF price'!W345-'ETF price'!W344</f>
        <v>0.25999999999999801</v>
      </c>
      <c r="W343" s="3">
        <f ca="1">'ETF price'!X345-'ETF price'!X344</f>
        <v>0.75999999999999091</v>
      </c>
      <c r="X343" s="3">
        <f ca="1">'ETF price'!Y345-'ETF price'!Y344</f>
        <v>0.9199999999999946</v>
      </c>
      <c r="Y343" s="3">
        <f ca="1">'ETF price'!Z345-'ETF price'!Z344</f>
        <v>0.65999999999999659</v>
      </c>
      <c r="Z343" s="3">
        <f ca="1">'ETF price'!AA345-'ETF price'!AA344</f>
        <v>-7.0000000000000284E-2</v>
      </c>
      <c r="AA343" s="3">
        <f ca="1">'ETF price'!AB345-'ETF price'!AB344</f>
        <v>1.1500000000000057</v>
      </c>
      <c r="AB343" s="3">
        <f ca="1">'ETF price'!AC345-'ETF price'!AC344</f>
        <v>0.32000000000000028</v>
      </c>
      <c r="AC343" s="3">
        <f ca="1">'ETF price'!AD345-'ETF price'!AD344</f>
        <v>0.40000000000000036</v>
      </c>
      <c r="AD343" s="3">
        <f ca="1">'ETF price'!AE345-'ETF price'!AE344</f>
        <v>0.57000000000000028</v>
      </c>
      <c r="AE343" s="3">
        <f ca="1">'ETF price'!AF345-'ETF price'!AF344</f>
        <v>3.0000000000000249E-2</v>
      </c>
      <c r="AF343" s="3">
        <f ca="1">'ETF price'!AG345-'ETF price'!AG344</f>
        <v>1.4799999999999969</v>
      </c>
    </row>
    <row r="344" spans="1:32" ht="12.75" x14ac:dyDescent="0.2">
      <c r="A344" s="3">
        <f ca="1">'ETF price'!B346-'ETF price'!B345</f>
        <v>0.16000000000002501</v>
      </c>
      <c r="B344" s="3">
        <f ca="1">'ETF price'!C346-'ETF price'!C345</f>
        <v>-0.25999999999999091</v>
      </c>
      <c r="C344" s="3">
        <f ca="1">'ETF price'!D346-'ETF price'!D345</f>
        <v>-0.15999999999999659</v>
      </c>
      <c r="D344" s="3">
        <f ca="1">'ETF price'!E346-'ETF price'!E345</f>
        <v>-0.26999999999998181</v>
      </c>
      <c r="E344" s="3">
        <f ca="1">'ETF price'!F346-'ETF price'!F345</f>
        <v>-0.39000000000000057</v>
      </c>
      <c r="F344" s="3">
        <f ca="1">'ETF price'!G346-'ETF price'!G345</f>
        <v>-8.0000000000001847E-2</v>
      </c>
      <c r="G344" s="3">
        <f ca="1">'ETF price'!H346-'ETF price'!H345</f>
        <v>-0.38999999999999702</v>
      </c>
      <c r="H344" s="3">
        <f ca="1">'ETF price'!I346-'ETF price'!I345</f>
        <v>-1.0999999999999943</v>
      </c>
      <c r="I344" s="3">
        <f ca="1">'ETF price'!J346-'ETF price'!J345</f>
        <v>-2.6899999999999977</v>
      </c>
      <c r="J344" s="3">
        <f ca="1">'ETF price'!K346-'ETF price'!K345</f>
        <v>-2.7000000000000171</v>
      </c>
      <c r="K344" s="3">
        <f ca="1">'ETF price'!L346-'ETF price'!L345</f>
        <v>-2.519999999999996</v>
      </c>
      <c r="L344" s="3">
        <f ca="1">'ETF price'!M346-'ETF price'!M345</f>
        <v>-1.4299999999999997</v>
      </c>
      <c r="M344" s="3">
        <f ca="1">'ETF price'!N346-'ETF price'!N345</f>
        <v>-0.71999999999999886</v>
      </c>
      <c r="N344" s="3">
        <f ca="1">'ETF price'!O346-'ETF price'!O345</f>
        <v>-1.6000000000000014</v>
      </c>
      <c r="O344" s="3">
        <f ca="1">'ETF price'!P346-'ETF price'!P345</f>
        <v>-1.9399999999999977</v>
      </c>
      <c r="P344" s="3">
        <f ca="1">'ETF price'!Q346-'ETF price'!Q345</f>
        <v>-2.7900000000000063</v>
      </c>
      <c r="Q344" s="3">
        <f ca="1">'ETF price'!R346-'ETF price'!R345</f>
        <v>-1.3000000000000114</v>
      </c>
      <c r="R344" s="3">
        <f ca="1">'ETF price'!S346-'ETF price'!S345</f>
        <v>-1.3400000000000034</v>
      </c>
      <c r="S344" s="3">
        <f ca="1">'ETF price'!T346-'ETF price'!T345</f>
        <v>-0.25</v>
      </c>
      <c r="T344" s="3">
        <f ca="1">'ETF price'!U346-'ETF price'!U345</f>
        <v>-0.45000000000000284</v>
      </c>
      <c r="U344" s="3">
        <f ca="1">'ETF price'!V346-'ETF price'!V345</f>
        <v>-1.7000000000000028</v>
      </c>
      <c r="V344" s="3">
        <f ca="1">'ETF price'!W346-'ETF price'!W345</f>
        <v>-0.29999999999999716</v>
      </c>
      <c r="W344" s="3">
        <f ca="1">'ETF price'!X346-'ETF price'!X345</f>
        <v>-0.79999999999999716</v>
      </c>
      <c r="X344" s="3">
        <f ca="1">'ETF price'!Y346-'ETF price'!Y345</f>
        <v>-0.50999999999999801</v>
      </c>
      <c r="Y344" s="3">
        <f ca="1">'ETF price'!Z346-'ETF price'!Z345</f>
        <v>-0.78000000000000114</v>
      </c>
      <c r="Z344" s="3">
        <f ca="1">'ETF price'!AA346-'ETF price'!AA345</f>
        <v>-0.99000000000000199</v>
      </c>
      <c r="AA344" s="3">
        <f ca="1">'ETF price'!AB346-'ETF price'!AB345</f>
        <v>-0.56000000000000227</v>
      </c>
      <c r="AB344" s="3">
        <f ca="1">'ETF price'!AC346-'ETF price'!AC345</f>
        <v>-0.28000000000000114</v>
      </c>
      <c r="AC344" s="3">
        <f ca="1">'ETF price'!AD346-'ETF price'!AD345</f>
        <v>-0.21000000000000085</v>
      </c>
      <c r="AD344" s="3">
        <f ca="1">'ETF price'!AE346-'ETF price'!AE345</f>
        <v>-0.28999999999999915</v>
      </c>
      <c r="AE344" s="3">
        <f ca="1">'ETF price'!AF346-'ETF price'!AF345</f>
        <v>0.12000000000000011</v>
      </c>
      <c r="AF344" s="3">
        <f ca="1">'ETF price'!AG346-'ETF price'!AG345</f>
        <v>0.25</v>
      </c>
    </row>
    <row r="345" spans="1:32" ht="12.75" x14ac:dyDescent="0.2">
      <c r="A345" s="3">
        <f ca="1">'ETF price'!B347-'ETF price'!B346</f>
        <v>2.0299999999999727</v>
      </c>
      <c r="B345" s="3">
        <f ca="1">'ETF price'!C347-'ETF price'!C346</f>
        <v>5.6899999999999977</v>
      </c>
      <c r="C345" s="3">
        <f ca="1">'ETF price'!D347-'ETF price'!D346</f>
        <v>0.5</v>
      </c>
      <c r="D345" s="3">
        <f ca="1">'ETF price'!E347-'ETF price'!E346</f>
        <v>3.4699999999999989</v>
      </c>
      <c r="E345" s="3">
        <f ca="1">'ETF price'!F347-'ETF price'!F346</f>
        <v>0.53000000000000114</v>
      </c>
      <c r="F345" s="3">
        <f ca="1">'ETF price'!G347-'ETF price'!G346</f>
        <v>0.25</v>
      </c>
      <c r="G345" s="3">
        <f ca="1">'ETF price'!H347-'ETF price'!H346</f>
        <v>0.29999999999999716</v>
      </c>
      <c r="H345" s="3">
        <f ca="1">'ETF price'!I347-'ETF price'!I346</f>
        <v>0.15999999999999659</v>
      </c>
      <c r="I345" s="3">
        <f ca="1">'ETF price'!J347-'ETF price'!J346</f>
        <v>0.49000000000000909</v>
      </c>
      <c r="J345" s="3">
        <f ca="1">'ETF price'!K347-'ETF price'!K346</f>
        <v>0.29000000000002046</v>
      </c>
      <c r="K345" s="3">
        <f ca="1">'ETF price'!L347-'ETF price'!L346</f>
        <v>0.70999999999999375</v>
      </c>
      <c r="L345" s="3">
        <f ca="1">'ETF price'!M347-'ETF price'!M346</f>
        <v>0.17999999999999972</v>
      </c>
      <c r="M345" s="3">
        <f ca="1">'ETF price'!N347-'ETF price'!N346</f>
        <v>0.11999999999999744</v>
      </c>
      <c r="N345" s="3">
        <f ca="1">'ETF price'!O347-'ETF price'!O346</f>
        <v>0.35999999999999943</v>
      </c>
      <c r="O345" s="3">
        <f ca="1">'ETF price'!P347-'ETF price'!P346</f>
        <v>1.4799999999999898</v>
      </c>
      <c r="P345" s="3">
        <f ca="1">'ETF price'!Q347-'ETF price'!Q346</f>
        <v>2.1200000000000045</v>
      </c>
      <c r="Q345" s="3">
        <f ca="1">'ETF price'!R347-'ETF price'!R346</f>
        <v>0.51000000000000512</v>
      </c>
      <c r="R345" s="3">
        <f ca="1">'ETF price'!S347-'ETF price'!S346</f>
        <v>0.84000000000000341</v>
      </c>
      <c r="S345" s="3">
        <f ca="1">'ETF price'!T347-'ETF price'!T346</f>
        <v>0.26999999999999957</v>
      </c>
      <c r="T345" s="3">
        <f ca="1">'ETF price'!U347-'ETF price'!U346</f>
        <v>2.0599999999999952</v>
      </c>
      <c r="U345" s="3">
        <f ca="1">'ETF price'!V347-'ETF price'!V346</f>
        <v>0.67000000000000171</v>
      </c>
      <c r="V345" s="3">
        <f ca="1">'ETF price'!W347-'ETF price'!W346</f>
        <v>0.64000000000000057</v>
      </c>
      <c r="W345" s="3">
        <f ca="1">'ETF price'!X347-'ETF price'!X346</f>
        <v>1.9300000000000068</v>
      </c>
      <c r="X345" s="3">
        <f ca="1">'ETF price'!Y347-'ETF price'!Y346</f>
        <v>2.0300000000000011</v>
      </c>
      <c r="Y345" s="3">
        <f ca="1">'ETF price'!Z347-'ETF price'!Z346</f>
        <v>1.6200000000000045</v>
      </c>
      <c r="Z345" s="3">
        <f ca="1">'ETF price'!AA347-'ETF price'!AA346</f>
        <v>0.46999999999999886</v>
      </c>
      <c r="AA345" s="3">
        <f ca="1">'ETF price'!AB347-'ETF price'!AB346</f>
        <v>2.7199999999999989</v>
      </c>
      <c r="AB345" s="3">
        <f ca="1">'ETF price'!AC347-'ETF price'!AC346</f>
        <v>0.25</v>
      </c>
      <c r="AC345" s="3">
        <f ca="1">'ETF price'!AD347-'ETF price'!AD346</f>
        <v>0.19000000000000128</v>
      </c>
      <c r="AD345" s="3">
        <f ca="1">'ETF price'!AE347-'ETF price'!AE346</f>
        <v>0.27999999999999936</v>
      </c>
      <c r="AE345" s="3">
        <f ca="1">'ETF price'!AF347-'ETF price'!AF346</f>
        <v>-3.0000000000000249E-2</v>
      </c>
      <c r="AF345" s="3">
        <f ca="1">'ETF price'!AG347-'ETF price'!AG346</f>
        <v>1.3000000000000007</v>
      </c>
    </row>
    <row r="346" spans="1:32" ht="12.75" x14ac:dyDescent="0.2">
      <c r="A346" s="3">
        <f ca="1">'ETF price'!B348-'ETF price'!B347</f>
        <v>3.160000000000025</v>
      </c>
      <c r="B346" s="3">
        <f ca="1">'ETF price'!C348-'ETF price'!C347</f>
        <v>7.7400000000000091</v>
      </c>
      <c r="C346" s="3">
        <f ca="1">'ETF price'!D348-'ETF price'!D347</f>
        <v>-1.4399999999999977</v>
      </c>
      <c r="D346" s="3">
        <f ca="1">'ETF price'!E348-'ETF price'!E347</f>
        <v>4.539999999999992</v>
      </c>
      <c r="E346" s="3">
        <f ca="1">'ETF price'!F348-'ETF price'!F347</f>
        <v>0.71999999999999886</v>
      </c>
      <c r="F346" s="3">
        <f ca="1">'ETF price'!G348-'ETF price'!G347</f>
        <v>0.53000000000000114</v>
      </c>
      <c r="G346" s="3">
        <f ca="1">'ETF price'!H348-'ETF price'!H347</f>
        <v>0.19000000000000128</v>
      </c>
      <c r="H346" s="3">
        <f ca="1">'ETF price'!I348-'ETF price'!I347</f>
        <v>-0.3200000000000216</v>
      </c>
      <c r="I346" s="3">
        <f ca="1">'ETF price'!J348-'ETF price'!J347</f>
        <v>-0.44000000000002615</v>
      </c>
      <c r="J346" s="3">
        <f ca="1">'ETF price'!K348-'ETF price'!K347</f>
        <v>-0.36000000000001364</v>
      </c>
      <c r="K346" s="3">
        <f ca="1">'ETF price'!L348-'ETF price'!L347</f>
        <v>-1.0099999999999909</v>
      </c>
      <c r="L346" s="3">
        <f ca="1">'ETF price'!M348-'ETF price'!M347</f>
        <v>-0.37000000000000455</v>
      </c>
      <c r="M346" s="3">
        <f ca="1">'ETF price'!N348-'ETF price'!N347</f>
        <v>-0.14999999999999858</v>
      </c>
      <c r="N346" s="3">
        <f ca="1">'ETF price'!O348-'ETF price'!O347</f>
        <v>-0.25</v>
      </c>
      <c r="O346" s="3">
        <f ca="1">'ETF price'!P348-'ETF price'!P347</f>
        <v>0.57000000000000739</v>
      </c>
      <c r="P346" s="3">
        <f ca="1">'ETF price'!Q348-'ETF price'!Q347</f>
        <v>0.84999999999999432</v>
      </c>
      <c r="Q346" s="3">
        <f ca="1">'ETF price'!R348-'ETF price'!R347</f>
        <v>0.46000000000000796</v>
      </c>
      <c r="R346" s="3">
        <f ca="1">'ETF price'!S348-'ETF price'!S347</f>
        <v>-8.00000000000054E-2</v>
      </c>
      <c r="S346" s="3">
        <f ca="1">'ETF price'!T348-'ETF price'!T347</f>
        <v>-0.21000000000000085</v>
      </c>
      <c r="T346" s="3">
        <f ca="1">'ETF price'!U348-'ETF price'!U347</f>
        <v>-0.55999999999998806</v>
      </c>
      <c r="U346" s="3">
        <f ca="1">'ETF price'!V348-'ETF price'!V347</f>
        <v>-0.89000000000000057</v>
      </c>
      <c r="V346" s="3">
        <f ca="1">'ETF price'!W348-'ETF price'!W347</f>
        <v>0.24000000000000199</v>
      </c>
      <c r="W346" s="3">
        <f ca="1">'ETF price'!X348-'ETF price'!X347</f>
        <v>0.5</v>
      </c>
      <c r="X346" s="3">
        <f ca="1">'ETF price'!Y348-'ETF price'!Y347</f>
        <v>0.22999999999999687</v>
      </c>
      <c r="Y346" s="3">
        <f ca="1">'ETF price'!Z348-'ETF price'!Z347</f>
        <v>0.45999999999999375</v>
      </c>
      <c r="Z346" s="3">
        <f ca="1">'ETF price'!AA348-'ETF price'!AA347</f>
        <v>-0.22999999999999687</v>
      </c>
      <c r="AA346" s="3">
        <f ca="1">'ETF price'!AB348-'ETF price'!AB347</f>
        <v>0.24000000000000199</v>
      </c>
      <c r="AB346" s="3">
        <f ca="1">'ETF price'!AC348-'ETF price'!AC347</f>
        <v>-0.48999999999999488</v>
      </c>
      <c r="AC346" s="3">
        <f ca="1">'ETF price'!AD348-'ETF price'!AD347</f>
        <v>-0.26000000000000156</v>
      </c>
      <c r="AD346" s="3">
        <f ca="1">'ETF price'!AE348-'ETF price'!AE347</f>
        <v>-0.38999999999999879</v>
      </c>
      <c r="AE346" s="3">
        <f ca="1">'ETF price'!AF348-'ETF price'!AF347</f>
        <v>0</v>
      </c>
      <c r="AF346" s="3">
        <f ca="1">'ETF price'!AG348-'ETF price'!AG347</f>
        <v>-0.41000000000000014</v>
      </c>
    </row>
    <row r="347" spans="1:32" ht="12.75" x14ac:dyDescent="0.2">
      <c r="A347" s="3">
        <f ca="1">'ETF price'!B349-'ETF price'!B348</f>
        <v>-7.00000000000216E-2</v>
      </c>
      <c r="B347" s="3">
        <f ca="1">'ETF price'!C349-'ETF price'!C348</f>
        <v>-0.73000000000001819</v>
      </c>
      <c r="C347" s="3">
        <f ca="1">'ETF price'!D349-'ETF price'!D348</f>
        <v>-0.57000000000000739</v>
      </c>
      <c r="D347" s="3">
        <f ca="1">'ETF price'!E349-'ETF price'!E348</f>
        <v>-0.75999999999999091</v>
      </c>
      <c r="E347" s="3">
        <f ca="1">'ETF price'!F349-'ETF price'!F348</f>
        <v>0.16000000000000369</v>
      </c>
      <c r="F347" s="3">
        <f ca="1">'ETF price'!G349-'ETF price'!G348</f>
        <v>0.14999999999999858</v>
      </c>
      <c r="G347" s="3">
        <f ca="1">'ETF price'!H349-'ETF price'!H348</f>
        <v>-0.10999999999999943</v>
      </c>
      <c r="H347" s="3">
        <f ca="1">'ETF price'!I349-'ETF price'!I348</f>
        <v>0.61000000000001364</v>
      </c>
      <c r="I347" s="3">
        <f ca="1">'ETF price'!J349-'ETF price'!J348</f>
        <v>0.95000000000001705</v>
      </c>
      <c r="J347" s="3">
        <f ca="1">'ETF price'!K349-'ETF price'!K348</f>
        <v>1.1100000000000136</v>
      </c>
      <c r="K347" s="3">
        <f ca="1">'ETF price'!L349-'ETF price'!L348</f>
        <v>0.64000000000000057</v>
      </c>
      <c r="L347" s="3">
        <f ca="1">'ETF price'!M349-'ETF price'!M348</f>
        <v>0.95000000000000284</v>
      </c>
      <c r="M347" s="3">
        <f ca="1">'ETF price'!N349-'ETF price'!N348</f>
        <v>0.28000000000000114</v>
      </c>
      <c r="N347" s="3">
        <f ca="1">'ETF price'!O349-'ETF price'!O348</f>
        <v>0.14999999999999858</v>
      </c>
      <c r="O347" s="3">
        <f ca="1">'ETF price'!P349-'ETF price'!P348</f>
        <v>0.60999999999999943</v>
      </c>
      <c r="P347" s="3">
        <f ca="1">'ETF price'!Q349-'ETF price'!Q348</f>
        <v>0.76000000000000512</v>
      </c>
      <c r="Q347" s="3">
        <f ca="1">'ETF price'!R349-'ETF price'!R348</f>
        <v>0.19999999999998863</v>
      </c>
      <c r="R347" s="3">
        <f ca="1">'ETF price'!S349-'ETF price'!S348</f>
        <v>-0.28000000000000114</v>
      </c>
      <c r="S347" s="3">
        <f ca="1">'ETF price'!T349-'ETF price'!T348</f>
        <v>-2.9999999999997584E-2</v>
      </c>
      <c r="T347" s="3">
        <f ca="1">'ETF price'!U349-'ETF price'!U348</f>
        <v>-0.14000000000000767</v>
      </c>
      <c r="U347" s="3">
        <f ca="1">'ETF price'!V349-'ETF price'!V348</f>
        <v>-0.65999999999999659</v>
      </c>
      <c r="V347" s="3">
        <f ca="1">'ETF price'!W349-'ETF price'!W348</f>
        <v>-0.14000000000000057</v>
      </c>
      <c r="W347" s="3">
        <f ca="1">'ETF price'!X349-'ETF price'!X348</f>
        <v>-0.35999999999999943</v>
      </c>
      <c r="X347" s="3">
        <f ca="1">'ETF price'!Y349-'ETF price'!Y348</f>
        <v>-0.57000000000000028</v>
      </c>
      <c r="Y347" s="3">
        <f ca="1">'ETF price'!Z349-'ETF price'!Z348</f>
        <v>-0.26999999999999602</v>
      </c>
      <c r="Z347" s="3">
        <f ca="1">'ETF price'!AA349-'ETF price'!AA348</f>
        <v>-6.0000000000002274E-2</v>
      </c>
      <c r="AA347" s="3">
        <f ca="1">'ETF price'!AB349-'ETF price'!AB348</f>
        <v>-0.71000000000000085</v>
      </c>
      <c r="AB347" s="3">
        <f ca="1">'ETF price'!AC349-'ETF price'!AC348</f>
        <v>-0.65000000000000568</v>
      </c>
      <c r="AC347" s="3">
        <f ca="1">'ETF price'!AD349-'ETF price'!AD348</f>
        <v>4.0000000000000924E-2</v>
      </c>
      <c r="AD347" s="3">
        <f ca="1">'ETF price'!AE349-'ETF price'!AE348</f>
        <v>6.9999999999998508E-2</v>
      </c>
      <c r="AE347" s="3">
        <f ca="1">'ETF price'!AF349-'ETF price'!AF348</f>
        <v>0.12999999999999989</v>
      </c>
      <c r="AF347" s="3">
        <f ca="1">'ETF price'!AG349-'ETF price'!AG348</f>
        <v>-7.0000000000000284E-2</v>
      </c>
    </row>
    <row r="348" spans="1:32" ht="12.75" x14ac:dyDescent="0.2">
      <c r="A348" s="3">
        <f ca="1">'ETF price'!B350-'ETF price'!B349</f>
        <v>0.30000000000001137</v>
      </c>
      <c r="B348" s="3">
        <f ca="1">'ETF price'!C350-'ETF price'!C349</f>
        <v>1.0299999999999727</v>
      </c>
      <c r="C348" s="3">
        <f ca="1">'ETF price'!D350-'ETF price'!D349</f>
        <v>3.4200000000000017</v>
      </c>
      <c r="D348" s="3">
        <f ca="1">'ETF price'!E350-'ETF price'!E349</f>
        <v>0.50999999999999091</v>
      </c>
      <c r="E348" s="3">
        <f ca="1">'ETF price'!F350-'ETF price'!F349</f>
        <v>0.53999999999999915</v>
      </c>
      <c r="F348" s="3">
        <f ca="1">'ETF price'!G350-'ETF price'!G349</f>
        <v>0.26000000000000156</v>
      </c>
      <c r="G348" s="3">
        <f ca="1">'ETF price'!H350-'ETF price'!H349</f>
        <v>0.19000000000000128</v>
      </c>
      <c r="H348" s="3">
        <f ca="1">'ETF price'!I350-'ETF price'!I349</f>
        <v>0.12999999999999545</v>
      </c>
      <c r="I348" s="3">
        <f ca="1">'ETF price'!J350-'ETF price'!J349</f>
        <v>0.62000000000000455</v>
      </c>
      <c r="J348" s="3">
        <f ca="1">'ETF price'!K350-'ETF price'!K349</f>
        <v>1.0699999999999932</v>
      </c>
      <c r="K348" s="3">
        <f ca="1">'ETF price'!L350-'ETF price'!L349</f>
        <v>2.0999999999999943</v>
      </c>
      <c r="L348" s="3">
        <f ca="1">'ETF price'!M350-'ETF price'!M349</f>
        <v>0.85000000000000142</v>
      </c>
      <c r="M348" s="3">
        <f ca="1">'ETF price'!N350-'ETF price'!N349</f>
        <v>0.19999999999999574</v>
      </c>
      <c r="N348" s="3">
        <f ca="1">'ETF price'!O350-'ETF price'!O349</f>
        <v>1.0600000000000023</v>
      </c>
      <c r="O348" s="3">
        <f ca="1">'ETF price'!P350-'ETF price'!P349</f>
        <v>-0.32999999999999829</v>
      </c>
      <c r="P348" s="3">
        <f ca="1">'ETF price'!Q350-'ETF price'!Q349</f>
        <v>-3.0000000000001137E-2</v>
      </c>
      <c r="Q348" s="3">
        <f ca="1">'ETF price'!R350-'ETF price'!R349</f>
        <v>-0.40999999999999659</v>
      </c>
      <c r="R348" s="3">
        <f ca="1">'ETF price'!S350-'ETF price'!S349</f>
        <v>0.39000000000000057</v>
      </c>
      <c r="S348" s="3">
        <f ca="1">'ETF price'!T350-'ETF price'!T349</f>
        <v>1.9999999999999574E-2</v>
      </c>
      <c r="T348" s="3">
        <f ca="1">'ETF price'!U350-'ETF price'!U349</f>
        <v>9.9999999999980105E-3</v>
      </c>
      <c r="U348" s="3">
        <f ca="1">'ETF price'!V350-'ETF price'!V349</f>
        <v>1.230000000000004</v>
      </c>
      <c r="V348" s="3">
        <f ca="1">'ETF price'!W350-'ETF price'!W349</f>
        <v>5.9999999999995168E-2</v>
      </c>
      <c r="W348" s="3">
        <f ca="1">'ETF price'!X350-'ETF price'!X349</f>
        <v>0.45999999999999375</v>
      </c>
      <c r="X348" s="3">
        <f ca="1">'ETF price'!Y350-'ETF price'!Y349</f>
        <v>0.81000000000000227</v>
      </c>
      <c r="Y348" s="3">
        <f ca="1">'ETF price'!Z350-'ETF price'!Z349</f>
        <v>0.32999999999999829</v>
      </c>
      <c r="Z348" s="3">
        <f ca="1">'ETF price'!AA350-'ETF price'!AA349</f>
        <v>0.24000000000000199</v>
      </c>
      <c r="AA348" s="3">
        <f ca="1">'ETF price'!AB350-'ETF price'!AB349</f>
        <v>1.25</v>
      </c>
      <c r="AB348" s="3">
        <f ca="1">'ETF price'!AC350-'ETF price'!AC349</f>
        <v>0.21000000000000085</v>
      </c>
      <c r="AC348" s="3">
        <f ca="1">'ETF price'!AD350-'ETF price'!AD349</f>
        <v>9.9999999999997868E-3</v>
      </c>
      <c r="AD348" s="3">
        <f ca="1">'ETF price'!AE350-'ETF price'!AE349</f>
        <v>0</v>
      </c>
      <c r="AE348" s="3">
        <f ca="1">'ETF price'!AF350-'ETF price'!AF349</f>
        <v>-7.9999999999999627E-2</v>
      </c>
      <c r="AF348" s="3">
        <f ca="1">'ETF price'!AG350-'ETF price'!AG349</f>
        <v>0.82000000000000028</v>
      </c>
    </row>
    <row r="349" spans="1:32" ht="12.75" x14ac:dyDescent="0.2">
      <c r="A349" s="3">
        <f ca="1">'ETF price'!B351-'ETF price'!B350</f>
        <v>-2.3300000000000125</v>
      </c>
      <c r="B349" s="3">
        <f ca="1">'ETF price'!C351-'ETF price'!C350</f>
        <v>-6.1299999999999955</v>
      </c>
      <c r="C349" s="3">
        <f ca="1">'ETF price'!D351-'ETF price'!D350</f>
        <v>2.7900000000000063</v>
      </c>
      <c r="D349" s="3">
        <f ca="1">'ETF price'!E351-'ETF price'!E350</f>
        <v>-1.8300000000000125</v>
      </c>
      <c r="E349" s="3">
        <f ca="1">'ETF price'!F351-'ETF price'!F350</f>
        <v>-0.71000000000000085</v>
      </c>
      <c r="F349" s="3">
        <f ca="1">'ETF price'!G351-'ETF price'!G350</f>
        <v>-0.62000000000000099</v>
      </c>
      <c r="G349" s="3">
        <f ca="1">'ETF price'!H351-'ETF price'!H350</f>
        <v>-0.36000000000000298</v>
      </c>
      <c r="H349" s="3">
        <f ca="1">'ETF price'!I351-'ETF price'!I350</f>
        <v>-1.4399999999999977</v>
      </c>
      <c r="I349" s="3">
        <f ca="1">'ETF price'!J351-'ETF price'!J350</f>
        <v>-2.710000000000008</v>
      </c>
      <c r="J349" s="3">
        <f ca="1">'ETF price'!K351-'ETF price'!K350</f>
        <v>-3.9999999999992042E-2</v>
      </c>
      <c r="K349" s="3">
        <f ca="1">'ETF price'!L351-'ETF price'!L350</f>
        <v>1.9999999999996021E-2</v>
      </c>
      <c r="L349" s="3">
        <f ca="1">'ETF price'!M351-'ETF price'!M350</f>
        <v>0</v>
      </c>
      <c r="M349" s="3">
        <f ca="1">'ETF price'!N351-'ETF price'!N350</f>
        <v>-0.75</v>
      </c>
      <c r="N349" s="3">
        <f ca="1">'ETF price'!O351-'ETF price'!O350</f>
        <v>0.20000000000000284</v>
      </c>
      <c r="O349" s="3">
        <f ca="1">'ETF price'!P351-'ETF price'!P350</f>
        <v>0.84999999999999432</v>
      </c>
      <c r="P349" s="3">
        <f ca="1">'ETF price'!Q351-'ETF price'!Q350</f>
        <v>1.0600000000000023</v>
      </c>
      <c r="Q349" s="3">
        <f ca="1">'ETF price'!R351-'ETF price'!R350</f>
        <v>-1.2099999999999937</v>
      </c>
      <c r="R349" s="3">
        <f ca="1">'ETF price'!S351-'ETF price'!S350</f>
        <v>-0.29999999999999716</v>
      </c>
      <c r="S349" s="3">
        <f ca="1">'ETF price'!T351-'ETF price'!T350</f>
        <v>8.9999999999999858E-2</v>
      </c>
      <c r="T349" s="3">
        <f ca="1">'ETF price'!U351-'ETF price'!U350</f>
        <v>0.96000000000000796</v>
      </c>
      <c r="U349" s="3">
        <f ca="1">'ETF price'!V351-'ETF price'!V350</f>
        <v>-0.20000000000000284</v>
      </c>
      <c r="V349" s="3">
        <f ca="1">'ETF price'!W351-'ETF price'!W350</f>
        <v>-0.37999999999999545</v>
      </c>
      <c r="W349" s="3">
        <f ca="1">'ETF price'!X351-'ETF price'!X350</f>
        <v>-0.56999999999999318</v>
      </c>
      <c r="X349" s="3">
        <f ca="1">'ETF price'!Y351-'ETF price'!Y350</f>
        <v>0.22999999999999687</v>
      </c>
      <c r="Y349" s="3">
        <f ca="1">'ETF price'!Z351-'ETF price'!Z350</f>
        <v>-0.64999999999999147</v>
      </c>
      <c r="Z349" s="3">
        <f ca="1">'ETF price'!AA351-'ETF price'!AA350</f>
        <v>-0.45000000000000284</v>
      </c>
      <c r="AA349" s="3">
        <f ca="1">'ETF price'!AB351-'ETF price'!AB350</f>
        <v>0.39999999999999858</v>
      </c>
      <c r="AB349" s="3">
        <f ca="1">'ETF price'!AC351-'ETF price'!AC350</f>
        <v>0.53999999999999915</v>
      </c>
      <c r="AC349" s="3">
        <f ca="1">'ETF price'!AD351-'ETF price'!AD350</f>
        <v>0.11999999999999922</v>
      </c>
      <c r="AD349" s="3">
        <f ca="1">'ETF price'!AE351-'ETF price'!AE350</f>
        <v>0.19000000000000128</v>
      </c>
      <c r="AE349" s="3">
        <f ca="1">'ETF price'!AF351-'ETF price'!AF350</f>
        <v>-1.0000000000000231E-2</v>
      </c>
      <c r="AF349" s="3">
        <f ca="1">'ETF price'!AG351-'ETF price'!AG350</f>
        <v>-0.62999999999999901</v>
      </c>
    </row>
    <row r="350" spans="1:32" ht="12.75" x14ac:dyDescent="0.2">
      <c r="A350" s="3">
        <f ca="1">'ETF price'!B352-'ETF price'!B351</f>
        <v>-1.1399999999999864</v>
      </c>
      <c r="B350" s="3">
        <f ca="1">'ETF price'!C352-'ETF price'!C351</f>
        <v>-2.4499999999999886</v>
      </c>
      <c r="C350" s="3">
        <f ca="1">'ETF price'!D352-'ETF price'!D351</f>
        <v>0.51999999999999602</v>
      </c>
      <c r="D350" s="3">
        <f ca="1">'ETF price'!E352-'ETF price'!E351</f>
        <v>-2.6200000000000045</v>
      </c>
      <c r="E350" s="3">
        <f ca="1">'ETF price'!F352-'ETF price'!F351</f>
        <v>0.25</v>
      </c>
      <c r="F350" s="3">
        <f ca="1">'ETF price'!G352-'ETF price'!G351</f>
        <v>-7.9999999999998295E-2</v>
      </c>
      <c r="G350" s="3">
        <f ca="1">'ETF price'!H352-'ETF price'!H351</f>
        <v>-0.29999999999999716</v>
      </c>
      <c r="H350" s="3">
        <f ca="1">'ETF price'!I352-'ETF price'!I351</f>
        <v>-0.88999999999998636</v>
      </c>
      <c r="I350" s="3">
        <f ca="1">'ETF price'!J352-'ETF price'!J351</f>
        <v>-1.789999999999992</v>
      </c>
      <c r="J350" s="3">
        <f ca="1">'ETF price'!K352-'ETF price'!K351</f>
        <v>-1.8300000000000125</v>
      </c>
      <c r="K350" s="3">
        <f ca="1">'ETF price'!L352-'ETF price'!L351</f>
        <v>-1.6999999999999886</v>
      </c>
      <c r="L350" s="3">
        <f ca="1">'ETF price'!M352-'ETF price'!M351</f>
        <v>-1.3100000000000023</v>
      </c>
      <c r="M350" s="3">
        <f ca="1">'ETF price'!N352-'ETF price'!N351</f>
        <v>-0.46000000000000085</v>
      </c>
      <c r="N350" s="3">
        <f ca="1">'ETF price'!O352-'ETF price'!O351</f>
        <v>-1.6400000000000006</v>
      </c>
      <c r="O350" s="3">
        <f ca="1">'ETF price'!P352-'ETF price'!P351</f>
        <v>0.35000000000000853</v>
      </c>
      <c r="P350" s="3">
        <f ca="1">'ETF price'!Q352-'ETF price'!Q351</f>
        <v>0.43999999999999773</v>
      </c>
      <c r="Q350" s="3">
        <f ca="1">'ETF price'!R352-'ETF price'!R351</f>
        <v>-0.88000000000000966</v>
      </c>
      <c r="R350" s="3">
        <f ca="1">'ETF price'!S352-'ETF price'!S351</f>
        <v>-1.1600000000000037</v>
      </c>
      <c r="S350" s="3">
        <f ca="1">'ETF price'!T352-'ETF price'!T351</f>
        <v>9.9999999999980105E-3</v>
      </c>
      <c r="T350" s="3">
        <f ca="1">'ETF price'!U352-'ETF price'!U351</f>
        <v>0.78999999999999204</v>
      </c>
      <c r="U350" s="3">
        <f ca="1">'ETF price'!V352-'ETF price'!V351</f>
        <v>-0.32000000000000739</v>
      </c>
      <c r="V350" s="3">
        <f ca="1">'ETF price'!W352-'ETF price'!W351</f>
        <v>-0.42000000000000171</v>
      </c>
      <c r="W350" s="3">
        <f ca="1">'ETF price'!X352-'ETF price'!X351</f>
        <v>-1.0600000000000023</v>
      </c>
      <c r="X350" s="3">
        <f ca="1">'ETF price'!Y352-'ETF price'!Y351</f>
        <v>-0.61999999999999744</v>
      </c>
      <c r="Y350" s="3">
        <f ca="1">'ETF price'!Z352-'ETF price'!Z351</f>
        <v>-0.90000000000000568</v>
      </c>
      <c r="Z350" s="3">
        <f ca="1">'ETF price'!AA352-'ETF price'!AA351</f>
        <v>-0.78999999999999915</v>
      </c>
      <c r="AA350" s="3">
        <f ca="1">'ETF price'!AB352-'ETF price'!AB351</f>
        <v>-0.72999999999999687</v>
      </c>
      <c r="AB350" s="3">
        <f ca="1">'ETF price'!AC352-'ETF price'!AC351</f>
        <v>-4.9999999999997158E-2</v>
      </c>
      <c r="AC350" s="3">
        <f ca="1">'ETF price'!AD352-'ETF price'!AD351</f>
        <v>-0.37999999999999901</v>
      </c>
      <c r="AD350" s="3">
        <f ca="1">'ETF price'!AE352-'ETF price'!AE351</f>
        <v>-0.57000000000000028</v>
      </c>
      <c r="AE350" s="3">
        <f ca="1">'ETF price'!AF352-'ETF price'!AF351</f>
        <v>-9.9999999999997868E-3</v>
      </c>
      <c r="AF350" s="3">
        <f ca="1">'ETF price'!AG352-'ETF price'!AG351</f>
        <v>-0.10999999999999943</v>
      </c>
    </row>
    <row r="351" spans="1:32" ht="12.75" x14ac:dyDescent="0.2">
      <c r="A351" s="3">
        <f ca="1">'ETF price'!B353-'ETF price'!B352</f>
        <v>5.9199999999999875</v>
      </c>
      <c r="B351" s="3">
        <f ca="1">'ETF price'!C353-'ETF price'!C352</f>
        <v>14.019999999999982</v>
      </c>
      <c r="C351" s="3">
        <f ca="1">'ETF price'!D353-'ETF price'!D352</f>
        <v>-0.68999999999999773</v>
      </c>
      <c r="D351" s="3">
        <f ca="1">'ETF price'!E353-'ETF price'!E352</f>
        <v>9.5700000000000216</v>
      </c>
      <c r="E351" s="3">
        <f ca="1">'ETF price'!F353-'ETF price'!F352</f>
        <v>0.14999999999999858</v>
      </c>
      <c r="F351" s="3">
        <f ca="1">'ETF price'!G353-'ETF price'!G352</f>
        <v>0.78999999999999915</v>
      </c>
      <c r="G351" s="3">
        <f ca="1">'ETF price'!H353-'ETF price'!H352</f>
        <v>3.9999999999999147E-2</v>
      </c>
      <c r="H351" s="3">
        <f ca="1">'ETF price'!I353-'ETF price'!I352</f>
        <v>-1.3200000000000074</v>
      </c>
      <c r="I351" s="3">
        <f ca="1">'ETF price'!J353-'ETF price'!J352</f>
        <v>-2.6500000000000057</v>
      </c>
      <c r="J351" s="3">
        <f ca="1">'ETF price'!K353-'ETF price'!K352</f>
        <v>-2.4399999999999977</v>
      </c>
      <c r="K351" s="3">
        <f ca="1">'ETF price'!L353-'ETF price'!L352</f>
        <v>-2.2400000000000091</v>
      </c>
      <c r="L351" s="3">
        <f ca="1">'ETF price'!M353-'ETF price'!M352</f>
        <v>-1.240000000000002</v>
      </c>
      <c r="M351" s="3">
        <f ca="1">'ETF price'!N353-'ETF price'!N352</f>
        <v>-0.6699999999999946</v>
      </c>
      <c r="N351" s="3">
        <f ca="1">'ETF price'!O353-'ETF price'!O352</f>
        <v>-1.2800000000000011</v>
      </c>
      <c r="O351" s="3">
        <f ca="1">'ETF price'!P353-'ETF price'!P352</f>
        <v>-1.4300000000000068</v>
      </c>
      <c r="P351" s="3">
        <f ca="1">'ETF price'!Q353-'ETF price'!Q352</f>
        <v>-2.1099999999999994</v>
      </c>
      <c r="Q351" s="3">
        <f ca="1">'ETF price'!R353-'ETF price'!R352</f>
        <v>-0.26999999999999602</v>
      </c>
      <c r="R351" s="3">
        <f ca="1">'ETF price'!S353-'ETF price'!S352</f>
        <v>-0.36999999999999744</v>
      </c>
      <c r="S351" s="3">
        <f ca="1">'ETF price'!T353-'ETF price'!T352</f>
        <v>-0.35999999999999943</v>
      </c>
      <c r="T351" s="3">
        <f ca="1">'ETF price'!U353-'ETF price'!U352</f>
        <v>-1.5699999999999932</v>
      </c>
      <c r="U351" s="3">
        <f ca="1">'ETF price'!V353-'ETF price'!V352</f>
        <v>-0.19999999999998863</v>
      </c>
      <c r="V351" s="3">
        <f ca="1">'ETF price'!W353-'ETF price'!W352</f>
        <v>-9.9999999999980105E-3</v>
      </c>
      <c r="W351" s="3">
        <f ca="1">'ETF price'!X353-'ETF price'!X352</f>
        <v>3.9999999999992042E-2</v>
      </c>
      <c r="X351" s="3">
        <f ca="1">'ETF price'!Y353-'ETF price'!Y352</f>
        <v>-0.22999999999999687</v>
      </c>
      <c r="Y351" s="3">
        <f ca="1">'ETF price'!Z353-'ETF price'!Z352</f>
        <v>6.0000000000002274E-2</v>
      </c>
      <c r="Z351" s="3">
        <f ca="1">'ETF price'!AA353-'ETF price'!AA352</f>
        <v>7.9999999999998295E-2</v>
      </c>
      <c r="AA351" s="3">
        <f ca="1">'ETF price'!AB353-'ETF price'!AB352</f>
        <v>-0.3300000000000054</v>
      </c>
      <c r="AB351" s="3">
        <f ca="1">'ETF price'!AC353-'ETF price'!AC352</f>
        <v>-0.57999999999999829</v>
      </c>
      <c r="AC351" s="3">
        <f ca="1">'ETF price'!AD353-'ETF price'!AD352</f>
        <v>8.0000000000000071E-2</v>
      </c>
      <c r="AD351" s="3">
        <f ca="1">'ETF price'!AE353-'ETF price'!AE352</f>
        <v>8.9999999999999858E-2</v>
      </c>
      <c r="AE351" s="3">
        <f ca="1">'ETF price'!AF353-'ETF price'!AF352</f>
        <v>4.9999999999999822E-2</v>
      </c>
      <c r="AF351" s="3">
        <f ca="1">'ETF price'!AG353-'ETF price'!AG352</f>
        <v>-0.24000000000000199</v>
      </c>
    </row>
    <row r="352" spans="1:32" ht="12.75" x14ac:dyDescent="0.2">
      <c r="A352" s="3">
        <f ca="1">'ETF price'!B354-'ETF price'!B353</f>
        <v>4.5500000000000114</v>
      </c>
      <c r="B352" s="3">
        <f ca="1">'ETF price'!C354-'ETF price'!C353</f>
        <v>10.819999999999993</v>
      </c>
      <c r="C352" s="3">
        <f ca="1">'ETF price'!D354-'ETF price'!D353</f>
        <v>1.0999999999999943</v>
      </c>
      <c r="D352" s="3">
        <f ca="1">'ETF price'!E354-'ETF price'!E353</f>
        <v>10.009999999999991</v>
      </c>
      <c r="E352" s="3">
        <f ca="1">'ETF price'!F354-'ETF price'!F353</f>
        <v>1.0200000000000031</v>
      </c>
      <c r="F352" s="3">
        <f ca="1">'ETF price'!G354-'ETF price'!G353</f>
        <v>0.46000000000000085</v>
      </c>
      <c r="G352" s="3">
        <f ca="1">'ETF price'!H354-'ETF price'!H353</f>
        <v>0.25</v>
      </c>
      <c r="H352" s="3">
        <f ca="1">'ETF price'!I354-'ETF price'!I353</f>
        <v>-0.26000000000000512</v>
      </c>
      <c r="I352" s="3">
        <f ca="1">'ETF price'!J354-'ETF price'!J353</f>
        <v>-0.12999999999999545</v>
      </c>
      <c r="J352" s="3">
        <f ca="1">'ETF price'!K354-'ETF price'!K353</f>
        <v>0.25</v>
      </c>
      <c r="K352" s="3">
        <f ca="1">'ETF price'!L354-'ETF price'!L353</f>
        <v>0.76000000000000512</v>
      </c>
      <c r="L352" s="3">
        <f ca="1">'ETF price'!M354-'ETF price'!M353</f>
        <v>-8.9999999999996305E-2</v>
      </c>
      <c r="M352" s="3">
        <f ca="1">'ETF price'!N354-'ETF price'!N353</f>
        <v>-3.0000000000001137E-2</v>
      </c>
      <c r="N352" s="3">
        <f ca="1">'ETF price'!O354-'ETF price'!O353</f>
        <v>0.24000000000000199</v>
      </c>
      <c r="O352" s="3">
        <f ca="1">'ETF price'!P354-'ETF price'!P353</f>
        <v>-0.31000000000000227</v>
      </c>
      <c r="P352" s="3">
        <f ca="1">'ETF price'!Q354-'ETF price'!Q353</f>
        <v>-0.46000000000000796</v>
      </c>
      <c r="Q352" s="3">
        <f ca="1">'ETF price'!R354-'ETF price'!R353</f>
        <v>0.37999999999999545</v>
      </c>
      <c r="R352" s="3">
        <f ca="1">'ETF price'!S354-'ETF price'!S353</f>
        <v>7.9999999999998295E-2</v>
      </c>
      <c r="S352" s="3">
        <f ca="1">'ETF price'!T354-'ETF price'!T353</f>
        <v>0.35999999999999943</v>
      </c>
      <c r="T352" s="3">
        <f ca="1">'ETF price'!U354-'ETF price'!U353</f>
        <v>0.70999999999999375</v>
      </c>
      <c r="U352" s="3">
        <f ca="1">'ETF price'!V354-'ETF price'!V353</f>
        <v>0.14999999999999147</v>
      </c>
      <c r="V352" s="3">
        <f ca="1">'ETF price'!W354-'ETF price'!W353</f>
        <v>0.25999999999999801</v>
      </c>
      <c r="W352" s="3">
        <f ca="1">'ETF price'!X354-'ETF price'!X353</f>
        <v>0.60000000000000853</v>
      </c>
      <c r="X352" s="3">
        <f ca="1">'ETF price'!Y354-'ETF price'!Y353</f>
        <v>0.37999999999999545</v>
      </c>
      <c r="Y352" s="3">
        <f ca="1">'ETF price'!Z354-'ETF price'!Z353</f>
        <v>0.45999999999999375</v>
      </c>
      <c r="Z352" s="3">
        <f ca="1">'ETF price'!AA354-'ETF price'!AA353</f>
        <v>0.41000000000000369</v>
      </c>
      <c r="AA352" s="3">
        <f ca="1">'ETF price'!AB354-'ETF price'!AB353</f>
        <v>0.49000000000000199</v>
      </c>
      <c r="AB352" s="3">
        <f ca="1">'ETF price'!AC354-'ETF price'!AC353</f>
        <v>0.64999999999999858</v>
      </c>
      <c r="AC352" s="3">
        <f ca="1">'ETF price'!AD354-'ETF price'!AD353</f>
        <v>0.12999999999999901</v>
      </c>
      <c r="AD352" s="3">
        <f ca="1">'ETF price'!AE354-'ETF price'!AE353</f>
        <v>0.19999999999999929</v>
      </c>
      <c r="AE352" s="3">
        <f ca="1">'ETF price'!AF354-'ETF price'!AF353</f>
        <v>0</v>
      </c>
      <c r="AF352" s="3">
        <f ca="1">'ETF price'!AG354-'ETF price'!AG353</f>
        <v>-0.25999999999999801</v>
      </c>
    </row>
    <row r="353" spans="1:32" ht="12.75" x14ac:dyDescent="0.2">
      <c r="A353" s="3">
        <f ca="1">'ETF price'!B355-'ETF price'!B354</f>
        <v>0.87999999999999545</v>
      </c>
      <c r="B353" s="3">
        <f ca="1">'ETF price'!C355-'ETF price'!C354</f>
        <v>2.1900000000000546</v>
      </c>
      <c r="C353" s="3">
        <f ca="1">'ETF price'!D355-'ETF price'!D354</f>
        <v>0.67000000000000171</v>
      </c>
      <c r="D353" s="3">
        <f ca="1">'ETF price'!E355-'ETF price'!E354</f>
        <v>-0.12999999999999545</v>
      </c>
      <c r="E353" s="3">
        <f ca="1">'ETF price'!F355-'ETF price'!F354</f>
        <v>0.46999999999999886</v>
      </c>
      <c r="F353" s="3">
        <f ca="1">'ETF price'!G355-'ETF price'!G354</f>
        <v>0.39000000000000057</v>
      </c>
      <c r="G353" s="3">
        <f ca="1">'ETF price'!H355-'ETF price'!H354</f>
        <v>0</v>
      </c>
      <c r="H353" s="3">
        <f ca="1">'ETF price'!I355-'ETF price'!I354</f>
        <v>-0.79000000000000625</v>
      </c>
      <c r="I353" s="3">
        <f ca="1">'ETF price'!J355-'ETF price'!J354</f>
        <v>-1.5999999999999943</v>
      </c>
      <c r="J353" s="3">
        <f ca="1">'ETF price'!K355-'ETF price'!K354</f>
        <v>-0.92000000000000171</v>
      </c>
      <c r="K353" s="3">
        <f ca="1">'ETF price'!L355-'ETF price'!L354</f>
        <v>-1.1700000000000017</v>
      </c>
      <c r="L353" s="3">
        <f ca="1">'ETF price'!M355-'ETF price'!M354</f>
        <v>-0.56000000000000227</v>
      </c>
      <c r="M353" s="3">
        <f ca="1">'ETF price'!N355-'ETF price'!N354</f>
        <v>-0.45000000000000284</v>
      </c>
      <c r="N353" s="3">
        <f ca="1">'ETF price'!O355-'ETF price'!O354</f>
        <v>-0.72000000000000597</v>
      </c>
      <c r="O353" s="3">
        <f ca="1">'ETF price'!P355-'ETF price'!P354</f>
        <v>-0.81000000000000227</v>
      </c>
      <c r="P353" s="3">
        <f ca="1">'ETF price'!Q355-'ETF price'!Q354</f>
        <v>-1.0799999999999983</v>
      </c>
      <c r="Q353" s="3">
        <f ca="1">'ETF price'!R355-'ETF price'!R354</f>
        <v>-0.40999999999999659</v>
      </c>
      <c r="R353" s="3">
        <f ca="1">'ETF price'!S355-'ETF price'!S354</f>
        <v>-0.82000000000000028</v>
      </c>
      <c r="S353" s="3">
        <f ca="1">'ETF price'!T355-'ETF price'!T354</f>
        <v>-0.52999999999999758</v>
      </c>
      <c r="T353" s="3">
        <f ca="1">'ETF price'!U355-'ETF price'!U354</f>
        <v>-2.5</v>
      </c>
      <c r="U353" s="3">
        <f ca="1">'ETF price'!V355-'ETF price'!V354</f>
        <v>4.0000000000006253E-2</v>
      </c>
      <c r="V353" s="3">
        <f ca="1">'ETF price'!W355-'ETF price'!W354</f>
        <v>-9.9999999999980105E-3</v>
      </c>
      <c r="W353" s="3">
        <f ca="1">'ETF price'!X355-'ETF price'!X354</f>
        <v>0.25999999999999091</v>
      </c>
      <c r="X353" s="3">
        <f ca="1">'ETF price'!Y355-'ETF price'!Y354</f>
        <v>3.9999999999999147E-2</v>
      </c>
      <c r="Y353" s="3">
        <f ca="1">'ETF price'!Z355-'ETF price'!Z354</f>
        <v>0.21999999999999886</v>
      </c>
      <c r="Z353" s="3">
        <f ca="1">'ETF price'!AA355-'ETF price'!AA354</f>
        <v>0.10999999999999943</v>
      </c>
      <c r="AA353" s="3">
        <f ca="1">'ETF price'!AB355-'ETF price'!AB354</f>
        <v>-7.9999999999998295E-2</v>
      </c>
      <c r="AB353" s="3">
        <f ca="1">'ETF price'!AC355-'ETF price'!AC354</f>
        <v>1.2199999999999989</v>
      </c>
      <c r="AC353" s="3">
        <f ca="1">'ETF price'!AD355-'ETF price'!AD354</f>
        <v>0.45000000000000107</v>
      </c>
      <c r="AD353" s="3">
        <f ca="1">'ETF price'!AE355-'ETF price'!AE354</f>
        <v>0.68000000000000149</v>
      </c>
      <c r="AE353" s="3">
        <f ca="1">'ETF price'!AF355-'ETF price'!AF354</f>
        <v>2.9999999999999805E-2</v>
      </c>
      <c r="AF353" s="3">
        <f ca="1">'ETF price'!AG355-'ETF price'!AG354</f>
        <v>1.7100000000000009</v>
      </c>
    </row>
    <row r="354" spans="1:32" ht="12.75" x14ac:dyDescent="0.2">
      <c r="A354" s="3">
        <f ca="1">'ETF price'!B356-'ETF price'!B355</f>
        <v>-1.3799999999999955</v>
      </c>
      <c r="B354" s="3">
        <f ca="1">'ETF price'!C356-'ETF price'!C355</f>
        <v>-3.8400000000000318</v>
      </c>
      <c r="C354" s="3">
        <f ca="1">'ETF price'!D356-'ETF price'!D355</f>
        <v>-0.29999999999999716</v>
      </c>
      <c r="D354" s="3">
        <f ca="1">'ETF price'!E356-'ETF price'!E355</f>
        <v>-4.1899999999999977</v>
      </c>
      <c r="E354" s="3">
        <f ca="1">'ETF price'!F356-'ETF price'!F355</f>
        <v>0.35999999999999943</v>
      </c>
      <c r="F354" s="3">
        <f ca="1">'ETF price'!G356-'ETF price'!G355</f>
        <v>-0.5</v>
      </c>
      <c r="G354" s="3">
        <f ca="1">'ETF price'!H356-'ETF price'!H355</f>
        <v>-0.17000000000000171</v>
      </c>
      <c r="H354" s="3">
        <f ca="1">'ETF price'!I356-'ETF price'!I355</f>
        <v>1.0900000000000034</v>
      </c>
      <c r="I354" s="3">
        <f ca="1">'ETF price'!J356-'ETF price'!J355</f>
        <v>1.75</v>
      </c>
      <c r="J354" s="3">
        <f ca="1">'ETF price'!K356-'ETF price'!K355</f>
        <v>0.10999999999999943</v>
      </c>
      <c r="K354" s="3">
        <f ca="1">'ETF price'!L356-'ETF price'!L355</f>
        <v>0.78000000000000114</v>
      </c>
      <c r="L354" s="3">
        <f ca="1">'ETF price'!M356-'ETF price'!M355</f>
        <v>7.9999999999998295E-2</v>
      </c>
      <c r="M354" s="3">
        <f ca="1">'ETF price'!N356-'ETF price'!N355</f>
        <v>0.48000000000000398</v>
      </c>
      <c r="N354" s="3">
        <f ca="1">'ETF price'!O356-'ETF price'!O355</f>
        <v>8.00000000000054E-2</v>
      </c>
      <c r="O354" s="3">
        <f ca="1">'ETF price'!P356-'ETF price'!P355</f>
        <v>-1.3699999999999903</v>
      </c>
      <c r="P354" s="3">
        <f ca="1">'ETF price'!Q356-'ETF price'!Q355</f>
        <v>-1.9299999999999926</v>
      </c>
      <c r="Q354" s="3">
        <f ca="1">'ETF price'!R356-'ETF price'!R355</f>
        <v>-0.81000000000000227</v>
      </c>
      <c r="R354" s="3">
        <f ca="1">'ETF price'!S356-'ETF price'!S355</f>
        <v>-0.27999999999999403</v>
      </c>
      <c r="S354" s="3">
        <f ca="1">'ETF price'!T356-'ETF price'!T355</f>
        <v>-0.25</v>
      </c>
      <c r="T354" s="3">
        <f ca="1">'ETF price'!U356-'ETF price'!U355</f>
        <v>-1.6699999999999946</v>
      </c>
      <c r="U354" s="3">
        <f ca="1">'ETF price'!V356-'ETF price'!V355</f>
        <v>-0.82999999999999829</v>
      </c>
      <c r="V354" s="3">
        <f ca="1">'ETF price'!W356-'ETF price'!W355</f>
        <v>-0.33999999999999986</v>
      </c>
      <c r="W354" s="3">
        <f ca="1">'ETF price'!X356-'ETF price'!X355</f>
        <v>-1.0499999999999972</v>
      </c>
      <c r="X354" s="3">
        <f ca="1">'ETF price'!Y356-'ETF price'!Y355</f>
        <v>-0.97999999999999687</v>
      </c>
      <c r="Y354" s="3">
        <f ca="1">'ETF price'!Z356-'ETF price'!Z355</f>
        <v>-1.0099999999999909</v>
      </c>
      <c r="Z354" s="3">
        <f ca="1">'ETF price'!AA356-'ETF price'!AA355</f>
        <v>0.22999999999999687</v>
      </c>
      <c r="AA354" s="3">
        <f ca="1">'ETF price'!AB356-'ETF price'!AB355</f>
        <v>-1.240000000000002</v>
      </c>
      <c r="AB354" s="3">
        <f ca="1">'ETF price'!AC356-'ETF price'!AC355</f>
        <v>-0.40999999999999659</v>
      </c>
      <c r="AC354" s="3">
        <f ca="1">'ETF price'!AD356-'ETF price'!AD355</f>
        <v>-0.38000000000000078</v>
      </c>
      <c r="AD354" s="3">
        <f ca="1">'ETF price'!AE356-'ETF price'!AE355</f>
        <v>-0.60000000000000142</v>
      </c>
      <c r="AE354" s="3">
        <f ca="1">'ETF price'!AF356-'ETF price'!AF355</f>
        <v>3.0000000000000249E-2</v>
      </c>
      <c r="AF354" s="3">
        <f ca="1">'ETF price'!AG356-'ETF price'!AG355</f>
        <v>9.9999999999980105E-3</v>
      </c>
    </row>
    <row r="355" spans="1:32" ht="12.75" x14ac:dyDescent="0.2">
      <c r="A355" s="3">
        <f ca="1">'ETF price'!B357-'ETF price'!B356</f>
        <v>1.6699999999999875</v>
      </c>
      <c r="B355" s="3">
        <f ca="1">'ETF price'!C357-'ETF price'!C356</f>
        <v>4.3000000000000114</v>
      </c>
      <c r="C355" s="3">
        <f ca="1">'ETF price'!D357-'ETF price'!D356</f>
        <v>0.17999999999999261</v>
      </c>
      <c r="D355" s="3">
        <f ca="1">'ETF price'!E357-'ETF price'!E356</f>
        <v>2.7299999999999898</v>
      </c>
      <c r="E355" s="3">
        <f ca="1">'ETF price'!F357-'ETF price'!F356</f>
        <v>-0.35999999999999943</v>
      </c>
      <c r="F355" s="3">
        <f ca="1">'ETF price'!G357-'ETF price'!G356</f>
        <v>0.53999999999999915</v>
      </c>
      <c r="G355" s="3">
        <f ca="1">'ETF price'!H357-'ETF price'!H356</f>
        <v>0.26000000000000156</v>
      </c>
      <c r="H355" s="3">
        <f ca="1">'ETF price'!I357-'ETF price'!I356</f>
        <v>0.8399999999999892</v>
      </c>
      <c r="I355" s="3">
        <f ca="1">'ETF price'!J357-'ETF price'!J356</f>
        <v>1.9199999999999875</v>
      </c>
      <c r="J355" s="3">
        <f ca="1">'ETF price'!K357-'ETF price'!K356</f>
        <v>0.48999999999999488</v>
      </c>
      <c r="K355" s="3">
        <f ca="1">'ETF price'!L357-'ETF price'!L356</f>
        <v>1.1599999999999966</v>
      </c>
      <c r="L355" s="3">
        <f ca="1">'ETF price'!M357-'ETF price'!M356</f>
        <v>0.62000000000000455</v>
      </c>
      <c r="M355" s="3">
        <f ca="1">'ETF price'!N357-'ETF price'!N356</f>
        <v>0.53999999999999915</v>
      </c>
      <c r="N355" s="3">
        <f ca="1">'ETF price'!O357-'ETF price'!O356</f>
        <v>0.71999999999999886</v>
      </c>
      <c r="O355" s="3">
        <f ca="1">'ETF price'!P357-'ETF price'!P356</f>
        <v>0.95000000000000284</v>
      </c>
      <c r="P355" s="3">
        <f ca="1">'ETF price'!Q357-'ETF price'!Q356</f>
        <v>1.4799999999999898</v>
      </c>
      <c r="Q355" s="3">
        <f ca="1">'ETF price'!R357-'ETF price'!R356</f>
        <v>1</v>
      </c>
      <c r="R355" s="3">
        <f ca="1">'ETF price'!S357-'ETF price'!S356</f>
        <v>1.0599999999999952</v>
      </c>
      <c r="S355" s="3">
        <f ca="1">'ETF price'!T357-'ETF price'!T356</f>
        <v>0.35999999999999943</v>
      </c>
      <c r="T355" s="3">
        <f ca="1">'ETF price'!U357-'ETF price'!U356</f>
        <v>1.9199999999999946</v>
      </c>
      <c r="U355" s="3">
        <f ca="1">'ETF price'!V357-'ETF price'!V356</f>
        <v>1.5</v>
      </c>
      <c r="V355" s="3">
        <f ca="1">'ETF price'!W357-'ETF price'!W356</f>
        <v>0.33999999999999986</v>
      </c>
      <c r="W355" s="3">
        <f ca="1">'ETF price'!X357-'ETF price'!X356</f>
        <v>0.95000000000000284</v>
      </c>
      <c r="X355" s="3">
        <f ca="1">'ETF price'!Y357-'ETF price'!Y356</f>
        <v>0.71000000000000085</v>
      </c>
      <c r="Y355" s="3">
        <f ca="1">'ETF price'!Z357-'ETF price'!Z356</f>
        <v>0.71999999999999886</v>
      </c>
      <c r="Z355" s="3">
        <f ca="1">'ETF price'!AA357-'ETF price'!AA356</f>
        <v>9.9999999999980105E-3</v>
      </c>
      <c r="AA355" s="3">
        <f ca="1">'ETF price'!AB357-'ETF price'!AB356</f>
        <v>0.78999999999999915</v>
      </c>
      <c r="AB355" s="3">
        <f ca="1">'ETF price'!AC357-'ETF price'!AC356</f>
        <v>0.79999999999999716</v>
      </c>
      <c r="AC355" s="3">
        <f ca="1">'ETF price'!AD357-'ETF price'!AD356</f>
        <v>-5.9999999999998721E-2</v>
      </c>
      <c r="AD355" s="3">
        <f ca="1">'ETF price'!AE357-'ETF price'!AE356</f>
        <v>-0.5</v>
      </c>
      <c r="AE355" s="3">
        <f ca="1">'ETF price'!AF357-'ETF price'!AF356</f>
        <v>6.0000000000000053E-2</v>
      </c>
      <c r="AF355" s="3">
        <f ca="1">'ETF price'!AG357-'ETF price'!AG356</f>
        <v>0.55000000000000071</v>
      </c>
    </row>
    <row r="356" spans="1:32" ht="12.75" x14ac:dyDescent="0.2">
      <c r="A356" s="3">
        <f ca="1">'ETF price'!B358-'ETF price'!B357</f>
        <v>0.95000000000001705</v>
      </c>
      <c r="B356" s="3">
        <f ca="1">'ETF price'!C358-'ETF price'!C357</f>
        <v>2.9200000000000159</v>
      </c>
      <c r="C356" s="3">
        <f ca="1">'ETF price'!D358-'ETF price'!D357</f>
        <v>-2.1999999999999886</v>
      </c>
      <c r="D356" s="3">
        <f ca="1">'ETF price'!E358-'ETF price'!E357</f>
        <v>-0.37999999999999545</v>
      </c>
      <c r="E356" s="3">
        <f ca="1">'ETF price'!F358-'ETF price'!F357</f>
        <v>0.20000000000000284</v>
      </c>
      <c r="F356" s="3">
        <f ca="1">'ETF price'!G358-'ETF price'!G357</f>
        <v>0.39999999999999858</v>
      </c>
      <c r="G356" s="3">
        <f ca="1">'ETF price'!H358-'ETF price'!H357</f>
        <v>0.53000000000000114</v>
      </c>
      <c r="H356" s="3">
        <f ca="1">'ETF price'!I358-'ETF price'!I357</f>
        <v>1.6500000000000057</v>
      </c>
      <c r="I356" s="3">
        <f ca="1">'ETF price'!J358-'ETF price'!J357</f>
        <v>3.3599999999999852</v>
      </c>
      <c r="J356" s="3">
        <f ca="1">'ETF price'!K358-'ETF price'!K357</f>
        <v>2.2099999999999937</v>
      </c>
      <c r="K356" s="3">
        <f ca="1">'ETF price'!L358-'ETF price'!L357</f>
        <v>1.3500000000000085</v>
      </c>
      <c r="L356" s="3">
        <f ca="1">'ETF price'!M358-'ETF price'!M357</f>
        <v>1.1400000000000006</v>
      </c>
      <c r="M356" s="3">
        <f ca="1">'ETF price'!N358-'ETF price'!N357</f>
        <v>0.79999999999999716</v>
      </c>
      <c r="N356" s="3">
        <f ca="1">'ETF price'!O358-'ETF price'!O357</f>
        <v>1.519999999999996</v>
      </c>
      <c r="O356" s="3">
        <f ca="1">'ETF price'!P358-'ETF price'!P357</f>
        <v>2.3599999999999994</v>
      </c>
      <c r="P356" s="3">
        <f ca="1">'ETF price'!Q358-'ETF price'!Q357</f>
        <v>3.3500000000000085</v>
      </c>
      <c r="Q356" s="3">
        <f ca="1">'ETF price'!R358-'ETF price'!R357</f>
        <v>2.5499999999999972</v>
      </c>
      <c r="R356" s="3">
        <f ca="1">'ETF price'!S358-'ETF price'!S357</f>
        <v>1.9400000000000048</v>
      </c>
      <c r="S356" s="3">
        <f ca="1">'ETF price'!T358-'ETF price'!T357</f>
        <v>0.28999999999999915</v>
      </c>
      <c r="T356" s="3">
        <f ca="1">'ETF price'!U358-'ETF price'!U357</f>
        <v>1.6000000000000085</v>
      </c>
      <c r="U356" s="3">
        <f ca="1">'ETF price'!V358-'ETF price'!V357</f>
        <v>0.5899999999999892</v>
      </c>
      <c r="V356" s="3">
        <f ca="1">'ETF price'!W358-'ETF price'!W357</f>
        <v>0.69999999999999574</v>
      </c>
      <c r="W356" s="3">
        <f ca="1">'ETF price'!X358-'ETF price'!X357</f>
        <v>1.9000000000000057</v>
      </c>
      <c r="X356" s="3">
        <f ca="1">'ETF price'!Y358-'ETF price'!Y357</f>
        <v>1.7899999999999991</v>
      </c>
      <c r="Y356" s="3">
        <f ca="1">'ETF price'!Z358-'ETF price'!Z357</f>
        <v>1.7800000000000011</v>
      </c>
      <c r="Z356" s="3">
        <f ca="1">'ETF price'!AA358-'ETF price'!AA357</f>
        <v>0.76000000000000512</v>
      </c>
      <c r="AA356" s="3">
        <f ca="1">'ETF price'!AB358-'ETF price'!AB357</f>
        <v>2.4500000000000028</v>
      </c>
      <c r="AB356" s="3">
        <f ca="1">'ETF price'!AC358-'ETF price'!AC357</f>
        <v>-2.0000000000003126E-2</v>
      </c>
      <c r="AC356" s="3">
        <f ca="1">'ETF price'!AD358-'ETF price'!AD357</f>
        <v>0.1899999999999995</v>
      </c>
      <c r="AD356" s="3">
        <f ca="1">'ETF price'!AE358-'ETF price'!AE357</f>
        <v>0.26999999999999957</v>
      </c>
      <c r="AE356" s="3">
        <f ca="1">'ETF price'!AF358-'ETF price'!AF357</f>
        <v>-8.0000000000000071E-2</v>
      </c>
      <c r="AF356" s="3">
        <f ca="1">'ETF price'!AG358-'ETF price'!AG357</f>
        <v>-0.12000000000000099</v>
      </c>
    </row>
    <row r="357" spans="1:32" ht="12.75" x14ac:dyDescent="0.2">
      <c r="A357" s="3">
        <f ca="1">'ETF price'!B359-'ETF price'!B358</f>
        <v>-0.96000000000000796</v>
      </c>
      <c r="B357" s="3">
        <f ca="1">'ETF price'!C359-'ETF price'!C358</f>
        <v>-2.2700000000000387</v>
      </c>
      <c r="C357" s="3">
        <f ca="1">'ETF price'!D359-'ETF price'!D358</f>
        <v>1.019999999999996</v>
      </c>
      <c r="D357" s="3">
        <f ca="1">'ETF price'!E359-'ETF price'!E358</f>
        <v>-2.4900000000000091</v>
      </c>
      <c r="E357" s="3">
        <f ca="1">'ETF price'!F359-'ETF price'!F358</f>
        <v>-5.0000000000004263E-2</v>
      </c>
      <c r="F357" s="3">
        <f ca="1">'ETF price'!G359-'ETF price'!G358</f>
        <v>0.22000000000000242</v>
      </c>
      <c r="G357" s="3">
        <f ca="1">'ETF price'!H359-'ETF price'!H358</f>
        <v>-9.0000000000003411E-2</v>
      </c>
      <c r="H357" s="3">
        <f ca="1">'ETF price'!I359-'ETF price'!I358</f>
        <v>0.46999999999999886</v>
      </c>
      <c r="I357" s="3">
        <f ca="1">'ETF price'!J359-'ETF price'!J358</f>
        <v>0.63000000000002387</v>
      </c>
      <c r="J357" s="3">
        <f ca="1">'ETF price'!K359-'ETF price'!K358</f>
        <v>0.49000000000000909</v>
      </c>
      <c r="K357" s="3">
        <f ca="1">'ETF price'!L359-'ETF price'!L358</f>
        <v>0.27999999999998693</v>
      </c>
      <c r="L357" s="3">
        <f ca="1">'ETF price'!M359-'ETF price'!M358</f>
        <v>-0.19000000000000483</v>
      </c>
      <c r="M357" s="3">
        <f ca="1">'ETF price'!N359-'ETF price'!N358</f>
        <v>0.21000000000000085</v>
      </c>
      <c r="N357" s="3">
        <f ca="1">'ETF price'!O359-'ETF price'!O358</f>
        <v>-0.39999999999999858</v>
      </c>
      <c r="O357" s="3">
        <f ca="1">'ETF price'!P359-'ETF price'!P358</f>
        <v>-0.53000000000000114</v>
      </c>
      <c r="P357" s="3">
        <f ca="1">'ETF price'!Q359-'ETF price'!Q358</f>
        <v>-0.79000000000000625</v>
      </c>
      <c r="Q357" s="3">
        <f ca="1">'ETF price'!R359-'ETF price'!R358</f>
        <v>-5.9999999999988063E-2</v>
      </c>
      <c r="R357" s="3">
        <f ca="1">'ETF price'!S359-'ETF price'!S358</f>
        <v>-0.40000000000000568</v>
      </c>
      <c r="S357" s="3">
        <f ca="1">'ETF price'!T359-'ETF price'!T358</f>
        <v>-5.9999999999998721E-2</v>
      </c>
      <c r="T357" s="3">
        <f ca="1">'ETF price'!U359-'ETF price'!U358</f>
        <v>-0.12000000000000455</v>
      </c>
      <c r="U357" s="3">
        <f ca="1">'ETF price'!V359-'ETF price'!V358</f>
        <v>-0.25999999999999091</v>
      </c>
      <c r="V357" s="3">
        <f ca="1">'ETF price'!W359-'ETF price'!W358</f>
        <v>-0.1699999999999946</v>
      </c>
      <c r="W357" s="3">
        <f ca="1">'ETF price'!X359-'ETF price'!X358</f>
        <v>-0.57000000000000739</v>
      </c>
      <c r="X357" s="3">
        <f ca="1">'ETF price'!Y359-'ETF price'!Y358</f>
        <v>-0.79999999999999716</v>
      </c>
      <c r="Y357" s="3">
        <f ca="1">'ETF price'!Z359-'ETF price'!Z358</f>
        <v>-0.43999999999999773</v>
      </c>
      <c r="Z357" s="3">
        <f ca="1">'ETF price'!AA359-'ETF price'!AA358</f>
        <v>-0.17000000000000171</v>
      </c>
      <c r="AA357" s="3">
        <f ca="1">'ETF price'!AB359-'ETF price'!AB358</f>
        <v>-1.0900000000000034</v>
      </c>
      <c r="AB357" s="3">
        <f ca="1">'ETF price'!AC359-'ETF price'!AC358</f>
        <v>-4.9999999999997158E-2</v>
      </c>
      <c r="AC357" s="3">
        <f ca="1">'ETF price'!AD359-'ETF price'!AD358</f>
        <v>-0.6899999999999995</v>
      </c>
      <c r="AD357" s="3">
        <f ca="1">'ETF price'!AE359-'ETF price'!AE358</f>
        <v>-0.96999999999999886</v>
      </c>
      <c r="AE357" s="3">
        <f ca="1">'ETF price'!AF359-'ETF price'!AF358</f>
        <v>-0.12999999999999989</v>
      </c>
      <c r="AF357" s="3">
        <f ca="1">'ETF price'!AG359-'ETF price'!AG358</f>
        <v>-1.5399999999999991</v>
      </c>
    </row>
    <row r="358" spans="1:32" ht="12.75" x14ac:dyDescent="0.2">
      <c r="A358" s="3">
        <f ca="1">'ETF price'!B360-'ETF price'!B359</f>
        <v>-3.9999999999992042E-2</v>
      </c>
      <c r="B358" s="3">
        <f ca="1">'ETF price'!C360-'ETF price'!C359</f>
        <v>0.69999999999998863</v>
      </c>
      <c r="C358" s="3">
        <f ca="1">'ETF price'!D360-'ETF price'!D359</f>
        <v>0.48000000000000398</v>
      </c>
      <c r="D358" s="3">
        <f ca="1">'ETF price'!E360-'ETF price'!E359</f>
        <v>1.9099999999999966</v>
      </c>
      <c r="E358" s="3">
        <f ca="1">'ETF price'!F360-'ETF price'!F359</f>
        <v>0.17000000000000171</v>
      </c>
      <c r="F358" s="3">
        <f ca="1">'ETF price'!G360-'ETF price'!G359</f>
        <v>0.23999999999999844</v>
      </c>
      <c r="G358" s="3">
        <f ca="1">'ETF price'!H360-'ETF price'!H359</f>
        <v>0.15000000000000213</v>
      </c>
      <c r="H358" s="3">
        <f ca="1">'ETF price'!I360-'ETF price'!I359</f>
        <v>-1.0900000000000034</v>
      </c>
      <c r="I358" s="3">
        <f ca="1">'ETF price'!J360-'ETF price'!J359</f>
        <v>-1.4900000000000091</v>
      </c>
      <c r="J358" s="3">
        <f ca="1">'ETF price'!K360-'ETF price'!K359</f>
        <v>-0.38999999999998636</v>
      </c>
      <c r="K358" s="3">
        <f ca="1">'ETF price'!L360-'ETF price'!L359</f>
        <v>1.4100000000000108</v>
      </c>
      <c r="L358" s="3">
        <f ca="1">'ETF price'!M360-'ETF price'!M359</f>
        <v>0.45000000000000284</v>
      </c>
      <c r="M358" s="3">
        <f ca="1">'ETF price'!N360-'ETF price'!N359</f>
        <v>-0.35999999999999943</v>
      </c>
      <c r="N358" s="3">
        <f ca="1">'ETF price'!O360-'ETF price'!O359</f>
        <v>0.75999999999999801</v>
      </c>
      <c r="O358" s="3">
        <f ca="1">'ETF price'!P360-'ETF price'!P359</f>
        <v>0.64000000000000057</v>
      </c>
      <c r="P358" s="3">
        <f ca="1">'ETF price'!Q360-'ETF price'!Q359</f>
        <v>0.87000000000000455</v>
      </c>
      <c r="Q358" s="3">
        <f ca="1">'ETF price'!R360-'ETF price'!R359</f>
        <v>0.5</v>
      </c>
      <c r="R358" s="3">
        <f ca="1">'ETF price'!S360-'ETF price'!S359</f>
        <v>1.1200000000000045</v>
      </c>
      <c r="S358" s="3">
        <f ca="1">'ETF price'!T360-'ETF price'!T359</f>
        <v>3.0000000000001137E-2</v>
      </c>
      <c r="T358" s="3">
        <f ca="1">'ETF price'!U360-'ETF price'!U359</f>
        <v>-0.24000000000000199</v>
      </c>
      <c r="U358" s="3">
        <f ca="1">'ETF price'!V360-'ETF price'!V359</f>
        <v>-0.57000000000000739</v>
      </c>
      <c r="V358" s="3">
        <f ca="1">'ETF price'!W360-'ETF price'!W359</f>
        <v>0.40999999999999659</v>
      </c>
      <c r="W358" s="3">
        <f ca="1">'ETF price'!X360-'ETF price'!X359</f>
        <v>1.1700000000000017</v>
      </c>
      <c r="X358" s="3">
        <f ca="1">'ETF price'!Y360-'ETF price'!Y359</f>
        <v>1.5599999999999952</v>
      </c>
      <c r="Y358" s="3">
        <f ca="1">'ETF price'!Z360-'ETF price'!Z359</f>
        <v>0.97999999999998977</v>
      </c>
      <c r="Z358" s="3">
        <f ca="1">'ETF price'!AA360-'ETF price'!AA359</f>
        <v>0.21999999999999886</v>
      </c>
      <c r="AA358" s="3">
        <f ca="1">'ETF price'!AB360-'ETF price'!AB359</f>
        <v>2.0399999999999991</v>
      </c>
      <c r="AB358" s="3">
        <f ca="1">'ETF price'!AC360-'ETF price'!AC359</f>
        <v>2.0000000000003126E-2</v>
      </c>
      <c r="AC358" s="3">
        <f ca="1">'ETF price'!AD360-'ETF price'!AD359</f>
        <v>0.63999999999999879</v>
      </c>
      <c r="AD358" s="3">
        <f ca="1">'ETF price'!AE360-'ETF price'!AE359</f>
        <v>0.87999999999999901</v>
      </c>
      <c r="AE358" s="3">
        <f ca="1">'ETF price'!AF360-'ETF price'!AF359</f>
        <v>2.0000000000000018E-2</v>
      </c>
      <c r="AF358" s="3">
        <f ca="1">'ETF price'!AG360-'ETF price'!AG359</f>
        <v>0.30000000000000071</v>
      </c>
    </row>
    <row r="359" spans="1:32" ht="12.75" x14ac:dyDescent="0.2">
      <c r="A359" s="3">
        <f ca="1">'ETF price'!B361-'ETF price'!B360</f>
        <v>-2.4800000000000182</v>
      </c>
      <c r="B359" s="3">
        <f ca="1">'ETF price'!C361-'ETF price'!C360</f>
        <v>-6.2899999999999636</v>
      </c>
      <c r="C359" s="3">
        <f ca="1">'ETF price'!D361-'ETF price'!D360</f>
        <v>2.1999999999999886</v>
      </c>
      <c r="D359" s="3">
        <f ca="1">'ETF price'!E361-'ETF price'!E360</f>
        <v>-0.44999999999998863</v>
      </c>
      <c r="E359" s="3">
        <f ca="1">'ETF price'!F361-'ETF price'!F360</f>
        <v>-0.85000000000000142</v>
      </c>
      <c r="F359" s="3">
        <f ca="1">'ETF price'!G361-'ETF price'!G360</f>
        <v>-0.67999999999999972</v>
      </c>
      <c r="G359" s="3">
        <f ca="1">'ETF price'!H361-'ETF price'!H360</f>
        <v>-3.0000000000001137E-2</v>
      </c>
      <c r="H359" s="3">
        <f ca="1">'ETF price'!I361-'ETF price'!I360</f>
        <v>-0.50999999999999091</v>
      </c>
      <c r="I359" s="3">
        <f ca="1">'ETF price'!J361-'ETF price'!J360</f>
        <v>-0.83000000000001251</v>
      </c>
      <c r="J359" s="3">
        <f ca="1">'ETF price'!K361-'ETF price'!K360</f>
        <v>-0.25</v>
      </c>
      <c r="K359" s="3">
        <f ca="1">'ETF price'!L361-'ETF price'!L360</f>
        <v>8.99999999999892E-2</v>
      </c>
      <c r="L359" s="3">
        <f ca="1">'ETF price'!M361-'ETF price'!M360</f>
        <v>0.25999999999999801</v>
      </c>
      <c r="M359" s="3">
        <f ca="1">'ETF price'!N361-'ETF price'!N360</f>
        <v>-0.21000000000000085</v>
      </c>
      <c r="N359" s="3">
        <f ca="1">'ETF price'!O361-'ETF price'!O360</f>
        <v>-3.9999999999999147E-2</v>
      </c>
      <c r="O359" s="3">
        <f ca="1">'ETF price'!P361-'ETF price'!P360</f>
        <v>2.1199999999999903</v>
      </c>
      <c r="P359" s="3">
        <f ca="1">'ETF price'!Q361-'ETF price'!Q360</f>
        <v>3.1400000000000006</v>
      </c>
      <c r="Q359" s="3">
        <f ca="1">'ETF price'!R361-'ETF price'!R360</f>
        <v>0.93999999999999773</v>
      </c>
      <c r="R359" s="3">
        <f ca="1">'ETF price'!S361-'ETF price'!S360</f>
        <v>0.61999999999999744</v>
      </c>
      <c r="S359" s="3">
        <f ca="1">'ETF price'!T361-'ETF price'!T360</f>
        <v>8.9999999999999858E-2</v>
      </c>
      <c r="T359" s="3">
        <f ca="1">'ETF price'!U361-'ETF price'!U360</f>
        <v>0.9199999999999946</v>
      </c>
      <c r="U359" s="3">
        <f ca="1">'ETF price'!V361-'ETF price'!V360</f>
        <v>-0.21999999999999886</v>
      </c>
      <c r="V359" s="3">
        <f ca="1">'ETF price'!W361-'ETF price'!W360</f>
        <v>0.13000000000000256</v>
      </c>
      <c r="W359" s="3">
        <f ca="1">'ETF price'!X361-'ETF price'!X360</f>
        <v>0.53000000000000114</v>
      </c>
      <c r="X359" s="3">
        <f ca="1">'ETF price'!Y361-'ETF price'!Y360</f>
        <v>0.89999999999999858</v>
      </c>
      <c r="Y359" s="3">
        <f ca="1">'ETF price'!Z361-'ETF price'!Z360</f>
        <v>0.35000000000000853</v>
      </c>
      <c r="Z359" s="3">
        <f ca="1">'ETF price'!AA361-'ETF price'!AA360</f>
        <v>0.67999999999999972</v>
      </c>
      <c r="AA359" s="3">
        <f ca="1">'ETF price'!AB361-'ETF price'!AB360</f>
        <v>1.4300000000000068</v>
      </c>
      <c r="AB359" s="3">
        <f ca="1">'ETF price'!AC361-'ETF price'!AC360</f>
        <v>-3.0000000000001137E-2</v>
      </c>
      <c r="AC359" s="3">
        <f ca="1">'ETF price'!AD361-'ETF price'!AD360</f>
        <v>-0.25999999999999979</v>
      </c>
      <c r="AD359" s="3">
        <f ca="1">'ETF price'!AE361-'ETF price'!AE360</f>
        <v>-0.35999999999999943</v>
      </c>
      <c r="AE359" s="3">
        <f ca="1">'ETF price'!AF361-'ETF price'!AF360</f>
        <v>-8.0000000000000071E-2</v>
      </c>
      <c r="AF359" s="3">
        <f ca="1">'ETF price'!AG361-'ETF price'!AG360</f>
        <v>-0.76999999999999957</v>
      </c>
    </row>
    <row r="360" spans="1:32" ht="12.75" x14ac:dyDescent="0.2">
      <c r="A360" s="3">
        <f ca="1">'ETF price'!B362-'ETF price'!B361</f>
        <v>1.7700000000000102</v>
      </c>
      <c r="B360" s="3">
        <f ca="1">'ETF price'!C362-'ETF price'!C361</f>
        <v>4.1899999999999977</v>
      </c>
      <c r="C360" s="3">
        <f ca="1">'ETF price'!D362-'ETF price'!D361</f>
        <v>0.74000000000000909</v>
      </c>
      <c r="D360" s="3">
        <f ca="1">'ETF price'!E362-'ETF price'!E361</f>
        <v>1.6400000000000148</v>
      </c>
      <c r="E360" s="3">
        <f ca="1">'ETF price'!F362-'ETF price'!F361</f>
        <v>0.39000000000000057</v>
      </c>
      <c r="F360" s="3">
        <f ca="1">'ETF price'!G362-'ETF price'!G361</f>
        <v>0.21000000000000085</v>
      </c>
      <c r="G360" s="3">
        <f ca="1">'ETF price'!H362-'ETF price'!H361</f>
        <v>3.9999999999999147E-2</v>
      </c>
      <c r="H360" s="3">
        <f ca="1">'ETF price'!I362-'ETF price'!I361</f>
        <v>0.83000000000001251</v>
      </c>
      <c r="I360" s="3">
        <f ca="1">'ETF price'!J362-'ETF price'!J361</f>
        <v>1.2600000000000193</v>
      </c>
      <c r="J360" s="3">
        <f ca="1">'ETF price'!K362-'ETF price'!K361</f>
        <v>0.19999999999998863</v>
      </c>
      <c r="K360" s="3">
        <f ca="1">'ETF price'!L362-'ETF price'!L361</f>
        <v>-8.99999999999892E-2</v>
      </c>
      <c r="L360" s="3">
        <f ca="1">'ETF price'!M362-'ETF price'!M361</f>
        <v>0.34000000000000341</v>
      </c>
      <c r="M360" s="3">
        <f ca="1">'ETF price'!N362-'ETF price'!N361</f>
        <v>0.35000000000000142</v>
      </c>
      <c r="N360" s="3">
        <f ca="1">'ETF price'!O362-'ETF price'!O361</f>
        <v>-0.43999999999999773</v>
      </c>
      <c r="O360" s="3">
        <f ca="1">'ETF price'!P362-'ETF price'!P361</f>
        <v>-0.34999999999999432</v>
      </c>
      <c r="P360" s="3">
        <f ca="1">'ETF price'!Q362-'ETF price'!Q361</f>
        <v>-0.45000000000000284</v>
      </c>
      <c r="Q360" s="3">
        <f ca="1">'ETF price'!R362-'ETF price'!R361</f>
        <v>-0.29000000000000625</v>
      </c>
      <c r="R360" s="3">
        <f ca="1">'ETF price'!S362-'ETF price'!S361</f>
        <v>-7.9999999999998295E-2</v>
      </c>
      <c r="S360" s="3">
        <f ca="1">'ETF price'!T362-'ETF price'!T361</f>
        <v>3.9999999999999147E-2</v>
      </c>
      <c r="T360" s="3">
        <f ca="1">'ETF price'!U362-'ETF price'!U361</f>
        <v>-1.2499999999999929</v>
      </c>
      <c r="U360" s="3">
        <f ca="1">'ETF price'!V362-'ETF price'!V361</f>
        <v>-0.20000000000000284</v>
      </c>
      <c r="V360" s="3">
        <f ca="1">'ETF price'!W362-'ETF price'!W361</f>
        <v>-3.0000000000001137E-2</v>
      </c>
      <c r="W360" s="3">
        <f ca="1">'ETF price'!X362-'ETF price'!X361</f>
        <v>-0.10999999999999943</v>
      </c>
      <c r="X360" s="3">
        <f ca="1">'ETF price'!Y362-'ETF price'!Y361</f>
        <v>-0.29999999999999716</v>
      </c>
      <c r="Y360" s="3">
        <f ca="1">'ETF price'!Z362-'ETF price'!Z361</f>
        <v>3.9999999999992042E-2</v>
      </c>
      <c r="Z360" s="3">
        <f ca="1">'ETF price'!AA362-'ETF price'!AA361</f>
        <v>-0.22999999999999687</v>
      </c>
      <c r="AA360" s="3">
        <f ca="1">'ETF price'!AB362-'ETF price'!AB361</f>
        <v>-0.53000000000000114</v>
      </c>
      <c r="AB360" s="3">
        <f ca="1">'ETF price'!AC362-'ETF price'!AC361</f>
        <v>0.35999999999999943</v>
      </c>
      <c r="AC360" s="3">
        <f ca="1">'ETF price'!AD362-'ETF price'!AD361</f>
        <v>1.9999999999999574E-2</v>
      </c>
      <c r="AD360" s="3">
        <f ca="1">'ETF price'!AE362-'ETF price'!AE361</f>
        <v>5.0000000000000711E-2</v>
      </c>
      <c r="AE360" s="3">
        <f ca="1">'ETF price'!AF362-'ETF price'!AF361</f>
        <v>2.9999999999999805E-2</v>
      </c>
      <c r="AF360" s="3">
        <f ca="1">'ETF price'!AG362-'ETF price'!AG361</f>
        <v>0.25</v>
      </c>
    </row>
    <row r="361" spans="1:32" ht="12.75" x14ac:dyDescent="0.2">
      <c r="A361" s="3">
        <f ca="1">'ETF price'!B363-'ETF price'!B362</f>
        <v>0.81999999999999318</v>
      </c>
      <c r="B361" s="3">
        <f ca="1">'ETF price'!C363-'ETF price'!C362</f>
        <v>1.75</v>
      </c>
      <c r="C361" s="3">
        <f ca="1">'ETF price'!D363-'ETF price'!D362</f>
        <v>1</v>
      </c>
      <c r="D361" s="3">
        <f ca="1">'ETF price'!E363-'ETF price'!E362</f>
        <v>0.4299999999999784</v>
      </c>
      <c r="E361" s="3">
        <f ca="1">'ETF price'!F363-'ETF price'!F362</f>
        <v>-2.0000000000003126E-2</v>
      </c>
      <c r="F361" s="3">
        <f ca="1">'ETF price'!G363-'ETF price'!G362</f>
        <v>0.12999999999999901</v>
      </c>
      <c r="G361" s="3">
        <f ca="1">'ETF price'!H363-'ETF price'!H362</f>
        <v>-9.9999999999980105E-3</v>
      </c>
      <c r="H361" s="3">
        <f ca="1">'ETF price'!I363-'ETF price'!I362</f>
        <v>0.39999999999997726</v>
      </c>
      <c r="I361" s="3">
        <f ca="1">'ETF price'!J363-'ETF price'!J362</f>
        <v>0.1799999999999784</v>
      </c>
      <c r="J361" s="3">
        <f ca="1">'ETF price'!K363-'ETF price'!K362</f>
        <v>-0.18999999999999773</v>
      </c>
      <c r="K361" s="3">
        <f ca="1">'ETF price'!L363-'ETF price'!L362</f>
        <v>-0.46000000000000796</v>
      </c>
      <c r="L361" s="3">
        <f ca="1">'ETF price'!M363-'ETF price'!M362</f>
        <v>-0.52000000000000313</v>
      </c>
      <c r="M361" s="3">
        <f ca="1">'ETF price'!N363-'ETF price'!N362</f>
        <v>0.10999999999999943</v>
      </c>
      <c r="N361" s="3">
        <f ca="1">'ETF price'!O363-'ETF price'!O362</f>
        <v>-0.35999999999999943</v>
      </c>
      <c r="O361" s="3">
        <f ca="1">'ETF price'!P363-'ETF price'!P362</f>
        <v>-0.45000000000000284</v>
      </c>
      <c r="P361" s="3">
        <f ca="1">'ETF price'!Q363-'ETF price'!Q362</f>
        <v>-0.71999999999999886</v>
      </c>
      <c r="Q361" s="3">
        <f ca="1">'ETF price'!R363-'ETF price'!R362</f>
        <v>-0.65999999999999659</v>
      </c>
      <c r="R361" s="3">
        <f ca="1">'ETF price'!S363-'ETF price'!S362</f>
        <v>-0.45000000000000284</v>
      </c>
      <c r="S361" s="3">
        <f ca="1">'ETF price'!T363-'ETF price'!T362</f>
        <v>-0.14000000000000057</v>
      </c>
      <c r="T361" s="3">
        <f ca="1">'ETF price'!U363-'ETF price'!U362</f>
        <v>-0.53000000000000114</v>
      </c>
      <c r="U361" s="3">
        <f ca="1">'ETF price'!V363-'ETF price'!V362</f>
        <v>-0.42999999999999261</v>
      </c>
      <c r="V361" s="3">
        <f ca="1">'ETF price'!W363-'ETF price'!W362</f>
        <v>9.9999999999980105E-3</v>
      </c>
      <c r="W361" s="3">
        <f ca="1">'ETF price'!X363-'ETF price'!X362</f>
        <v>-7.000000000000739E-2</v>
      </c>
      <c r="X361" s="3">
        <f ca="1">'ETF price'!Y363-'ETF price'!Y362</f>
        <v>-0.38000000000000256</v>
      </c>
      <c r="Y361" s="3">
        <f ca="1">'ETF price'!Z363-'ETF price'!Z362</f>
        <v>-1.9999999999996021E-2</v>
      </c>
      <c r="Z361" s="3">
        <f ca="1">'ETF price'!AA363-'ETF price'!AA362</f>
        <v>-0.19000000000000483</v>
      </c>
      <c r="AA361" s="3">
        <f ca="1">'ETF price'!AB363-'ETF price'!AB362</f>
        <v>-0.60000000000000142</v>
      </c>
      <c r="AB361" s="3">
        <f ca="1">'ETF price'!AC363-'ETF price'!AC362</f>
        <v>-0.16000000000000369</v>
      </c>
      <c r="AC361" s="3">
        <f ca="1">'ETF price'!AD363-'ETF price'!AD362</f>
        <v>-5.9999999999998721E-2</v>
      </c>
      <c r="AD361" s="3">
        <f ca="1">'ETF price'!AE363-'ETF price'!AE362</f>
        <v>-0.11000000000000121</v>
      </c>
      <c r="AE361" s="3">
        <f ca="1">'ETF price'!AF363-'ETF price'!AF362</f>
        <v>-4.0000000000000036E-2</v>
      </c>
      <c r="AF361" s="3">
        <f ca="1">'ETF price'!AG363-'ETF price'!AG362</f>
        <v>-0.67000000000000171</v>
      </c>
    </row>
    <row r="362" spans="1:32" ht="12.75" x14ac:dyDescent="0.2">
      <c r="A362" s="3">
        <f ca="1">'ETF price'!B364-'ETF price'!B363</f>
        <v>3.6100000000000136</v>
      </c>
      <c r="B362" s="3">
        <f ca="1">'ETF price'!C364-'ETF price'!C363</f>
        <v>8.8100000000000023</v>
      </c>
      <c r="C362" s="3">
        <f ca="1">'ETF price'!D364-'ETF price'!D363</f>
        <v>1.3900000000000006</v>
      </c>
      <c r="D362" s="3">
        <f ca="1">'ETF price'!E364-'ETF price'!E363</f>
        <v>5.2199999999999989</v>
      </c>
      <c r="E362" s="3">
        <f ca="1">'ETF price'!F364-'ETF price'!F363</f>
        <v>0.79000000000000625</v>
      </c>
      <c r="F362" s="3">
        <f ca="1">'ETF price'!G364-'ETF price'!G363</f>
        <v>0.46999999999999886</v>
      </c>
      <c r="G362" s="3">
        <f ca="1">'ETF price'!H364-'ETF price'!H363</f>
        <v>0.26999999999999957</v>
      </c>
      <c r="H362" s="3">
        <f ca="1">'ETF price'!I364-'ETF price'!I363</f>
        <v>0.46999999999999886</v>
      </c>
      <c r="I362" s="3">
        <f ca="1">'ETF price'!J364-'ETF price'!J363</f>
        <v>1.2700000000000102</v>
      </c>
      <c r="J362" s="3">
        <f ca="1">'ETF price'!K364-'ETF price'!K363</f>
        <v>1.0300000000000011</v>
      </c>
      <c r="K362" s="3">
        <f ca="1">'ETF price'!L364-'ETF price'!L363</f>
        <v>0.95000000000000284</v>
      </c>
      <c r="L362" s="3">
        <f ca="1">'ETF price'!M364-'ETF price'!M363</f>
        <v>0.64999999999999858</v>
      </c>
      <c r="M362" s="3">
        <f ca="1">'ETF price'!N364-'ETF price'!N363</f>
        <v>0.20000000000000284</v>
      </c>
      <c r="N362" s="3">
        <f ca="1">'ETF price'!O364-'ETF price'!O363</f>
        <v>0.38000000000000256</v>
      </c>
      <c r="O362" s="3">
        <f ca="1">'ETF price'!P364-'ETF price'!P363</f>
        <v>-0.78000000000000114</v>
      </c>
      <c r="P362" s="3">
        <f ca="1">'ETF price'!Q364-'ETF price'!Q363</f>
        <v>-1.2800000000000011</v>
      </c>
      <c r="Q362" s="3">
        <f ca="1">'ETF price'!R364-'ETF price'!R363</f>
        <v>0.35999999999999943</v>
      </c>
      <c r="R362" s="3">
        <f ca="1">'ETF price'!S364-'ETF price'!S363</f>
        <v>3.0000000000001137E-2</v>
      </c>
      <c r="S362" s="3">
        <f ca="1">'ETF price'!T364-'ETF price'!T363</f>
        <v>-0.30999999999999872</v>
      </c>
      <c r="T362" s="3">
        <f ca="1">'ETF price'!U364-'ETF price'!U363</f>
        <v>-2.6899999999999977</v>
      </c>
      <c r="U362" s="3">
        <f ca="1">'ETF price'!V364-'ETF price'!V363</f>
        <v>1.1500000000000057</v>
      </c>
      <c r="V362" s="3">
        <f ca="1">'ETF price'!W364-'ETF price'!W363</f>
        <v>-9.9999999999980105E-3</v>
      </c>
      <c r="W362" s="3">
        <f ca="1">'ETF price'!X364-'ETF price'!X363</f>
        <v>-6.9999999999993179E-2</v>
      </c>
      <c r="X362" s="3">
        <f ca="1">'ETF price'!Y364-'ETF price'!Y363</f>
        <v>-0.28999999999999915</v>
      </c>
      <c r="Y362" s="3">
        <f ca="1">'ETF price'!Z364-'ETF price'!Z363</f>
        <v>-0.28000000000000114</v>
      </c>
      <c r="Z362" s="3">
        <f ca="1">'ETF price'!AA364-'ETF price'!AA363</f>
        <v>-1.9999999999996021E-2</v>
      </c>
      <c r="AA362" s="3">
        <f ca="1">'ETF price'!AB364-'ETF price'!AB363</f>
        <v>-0.32000000000000028</v>
      </c>
      <c r="AB362" s="3">
        <f ca="1">'ETF price'!AC364-'ETF price'!AC363</f>
        <v>0.69000000000000483</v>
      </c>
      <c r="AC362" s="3">
        <f ca="1">'ETF price'!AD364-'ETF price'!AD363</f>
        <v>-0.24000000000000021</v>
      </c>
      <c r="AD362" s="3">
        <f ca="1">'ETF price'!AE364-'ETF price'!AE363</f>
        <v>-0.31999999999999851</v>
      </c>
      <c r="AE362" s="3">
        <f ca="1">'ETF price'!AF364-'ETF price'!AF363</f>
        <v>1.0000000000000231E-2</v>
      </c>
      <c r="AF362" s="3">
        <f ca="1">'ETF price'!AG364-'ETF price'!AG363</f>
        <v>0.25</v>
      </c>
    </row>
    <row r="363" spans="1:32" ht="12.75" x14ac:dyDescent="0.2">
      <c r="A363" s="3">
        <f ca="1">'ETF price'!B365-'ETF price'!B364</f>
        <v>1.0300000000000011</v>
      </c>
      <c r="B363" s="3">
        <f ca="1">'ETF price'!C365-'ETF price'!C364</f>
        <v>3.0999999999999659</v>
      </c>
      <c r="C363" s="3">
        <f ca="1">'ETF price'!D365-'ETF price'!D364</f>
        <v>-0.89000000000000057</v>
      </c>
      <c r="D363" s="3">
        <f ca="1">'ETF price'!E365-'ETF price'!E364</f>
        <v>2.25</v>
      </c>
      <c r="E363" s="3">
        <f ca="1">'ETF price'!F365-'ETF price'!F364</f>
        <v>0.59999999999999432</v>
      </c>
      <c r="F363" s="3">
        <f ca="1">'ETF price'!G365-'ETF price'!G364</f>
        <v>0.49000000000000199</v>
      </c>
      <c r="G363" s="3">
        <f ca="1">'ETF price'!H365-'ETF price'!H364</f>
        <v>0.26999999999999957</v>
      </c>
      <c r="H363" s="3">
        <f ca="1">'ETF price'!I365-'ETF price'!I364</f>
        <v>0.66000000000002501</v>
      </c>
      <c r="I363" s="3">
        <f ca="1">'ETF price'!J365-'ETF price'!J364</f>
        <v>1.5300000000000011</v>
      </c>
      <c r="J363" s="3">
        <f ca="1">'ETF price'!K365-'ETF price'!K364</f>
        <v>1.4799999999999898</v>
      </c>
      <c r="K363" s="3">
        <f ca="1">'ETF price'!L365-'ETF price'!L364</f>
        <v>1.6200000000000045</v>
      </c>
      <c r="L363" s="3">
        <f ca="1">'ETF price'!M365-'ETF price'!M364</f>
        <v>0.42000000000000171</v>
      </c>
      <c r="M363" s="3">
        <f ca="1">'ETF price'!N365-'ETF price'!N364</f>
        <v>0.37999999999999545</v>
      </c>
      <c r="N363" s="3">
        <f ca="1">'ETF price'!O365-'ETF price'!O364</f>
        <v>1.0599999999999952</v>
      </c>
      <c r="O363" s="3">
        <f ca="1">'ETF price'!P365-'ETF price'!P364</f>
        <v>0.38000000000000966</v>
      </c>
      <c r="P363" s="3">
        <f ca="1">'ETF price'!Q365-'ETF price'!Q364</f>
        <v>0.62000000000000455</v>
      </c>
      <c r="Q363" s="3">
        <f ca="1">'ETF price'!R365-'ETF price'!R364</f>
        <v>1.8400000000000034</v>
      </c>
      <c r="R363" s="3">
        <f ca="1">'ETF price'!S365-'ETF price'!S364</f>
        <v>1.3299999999999983</v>
      </c>
      <c r="S363" s="3">
        <f ca="1">'ETF price'!T365-'ETF price'!T364</f>
        <v>0.29999999999999716</v>
      </c>
      <c r="T363" s="3">
        <f ca="1">'ETF price'!U365-'ETF price'!U364</f>
        <v>1.8999999999999986</v>
      </c>
      <c r="U363" s="3">
        <f ca="1">'ETF price'!V365-'ETF price'!V364</f>
        <v>0.76999999999999602</v>
      </c>
      <c r="V363" s="3">
        <f ca="1">'ETF price'!W365-'ETF price'!W364</f>
        <v>0.20000000000000284</v>
      </c>
      <c r="W363" s="3">
        <f ca="1">'ETF price'!X365-'ETF price'!X364</f>
        <v>0.62999999999999545</v>
      </c>
      <c r="X363" s="3">
        <f ca="1">'ETF price'!Y365-'ETF price'!Y364</f>
        <v>0.78000000000000114</v>
      </c>
      <c r="Y363" s="3">
        <f ca="1">'ETF price'!Z365-'ETF price'!Z364</f>
        <v>0.82000000000000739</v>
      </c>
      <c r="Z363" s="3">
        <f ca="1">'ETF price'!AA365-'ETF price'!AA364</f>
        <v>0.26999999999999602</v>
      </c>
      <c r="AA363" s="3">
        <f ca="1">'ETF price'!AB365-'ETF price'!AB364</f>
        <v>1</v>
      </c>
      <c r="AB363" s="3">
        <f ca="1">'ETF price'!AC365-'ETF price'!AC364</f>
        <v>-0.30000000000000426</v>
      </c>
      <c r="AC363" s="3">
        <f ca="1">'ETF price'!AD365-'ETF price'!AD364</f>
        <v>1.9999999999999574E-2</v>
      </c>
      <c r="AD363" s="3">
        <f ca="1">'ETF price'!AE365-'ETF price'!AE364</f>
        <v>1.9999999999999574E-2</v>
      </c>
      <c r="AE363" s="3">
        <f ca="1">'ETF price'!AF365-'ETF price'!AF364</f>
        <v>-6.0000000000000053E-2</v>
      </c>
      <c r="AF363" s="3">
        <f ca="1">'ETF price'!AG365-'ETF price'!AG364</f>
        <v>0.66000000000000014</v>
      </c>
    </row>
    <row r="364" spans="1:32" ht="12.75" x14ac:dyDescent="0.2">
      <c r="A364" s="3">
        <f ca="1">'ETF price'!B366-'ETF price'!B365</f>
        <v>1.7599999999999909</v>
      </c>
      <c r="B364" s="3">
        <f ca="1">'ETF price'!C366-'ETF price'!C365</f>
        <v>3.5900000000000318</v>
      </c>
      <c r="C364" s="3">
        <f ca="1">'ETF price'!D366-'ETF price'!D365</f>
        <v>-0.53000000000000114</v>
      </c>
      <c r="D364" s="3">
        <f ca="1">'ETF price'!E366-'ETF price'!E365</f>
        <v>2.4099999999999966</v>
      </c>
      <c r="E364" s="3">
        <f ca="1">'ETF price'!F366-'ETF price'!F365</f>
        <v>0.10999999999999943</v>
      </c>
      <c r="F364" s="3">
        <f ca="1">'ETF price'!G366-'ETF price'!G365</f>
        <v>0.12000000000000099</v>
      </c>
      <c r="G364" s="3">
        <f ca="1">'ETF price'!H366-'ETF price'!H365</f>
        <v>-3.0000000000001137E-2</v>
      </c>
      <c r="H364" s="3">
        <f ca="1">'ETF price'!I366-'ETF price'!I365</f>
        <v>-1.3500000000000227</v>
      </c>
      <c r="I364" s="3">
        <f ca="1">'ETF price'!J366-'ETF price'!J365</f>
        <v>-2.4799999999999898</v>
      </c>
      <c r="J364" s="3">
        <f ca="1">'ETF price'!K366-'ETF price'!K365</f>
        <v>-1.0499999999999829</v>
      </c>
      <c r="K364" s="3">
        <f ca="1">'ETF price'!L366-'ETF price'!L365</f>
        <v>-1.3400000000000034</v>
      </c>
      <c r="L364" s="3">
        <f ca="1">'ETF price'!M366-'ETF price'!M365</f>
        <v>-0.79999999999999716</v>
      </c>
      <c r="M364" s="3">
        <f ca="1">'ETF price'!N366-'ETF price'!N365</f>
        <v>-0.58999999999999631</v>
      </c>
      <c r="N364" s="3">
        <f ca="1">'ETF price'!O366-'ETF price'!O365</f>
        <v>-1.1199999999999974</v>
      </c>
      <c r="O364" s="3">
        <f ca="1">'ETF price'!P366-'ETF price'!P365</f>
        <v>-0.83000000000001251</v>
      </c>
      <c r="P364" s="3">
        <f ca="1">'ETF price'!Q366-'ETF price'!Q365</f>
        <v>-1.1099999999999994</v>
      </c>
      <c r="Q364" s="3">
        <f ca="1">'ETF price'!R366-'ETF price'!R365</f>
        <v>-0.34000000000000341</v>
      </c>
      <c r="R364" s="3">
        <f ca="1">'ETF price'!S366-'ETF price'!S365</f>
        <v>-0.47999999999999687</v>
      </c>
      <c r="S364" s="3">
        <f ca="1">'ETF price'!T366-'ETF price'!T365</f>
        <v>5.0000000000000711E-2</v>
      </c>
      <c r="T364" s="3">
        <f ca="1">'ETF price'!U366-'ETF price'!U365</f>
        <v>-0.31000000000000227</v>
      </c>
      <c r="U364" s="3">
        <f ca="1">'ETF price'!V366-'ETF price'!V365</f>
        <v>-0.68999999999999773</v>
      </c>
      <c r="V364" s="3">
        <f ca="1">'ETF price'!W366-'ETF price'!W365</f>
        <v>-0.13000000000000256</v>
      </c>
      <c r="W364" s="3">
        <f ca="1">'ETF price'!X366-'ETF price'!X365</f>
        <v>-0.32999999999999829</v>
      </c>
      <c r="X364" s="3">
        <f ca="1">'ETF price'!Y366-'ETF price'!Y365</f>
        <v>-0.89999999999999858</v>
      </c>
      <c r="Y364" s="3">
        <f ca="1">'ETF price'!Z366-'ETF price'!Z365</f>
        <v>-0.45000000000000284</v>
      </c>
      <c r="Z364" s="3">
        <f ca="1">'ETF price'!AA366-'ETF price'!AA365</f>
        <v>0.20000000000000284</v>
      </c>
      <c r="AA364" s="3">
        <f ca="1">'ETF price'!AB366-'ETF price'!AB365</f>
        <v>-1.2899999999999991</v>
      </c>
      <c r="AB364" s="3">
        <f ca="1">'ETF price'!AC366-'ETF price'!AC365</f>
        <v>-0.46999999999999886</v>
      </c>
      <c r="AC364" s="3">
        <f ca="1">'ETF price'!AD366-'ETF price'!AD365</f>
        <v>0</v>
      </c>
      <c r="AD364" s="3">
        <f ca="1">'ETF price'!AE366-'ETF price'!AE365</f>
        <v>0</v>
      </c>
      <c r="AE364" s="3">
        <f ca="1">'ETF price'!AF366-'ETF price'!AF365</f>
        <v>0</v>
      </c>
      <c r="AF364" s="3">
        <f ca="1">'ETF price'!AG366-'ETF price'!AG365</f>
        <v>7.0000000000000284E-2</v>
      </c>
    </row>
    <row r="365" spans="1:32" ht="12.75" x14ac:dyDescent="0.2">
      <c r="A365" s="3">
        <f ca="1">'ETF price'!B367-'ETF price'!B366</f>
        <v>2.2199999999999989</v>
      </c>
      <c r="B365" s="3">
        <f ca="1">'ETF price'!C367-'ETF price'!C366</f>
        <v>5.7099999999999795</v>
      </c>
      <c r="C365" s="3">
        <f ca="1">'ETF price'!D367-'ETF price'!D366</f>
        <v>-1.7800000000000011</v>
      </c>
      <c r="D365" s="3">
        <f ca="1">'ETF price'!E367-'ETF price'!E366</f>
        <v>-1.4299999999999784</v>
      </c>
      <c r="E365" s="3">
        <f ca="1">'ETF price'!F367-'ETF price'!F366</f>
        <v>1</v>
      </c>
      <c r="F365" s="3">
        <f ca="1">'ETF price'!G367-'ETF price'!G366</f>
        <v>0.29999999999999716</v>
      </c>
      <c r="G365" s="3">
        <f ca="1">'ETF price'!H367-'ETF price'!H366</f>
        <v>0.26000000000000156</v>
      </c>
      <c r="H365" s="3">
        <f ca="1">'ETF price'!I367-'ETF price'!I366</f>
        <v>2.0200000000000102</v>
      </c>
      <c r="I365" s="3">
        <f ca="1">'ETF price'!J367-'ETF price'!J366</f>
        <v>3.5799999999999841</v>
      </c>
      <c r="J365" s="3">
        <f ca="1">'ETF price'!K367-'ETF price'!K366</f>
        <v>1.5099999999999909</v>
      </c>
      <c r="K365" s="3">
        <f ca="1">'ETF price'!L367-'ETF price'!L366</f>
        <v>0.29999999999999716</v>
      </c>
      <c r="L365" s="3">
        <f ca="1">'ETF price'!M367-'ETF price'!M366</f>
        <v>0.64000000000000057</v>
      </c>
      <c r="M365" s="3">
        <f ca="1">'ETF price'!N367-'ETF price'!N366</f>
        <v>0.86999999999999744</v>
      </c>
      <c r="N365" s="3">
        <f ca="1">'ETF price'!O367-'ETF price'!O366</f>
        <v>0.64000000000000057</v>
      </c>
      <c r="O365" s="3">
        <f ca="1">'ETF price'!P367-'ETF price'!P366</f>
        <v>0.88000000000000966</v>
      </c>
      <c r="P365" s="3">
        <f ca="1">'ETF price'!Q367-'ETF price'!Q366</f>
        <v>1.3299999999999983</v>
      </c>
      <c r="Q365" s="3">
        <f ca="1">'ETF price'!R367-'ETF price'!R366</f>
        <v>0.68999999999999773</v>
      </c>
      <c r="R365" s="3">
        <f ca="1">'ETF price'!S367-'ETF price'!S366</f>
        <v>0.78999999999999915</v>
      </c>
      <c r="S365" s="3">
        <f ca="1">'ETF price'!T367-'ETF price'!T366</f>
        <v>0.48000000000000043</v>
      </c>
      <c r="T365" s="3">
        <f ca="1">'ETF price'!U367-'ETF price'!U366</f>
        <v>1.5799999999999983</v>
      </c>
      <c r="U365" s="3">
        <f ca="1">'ETF price'!V367-'ETF price'!V366</f>
        <v>1.5799999999999983</v>
      </c>
      <c r="V365" s="3">
        <f ca="1">'ETF price'!W367-'ETF price'!W366</f>
        <v>0.43999999999999773</v>
      </c>
      <c r="W365" s="3">
        <f ca="1">'ETF price'!X367-'ETF price'!X366</f>
        <v>1.019999999999996</v>
      </c>
      <c r="X365" s="3">
        <f ca="1">'ETF price'!Y367-'ETF price'!Y366</f>
        <v>0.64000000000000057</v>
      </c>
      <c r="Y365" s="3">
        <f ca="1">'ETF price'!Z367-'ETF price'!Z366</f>
        <v>1.039999999999992</v>
      </c>
      <c r="Z365" s="3">
        <f ca="1">'ETF price'!AA367-'ETF price'!AA366</f>
        <v>0.15999999999999659</v>
      </c>
      <c r="AA365" s="3">
        <f ca="1">'ETF price'!AB367-'ETF price'!AB366</f>
        <v>0.82000000000000028</v>
      </c>
      <c r="AB365" s="3">
        <f ca="1">'ETF price'!AC367-'ETF price'!AC366</f>
        <v>-0.17999999999999972</v>
      </c>
      <c r="AC365" s="3">
        <f ca="1">'ETF price'!AD367-'ETF price'!AD366</f>
        <v>-0.16999999999999993</v>
      </c>
      <c r="AD365" s="3">
        <f ca="1">'ETF price'!AE367-'ETF price'!AE366</f>
        <v>-0.24000000000000021</v>
      </c>
      <c r="AE365" s="3">
        <f ca="1">'ETF price'!AF367-'ETF price'!AF366</f>
        <v>4.9999999999999822E-2</v>
      </c>
      <c r="AF365" s="3">
        <f ca="1">'ETF price'!AG367-'ETF price'!AG366</f>
        <v>-0.12999999999999901</v>
      </c>
    </row>
    <row r="366" spans="1:32" ht="12.75" x14ac:dyDescent="0.2">
      <c r="A366" s="3">
        <f ca="1">'ETF price'!B368-'ETF price'!B367</f>
        <v>-1.4399999999999977</v>
      </c>
      <c r="B366" s="3">
        <f ca="1">'ETF price'!C368-'ETF price'!C367</f>
        <v>-3.8299999999999841</v>
      </c>
      <c r="C366" s="3">
        <f ca="1">'ETF price'!D368-'ETF price'!D367</f>
        <v>1.0900000000000034</v>
      </c>
      <c r="D366" s="3">
        <f ca="1">'ETF price'!E368-'ETF price'!E367</f>
        <v>-1.5700000000000216</v>
      </c>
      <c r="E366" s="3">
        <f ca="1">'ETF price'!F368-'ETF price'!F367</f>
        <v>-0.33999999999999631</v>
      </c>
      <c r="F366" s="3">
        <f ca="1">'ETF price'!G368-'ETF price'!G367</f>
        <v>-0.12999999999999901</v>
      </c>
      <c r="G366" s="3">
        <f ca="1">'ETF price'!H368-'ETF price'!H367</f>
        <v>-0.14000000000000057</v>
      </c>
      <c r="H366" s="3">
        <f ca="1">'ETF price'!I368-'ETF price'!I367</f>
        <v>-9.9999999999909051E-3</v>
      </c>
      <c r="I366" s="3">
        <f ca="1">'ETF price'!J368-'ETF price'!J367</f>
        <v>-0.25999999999999091</v>
      </c>
      <c r="J366" s="3">
        <f ca="1">'ETF price'!K368-'ETF price'!K367</f>
        <v>-0.50999999999999091</v>
      </c>
      <c r="K366" s="3">
        <f ca="1">'ETF price'!L368-'ETF price'!L367</f>
        <v>-1.519999999999996</v>
      </c>
      <c r="L366" s="3">
        <f ca="1">'ETF price'!M368-'ETF price'!M367</f>
        <v>-0.37000000000000455</v>
      </c>
      <c r="M366" s="3">
        <f ca="1">'ETF price'!N368-'ETF price'!N367</f>
        <v>-0.25</v>
      </c>
      <c r="N366" s="3">
        <f ca="1">'ETF price'!O368-'ETF price'!O367</f>
        <v>-0.56000000000000227</v>
      </c>
      <c r="O366" s="3">
        <f ca="1">'ETF price'!P368-'ETF price'!P367</f>
        <v>-0.12000000000000455</v>
      </c>
      <c r="P366" s="3">
        <f ca="1">'ETF price'!Q368-'ETF price'!Q367</f>
        <v>-7.000000000000739E-2</v>
      </c>
      <c r="Q366" s="3">
        <f ca="1">'ETF price'!R368-'ETF price'!R367</f>
        <v>0.20000000000000284</v>
      </c>
      <c r="R366" s="3">
        <f ca="1">'ETF price'!S368-'ETF price'!S367</f>
        <v>-0.28999999999999915</v>
      </c>
      <c r="S366" s="3">
        <f ca="1">'ETF price'!T368-'ETF price'!T367</f>
        <v>0.28999999999999915</v>
      </c>
      <c r="T366" s="3">
        <f ca="1">'ETF price'!U368-'ETF price'!U367</f>
        <v>0.93999999999999773</v>
      </c>
      <c r="U366" s="3">
        <f ca="1">'ETF price'!V368-'ETF price'!V367</f>
        <v>-0.40999999999999659</v>
      </c>
      <c r="V366" s="3">
        <f ca="1">'ETF price'!W368-'ETF price'!W367</f>
        <v>-7.0000000000000284E-2</v>
      </c>
      <c r="W366" s="3">
        <f ca="1">'ETF price'!X368-'ETF price'!X367</f>
        <v>-0.28999999999999204</v>
      </c>
      <c r="X366" s="3">
        <f ca="1">'ETF price'!Y368-'ETF price'!Y367</f>
        <v>-0.42000000000000171</v>
      </c>
      <c r="Y366" s="3">
        <f ca="1">'ETF price'!Z368-'ETF price'!Z367</f>
        <v>-0.28999999999999204</v>
      </c>
      <c r="Z366" s="3">
        <f ca="1">'ETF price'!AA368-'ETF price'!AA367</f>
        <v>-3.9999999999999147E-2</v>
      </c>
      <c r="AA366" s="3">
        <f ca="1">'ETF price'!AB368-'ETF price'!AB367</f>
        <v>-0.60000000000000142</v>
      </c>
      <c r="AB366" s="3">
        <f ca="1">'ETF price'!AC368-'ETF price'!AC367</f>
        <v>-0.61999999999999744</v>
      </c>
      <c r="AC366" s="3">
        <f ca="1">'ETF price'!AD368-'ETF price'!AD367</f>
        <v>0.36999999999999922</v>
      </c>
      <c r="AD366" s="3">
        <f ca="1">'ETF price'!AE368-'ETF price'!AE367</f>
        <v>0.53999999999999915</v>
      </c>
      <c r="AE366" s="3">
        <f ca="1">'ETF price'!AF368-'ETF price'!AF367</f>
        <v>7.0000000000000284E-2</v>
      </c>
      <c r="AF366" s="3">
        <f ca="1">'ETF price'!AG368-'ETF price'!AG367</f>
        <v>0.89999999999999858</v>
      </c>
    </row>
    <row r="367" spans="1:32" ht="12.75" x14ac:dyDescent="0.2">
      <c r="A367" s="3">
        <f ca="1">'ETF price'!B369-'ETF price'!B368</f>
        <v>-1.5300000000000011</v>
      </c>
      <c r="B367" s="3">
        <f ca="1">'ETF price'!C369-'ETF price'!C368</f>
        <v>-2.5600000000000023</v>
      </c>
      <c r="C367" s="3">
        <f ca="1">'ETF price'!D369-'ETF price'!D368</f>
        <v>-0.96999999999999886</v>
      </c>
      <c r="D367" s="3">
        <f ca="1">'ETF price'!E369-'ETF price'!E368</f>
        <v>-1.3699999999999761</v>
      </c>
      <c r="E367" s="3">
        <f ca="1">'ETF price'!F369-'ETF price'!F368</f>
        <v>-0.64999999999999858</v>
      </c>
      <c r="F367" s="3">
        <f ca="1">'ETF price'!G369-'ETF price'!G368</f>
        <v>-0.30999999999999872</v>
      </c>
      <c r="G367" s="3">
        <f ca="1">'ETF price'!H369-'ETF price'!H368</f>
        <v>-0.26999999999999957</v>
      </c>
      <c r="H367" s="3">
        <f ca="1">'ETF price'!I369-'ETF price'!I368</f>
        <v>-0.68999999999999773</v>
      </c>
      <c r="I367" s="3">
        <f ca="1">'ETF price'!J369-'ETF price'!J368</f>
        <v>-9.0000000000003411E-2</v>
      </c>
      <c r="J367" s="3">
        <f ca="1">'ETF price'!K369-'ETF price'!K368</f>
        <v>-0.92000000000001592</v>
      </c>
      <c r="K367" s="3">
        <f ca="1">'ETF price'!L369-'ETF price'!L368</f>
        <v>-3.0000000000001137E-2</v>
      </c>
      <c r="L367" s="3">
        <f ca="1">'ETF price'!M369-'ETF price'!M368</f>
        <v>-0.53999999999999915</v>
      </c>
      <c r="M367" s="3">
        <f ca="1">'ETF price'!N369-'ETF price'!N368</f>
        <v>-4.9999999999997158E-2</v>
      </c>
      <c r="N367" s="3">
        <f ca="1">'ETF price'!O369-'ETF price'!O368</f>
        <v>-0.28000000000000114</v>
      </c>
      <c r="O367" s="3">
        <f ca="1">'ETF price'!P369-'ETF price'!P368</f>
        <v>-2.5</v>
      </c>
      <c r="P367" s="3">
        <f ca="1">'ETF price'!Q369-'ETF price'!Q368</f>
        <v>-2.4299999999999926</v>
      </c>
      <c r="Q367" s="3">
        <f ca="1">'ETF price'!R369-'ETF price'!R368</f>
        <v>-1.5</v>
      </c>
      <c r="R367" s="3">
        <f ca="1">'ETF price'!S369-'ETF price'!S368</f>
        <v>-0.42000000000000171</v>
      </c>
      <c r="S367" s="3">
        <f ca="1">'ETF price'!T369-'ETF price'!T368</f>
        <v>-0.2099999999999973</v>
      </c>
      <c r="T367" s="3">
        <f ca="1">'ETF price'!U369-'ETF price'!U368</f>
        <v>-0.42999999999999261</v>
      </c>
      <c r="U367" s="3">
        <f ca="1">'ETF price'!V369-'ETF price'!V368</f>
        <v>-2.2900000000000063</v>
      </c>
      <c r="V367" s="3">
        <f ca="1">'ETF price'!W369-'ETF price'!W368</f>
        <v>-0.39999999999999858</v>
      </c>
      <c r="W367" s="3">
        <f ca="1">'ETF price'!X369-'ETF price'!X368</f>
        <v>-0.60000000000000853</v>
      </c>
      <c r="X367" s="3">
        <f ca="1">'ETF price'!Y369-'ETF price'!Y368</f>
        <v>-0.68999999999999773</v>
      </c>
      <c r="Y367" s="3">
        <f ca="1">'ETF price'!Z369-'ETF price'!Z368</f>
        <v>-0.53000000000000114</v>
      </c>
      <c r="Z367" s="3">
        <f ca="1">'ETF price'!AA369-'ETF price'!AA368</f>
        <v>-0.75999999999999801</v>
      </c>
      <c r="AA367" s="3">
        <f ca="1">'ETF price'!AB369-'ETF price'!AB368</f>
        <v>-0.95000000000000284</v>
      </c>
      <c r="AB367" s="3">
        <f ca="1">'ETF price'!AC369-'ETF price'!AC368</f>
        <v>-0.21999999999999886</v>
      </c>
      <c r="AC367" s="3">
        <f ca="1">'ETF price'!AD369-'ETF price'!AD368</f>
        <v>0.68000000000000149</v>
      </c>
      <c r="AD367" s="3">
        <f ca="1">'ETF price'!AE369-'ETF price'!AE368</f>
        <v>1.0099999999999998</v>
      </c>
      <c r="AE367" s="3">
        <f ca="1">'ETF price'!AF369-'ETF price'!AF368</f>
        <v>0.21999999999999975</v>
      </c>
      <c r="AF367" s="3">
        <f ca="1">'ETF price'!AG369-'ETF price'!AG368</f>
        <v>2.1700000000000017</v>
      </c>
    </row>
    <row r="368" spans="1:32" ht="12.75" x14ac:dyDescent="0.2">
      <c r="A368" s="3">
        <f ca="1">'ETF price'!B370-'ETF price'!B369</f>
        <v>-2.539999999999992</v>
      </c>
      <c r="B368" s="3">
        <f ca="1">'ETF price'!C370-'ETF price'!C369</f>
        <v>-6.6999999999999886</v>
      </c>
      <c r="C368" s="3">
        <f ca="1">'ETF price'!D370-'ETF price'!D369</f>
        <v>-1.1800000000000068</v>
      </c>
      <c r="D368" s="3">
        <f ca="1">'ETF price'!E370-'ETF price'!E369</f>
        <v>-4.0900000000000034</v>
      </c>
      <c r="E368" s="3">
        <f ca="1">'ETF price'!F370-'ETF price'!F369</f>
        <v>-0.77000000000000313</v>
      </c>
      <c r="F368" s="3">
        <f ca="1">'ETF price'!G370-'ETF price'!G369</f>
        <v>-0.33999999999999986</v>
      </c>
      <c r="G368" s="3">
        <f ca="1">'ETF price'!H370-'ETF price'!H369</f>
        <v>-0.21000000000000085</v>
      </c>
      <c r="H368" s="3">
        <f ca="1">'ETF price'!I370-'ETF price'!I369</f>
        <v>1.999999999998181E-2</v>
      </c>
      <c r="I368" s="3">
        <f ca="1">'ETF price'!J370-'ETF price'!J369</f>
        <v>-0.18000000000000682</v>
      </c>
      <c r="J368" s="3">
        <f ca="1">'ETF price'!K370-'ETF price'!K369</f>
        <v>-0.56000000000000227</v>
      </c>
      <c r="K368" s="3">
        <f ca="1">'ETF price'!L370-'ETF price'!L369</f>
        <v>-0.48000000000000398</v>
      </c>
      <c r="L368" s="3">
        <f ca="1">'ETF price'!M370-'ETF price'!M369</f>
        <v>-5.9999999999995168E-2</v>
      </c>
      <c r="M368" s="3">
        <f ca="1">'ETF price'!N370-'ETF price'!N369</f>
        <v>-6.0000000000002274E-2</v>
      </c>
      <c r="N368" s="3">
        <f ca="1">'ETF price'!O370-'ETF price'!O369</f>
        <v>-1.0799999999999983</v>
      </c>
      <c r="O368" s="3">
        <f ca="1">'ETF price'!P370-'ETF price'!P369</f>
        <v>0.62000000000000455</v>
      </c>
      <c r="P368" s="3">
        <f ca="1">'ETF price'!Q370-'ETF price'!Q369</f>
        <v>1.019999999999996</v>
      </c>
      <c r="Q368" s="3">
        <f ca="1">'ETF price'!R370-'ETF price'!R369</f>
        <v>0.26000000000000512</v>
      </c>
      <c r="R368" s="3">
        <f ca="1">'ETF price'!S370-'ETF price'!S369</f>
        <v>0.42000000000000171</v>
      </c>
      <c r="S368" s="3">
        <f ca="1">'ETF price'!T370-'ETF price'!T369</f>
        <v>0.33999999999999986</v>
      </c>
      <c r="T368" s="3">
        <f ca="1">'ETF price'!U370-'ETF price'!U369</f>
        <v>1.1200000000000045</v>
      </c>
      <c r="U368" s="3">
        <f ca="1">'ETF price'!V370-'ETF price'!V369</f>
        <v>-0.85999999999999943</v>
      </c>
      <c r="V368" s="3">
        <f ca="1">'ETF price'!W370-'ETF price'!W369</f>
        <v>-3.9999999999999147E-2</v>
      </c>
      <c r="W368" s="3">
        <f ca="1">'ETF price'!X370-'ETF price'!X369</f>
        <v>-0.25</v>
      </c>
      <c r="X368" s="3">
        <f ca="1">'ETF price'!Y370-'ETF price'!Y369</f>
        <v>-0.42999999999999972</v>
      </c>
      <c r="Y368" s="3">
        <f ca="1">'ETF price'!Z370-'ETF price'!Z369</f>
        <v>-0.21999999999999886</v>
      </c>
      <c r="Z368" s="3">
        <f ca="1">'ETF price'!AA370-'ETF price'!AA369</f>
        <v>-0.15999999999999659</v>
      </c>
      <c r="AA368" s="3">
        <f ca="1">'ETF price'!AB370-'ETF price'!AB369</f>
        <v>-0.64999999999999858</v>
      </c>
      <c r="AB368" s="3">
        <f ca="1">'ETF price'!AC370-'ETF price'!AC369</f>
        <v>-3.0000000000001137E-2</v>
      </c>
      <c r="AC368" s="3">
        <f ca="1">'ETF price'!AD370-'ETF price'!AD369</f>
        <v>0.66999999999999993</v>
      </c>
      <c r="AD368" s="3">
        <f ca="1">'ETF price'!AE370-'ETF price'!AE369</f>
        <v>1.1300000000000026</v>
      </c>
      <c r="AE368" s="3">
        <f ca="1">'ETF price'!AF370-'ETF price'!AF369</f>
        <v>4.0000000000000036E-2</v>
      </c>
      <c r="AF368" s="3">
        <f ca="1">'ETF price'!AG370-'ETF price'!AG369</f>
        <v>0.94999999999999929</v>
      </c>
    </row>
    <row r="369" spans="1:32" ht="12.75" x14ac:dyDescent="0.2">
      <c r="A369" s="3">
        <f ca="1">'ETF price'!B371-'ETF price'!B370</f>
        <v>1.3799999999999955</v>
      </c>
      <c r="B369" s="3">
        <f ca="1">'ETF price'!C371-'ETF price'!C370</f>
        <v>3.5399999999999636</v>
      </c>
      <c r="C369" s="3">
        <f ca="1">'ETF price'!D371-'ETF price'!D370</f>
        <v>2.0300000000000011</v>
      </c>
      <c r="D369" s="3">
        <f ca="1">'ETF price'!E371-'ETF price'!E370</f>
        <v>0.75999999999999091</v>
      </c>
      <c r="E369" s="3">
        <f ca="1">'ETF price'!F371-'ETF price'!F370</f>
        <v>0.14999999999999858</v>
      </c>
      <c r="F369" s="3">
        <f ca="1">'ETF price'!G371-'ETF price'!G370</f>
        <v>-0.24000000000000199</v>
      </c>
      <c r="G369" s="3">
        <f ca="1">'ETF price'!H371-'ETF price'!H370</f>
        <v>1.0000000000001563E-2</v>
      </c>
      <c r="H369" s="3">
        <f ca="1">'ETF price'!I371-'ETF price'!I370</f>
        <v>0.90000000000000568</v>
      </c>
      <c r="I369" s="3">
        <f ca="1">'ETF price'!J371-'ETF price'!J370</f>
        <v>1.4099999999999966</v>
      </c>
      <c r="J369" s="3">
        <f ca="1">'ETF price'!K371-'ETF price'!K370</f>
        <v>3.0000000000001137E-2</v>
      </c>
      <c r="K369" s="3">
        <f ca="1">'ETF price'!L371-'ETF price'!L370</f>
        <v>-0.56999999999999318</v>
      </c>
      <c r="L369" s="3">
        <f ca="1">'ETF price'!M371-'ETF price'!M370</f>
        <v>6.9999999999993179E-2</v>
      </c>
      <c r="M369" s="3">
        <f ca="1">'ETF price'!N371-'ETF price'!N370</f>
        <v>0.35999999999999943</v>
      </c>
      <c r="N369" s="3">
        <f ca="1">'ETF price'!O371-'ETF price'!O370</f>
        <v>-0.17999999999999972</v>
      </c>
      <c r="O369" s="3">
        <f ca="1">'ETF price'!P371-'ETF price'!P370</f>
        <v>-1.0600000000000023</v>
      </c>
      <c r="P369" s="3">
        <f ca="1">'ETF price'!Q371-'ETF price'!Q370</f>
        <v>-1.4599999999999937</v>
      </c>
      <c r="Q369" s="3">
        <f ca="1">'ETF price'!R371-'ETF price'!R370</f>
        <v>-0.19000000000001194</v>
      </c>
      <c r="R369" s="3">
        <f ca="1">'ETF price'!S371-'ETF price'!S370</f>
        <v>-0.31000000000000227</v>
      </c>
      <c r="S369" s="3">
        <f ca="1">'ETF price'!T371-'ETF price'!T370</f>
        <v>-0.44000000000000128</v>
      </c>
      <c r="T369" s="3">
        <f ca="1">'ETF price'!U371-'ETF price'!U370</f>
        <v>-2.5200000000000031</v>
      </c>
      <c r="U369" s="3">
        <f ca="1">'ETF price'!V371-'ETF price'!V370</f>
        <v>-0.70999999999999375</v>
      </c>
      <c r="V369" s="3">
        <f ca="1">'ETF price'!W371-'ETF price'!W370</f>
        <v>-0.25999999999999801</v>
      </c>
      <c r="W369" s="3">
        <f ca="1">'ETF price'!X371-'ETF price'!X370</f>
        <v>-0.64999999999999147</v>
      </c>
      <c r="X369" s="3">
        <f ca="1">'ETF price'!Y371-'ETF price'!Y370</f>
        <v>-0.96999999999999886</v>
      </c>
      <c r="Y369" s="3">
        <f ca="1">'ETF price'!Z371-'ETF price'!Z370</f>
        <v>-0.84000000000000341</v>
      </c>
      <c r="Z369" s="3">
        <f ca="1">'ETF price'!AA371-'ETF price'!AA370</f>
        <v>-0.52000000000000313</v>
      </c>
      <c r="AA369" s="3">
        <f ca="1">'ETF price'!AB371-'ETF price'!AB370</f>
        <v>-1.3100000000000023</v>
      </c>
      <c r="AB369" s="3">
        <f ca="1">'ETF price'!AC371-'ETF price'!AC370</f>
        <v>0.50999999999999801</v>
      </c>
      <c r="AC369" s="3">
        <f ca="1">'ETF price'!AD371-'ETF price'!AD370</f>
        <v>4.9999999999998934E-2</v>
      </c>
      <c r="AD369" s="3">
        <f ca="1">'ETF price'!AE371-'ETF price'!AE370</f>
        <v>5.9999999999998721E-2</v>
      </c>
      <c r="AE369" s="3">
        <f ca="1">'ETF price'!AF371-'ETF price'!AF370</f>
        <v>-2.0000000000000018E-2</v>
      </c>
      <c r="AF369" s="3">
        <f ca="1">'ETF price'!AG371-'ETF price'!AG370</f>
        <v>3.0000000000001137E-2</v>
      </c>
    </row>
    <row r="370" spans="1:32" ht="12.75" x14ac:dyDescent="0.2">
      <c r="A370" s="3">
        <f ca="1">'ETF price'!B372-'ETF price'!B371</f>
        <v>-1.8499999999999943</v>
      </c>
      <c r="B370" s="3">
        <f ca="1">'ETF price'!C372-'ETF price'!C371</f>
        <v>-5.0399999999999636</v>
      </c>
      <c r="C370" s="3">
        <f ca="1">'ETF price'!D372-'ETF price'!D371</f>
        <v>0.31000000000000227</v>
      </c>
      <c r="D370" s="3">
        <f ca="1">'ETF price'!E372-'ETF price'!E371</f>
        <v>-2.9000000000000057</v>
      </c>
      <c r="E370" s="3">
        <f ca="1">'ETF price'!F372-'ETF price'!F371</f>
        <v>-0.6699999999999946</v>
      </c>
      <c r="F370" s="3">
        <f ca="1">'ETF price'!G372-'ETF price'!G371</f>
        <v>-0.75999999999999801</v>
      </c>
      <c r="G370" s="3">
        <f ca="1">'ETF price'!H372-'ETF price'!H371</f>
        <v>-0.33000000000000185</v>
      </c>
      <c r="H370" s="3">
        <f ca="1">'ETF price'!I372-'ETF price'!I371</f>
        <v>-0.43999999999999773</v>
      </c>
      <c r="I370" s="3">
        <f ca="1">'ETF price'!J372-'ETF price'!J371</f>
        <v>-1.1399999999999864</v>
      </c>
      <c r="J370" s="3">
        <f ca="1">'ETF price'!K372-'ETF price'!K371</f>
        <v>-1.3499999999999943</v>
      </c>
      <c r="K370" s="3">
        <f ca="1">'ETF price'!L372-'ETF price'!L371</f>
        <v>-1.4699999999999989</v>
      </c>
      <c r="L370" s="3">
        <f ca="1">'ETF price'!M372-'ETF price'!M371</f>
        <v>-0.79999999999999716</v>
      </c>
      <c r="M370" s="3">
        <f ca="1">'ETF price'!N372-'ETF price'!N371</f>
        <v>-0.25</v>
      </c>
      <c r="N370" s="3">
        <f ca="1">'ETF price'!O372-'ETF price'!O371</f>
        <v>-0.88000000000000256</v>
      </c>
      <c r="O370" s="3">
        <f ca="1">'ETF price'!P372-'ETF price'!P371</f>
        <v>-0.56000000000000227</v>
      </c>
      <c r="P370" s="3">
        <f ca="1">'ETF price'!Q372-'ETF price'!Q371</f>
        <v>-0.96000000000000796</v>
      </c>
      <c r="Q370" s="3">
        <f ca="1">'ETF price'!R372-'ETF price'!R371</f>
        <v>-0.64999999999999147</v>
      </c>
      <c r="R370" s="3">
        <f ca="1">'ETF price'!S372-'ETF price'!S371</f>
        <v>-0.71000000000000085</v>
      </c>
      <c r="S370" s="3">
        <f ca="1">'ETF price'!T372-'ETF price'!T371</f>
        <v>-0.25</v>
      </c>
      <c r="T370" s="3">
        <f ca="1">'ETF price'!U372-'ETF price'!U371</f>
        <v>-0.10000000000000142</v>
      </c>
      <c r="U370" s="3">
        <f ca="1">'ETF price'!V372-'ETF price'!V371</f>
        <v>-0.89000000000000057</v>
      </c>
      <c r="V370" s="3">
        <f ca="1">'ETF price'!W372-'ETF price'!W371</f>
        <v>-0.14000000000000057</v>
      </c>
      <c r="W370" s="3">
        <f ca="1">'ETF price'!X372-'ETF price'!X371</f>
        <v>-0.51000000000000512</v>
      </c>
      <c r="X370" s="3">
        <f ca="1">'ETF price'!Y372-'ETF price'!Y371</f>
        <v>-0.46000000000000085</v>
      </c>
      <c r="Y370" s="3">
        <f ca="1">'ETF price'!Z372-'ETF price'!Z371</f>
        <v>-0.48999999999999488</v>
      </c>
      <c r="Z370" s="3">
        <f ca="1">'ETF price'!AA372-'ETF price'!AA371</f>
        <v>-0.39000000000000057</v>
      </c>
      <c r="AA370" s="3">
        <f ca="1">'ETF price'!AB372-'ETF price'!AB371</f>
        <v>-0.57999999999999829</v>
      </c>
      <c r="AB370" s="3">
        <f ca="1">'ETF price'!AC372-'ETF price'!AC371</f>
        <v>-2.0000000000003126E-2</v>
      </c>
      <c r="AC370" s="3">
        <f ca="1">'ETF price'!AD372-'ETF price'!AD371</f>
        <v>0.30000000000000071</v>
      </c>
      <c r="AD370" s="3">
        <f ca="1">'ETF price'!AE372-'ETF price'!AE371</f>
        <v>0.42999999999999972</v>
      </c>
      <c r="AE370" s="3">
        <f ca="1">'ETF price'!AF372-'ETF price'!AF371</f>
        <v>7.0000000000000284E-2</v>
      </c>
      <c r="AF370" s="3">
        <f ca="1">'ETF price'!AG372-'ETF price'!AG371</f>
        <v>0.66000000000000014</v>
      </c>
    </row>
    <row r="371" spans="1:32" ht="12.75" x14ac:dyDescent="0.2">
      <c r="A371" s="3">
        <f ca="1">'ETF price'!B373-'ETF price'!B372</f>
        <v>-1.210000000000008</v>
      </c>
      <c r="B371" s="3">
        <f ca="1">'ETF price'!C373-'ETF price'!C372</f>
        <v>-3.4800000000000182</v>
      </c>
      <c r="C371" s="3">
        <f ca="1">'ETF price'!D373-'ETF price'!D372</f>
        <v>-0.12000000000000455</v>
      </c>
      <c r="D371" s="3">
        <f ca="1">'ETF price'!E373-'ETF price'!E372</f>
        <v>0.53000000000000114</v>
      </c>
      <c r="E371" s="3">
        <f ca="1">'ETF price'!F373-'ETF price'!F372</f>
        <v>-0.20000000000000284</v>
      </c>
      <c r="F371" s="3">
        <f ca="1">'ETF price'!G373-'ETF price'!G372</f>
        <v>-0.17999999999999972</v>
      </c>
      <c r="G371" s="3">
        <f ca="1">'ETF price'!H373-'ETF price'!H372</f>
        <v>7.0000000000000284E-2</v>
      </c>
      <c r="H371" s="3">
        <f ca="1">'ETF price'!I373-'ETF price'!I372</f>
        <v>-0.75</v>
      </c>
      <c r="I371" s="3">
        <f ca="1">'ETF price'!J373-'ETF price'!J372</f>
        <v>-1.5800000000000125</v>
      </c>
      <c r="J371" s="3">
        <f ca="1">'ETF price'!K373-'ETF price'!K372</f>
        <v>-1.4300000000000068</v>
      </c>
      <c r="K371" s="3">
        <f ca="1">'ETF price'!L373-'ETF price'!L372</f>
        <v>-1.9500000000000028</v>
      </c>
      <c r="L371" s="3">
        <f ca="1">'ETF price'!M373-'ETF price'!M372</f>
        <v>-0.74000000000000199</v>
      </c>
      <c r="M371" s="3">
        <f ca="1">'ETF price'!N373-'ETF price'!N372</f>
        <v>-0.45000000000000284</v>
      </c>
      <c r="N371" s="3">
        <f ca="1">'ETF price'!O373-'ETF price'!O372</f>
        <v>-0.25999999999999801</v>
      </c>
      <c r="O371" s="3">
        <f ca="1">'ETF price'!P373-'ETF price'!P372</f>
        <v>1.3900000000000006</v>
      </c>
      <c r="P371" s="3">
        <f ca="1">'ETF price'!Q373-'ETF price'!Q372</f>
        <v>1.7900000000000063</v>
      </c>
      <c r="Q371" s="3">
        <f ca="1">'ETF price'!R373-'ETF price'!R372</f>
        <v>0.82999999999999829</v>
      </c>
      <c r="R371" s="3">
        <f ca="1">'ETF price'!S373-'ETF price'!S372</f>
        <v>0.35000000000000142</v>
      </c>
      <c r="S371" s="3">
        <f ca="1">'ETF price'!T373-'ETF price'!T372</f>
        <v>3.0000000000001137E-2</v>
      </c>
      <c r="T371" s="3">
        <f ca="1">'ETF price'!U373-'ETF price'!U372</f>
        <v>0.30999999999999517</v>
      </c>
      <c r="U371" s="3">
        <f ca="1">'ETF price'!V373-'ETF price'!V372</f>
        <v>0.36999999999999034</v>
      </c>
      <c r="V371" s="3">
        <f ca="1">'ETF price'!W373-'ETF price'!W372</f>
        <v>-7.0000000000000284E-2</v>
      </c>
      <c r="W371" s="3">
        <f ca="1">'ETF price'!X373-'ETF price'!X372</f>
        <v>-4.9999999999997158E-2</v>
      </c>
      <c r="X371" s="3">
        <f ca="1">'ETF price'!Y373-'ETF price'!Y372</f>
        <v>0.34999999999999432</v>
      </c>
      <c r="Y371" s="3">
        <f ca="1">'ETF price'!Z373-'ETF price'!Z372</f>
        <v>0.11999999999999034</v>
      </c>
      <c r="Z371" s="3">
        <f ca="1">'ETF price'!AA373-'ETF price'!AA372</f>
        <v>0.79999999999999716</v>
      </c>
      <c r="AA371" s="3">
        <f ca="1">'ETF price'!AB373-'ETF price'!AB372</f>
        <v>0.5</v>
      </c>
      <c r="AB371" s="3">
        <f ca="1">'ETF price'!AC373-'ETF price'!AC372</f>
        <v>1.0200000000000031</v>
      </c>
      <c r="AC371" s="3">
        <f ca="1">'ETF price'!AD373-'ETF price'!AD372</f>
        <v>-0.32000000000000028</v>
      </c>
      <c r="AD371" s="3">
        <f ca="1">'ETF price'!AE373-'ETF price'!AE372</f>
        <v>-0.44000000000000128</v>
      </c>
      <c r="AE371" s="3">
        <f ca="1">'ETF price'!AF373-'ETF price'!AF372</f>
        <v>-0.11000000000000032</v>
      </c>
      <c r="AF371" s="3">
        <f ca="1">'ETF price'!AG373-'ETF price'!AG372</f>
        <v>-1.3200000000000003</v>
      </c>
    </row>
    <row r="372" spans="1:32" ht="12.75" x14ac:dyDescent="0.2">
      <c r="A372" s="3">
        <f ca="1">'ETF price'!B374-'ETF price'!B373</f>
        <v>3.3000000000000114</v>
      </c>
      <c r="B372" s="3">
        <f ca="1">'ETF price'!C374-'ETF price'!C373</f>
        <v>8.6000000000000227</v>
      </c>
      <c r="C372" s="3">
        <f ca="1">'ETF price'!D374-'ETF price'!D373</f>
        <v>1.5400000000000063</v>
      </c>
      <c r="D372" s="3">
        <f ca="1">'ETF price'!E374-'ETF price'!E373</f>
        <v>5.6599999999999966</v>
      </c>
      <c r="E372" s="3">
        <f ca="1">'ETF price'!F374-'ETF price'!F373</f>
        <v>0.85999999999999943</v>
      </c>
      <c r="F372" s="3">
        <f ca="1">'ETF price'!G374-'ETF price'!G373</f>
        <v>0.41999999999999815</v>
      </c>
      <c r="G372" s="3">
        <f ca="1">'ETF price'!H374-'ETF price'!H373</f>
        <v>0.38000000000000256</v>
      </c>
      <c r="H372" s="3">
        <f ca="1">'ETF price'!I374-'ETF price'!I373</f>
        <v>-0.30000000000001137</v>
      </c>
      <c r="I372" s="3">
        <f ca="1">'ETF price'!J374-'ETF price'!J373</f>
        <v>-0.4299999999999784</v>
      </c>
      <c r="J372" s="3">
        <f ca="1">'ETF price'!K374-'ETF price'!K373</f>
        <v>-1.539999999999992</v>
      </c>
      <c r="K372" s="3">
        <f ca="1">'ETF price'!L374-'ETF price'!L373</f>
        <v>-0.25</v>
      </c>
      <c r="L372" s="3">
        <f ca="1">'ETF price'!M374-'ETF price'!M373</f>
        <v>-1.009999999999998</v>
      </c>
      <c r="M372" s="3">
        <f ca="1">'ETF price'!N374-'ETF price'!N373</f>
        <v>-7.9999999999998295E-2</v>
      </c>
      <c r="N372" s="3">
        <f ca="1">'ETF price'!O374-'ETF price'!O373</f>
        <v>-0.32000000000000028</v>
      </c>
      <c r="O372" s="3">
        <f ca="1">'ETF price'!P374-'ETF price'!P373</f>
        <v>0.18000000000000682</v>
      </c>
      <c r="P372" s="3">
        <f ca="1">'ETF price'!Q374-'ETF price'!Q373</f>
        <v>0.40999999999999659</v>
      </c>
      <c r="Q372" s="3">
        <f ca="1">'ETF price'!R374-'ETF price'!R373</f>
        <v>1.1400000000000006</v>
      </c>
      <c r="R372" s="3">
        <f ca="1">'ETF price'!S374-'ETF price'!S373</f>
        <v>0.64999999999999858</v>
      </c>
      <c r="S372" s="3">
        <f ca="1">'ETF price'!T374-'ETF price'!T373</f>
        <v>-0.37000000000000099</v>
      </c>
      <c r="T372" s="3">
        <f ca="1">'ETF price'!U374-'ETF price'!U373</f>
        <v>-1.4299999999999997</v>
      </c>
      <c r="U372" s="3">
        <f ca="1">'ETF price'!V374-'ETF price'!V373</f>
        <v>0.79000000000000625</v>
      </c>
      <c r="V372" s="3">
        <f ca="1">'ETF price'!W374-'ETF price'!W373</f>
        <v>0.25999999999999801</v>
      </c>
      <c r="W372" s="3">
        <f ca="1">'ETF price'!X374-'ETF price'!X373</f>
        <v>0.73999999999999488</v>
      </c>
      <c r="X372" s="3">
        <f ca="1">'ETF price'!Y374-'ETF price'!Y373</f>
        <v>0.54000000000000625</v>
      </c>
      <c r="Y372" s="3">
        <f ca="1">'ETF price'!Z374-'ETF price'!Z373</f>
        <v>0.59000000000000341</v>
      </c>
      <c r="Z372" s="3">
        <f ca="1">'ETF price'!AA374-'ETF price'!AA373</f>
        <v>0.40000000000000568</v>
      </c>
      <c r="AA372" s="3">
        <f ca="1">'ETF price'!AB374-'ETF price'!AB373</f>
        <v>0.67999999999999972</v>
      </c>
      <c r="AB372" s="3">
        <f ca="1">'ETF price'!AC374-'ETF price'!AC373</f>
        <v>0.33999999999999631</v>
      </c>
      <c r="AC372" s="3">
        <f ca="1">'ETF price'!AD374-'ETF price'!AD373</f>
        <v>0.15000000000000036</v>
      </c>
      <c r="AD372" s="3">
        <f ca="1">'ETF price'!AE374-'ETF price'!AE373</f>
        <v>0.24000000000000199</v>
      </c>
      <c r="AE372" s="3">
        <f ca="1">'ETF price'!AF374-'ETF price'!AF373</f>
        <v>0.18000000000000016</v>
      </c>
      <c r="AF372" s="3">
        <f ca="1">'ETF price'!AG374-'ETF price'!AG373</f>
        <v>1.889999999999997</v>
      </c>
    </row>
    <row r="373" spans="1:32" ht="12.75" x14ac:dyDescent="0.2">
      <c r="A373" s="3">
        <f ca="1">'ETF price'!B375-'ETF price'!B374</f>
        <v>9.9999999999994316E-2</v>
      </c>
      <c r="B373" s="3">
        <f ca="1">'ETF price'!C375-'ETF price'!C374</f>
        <v>1.1200000000000045</v>
      </c>
      <c r="C373" s="3">
        <f ca="1">'ETF price'!D375-'ETF price'!D374</f>
        <v>-0.15000000000000568</v>
      </c>
      <c r="D373" s="3">
        <f ca="1">'ETF price'!E375-'ETF price'!E374</f>
        <v>-1.289999999999992</v>
      </c>
      <c r="E373" s="3">
        <f ca="1">'ETF price'!F375-'ETF price'!F374</f>
        <v>7.0000000000000284E-2</v>
      </c>
      <c r="F373" s="3">
        <f ca="1">'ETF price'!G375-'ETF price'!G374</f>
        <v>0.23000000000000043</v>
      </c>
      <c r="G373" s="3">
        <f ca="1">'ETF price'!H375-'ETF price'!H374</f>
        <v>4.9999999999997158E-2</v>
      </c>
      <c r="H373" s="3">
        <f ca="1">'ETF price'!I375-'ETF price'!I374</f>
        <v>-0.41999999999998749</v>
      </c>
      <c r="I373" s="3">
        <f ca="1">'ETF price'!J375-'ETF price'!J374</f>
        <v>-0.48000000000001819</v>
      </c>
      <c r="J373" s="3">
        <f ca="1">'ETF price'!K375-'ETF price'!K374</f>
        <v>0.71999999999999886</v>
      </c>
      <c r="K373" s="3">
        <f ca="1">'ETF price'!L375-'ETF price'!L374</f>
        <v>1.0600000000000023</v>
      </c>
      <c r="L373" s="3">
        <f ca="1">'ETF price'!M375-'ETF price'!M374</f>
        <v>0.25999999999999801</v>
      </c>
      <c r="M373" s="3">
        <f ca="1">'ETF price'!N375-'ETF price'!N374</f>
        <v>-7.9999999999998295E-2</v>
      </c>
      <c r="N373" s="3">
        <f ca="1">'ETF price'!O375-'ETF price'!O374</f>
        <v>0.84000000000000341</v>
      </c>
      <c r="O373" s="3">
        <f ca="1">'ETF price'!P375-'ETF price'!P374</f>
        <v>0.79999999999999716</v>
      </c>
      <c r="P373" s="3">
        <f ca="1">'ETF price'!Q375-'ETF price'!Q374</f>
        <v>1.0300000000000011</v>
      </c>
      <c r="Q373" s="3">
        <f ca="1">'ETF price'!R375-'ETF price'!R374</f>
        <v>-0.56000000000000227</v>
      </c>
      <c r="R373" s="3">
        <f ca="1">'ETF price'!S375-'ETF price'!S374</f>
        <v>-0.15999999999999659</v>
      </c>
      <c r="S373" s="3">
        <f ca="1">'ETF price'!T375-'ETF price'!T374</f>
        <v>-7.0000000000000284E-2</v>
      </c>
      <c r="T373" s="3">
        <f ca="1">'ETF price'!U375-'ETF price'!U374</f>
        <v>1.220000000000006</v>
      </c>
      <c r="U373" s="3">
        <f ca="1">'ETF price'!V375-'ETF price'!V374</f>
        <v>0.42999999999999261</v>
      </c>
      <c r="V373" s="3">
        <f ca="1">'ETF price'!W375-'ETF price'!W374</f>
        <v>-7.9999999999998295E-2</v>
      </c>
      <c r="W373" s="3">
        <f ca="1">'ETF price'!X375-'ETF price'!X374</f>
        <v>-8.99999999999892E-2</v>
      </c>
      <c r="X373" s="3">
        <f ca="1">'ETF price'!Y375-'ETF price'!Y374</f>
        <v>-0.13000000000000256</v>
      </c>
      <c r="Y373" s="3">
        <f ca="1">'ETF price'!Z375-'ETF price'!Z374</f>
        <v>-9.9999999999994316E-2</v>
      </c>
      <c r="Z373" s="3">
        <f ca="1">'ETF price'!AA375-'ETF price'!AA374</f>
        <v>9.9999999999994316E-2</v>
      </c>
      <c r="AA373" s="3">
        <f ca="1">'ETF price'!AB375-'ETF price'!AB374</f>
        <v>-0.21999999999999886</v>
      </c>
      <c r="AB373" s="3">
        <f ca="1">'ETF price'!AC375-'ETF price'!AC374</f>
        <v>0.44000000000000483</v>
      </c>
      <c r="AC373" s="3">
        <f ca="1">'ETF price'!AD375-'ETF price'!AD374</f>
        <v>-0.22000000000000064</v>
      </c>
      <c r="AD373" s="3">
        <f ca="1">'ETF price'!AE375-'ETF price'!AE374</f>
        <v>-0.32000000000000028</v>
      </c>
      <c r="AE373" s="3">
        <f ca="1">'ETF price'!AF375-'ETF price'!AF374</f>
        <v>4.9999999999999822E-2</v>
      </c>
      <c r="AF373" s="3">
        <f ca="1">'ETF price'!AG375-'ETF price'!AG374</f>
        <v>0.16000000000000014</v>
      </c>
    </row>
    <row r="374" spans="1:32" ht="12.75" x14ac:dyDescent="0.2">
      <c r="A374" s="3">
        <f ca="1">'ETF price'!B376-'ETF price'!B375</f>
        <v>0.29999999999998295</v>
      </c>
      <c r="B374" s="3">
        <f ca="1">'ETF price'!C376-'ETF price'!C375</f>
        <v>0.25999999999999091</v>
      </c>
      <c r="C374" s="3">
        <f ca="1">'ETF price'!D376-'ETF price'!D375</f>
        <v>-0.34000000000000341</v>
      </c>
      <c r="D374" s="3">
        <f ca="1">'ETF price'!E376-'ETF price'!E375</f>
        <v>3.9999999999992042E-2</v>
      </c>
      <c r="E374" s="3">
        <f ca="1">'ETF price'!F376-'ETF price'!F375</f>
        <v>0.28000000000000114</v>
      </c>
      <c r="F374" s="3">
        <f ca="1">'ETF price'!G376-'ETF price'!G375</f>
        <v>-0.10999999999999943</v>
      </c>
      <c r="G374" s="3">
        <f ca="1">'ETF price'!H376-'ETF price'!H375</f>
        <v>0.12000000000000099</v>
      </c>
      <c r="H374" s="3">
        <f ca="1">'ETF price'!I376-'ETF price'!I375</f>
        <v>0.84999999999999432</v>
      </c>
      <c r="I374" s="3">
        <f ca="1">'ETF price'!J376-'ETF price'!J375</f>
        <v>0.61000000000001364</v>
      </c>
      <c r="J374" s="3">
        <f ca="1">'ETF price'!K376-'ETF price'!K375</f>
        <v>-0.29999999999999716</v>
      </c>
      <c r="K374" s="3">
        <f ca="1">'ETF price'!L376-'ETF price'!L375</f>
        <v>-1.3599999999999994</v>
      </c>
      <c r="L374" s="3">
        <f ca="1">'ETF price'!M376-'ETF price'!M375</f>
        <v>0.14000000000000057</v>
      </c>
      <c r="M374" s="3">
        <f ca="1">'ETF price'!N376-'ETF price'!N375</f>
        <v>0.31000000000000227</v>
      </c>
      <c r="N374" s="3">
        <f ca="1">'ETF price'!O376-'ETF price'!O375</f>
        <v>-0.52000000000000313</v>
      </c>
      <c r="O374" s="3">
        <f ca="1">'ETF price'!P376-'ETF price'!P375</f>
        <v>0.92000000000000171</v>
      </c>
      <c r="P374" s="3">
        <f ca="1">'ETF price'!Q376-'ETF price'!Q375</f>
        <v>0.48999999999999488</v>
      </c>
      <c r="Q374" s="3">
        <f ca="1">'ETF price'!R376-'ETF price'!R375</f>
        <v>1.019999999999996</v>
      </c>
      <c r="R374" s="3">
        <f ca="1">'ETF price'!S376-'ETF price'!S375</f>
        <v>1.0799999999999983</v>
      </c>
      <c r="S374" s="3">
        <f ca="1">'ETF price'!T376-'ETF price'!T375</f>
        <v>1.0000000000001563E-2</v>
      </c>
      <c r="T374" s="3">
        <f ca="1">'ETF price'!U376-'ETF price'!U375</f>
        <v>0.43999999999999773</v>
      </c>
      <c r="U374" s="3">
        <f ca="1">'ETF price'!V376-'ETF price'!V375</f>
        <v>-0.70999999999999375</v>
      </c>
      <c r="V374" s="3">
        <f ca="1">'ETF price'!W376-'ETF price'!W375</f>
        <v>0.57000000000000028</v>
      </c>
      <c r="W374" s="3">
        <f ca="1">'ETF price'!X376-'ETF price'!X375</f>
        <v>0.85999999999999943</v>
      </c>
      <c r="X374" s="3">
        <f ca="1">'ETF price'!Y376-'ETF price'!Y375</f>
        <v>0.63000000000000256</v>
      </c>
      <c r="Y374" s="3">
        <f ca="1">'ETF price'!Z376-'ETF price'!Z375</f>
        <v>1.1299999999999955</v>
      </c>
      <c r="Z374" s="3">
        <f ca="1">'ETF price'!AA376-'ETF price'!AA375</f>
        <v>0.34000000000000341</v>
      </c>
      <c r="AA374" s="3">
        <f ca="1">'ETF price'!AB376-'ETF price'!AB375</f>
        <v>0.75999999999999801</v>
      </c>
      <c r="AB374" s="3">
        <f ca="1">'ETF price'!AC376-'ETF price'!AC375</f>
        <v>-0.21000000000000085</v>
      </c>
      <c r="AC374" s="3">
        <f ca="1">'ETF price'!AD376-'ETF price'!AD375</f>
        <v>0.17999999999999972</v>
      </c>
      <c r="AD374" s="3">
        <f ca="1">'ETF price'!AE376-'ETF price'!AE375</f>
        <v>0.30000000000000071</v>
      </c>
      <c r="AE374" s="3">
        <f ca="1">'ETF price'!AF376-'ETF price'!AF375</f>
        <v>8.0000000000000071E-2</v>
      </c>
      <c r="AF374" s="3">
        <f ca="1">'ETF price'!AG376-'ETF price'!AG375</f>
        <v>0.56000000000000227</v>
      </c>
    </row>
    <row r="375" spans="1:32" ht="12.75" x14ac:dyDescent="0.2">
      <c r="A375" s="3">
        <f ca="1">'ETF price'!B377-'ETF price'!B376</f>
        <v>2.7200000000000273</v>
      </c>
      <c r="B375" s="3">
        <f ca="1">'ETF price'!C377-'ETF price'!C376</f>
        <v>6.8600000000000136</v>
      </c>
      <c r="C375" s="3">
        <f ca="1">'ETF price'!D377-'ETF price'!D376</f>
        <v>-0.56999999999999318</v>
      </c>
      <c r="D375" s="3">
        <f ca="1">'ETF price'!E377-'ETF price'!E376</f>
        <v>2.5800000000000125</v>
      </c>
      <c r="E375" s="3">
        <f ca="1">'ETF price'!F377-'ETF price'!F376</f>
        <v>0.43999999999999773</v>
      </c>
      <c r="F375" s="3">
        <f ca="1">'ETF price'!G377-'ETF price'!G376</f>
        <v>0.43999999999999773</v>
      </c>
      <c r="G375" s="3">
        <f ca="1">'ETF price'!H377-'ETF price'!H376</f>
        <v>0.21000000000000085</v>
      </c>
      <c r="H375" s="3">
        <f ca="1">'ETF price'!I377-'ETF price'!I376</f>
        <v>1.3499999999999943</v>
      </c>
      <c r="I375" s="3">
        <f ca="1">'ETF price'!J377-'ETF price'!J376</f>
        <v>2.1699999999999875</v>
      </c>
      <c r="J375" s="3">
        <f ca="1">'ETF price'!K377-'ETF price'!K376</f>
        <v>1.0099999999999909</v>
      </c>
      <c r="K375" s="3">
        <f ca="1">'ETF price'!L377-'ETF price'!L376</f>
        <v>0.57999999999999829</v>
      </c>
      <c r="L375" s="3">
        <f ca="1">'ETF price'!M377-'ETF price'!M376</f>
        <v>1.0300000000000011</v>
      </c>
      <c r="M375" s="3">
        <f ca="1">'ETF price'!N377-'ETF price'!N376</f>
        <v>0.55999999999999517</v>
      </c>
      <c r="N375" s="3">
        <f ca="1">'ETF price'!O377-'ETF price'!O376</f>
        <v>0.11999999999999744</v>
      </c>
      <c r="O375" s="3">
        <f ca="1">'ETF price'!P377-'ETF price'!P376</f>
        <v>0.51999999999999602</v>
      </c>
      <c r="P375" s="3">
        <f ca="1">'ETF price'!Q377-'ETF price'!Q376</f>
        <v>0.76000000000000512</v>
      </c>
      <c r="Q375" s="3">
        <f ca="1">'ETF price'!R377-'ETF price'!R376</f>
        <v>0.77000000000001023</v>
      </c>
      <c r="R375" s="3">
        <f ca="1">'ETF price'!S377-'ETF price'!S376</f>
        <v>0.21000000000000085</v>
      </c>
      <c r="S375" s="3">
        <f ca="1">'ETF price'!T377-'ETF price'!T376</f>
        <v>0.18999999999999773</v>
      </c>
      <c r="T375" s="3">
        <f ca="1">'ETF price'!U377-'ETF price'!U376</f>
        <v>0.58999999999999631</v>
      </c>
      <c r="U375" s="3">
        <f ca="1">'ETF price'!V377-'ETF price'!V376</f>
        <v>2.5</v>
      </c>
      <c r="V375" s="3">
        <f ca="1">'ETF price'!W377-'ETF price'!W376</f>
        <v>0.28999999999999915</v>
      </c>
      <c r="W375" s="3">
        <f ca="1">'ETF price'!X377-'ETF price'!X376</f>
        <v>0.5899999999999892</v>
      </c>
      <c r="X375" s="3">
        <f ca="1">'ETF price'!Y377-'ETF price'!Y376</f>
        <v>-0.20000000000000284</v>
      </c>
      <c r="Y375" s="3">
        <f ca="1">'ETF price'!Z377-'ETF price'!Z376</f>
        <v>0.5</v>
      </c>
      <c r="Z375" s="3">
        <f ca="1">'ETF price'!AA377-'ETF price'!AA376</f>
        <v>0.18999999999999773</v>
      </c>
      <c r="AA375" s="3">
        <f ca="1">'ETF price'!AB377-'ETF price'!AB376</f>
        <v>-0.46999999999999886</v>
      </c>
      <c r="AB375" s="3">
        <f ca="1">'ETF price'!AC377-'ETF price'!AC376</f>
        <v>-0.68999999999999773</v>
      </c>
      <c r="AC375" s="3">
        <f ca="1">'ETF price'!AD377-'ETF price'!AD376</f>
        <v>-0.12999999999999901</v>
      </c>
      <c r="AD375" s="3">
        <f ca="1">'ETF price'!AE377-'ETF price'!AE376</f>
        <v>-0.21000000000000085</v>
      </c>
      <c r="AE375" s="3">
        <f ca="1">'ETF price'!AF377-'ETF price'!AF376</f>
        <v>3.0000000000000249E-2</v>
      </c>
      <c r="AF375" s="3">
        <f ca="1">'ETF price'!AG377-'ETF price'!AG376</f>
        <v>0.37999999999999901</v>
      </c>
    </row>
    <row r="376" spans="1:32" ht="12.75" x14ac:dyDescent="0.2">
      <c r="A376" s="3">
        <f ca="1">'ETF price'!B378-'ETF price'!B377</f>
        <v>-0.37000000000000455</v>
      </c>
      <c r="B376" s="3">
        <f ca="1">'ETF price'!C378-'ETF price'!C377</f>
        <v>-0.75</v>
      </c>
      <c r="C376" s="3">
        <f ca="1">'ETF price'!D378-'ETF price'!D377</f>
        <v>-0.43000000000000682</v>
      </c>
      <c r="D376" s="3">
        <f ca="1">'ETF price'!E378-'ETF price'!E377</f>
        <v>1.5</v>
      </c>
      <c r="E376" s="3">
        <f ca="1">'ETF price'!F378-'ETF price'!F377</f>
        <v>-5.9999999999995168E-2</v>
      </c>
      <c r="F376" s="3">
        <f ca="1">'ETF price'!G378-'ETF price'!G377</f>
        <v>0.13000000000000256</v>
      </c>
      <c r="G376" s="3">
        <f ca="1">'ETF price'!H378-'ETF price'!H377</f>
        <v>-1.0000000000001563E-2</v>
      </c>
      <c r="H376" s="3">
        <f ca="1">'ETF price'!I378-'ETF price'!I377</f>
        <v>-1.0900000000000034</v>
      </c>
      <c r="I376" s="3">
        <f ca="1">'ETF price'!J378-'ETF price'!J377</f>
        <v>-1.8899999999999864</v>
      </c>
      <c r="J376" s="3">
        <f ca="1">'ETF price'!K378-'ETF price'!K377</f>
        <v>-0.14999999999999147</v>
      </c>
      <c r="K376" s="3">
        <f ca="1">'ETF price'!L378-'ETF price'!L377</f>
        <v>-0.26000000000000512</v>
      </c>
      <c r="L376" s="3">
        <f ca="1">'ETF price'!M378-'ETF price'!M377</f>
        <v>-0.28999999999999915</v>
      </c>
      <c r="M376" s="3">
        <f ca="1">'ETF price'!N378-'ETF price'!N377</f>
        <v>-0.43999999999999773</v>
      </c>
      <c r="N376" s="3">
        <f ca="1">'ETF price'!O378-'ETF price'!O377</f>
        <v>-7.9999999999998295E-2</v>
      </c>
      <c r="O376" s="3">
        <f ca="1">'ETF price'!P378-'ETF price'!P377</f>
        <v>0.18999999999999773</v>
      </c>
      <c r="P376" s="3">
        <f ca="1">'ETF price'!Q378-'ETF price'!Q377</f>
        <v>0.35999999999999943</v>
      </c>
      <c r="Q376" s="3">
        <f ca="1">'ETF price'!R378-'ETF price'!R377</f>
        <v>0.31000000000000227</v>
      </c>
      <c r="R376" s="3">
        <f ca="1">'ETF price'!S378-'ETF price'!S377</f>
        <v>0.52000000000000313</v>
      </c>
      <c r="S376" s="3">
        <f ca="1">'ETF price'!T378-'ETF price'!T377</f>
        <v>0</v>
      </c>
      <c r="T376" s="3">
        <f ca="1">'ETF price'!U378-'ETF price'!U377</f>
        <v>-0.15999999999999659</v>
      </c>
      <c r="U376" s="3">
        <f ca="1">'ETF price'!V378-'ETF price'!V377</f>
        <v>0</v>
      </c>
      <c r="V376" s="3">
        <f ca="1">'ETF price'!W378-'ETF price'!W377</f>
        <v>0.18999999999999773</v>
      </c>
      <c r="W376" s="3">
        <f ca="1">'ETF price'!X378-'ETF price'!X377</f>
        <v>0.63000000000000966</v>
      </c>
      <c r="X376" s="3">
        <f ca="1">'ETF price'!Y378-'ETF price'!Y377</f>
        <v>0.68999999999999773</v>
      </c>
      <c r="Y376" s="3">
        <f ca="1">'ETF price'!Z378-'ETF price'!Z377</f>
        <v>0.53000000000000114</v>
      </c>
      <c r="Z376" s="3">
        <f ca="1">'ETF price'!AA378-'ETF price'!AA377</f>
        <v>0.30000000000000426</v>
      </c>
      <c r="AA376" s="3">
        <f ca="1">'ETF price'!AB378-'ETF price'!AB377</f>
        <v>0.94000000000000483</v>
      </c>
      <c r="AB376" s="3">
        <f ca="1">'ETF price'!AC378-'ETF price'!AC377</f>
        <v>0.19999999999999574</v>
      </c>
      <c r="AC376" s="3">
        <f ca="1">'ETF price'!AD378-'ETF price'!AD377</f>
        <v>0.27999999999999936</v>
      </c>
      <c r="AD376" s="3">
        <f ca="1">'ETF price'!AE378-'ETF price'!AE377</f>
        <v>-0.25</v>
      </c>
      <c r="AE376" s="3">
        <f ca="1">'ETF price'!AF378-'ETF price'!AF377</f>
        <v>0.21999999999999975</v>
      </c>
      <c r="AF376" s="3">
        <f ca="1">'ETF price'!AG378-'ETF price'!AG377</f>
        <v>2.8499999999999979</v>
      </c>
    </row>
    <row r="377" spans="1:32" ht="12.75" x14ac:dyDescent="0.2">
      <c r="A377" s="3">
        <f ca="1">'ETF price'!B379-'ETF price'!B378</f>
        <v>-1.0700000000000216</v>
      </c>
      <c r="B377" s="3">
        <f ca="1">'ETF price'!C379-'ETF price'!C378</f>
        <v>-2.7400000000000091</v>
      </c>
      <c r="C377" s="3">
        <f ca="1">'ETF price'!D379-'ETF price'!D378</f>
        <v>0.21999999999999886</v>
      </c>
      <c r="D377" s="3">
        <f ca="1">'ETF price'!E379-'ETF price'!E378</f>
        <v>-3.7700000000000102</v>
      </c>
      <c r="E377" s="3">
        <f ca="1">'ETF price'!F379-'ETF price'!F378</f>
        <v>-0.25</v>
      </c>
      <c r="F377" s="3">
        <f ca="1">'ETF price'!G379-'ETF price'!G378</f>
        <v>-0.33999999999999986</v>
      </c>
      <c r="G377" s="3">
        <f ca="1">'ETF price'!H379-'ETF price'!H378</f>
        <v>-0.16000000000000014</v>
      </c>
      <c r="H377" s="3">
        <f ca="1">'ETF price'!I379-'ETF price'!I378</f>
        <v>-6.9999999999993179E-2</v>
      </c>
      <c r="I377" s="3">
        <f ca="1">'ETF price'!J379-'ETF price'!J378</f>
        <v>-0.21999999999999886</v>
      </c>
      <c r="J377" s="3">
        <f ca="1">'ETF price'!K379-'ETF price'!K378</f>
        <v>0.21999999999999886</v>
      </c>
      <c r="K377" s="3">
        <f ca="1">'ETF price'!L379-'ETF price'!L378</f>
        <v>7.000000000000739E-2</v>
      </c>
      <c r="L377" s="3">
        <f ca="1">'ETF price'!M379-'ETF price'!M378</f>
        <v>-0.39000000000000057</v>
      </c>
      <c r="M377" s="3">
        <f ca="1">'ETF price'!N379-'ETF price'!N378</f>
        <v>-6.0000000000002274E-2</v>
      </c>
      <c r="N377" s="3">
        <f ca="1">'ETF price'!O379-'ETF price'!O378</f>
        <v>-0.35999999999999943</v>
      </c>
      <c r="O377" s="3">
        <f ca="1">'ETF price'!P379-'ETF price'!P378</f>
        <v>-0.45000000000000284</v>
      </c>
      <c r="P377" s="3">
        <f ca="1">'ETF price'!Q379-'ETF price'!Q378</f>
        <v>-0.56999999999999318</v>
      </c>
      <c r="Q377" s="3">
        <f ca="1">'ETF price'!R379-'ETF price'!R378</f>
        <v>-2.0500000000000114</v>
      </c>
      <c r="R377" s="3">
        <f ca="1">'ETF price'!S379-'ETF price'!S378</f>
        <v>-0.91000000000000369</v>
      </c>
      <c r="S377" s="3">
        <f ca="1">'ETF price'!T379-'ETF price'!T378</f>
        <v>0.14000000000000057</v>
      </c>
      <c r="T377" s="3">
        <f ca="1">'ETF price'!U379-'ETF price'!U378</f>
        <v>1.2399999999999949</v>
      </c>
      <c r="U377" s="3">
        <f ca="1">'ETF price'!V379-'ETF price'!V378</f>
        <v>-1.6299999999999955</v>
      </c>
      <c r="V377" s="3">
        <f ca="1">'ETF price'!W379-'ETF price'!W378</f>
        <v>-7.0000000000000284E-2</v>
      </c>
      <c r="W377" s="3">
        <f ca="1">'ETF price'!X379-'ETF price'!X378</f>
        <v>-0.32999999999999829</v>
      </c>
      <c r="X377" s="3">
        <f ca="1">'ETF price'!Y379-'ETF price'!Y378</f>
        <v>-0.44999999999999574</v>
      </c>
      <c r="Y377" s="3">
        <f ca="1">'ETF price'!Z379-'ETF price'!Z378</f>
        <v>-0.46999999999999886</v>
      </c>
      <c r="Z377" s="3">
        <f ca="1">'ETF price'!AA379-'ETF price'!AA378</f>
        <v>0.18999999999999773</v>
      </c>
      <c r="AA377" s="3">
        <f ca="1">'ETF price'!AB379-'ETF price'!AB378</f>
        <v>-0.55000000000000426</v>
      </c>
      <c r="AB377" s="3">
        <f ca="1">'ETF price'!AC379-'ETF price'!AC378</f>
        <v>0.31000000000000227</v>
      </c>
      <c r="AC377" s="3">
        <f ca="1">'ETF price'!AD379-'ETF price'!AD378</f>
        <v>-0.26999999999999957</v>
      </c>
      <c r="AD377" s="3">
        <f ca="1">'ETF price'!AE379-'ETF price'!AE378</f>
        <v>-0.40000000000000213</v>
      </c>
      <c r="AE377" s="3">
        <f ca="1">'ETF price'!AF379-'ETF price'!AF378</f>
        <v>5.0000000000000266E-2</v>
      </c>
      <c r="AF377" s="3">
        <f ca="1">'ETF price'!AG379-'ETF price'!AG378</f>
        <v>0.38000000000000256</v>
      </c>
    </row>
    <row r="378" spans="1:32" ht="12.75" x14ac:dyDescent="0.2">
      <c r="A378" s="3">
        <f ca="1">'ETF price'!B380-'ETF price'!B379</f>
        <v>-0.45999999999997954</v>
      </c>
      <c r="B378" s="3">
        <f ca="1">'ETF price'!C380-'ETF price'!C379</f>
        <v>-1.6999999999999886</v>
      </c>
      <c r="C378" s="3">
        <f ca="1">'ETF price'!D380-'ETF price'!D379</f>
        <v>0.43000000000000682</v>
      </c>
      <c r="D378" s="3">
        <f ca="1">'ETF price'!E380-'ETF price'!E379</f>
        <v>-2.0999999999999943</v>
      </c>
      <c r="E378" s="3">
        <f ca="1">'ETF price'!F380-'ETF price'!F379</f>
        <v>-0.5800000000000054</v>
      </c>
      <c r="F378" s="3">
        <f ca="1">'ETF price'!G380-'ETF price'!G379</f>
        <v>-0.58000000000000185</v>
      </c>
      <c r="G378" s="3">
        <f ca="1">'ETF price'!H380-'ETF price'!H379</f>
        <v>-0.33999999999999986</v>
      </c>
      <c r="H378" s="3">
        <f ca="1">'ETF price'!I380-'ETF price'!I379</f>
        <v>-1.0499999999999829</v>
      </c>
      <c r="I378" s="3">
        <f ca="1">'ETF price'!J380-'ETF price'!J379</f>
        <v>-2.1700000000000159</v>
      </c>
      <c r="J378" s="3">
        <f ca="1">'ETF price'!K380-'ETF price'!K379</f>
        <v>-1.5799999999999983</v>
      </c>
      <c r="K378" s="3">
        <f ca="1">'ETF price'!L380-'ETF price'!L379</f>
        <v>-1.2900000000000063</v>
      </c>
      <c r="L378" s="3">
        <f ca="1">'ETF price'!M380-'ETF price'!M379</f>
        <v>-0.56000000000000227</v>
      </c>
      <c r="M378" s="3">
        <f ca="1">'ETF price'!N380-'ETF price'!N379</f>
        <v>-0.55999999999999517</v>
      </c>
      <c r="N378" s="3">
        <f ca="1">'ETF price'!O380-'ETF price'!O379</f>
        <v>-0.88000000000000256</v>
      </c>
      <c r="O378" s="3">
        <f ca="1">'ETF price'!P380-'ETF price'!P379</f>
        <v>-1.8199999999999932</v>
      </c>
      <c r="P378" s="3">
        <f ca="1">'ETF price'!Q380-'ETF price'!Q379</f>
        <v>-2.6000000000000085</v>
      </c>
      <c r="Q378" s="3">
        <f ca="1">'ETF price'!R380-'ETF price'!R379</f>
        <v>-0.5899999999999892</v>
      </c>
      <c r="R378" s="3">
        <f ca="1">'ETF price'!S380-'ETF price'!S379</f>
        <v>-0.88000000000000256</v>
      </c>
      <c r="S378" s="3">
        <f ca="1">'ETF price'!T380-'ETF price'!T379</f>
        <v>-5.0000000000000711E-2</v>
      </c>
      <c r="T378" s="3">
        <f ca="1">'ETF price'!U380-'ETF price'!U379</f>
        <v>-0.18999999999999773</v>
      </c>
      <c r="U378" s="3">
        <f ca="1">'ETF price'!V380-'ETF price'!V379</f>
        <v>-2.4300000000000068</v>
      </c>
      <c r="V378" s="3">
        <f ca="1">'ETF price'!W380-'ETF price'!W379</f>
        <v>-0.28999999999999915</v>
      </c>
      <c r="W378" s="3">
        <f ca="1">'ETF price'!X380-'ETF price'!X379</f>
        <v>-0.85999999999999943</v>
      </c>
      <c r="X378" s="3">
        <f ca="1">'ETF price'!Y380-'ETF price'!Y379</f>
        <v>-0.5800000000000054</v>
      </c>
      <c r="Y378" s="3">
        <f ca="1">'ETF price'!Z380-'ETF price'!Z379</f>
        <v>-0.68000000000000682</v>
      </c>
      <c r="Z378" s="3">
        <f ca="1">'ETF price'!AA380-'ETF price'!AA379</f>
        <v>-0.21000000000000085</v>
      </c>
      <c r="AA378" s="3">
        <f ca="1">'ETF price'!AB380-'ETF price'!AB379</f>
        <v>-0.62999999999999545</v>
      </c>
      <c r="AB378" s="3">
        <f ca="1">'ETF price'!AC380-'ETF price'!AC379</f>
        <v>0.75999999999999801</v>
      </c>
      <c r="AC378" s="3">
        <f ca="1">'ETF price'!AD380-'ETF price'!AD379</f>
        <v>-7.0000000000000284E-2</v>
      </c>
      <c r="AD378" s="3">
        <f ca="1">'ETF price'!AE380-'ETF price'!AE379</f>
        <v>-8.9999999999999858E-2</v>
      </c>
      <c r="AE378" s="3">
        <f ca="1">'ETF price'!AF380-'ETF price'!AF379</f>
        <v>9.9999999999997868E-3</v>
      </c>
      <c r="AF378" s="3">
        <f ca="1">'ETF price'!AG380-'ETF price'!AG379</f>
        <v>-0.71000000000000085</v>
      </c>
    </row>
    <row r="379" spans="1:32" ht="12.75" x14ac:dyDescent="0.2">
      <c r="A379" s="3">
        <f ca="1">'ETF price'!B381-'ETF price'!B380</f>
        <v>-0.75</v>
      </c>
      <c r="B379" s="3">
        <f ca="1">'ETF price'!C381-'ETF price'!C380</f>
        <v>-1.4900000000000091</v>
      </c>
      <c r="C379" s="3">
        <f ca="1">'ETF price'!D381-'ETF price'!D380</f>
        <v>1.3900000000000006</v>
      </c>
      <c r="D379" s="3">
        <f ca="1">'ETF price'!E381-'ETF price'!E380</f>
        <v>6.9999999999993179E-2</v>
      </c>
      <c r="E379" s="3">
        <f ca="1">'ETF price'!F381-'ETF price'!F380</f>
        <v>-5.9999999999995168E-2</v>
      </c>
      <c r="F379" s="3">
        <f ca="1">'ETF price'!G381-'ETF price'!G380</f>
        <v>0.26000000000000156</v>
      </c>
      <c r="G379" s="3">
        <f ca="1">'ETF price'!H381-'ETF price'!H380</f>
        <v>8.9999999999999858E-2</v>
      </c>
      <c r="H379" s="3">
        <f ca="1">'ETF price'!I381-'ETF price'!I380</f>
        <v>-1.5200000000000102</v>
      </c>
      <c r="I379" s="3">
        <f ca="1">'ETF price'!J381-'ETF price'!J380</f>
        <v>-2.3100000000000023</v>
      </c>
      <c r="J379" s="3">
        <f ca="1">'ETF price'!K381-'ETF price'!K380</f>
        <v>-1.0700000000000074</v>
      </c>
      <c r="K379" s="3">
        <f ca="1">'ETF price'!L381-'ETF price'!L380</f>
        <v>6.0000000000002274E-2</v>
      </c>
      <c r="L379" s="3">
        <f ca="1">'ETF price'!M381-'ETF price'!M380</f>
        <v>-0.35999999999999943</v>
      </c>
      <c r="M379" s="3">
        <f ca="1">'ETF price'!N381-'ETF price'!N380</f>
        <v>-0.62000000000000455</v>
      </c>
      <c r="N379" s="3">
        <f ca="1">'ETF price'!O381-'ETF price'!O380</f>
        <v>0.12000000000000455</v>
      </c>
      <c r="O379" s="3">
        <f ca="1">'ETF price'!P381-'ETF price'!P380</f>
        <v>1.7000000000000028</v>
      </c>
      <c r="P379" s="3">
        <f ca="1">'ETF price'!Q381-'ETF price'!Q380</f>
        <v>2.519999999999996</v>
      </c>
      <c r="Q379" s="3">
        <f ca="1">'ETF price'!R381-'ETF price'!R380</f>
        <v>0.69999999999998863</v>
      </c>
      <c r="R379" s="3">
        <f ca="1">'ETF price'!S381-'ETF price'!S380</f>
        <v>0.98000000000000398</v>
      </c>
      <c r="S379" s="3">
        <f ca="1">'ETF price'!T381-'ETF price'!T380</f>
        <v>0.19000000000000128</v>
      </c>
      <c r="T379" s="3">
        <f ca="1">'ETF price'!U381-'ETF price'!U380</f>
        <v>1.4099999999999966</v>
      </c>
      <c r="U379" s="3">
        <f ca="1">'ETF price'!V381-'ETF price'!V380</f>
        <v>0.68999999999999773</v>
      </c>
      <c r="V379" s="3">
        <f ca="1">'ETF price'!W381-'ETF price'!W380</f>
        <v>5.0000000000004263E-2</v>
      </c>
      <c r="W379" s="3">
        <f ca="1">'ETF price'!X381-'ETF price'!X380</f>
        <v>0.29999999999999716</v>
      </c>
      <c r="X379" s="3">
        <f ca="1">'ETF price'!Y381-'ETF price'!Y380</f>
        <v>0.69000000000000483</v>
      </c>
      <c r="Y379" s="3">
        <f ca="1">'ETF price'!Z381-'ETF price'!Z380</f>
        <v>0.43000000000000682</v>
      </c>
      <c r="Z379" s="3">
        <f ca="1">'ETF price'!AA381-'ETF price'!AA380</f>
        <v>-0.17999999999999972</v>
      </c>
      <c r="AA379" s="3">
        <f ca="1">'ETF price'!AB381-'ETF price'!AB380</f>
        <v>0.87999999999999545</v>
      </c>
      <c r="AB379" s="3">
        <f ca="1">'ETF price'!AC381-'ETF price'!AC380</f>
        <v>0.52000000000000313</v>
      </c>
      <c r="AC379" s="3">
        <f ca="1">'ETF price'!AD381-'ETF price'!AD380</f>
        <v>-5.0000000000000711E-2</v>
      </c>
      <c r="AD379" s="3">
        <f ca="1">'ETF price'!AE381-'ETF price'!AE380</f>
        <v>-4.9999999999997158E-2</v>
      </c>
      <c r="AE379" s="3">
        <f ca="1">'ETF price'!AF381-'ETF price'!AF380</f>
        <v>-4.0000000000000036E-2</v>
      </c>
      <c r="AF379" s="3">
        <f ca="1">'ETF price'!AG381-'ETF price'!AG380</f>
        <v>1.7899999999999991</v>
      </c>
    </row>
    <row r="380" spans="1:32" ht="12.75" x14ac:dyDescent="0.2">
      <c r="A380" s="3">
        <f ca="1">'ETF price'!B382-'ETF price'!B381</f>
        <v>0.44999999999998863</v>
      </c>
      <c r="B380" s="3">
        <f ca="1">'ETF price'!C382-'ETF price'!C381</f>
        <v>1.75</v>
      </c>
      <c r="C380" s="3">
        <f ca="1">'ETF price'!D382-'ETF price'!D381</f>
        <v>1.9699999999999989</v>
      </c>
      <c r="D380" s="3">
        <f ca="1">'ETF price'!E382-'ETF price'!E381</f>
        <v>3.4300000000000068</v>
      </c>
      <c r="E380" s="3">
        <f ca="1">'ETF price'!F382-'ETF price'!F381</f>
        <v>0.80999999999999517</v>
      </c>
      <c r="F380" s="3">
        <f ca="1">'ETF price'!G382-'ETF price'!G381</f>
        <v>0.35999999999999943</v>
      </c>
      <c r="G380" s="3">
        <f ca="1">'ETF price'!H382-'ETF price'!H381</f>
        <v>0.39000000000000057</v>
      </c>
      <c r="H380" s="3">
        <f ca="1">'ETF price'!I382-'ETF price'!I381</f>
        <v>1.0200000000000102</v>
      </c>
      <c r="I380" s="3">
        <f ca="1">'ETF price'!J382-'ETF price'!J381</f>
        <v>2.4000000000000057</v>
      </c>
      <c r="J380" s="3">
        <f ca="1">'ETF price'!K382-'ETF price'!K381</f>
        <v>2.2700000000000102</v>
      </c>
      <c r="K380" s="3">
        <f ca="1">'ETF price'!L382-'ETF price'!L381</f>
        <v>2.4500000000000028</v>
      </c>
      <c r="L380" s="3">
        <f ca="1">'ETF price'!M382-'ETF price'!M381</f>
        <v>1.230000000000004</v>
      </c>
      <c r="M380" s="3">
        <f ca="1">'ETF price'!N382-'ETF price'!N381</f>
        <v>0.60999999999999943</v>
      </c>
      <c r="N380" s="3">
        <f ca="1">'ETF price'!O382-'ETF price'!O381</f>
        <v>1.519999999999996</v>
      </c>
      <c r="O380" s="3">
        <f ca="1">'ETF price'!P382-'ETF price'!P381</f>
        <v>0.62999999999999545</v>
      </c>
      <c r="P380" s="3">
        <f ca="1">'ETF price'!Q382-'ETF price'!Q381</f>
        <v>0.80000000000001137</v>
      </c>
      <c r="Q380" s="3">
        <f ca="1">'ETF price'!R382-'ETF price'!R381</f>
        <v>-1.9999999999996021E-2</v>
      </c>
      <c r="R380" s="3">
        <f ca="1">'ETF price'!S382-'ETF price'!S381</f>
        <v>0.58999999999999631</v>
      </c>
      <c r="S380" s="3">
        <f ca="1">'ETF price'!T382-'ETF price'!T381</f>
        <v>5.0000000000000711E-2</v>
      </c>
      <c r="T380" s="3">
        <f ca="1">'ETF price'!U382-'ETF price'!U381</f>
        <v>-0.30999999999998806</v>
      </c>
      <c r="U380" s="3">
        <f ca="1">'ETF price'!V382-'ETF price'!V381</f>
        <v>1.3200000000000074</v>
      </c>
      <c r="V380" s="3">
        <f ca="1">'ETF price'!W382-'ETF price'!W381</f>
        <v>0.14999999999999858</v>
      </c>
      <c r="W380" s="3">
        <f ca="1">'ETF price'!X382-'ETF price'!X381</f>
        <v>0.43999999999999773</v>
      </c>
      <c r="X380" s="3">
        <f ca="1">'ETF price'!Y382-'ETF price'!Y381</f>
        <v>0.28000000000000114</v>
      </c>
      <c r="Y380" s="3">
        <f ca="1">'ETF price'!Z382-'ETF price'!Z381</f>
        <v>0.23000000000000398</v>
      </c>
      <c r="Z380" s="3">
        <f ca="1">'ETF price'!AA382-'ETF price'!AA381</f>
        <v>0.13000000000000256</v>
      </c>
      <c r="AA380" s="3">
        <f ca="1">'ETF price'!AB382-'ETF price'!AB381</f>
        <v>0.32999999999999829</v>
      </c>
      <c r="AB380" s="3">
        <f ca="1">'ETF price'!AC382-'ETF price'!AC381</f>
        <v>0.64999999999999858</v>
      </c>
      <c r="AC380" s="3">
        <f ca="1">'ETF price'!AD382-'ETF price'!AD381</f>
        <v>0.26000000000000156</v>
      </c>
      <c r="AD380" s="3">
        <f ca="1">'ETF price'!AE382-'ETF price'!AE381</f>
        <v>0.36999999999999744</v>
      </c>
      <c r="AE380" s="3">
        <f ca="1">'ETF price'!AF382-'ETF price'!AF381</f>
        <v>0.10999999999999988</v>
      </c>
      <c r="AF380" s="3">
        <f ca="1">'ETF price'!AG382-'ETF price'!AG381</f>
        <v>1.8299999999999983</v>
      </c>
    </row>
    <row r="381" spans="1:32" ht="12.75" x14ac:dyDescent="0.2">
      <c r="A381" s="3">
        <f ca="1">'ETF price'!B383-'ETF price'!B382</f>
        <v>0.37000000000000455</v>
      </c>
      <c r="B381" s="3">
        <f ca="1">'ETF price'!C383-'ETF price'!C382</f>
        <v>1.6499999999999773</v>
      </c>
      <c r="C381" s="3">
        <f ca="1">'ETF price'!D383-'ETF price'!D382</f>
        <v>-0.20000000000000284</v>
      </c>
      <c r="D381" s="3">
        <f ca="1">'ETF price'!E383-'ETF price'!E382</f>
        <v>0</v>
      </c>
      <c r="E381" s="3">
        <f ca="1">'ETF price'!F383-'ETF price'!F382</f>
        <v>0.28999999999999915</v>
      </c>
      <c r="F381" s="3">
        <f ca="1">'ETF price'!G383-'ETF price'!G382</f>
        <v>0.32000000000000028</v>
      </c>
      <c r="G381" s="3">
        <f ca="1">'ETF price'!H383-'ETF price'!H382</f>
        <v>0.28000000000000114</v>
      </c>
      <c r="H381" s="3">
        <f ca="1">'ETF price'!I383-'ETF price'!I382</f>
        <v>3.0000000000001137E-2</v>
      </c>
      <c r="I381" s="3">
        <f ca="1">'ETF price'!J383-'ETF price'!J382</f>
        <v>6.9999999999993179E-2</v>
      </c>
      <c r="J381" s="3">
        <f ca="1">'ETF price'!K383-'ETF price'!K382</f>
        <v>6.9999999999993179E-2</v>
      </c>
      <c r="K381" s="3">
        <f ca="1">'ETF price'!L383-'ETF price'!L382</f>
        <v>-0.40000000000000568</v>
      </c>
      <c r="L381" s="3">
        <f ca="1">'ETF price'!M383-'ETF price'!M382</f>
        <v>0.14999999999999858</v>
      </c>
      <c r="M381" s="3">
        <f ca="1">'ETF price'!N383-'ETF price'!N382</f>
        <v>3.0000000000001137E-2</v>
      </c>
      <c r="N381" s="3">
        <f ca="1">'ETF price'!O383-'ETF price'!O382</f>
        <v>0.44000000000000483</v>
      </c>
      <c r="O381" s="3">
        <f ca="1">'ETF price'!P383-'ETF price'!P382</f>
        <v>1.789999999999992</v>
      </c>
      <c r="P381" s="3">
        <f ca="1">'ETF price'!Q383-'ETF price'!Q382</f>
        <v>2.5699999999999932</v>
      </c>
      <c r="Q381" s="3">
        <f ca="1">'ETF price'!R383-'ETF price'!R382</f>
        <v>0.79999999999999716</v>
      </c>
      <c r="R381" s="3">
        <f ca="1">'ETF price'!S383-'ETF price'!S382</f>
        <v>0.34000000000000341</v>
      </c>
      <c r="S381" s="3">
        <f ca="1">'ETF price'!T383-'ETF price'!T382</f>
        <v>0.26999999999999957</v>
      </c>
      <c r="T381" s="3">
        <f ca="1">'ETF price'!U383-'ETF price'!U382</f>
        <v>1.4899999999999949</v>
      </c>
      <c r="U381" s="3">
        <f ca="1">'ETF price'!V383-'ETF price'!V382</f>
        <v>-1.0000000000005116E-2</v>
      </c>
      <c r="V381" s="3">
        <f ca="1">'ETF price'!W383-'ETF price'!W382</f>
        <v>0.39999999999999858</v>
      </c>
      <c r="W381" s="3">
        <f ca="1">'ETF price'!X383-'ETF price'!X382</f>
        <v>1.0600000000000023</v>
      </c>
      <c r="X381" s="3">
        <f ca="1">'ETF price'!Y383-'ETF price'!Y382</f>
        <v>0.50999999999999801</v>
      </c>
      <c r="Y381" s="3">
        <f ca="1">'ETF price'!Z383-'ETF price'!Z382</f>
        <v>0.95999999999999375</v>
      </c>
      <c r="Z381" s="3">
        <f ca="1">'ETF price'!AA383-'ETF price'!AA382</f>
        <v>0.42999999999999972</v>
      </c>
      <c r="AA381" s="3">
        <f ca="1">'ETF price'!AB383-'ETF price'!AB382</f>
        <v>0.56000000000000227</v>
      </c>
      <c r="AB381" s="3">
        <f ca="1">'ETF price'!AC383-'ETF price'!AC382</f>
        <v>-0.41000000000000369</v>
      </c>
      <c r="AC381" s="3">
        <f ca="1">'ETF price'!AD383-'ETF price'!AD382</f>
        <v>-0.11000000000000121</v>
      </c>
      <c r="AD381" s="3">
        <f ca="1">'ETF price'!AE383-'ETF price'!AE382</f>
        <v>-0.16000000000000014</v>
      </c>
      <c r="AE381" s="3">
        <f ca="1">'ETF price'!AF383-'ETF price'!AF382</f>
        <v>0.24000000000000021</v>
      </c>
      <c r="AF381" s="3">
        <f ca="1">'ETF price'!AG383-'ETF price'!AG382</f>
        <v>0.88000000000000256</v>
      </c>
    </row>
    <row r="382" spans="1:32" ht="12.75" x14ac:dyDescent="0.2">
      <c r="A382" s="3">
        <f ca="1">'ETF price'!B384-'ETF price'!B383</f>
        <v>1.9499999999999886</v>
      </c>
      <c r="B382" s="3">
        <f ca="1">'ETF price'!C384-'ETF price'!C383</f>
        <v>4.5900000000000318</v>
      </c>
      <c r="C382" s="3">
        <f ca="1">'ETF price'!D384-'ETF price'!D383</f>
        <v>1.25</v>
      </c>
      <c r="D382" s="3">
        <f ca="1">'ETF price'!E384-'ETF price'!E383</f>
        <v>3.1400000000000148</v>
      </c>
      <c r="E382" s="3">
        <f ca="1">'ETF price'!F384-'ETF price'!F383</f>
        <v>-0.71999999999999886</v>
      </c>
      <c r="F382" s="3">
        <f ca="1">'ETF price'!G384-'ETF price'!G383</f>
        <v>0.35999999999999943</v>
      </c>
      <c r="G382" s="3">
        <f ca="1">'ETF price'!H384-'ETF price'!H383</f>
        <v>0.12000000000000099</v>
      </c>
      <c r="H382" s="3">
        <f ca="1">'ETF price'!I384-'ETF price'!I383</f>
        <v>-0.35000000000002274</v>
      </c>
      <c r="I382" s="3">
        <f ca="1">'ETF price'!J384-'ETF price'!J383</f>
        <v>-0.44999999999998863</v>
      </c>
      <c r="J382" s="3">
        <f ca="1">'ETF price'!K384-'ETF price'!K383</f>
        <v>1.2399999999999949</v>
      </c>
      <c r="K382" s="3">
        <f ca="1">'ETF price'!L384-'ETF price'!L383</f>
        <v>0.95000000000000284</v>
      </c>
      <c r="L382" s="3">
        <f ca="1">'ETF price'!M384-'ETF price'!M383</f>
        <v>0.65999999999999659</v>
      </c>
      <c r="M382" s="3">
        <f ca="1">'ETF price'!N384-'ETF price'!N383</f>
        <v>-0.12999999999999545</v>
      </c>
      <c r="N382" s="3">
        <f ca="1">'ETF price'!O384-'ETF price'!O383</f>
        <v>0.53999999999999915</v>
      </c>
      <c r="O382" s="3">
        <f ca="1">'ETF price'!P384-'ETF price'!P383</f>
        <v>0.77000000000001023</v>
      </c>
      <c r="P382" s="3">
        <f ca="1">'ETF price'!Q384-'ETF price'!Q383</f>
        <v>0.93000000000000682</v>
      </c>
      <c r="Q382" s="3">
        <f ca="1">'ETF price'!R384-'ETF price'!R383</f>
        <v>1.0799999999999983</v>
      </c>
      <c r="R382" s="3">
        <f ca="1">'ETF price'!S384-'ETF price'!S383</f>
        <v>0.63000000000000256</v>
      </c>
      <c r="S382" s="3">
        <f ca="1">'ETF price'!T384-'ETF price'!T383</f>
        <v>0.16999999999999815</v>
      </c>
      <c r="T382" s="3">
        <f ca="1">'ETF price'!U384-'ETF price'!U383</f>
        <v>0.84000000000000341</v>
      </c>
      <c r="U382" s="3">
        <f ca="1">'ETF price'!V384-'ETF price'!V383</f>
        <v>1.9599999999999937</v>
      </c>
      <c r="V382" s="3">
        <f ca="1">'ETF price'!W384-'ETF price'!W383</f>
        <v>0.21999999999999886</v>
      </c>
      <c r="W382" s="3">
        <f ca="1">'ETF price'!X384-'ETF price'!X383</f>
        <v>0.64999999999999147</v>
      </c>
      <c r="X382" s="3">
        <f ca="1">'ETF price'!Y384-'ETF price'!Y383</f>
        <v>0.65999999999999659</v>
      </c>
      <c r="Y382" s="3">
        <f ca="1">'ETF price'!Z384-'ETF price'!Z383</f>
        <v>0.48999999999999488</v>
      </c>
      <c r="Z382" s="3">
        <f ca="1">'ETF price'!AA384-'ETF price'!AA383</f>
        <v>0.17999999999999972</v>
      </c>
      <c r="AA382" s="3">
        <f ca="1">'ETF price'!AB384-'ETF price'!AB383</f>
        <v>0.85000000000000142</v>
      </c>
      <c r="AB382" s="3">
        <f ca="1">'ETF price'!AC384-'ETF price'!AC383</f>
        <v>0.5</v>
      </c>
      <c r="AC382" s="3">
        <f ca="1">'ETF price'!AD384-'ETF price'!AD383</f>
        <v>-0.11999999999999922</v>
      </c>
      <c r="AD382" s="3">
        <f ca="1">'ETF price'!AE384-'ETF price'!AE383</f>
        <v>-0.18999999999999773</v>
      </c>
      <c r="AE382" s="3">
        <f ca="1">'ETF price'!AF384-'ETF price'!AF383</f>
        <v>6.999999999999984E-2</v>
      </c>
      <c r="AF382" s="3">
        <f ca="1">'ETF price'!AG384-'ETF price'!AG383</f>
        <v>-0.56000000000000227</v>
      </c>
    </row>
    <row r="383" spans="1:32" ht="12.75" x14ac:dyDescent="0.2">
      <c r="A383" s="3">
        <f ca="1">'ETF price'!B385-'ETF price'!B384</f>
        <v>2.2700000000000102</v>
      </c>
      <c r="B383" s="3">
        <f ca="1">'ETF price'!C385-'ETF price'!C384</f>
        <v>6.6099999999999568</v>
      </c>
      <c r="C383" s="3">
        <f ca="1">'ETF price'!D385-'ETF price'!D384</f>
        <v>1.0400000000000063</v>
      </c>
      <c r="D383" s="3">
        <f ca="1">'ETF price'!E385-'ETF price'!E384</f>
        <v>3.539999999999992</v>
      </c>
      <c r="E383" s="3">
        <f ca="1">'ETF price'!F385-'ETF price'!F384</f>
        <v>1</v>
      </c>
      <c r="F383" s="3">
        <f ca="1">'ETF price'!G385-'ETF price'!G384</f>
        <v>0.62000000000000099</v>
      </c>
      <c r="G383" s="3">
        <f ca="1">'ETF price'!H385-'ETF price'!H384</f>
        <v>0.26999999999999957</v>
      </c>
      <c r="H383" s="3">
        <f ca="1">'ETF price'!I385-'ETF price'!I384</f>
        <v>5.0000000000011369E-2</v>
      </c>
      <c r="I383" s="3">
        <f ca="1">'ETF price'!J385-'ETF price'!J384</f>
        <v>0.12000000000000455</v>
      </c>
      <c r="J383" s="3">
        <f ca="1">'ETF price'!K385-'ETF price'!K384</f>
        <v>0.34000000000001762</v>
      </c>
      <c r="K383" s="3">
        <f ca="1">'ETF price'!L385-'ETF price'!L384</f>
        <v>-9.9999999999994316E-2</v>
      </c>
      <c r="L383" s="3">
        <f ca="1">'ETF price'!M385-'ETF price'!M384</f>
        <v>0.38000000000000256</v>
      </c>
      <c r="M383" s="3">
        <f ca="1">'ETF price'!N385-'ETF price'!N384</f>
        <v>1.9999999999996021E-2</v>
      </c>
      <c r="N383" s="3">
        <f ca="1">'ETF price'!O385-'ETF price'!O384</f>
        <v>0.14000000000000057</v>
      </c>
      <c r="O383" s="3">
        <f ca="1">'ETF price'!P385-'ETF price'!P384</f>
        <v>-0.32000000000000739</v>
      </c>
      <c r="P383" s="3">
        <f ca="1">'ETF price'!Q385-'ETF price'!Q384</f>
        <v>-0.46000000000000796</v>
      </c>
      <c r="Q383" s="3">
        <f ca="1">'ETF price'!R385-'ETF price'!R384</f>
        <v>0.65000000000000568</v>
      </c>
      <c r="R383" s="3">
        <f ca="1">'ETF price'!S385-'ETF price'!S384</f>
        <v>0.48999999999999488</v>
      </c>
      <c r="S383" s="3">
        <f ca="1">'ETF price'!T385-'ETF price'!T384</f>
        <v>0.33000000000000185</v>
      </c>
      <c r="T383" s="3">
        <f ca="1">'ETF price'!U385-'ETF price'!U384</f>
        <v>1.2199999999999989</v>
      </c>
      <c r="U383" s="3">
        <f ca="1">'ETF price'!V385-'ETF price'!V384</f>
        <v>0.80000000000001137</v>
      </c>
      <c r="V383" s="3">
        <f ca="1">'ETF price'!W385-'ETF price'!W384</f>
        <v>0.11999999999999744</v>
      </c>
      <c r="W383" s="3">
        <f ca="1">'ETF price'!X385-'ETF price'!X384</f>
        <v>0.60999999999999943</v>
      </c>
      <c r="X383" s="3">
        <f ca="1">'ETF price'!Y385-'ETF price'!Y384</f>
        <v>0.65000000000000568</v>
      </c>
      <c r="Y383" s="3">
        <f ca="1">'ETF price'!Z385-'ETF price'!Z384</f>
        <v>0.46000000000000796</v>
      </c>
      <c r="Z383" s="3">
        <f ca="1">'ETF price'!AA385-'ETF price'!AA384</f>
        <v>0.25999999999999801</v>
      </c>
      <c r="AA383" s="3">
        <f ca="1">'ETF price'!AB385-'ETF price'!AB384</f>
        <v>0.74000000000000199</v>
      </c>
      <c r="AB383" s="3">
        <f ca="1">'ETF price'!AC385-'ETF price'!AC384</f>
        <v>0.88000000000000256</v>
      </c>
      <c r="AC383" s="3">
        <f ca="1">'ETF price'!AD385-'ETF price'!AD384</f>
        <v>0.54999999999999893</v>
      </c>
      <c r="AD383" s="3">
        <f ca="1">'ETF price'!AE385-'ETF price'!AE384</f>
        <v>0.82999999999999829</v>
      </c>
      <c r="AE383" s="3">
        <f ca="1">'ETF price'!AF385-'ETF price'!AF384</f>
        <v>-6.0000000000000053E-2</v>
      </c>
      <c r="AF383" s="3">
        <f ca="1">'ETF price'!AG385-'ETF price'!AG384</f>
        <v>5.8300000000000054</v>
      </c>
    </row>
    <row r="384" spans="1:32" ht="12.75" x14ac:dyDescent="0.2">
      <c r="A384" s="3">
        <f ca="1">'ETF price'!B386-'ETF price'!B385</f>
        <v>-0.25999999999999091</v>
      </c>
      <c r="B384" s="3">
        <f ca="1">'ETF price'!C386-'ETF price'!C385</f>
        <v>-1.6099999999999568</v>
      </c>
      <c r="C384" s="3">
        <f ca="1">'ETF price'!D386-'ETF price'!D385</f>
        <v>-0.29999999999999716</v>
      </c>
      <c r="D384" s="3">
        <f ca="1">'ETF price'!E386-'ETF price'!E385</f>
        <v>-2.1899999999999977</v>
      </c>
      <c r="E384" s="3">
        <f ca="1">'ETF price'!F386-'ETF price'!F385</f>
        <v>-0.46999999999999886</v>
      </c>
      <c r="F384" s="3">
        <f ca="1">'ETF price'!G386-'ETF price'!G385</f>
        <v>-0.46000000000000085</v>
      </c>
      <c r="G384" s="3">
        <f ca="1">'ETF price'!H386-'ETF price'!H385</f>
        <v>-0.24000000000000199</v>
      </c>
      <c r="H384" s="3">
        <f ca="1">'ETF price'!I386-'ETF price'!I385</f>
        <v>1.9499999999999886</v>
      </c>
      <c r="I384" s="3">
        <f ca="1">'ETF price'!J386-'ETF price'!J385</f>
        <v>3.3100000000000023</v>
      </c>
      <c r="J384" s="3">
        <f ca="1">'ETF price'!K386-'ETF price'!K385</f>
        <v>-6.0000000000002274E-2</v>
      </c>
      <c r="K384" s="3">
        <f ca="1">'ETF price'!L386-'ETF price'!L385</f>
        <v>-0.26000000000000512</v>
      </c>
      <c r="L384" s="3">
        <f ca="1">'ETF price'!M386-'ETF price'!M385</f>
        <v>0.43999999999999773</v>
      </c>
      <c r="M384" s="3">
        <f ca="1">'ETF price'!N386-'ETF price'!N385</f>
        <v>0.82999999999999829</v>
      </c>
      <c r="N384" s="3">
        <f ca="1">'ETF price'!O386-'ETF price'!O385</f>
        <v>-0.88000000000000256</v>
      </c>
      <c r="O384" s="3">
        <f ca="1">'ETF price'!P386-'ETF price'!P385</f>
        <v>-2.2099999999999937</v>
      </c>
      <c r="P384" s="3">
        <f ca="1">'ETF price'!Q386-'ETF price'!Q385</f>
        <v>-3.0499999999999972</v>
      </c>
      <c r="Q384" s="3">
        <f ca="1">'ETF price'!R386-'ETF price'!R385</f>
        <v>-0.48999999999999488</v>
      </c>
      <c r="R384" s="3">
        <f ca="1">'ETF price'!S386-'ETF price'!S385</f>
        <v>-1.019999999999996</v>
      </c>
      <c r="S384" s="3">
        <f ca="1">'ETF price'!T386-'ETF price'!T385</f>
        <v>-0.16000000000000014</v>
      </c>
      <c r="T384" s="3">
        <f ca="1">'ETF price'!U386-'ETF price'!U385</f>
        <v>-1.6200000000000045</v>
      </c>
      <c r="U384" s="3">
        <f ca="1">'ETF price'!V386-'ETF price'!V385</f>
        <v>-1.4000000000000057</v>
      </c>
      <c r="V384" s="3">
        <f ca="1">'ETF price'!W386-'ETF price'!W385</f>
        <v>-0.22999999999999687</v>
      </c>
      <c r="W384" s="3">
        <f ca="1">'ETF price'!X386-'ETF price'!X385</f>
        <v>-0.5899999999999892</v>
      </c>
      <c r="X384" s="3">
        <f ca="1">'ETF price'!Y386-'ETF price'!Y385</f>
        <v>-0.74000000000000199</v>
      </c>
      <c r="Y384" s="3">
        <f ca="1">'ETF price'!Z386-'ETF price'!Z385</f>
        <v>-0.60999999999999943</v>
      </c>
      <c r="Z384" s="3">
        <f ca="1">'ETF price'!AA386-'ETF price'!AA385</f>
        <v>0</v>
      </c>
      <c r="AA384" s="3">
        <f ca="1">'ETF price'!AB386-'ETF price'!AB385</f>
        <v>-0.82000000000000028</v>
      </c>
      <c r="AB384" s="3">
        <f ca="1">'ETF price'!AC386-'ETF price'!AC385</f>
        <v>0.56000000000000227</v>
      </c>
      <c r="AC384" s="3">
        <f ca="1">'ETF price'!AD386-'ETF price'!AD385</f>
        <v>-0.61999999999999922</v>
      </c>
      <c r="AD384" s="3">
        <f ca="1">'ETF price'!AE386-'ETF price'!AE385</f>
        <v>-0.91000000000000014</v>
      </c>
      <c r="AE384" s="3">
        <f ca="1">'ETF price'!AF386-'ETF price'!AF385</f>
        <v>0.42000000000000037</v>
      </c>
      <c r="AF384" s="3">
        <f ca="1">'ETF price'!AG386-'ETF price'!AG385</f>
        <v>-2.5200000000000031</v>
      </c>
    </row>
    <row r="385" spans="1:32" ht="12.75" x14ac:dyDescent="0.2">
      <c r="A385" s="3">
        <f ca="1">'ETF price'!B387-'ETF price'!B386</f>
        <v>2.25</v>
      </c>
      <c r="B385" s="3">
        <f ca="1">'ETF price'!C387-'ETF price'!C386</f>
        <v>5.9699999999999704</v>
      </c>
      <c r="C385" s="3">
        <f ca="1">'ETF price'!D387-'ETF price'!D386</f>
        <v>-2.75</v>
      </c>
      <c r="D385" s="3">
        <f ca="1">'ETF price'!E387-'ETF price'!E386</f>
        <v>4.1299999999999955</v>
      </c>
      <c r="E385" s="3">
        <f ca="1">'ETF price'!F387-'ETF price'!F386</f>
        <v>0.61999999999999744</v>
      </c>
      <c r="F385" s="3">
        <f ca="1">'ETF price'!G387-'ETF price'!G386</f>
        <v>0.37000000000000099</v>
      </c>
      <c r="G385" s="3">
        <f ca="1">'ETF price'!H387-'ETF price'!H386</f>
        <v>0.24000000000000199</v>
      </c>
      <c r="H385" s="3">
        <f ca="1">'ETF price'!I387-'ETF price'!I386</f>
        <v>-0.59999999999999432</v>
      </c>
      <c r="I385" s="3">
        <f ca="1">'ETF price'!J387-'ETF price'!J386</f>
        <v>-1.0400000000000205</v>
      </c>
      <c r="J385" s="3">
        <f ca="1">'ETF price'!K387-'ETF price'!K386</f>
        <v>1</v>
      </c>
      <c r="K385" s="3">
        <f ca="1">'ETF price'!L387-'ETF price'!L386</f>
        <v>1.3400000000000034</v>
      </c>
      <c r="L385" s="3">
        <f ca="1">'ETF price'!M387-'ETF price'!M386</f>
        <v>0.48000000000000398</v>
      </c>
      <c r="M385" s="3">
        <f ca="1">'ETF price'!N387-'ETF price'!N386</f>
        <v>-0.20999999999999375</v>
      </c>
      <c r="N385" s="3">
        <f ca="1">'ETF price'!O387-'ETF price'!O386</f>
        <v>0.11999999999999744</v>
      </c>
      <c r="O385" s="3">
        <f ca="1">'ETF price'!P387-'ETF price'!P386</f>
        <v>-0.15999999999999659</v>
      </c>
      <c r="P385" s="3">
        <f ca="1">'ETF price'!Q387-'ETF price'!Q386</f>
        <v>0</v>
      </c>
      <c r="Q385" s="3">
        <f ca="1">'ETF price'!R387-'ETF price'!R386</f>
        <v>7.9999999999998295E-2</v>
      </c>
      <c r="R385" s="3">
        <f ca="1">'ETF price'!S387-'ETF price'!S386</f>
        <v>0.19999999999999574</v>
      </c>
      <c r="S385" s="3">
        <f ca="1">'ETF price'!T387-'ETF price'!T386</f>
        <v>-0.19000000000000128</v>
      </c>
      <c r="T385" s="3">
        <f ca="1">'ETF price'!U387-'ETF price'!U386</f>
        <v>-0.89000000000000057</v>
      </c>
      <c r="U385" s="3">
        <f ca="1">'ETF price'!V387-'ETF price'!V386</f>
        <v>2.8299999999999983</v>
      </c>
      <c r="V385" s="3">
        <f ca="1">'ETF price'!W387-'ETF price'!W386</f>
        <v>0.32999999999999829</v>
      </c>
      <c r="W385" s="3">
        <f ca="1">'ETF price'!X387-'ETF price'!X386</f>
        <v>0.85999999999999943</v>
      </c>
      <c r="X385" s="3">
        <f ca="1">'ETF price'!Y387-'ETF price'!Y386</f>
        <v>0.64999999999999858</v>
      </c>
      <c r="Y385" s="3">
        <f ca="1">'ETF price'!Z387-'ETF price'!Z386</f>
        <v>0.84999999999999432</v>
      </c>
      <c r="Z385" s="3">
        <f ca="1">'ETF price'!AA387-'ETF price'!AA386</f>
        <v>-0.32999999999999829</v>
      </c>
      <c r="AA385" s="3">
        <f ca="1">'ETF price'!AB387-'ETF price'!AB386</f>
        <v>0.75</v>
      </c>
      <c r="AB385" s="3">
        <f ca="1">'ETF price'!AC387-'ETF price'!AC386</f>
        <v>4.9999999999997158E-2</v>
      </c>
      <c r="AC385" s="3">
        <f ca="1">'ETF price'!AD387-'ETF price'!AD386</f>
        <v>-9.9999999999999645E-2</v>
      </c>
      <c r="AD385" s="3">
        <f ca="1">'ETF price'!AE387-'ETF price'!AE386</f>
        <v>-0.15999999999999837</v>
      </c>
      <c r="AE385" s="3">
        <f ca="1">'ETF price'!AF387-'ETF price'!AF386</f>
        <v>-0.16000000000000014</v>
      </c>
      <c r="AF385" s="3">
        <f ca="1">'ETF price'!AG387-'ETF price'!AG386</f>
        <v>-1.2100000000000009</v>
      </c>
    </row>
    <row r="386" spans="1:32" ht="12.75" x14ac:dyDescent="0.2">
      <c r="A386" s="3">
        <f ca="1">'ETF price'!B388-'ETF price'!B387</f>
        <v>2.0199999999999818</v>
      </c>
      <c r="B386" s="3">
        <f ca="1">'ETF price'!C388-'ETF price'!C387</f>
        <v>5.1399999999999864</v>
      </c>
      <c r="C386" s="3">
        <f ca="1">'ETF price'!D388-'ETF price'!D387</f>
        <v>-0.12000000000000455</v>
      </c>
      <c r="D386" s="3">
        <f ca="1">'ETF price'!E388-'ETF price'!E387</f>
        <v>0.32999999999998408</v>
      </c>
      <c r="E386" s="3">
        <f ca="1">'ETF price'!F388-'ETF price'!F387</f>
        <v>0.40000000000000568</v>
      </c>
      <c r="F386" s="3">
        <f ca="1">'ETF price'!G388-'ETF price'!G387</f>
        <v>0.34999999999999787</v>
      </c>
      <c r="G386" s="3">
        <f ca="1">'ETF price'!H388-'ETF price'!H387</f>
        <v>0.10999999999999943</v>
      </c>
      <c r="H386" s="3">
        <f ca="1">'ETF price'!I388-'ETF price'!I387</f>
        <v>0.96999999999999886</v>
      </c>
      <c r="I386" s="3">
        <f ca="1">'ETF price'!J388-'ETF price'!J387</f>
        <v>1.5600000000000023</v>
      </c>
      <c r="J386" s="3">
        <f ca="1">'ETF price'!K388-'ETF price'!K387</f>
        <v>0.47999999999998977</v>
      </c>
      <c r="K386" s="3">
        <f ca="1">'ETF price'!L388-'ETF price'!L387</f>
        <v>-0.18000000000000682</v>
      </c>
      <c r="L386" s="3">
        <f ca="1">'ETF price'!M388-'ETF price'!M387</f>
        <v>0.25999999999999801</v>
      </c>
      <c r="M386" s="3">
        <f ca="1">'ETF price'!N388-'ETF price'!N387</f>
        <v>0.4199999999999946</v>
      </c>
      <c r="N386" s="3">
        <f ca="1">'ETF price'!O388-'ETF price'!O387</f>
        <v>0.12000000000000455</v>
      </c>
      <c r="O386" s="3">
        <f ca="1">'ETF price'!P388-'ETF price'!P387</f>
        <v>0.81999999999999318</v>
      </c>
      <c r="P386" s="3">
        <f ca="1">'ETF price'!Q388-'ETF price'!Q387</f>
        <v>1.4500000000000028</v>
      </c>
      <c r="Q386" s="3">
        <f ca="1">'ETF price'!R388-'ETF price'!R387</f>
        <v>0.64999999999999147</v>
      </c>
      <c r="R386" s="3">
        <f ca="1">'ETF price'!S388-'ETF price'!S387</f>
        <v>0.82000000000000028</v>
      </c>
      <c r="S386" s="3">
        <f ca="1">'ETF price'!T388-'ETF price'!T387</f>
        <v>0.31000000000000227</v>
      </c>
      <c r="T386" s="3">
        <f ca="1">'ETF price'!U388-'ETF price'!U387</f>
        <v>1.3799999999999955</v>
      </c>
      <c r="U386" s="3">
        <f ca="1">'ETF price'!V388-'ETF price'!V387</f>
        <v>-0.65999999999999659</v>
      </c>
      <c r="V386" s="3">
        <f ca="1">'ETF price'!W388-'ETF price'!W387</f>
        <v>0.39000000000000057</v>
      </c>
      <c r="W386" s="3">
        <f ca="1">'ETF price'!X388-'ETF price'!X387</f>
        <v>1.1400000000000006</v>
      </c>
      <c r="X386" s="3">
        <f ca="1">'ETF price'!Y388-'ETF price'!Y387</f>
        <v>1.3500000000000014</v>
      </c>
      <c r="Y386" s="3">
        <f ca="1">'ETF price'!Z388-'ETF price'!Z387</f>
        <v>1.2600000000000051</v>
      </c>
      <c r="Z386" s="3">
        <f ca="1">'ETF price'!AA388-'ETF price'!AA387</f>
        <v>-0.32000000000000028</v>
      </c>
      <c r="AA386" s="3">
        <f ca="1">'ETF price'!AB388-'ETF price'!AB387</f>
        <v>1.8499999999999943</v>
      </c>
      <c r="AB386" s="3">
        <f ca="1">'ETF price'!AC388-'ETF price'!AC387</f>
        <v>-0.28999999999999915</v>
      </c>
      <c r="AC386" s="3">
        <f ca="1">'ETF price'!AD388-'ETF price'!AD387</f>
        <v>-8.0000000000000071E-2</v>
      </c>
      <c r="AD386" s="3">
        <f ca="1">'ETF price'!AE388-'ETF price'!AE387</f>
        <v>-0.10000000000000142</v>
      </c>
      <c r="AE386" s="3">
        <f ca="1">'ETF price'!AF388-'ETF price'!AF387</f>
        <v>-0.10999999999999988</v>
      </c>
      <c r="AF386" s="3">
        <f ca="1">'ETF price'!AG388-'ETF price'!AG387</f>
        <v>-0.68999999999999773</v>
      </c>
    </row>
    <row r="387" spans="1:32" ht="12.75" x14ac:dyDescent="0.2">
      <c r="A387" s="3">
        <f ca="1">'ETF price'!B389-'ETF price'!B388</f>
        <v>-0.44999999999998863</v>
      </c>
      <c r="B387" s="3">
        <f ca="1">'ETF price'!C389-'ETF price'!C388</f>
        <v>-1.2099999999999795</v>
      </c>
      <c r="C387" s="3">
        <f ca="1">'ETF price'!D389-'ETF price'!D388</f>
        <v>0.20000000000000284</v>
      </c>
      <c r="D387" s="3">
        <f ca="1">'ETF price'!E389-'ETF price'!E388</f>
        <v>-2.0999999999999943</v>
      </c>
      <c r="E387" s="3">
        <f ca="1">'ETF price'!F389-'ETF price'!F388</f>
        <v>8.9999999999996305E-2</v>
      </c>
      <c r="F387" s="3">
        <f ca="1">'ETF price'!G389-'ETF price'!G388</f>
        <v>-0.18999999999999773</v>
      </c>
      <c r="G387" s="3">
        <f ca="1">'ETF price'!H389-'ETF price'!H388</f>
        <v>8.9999999999999858E-2</v>
      </c>
      <c r="H387" s="3">
        <f ca="1">'ETF price'!I389-'ETF price'!I388</f>
        <v>0.61000000000001364</v>
      </c>
      <c r="I387" s="3">
        <f ca="1">'ETF price'!J389-'ETF price'!J388</f>
        <v>0.99000000000000909</v>
      </c>
      <c r="J387" s="3">
        <f ca="1">'ETF price'!K389-'ETF price'!K388</f>
        <v>0.68999999999999773</v>
      </c>
      <c r="K387" s="3">
        <f ca="1">'ETF price'!L389-'ETF price'!L388</f>
        <v>0.18000000000000682</v>
      </c>
      <c r="L387" s="3">
        <f ca="1">'ETF price'!M389-'ETF price'!M388</f>
        <v>0.27000000000000313</v>
      </c>
      <c r="M387" s="3">
        <f ca="1">'ETF price'!N389-'ETF price'!N388</f>
        <v>0.27000000000000313</v>
      </c>
      <c r="N387" s="3">
        <f ca="1">'ETF price'!O389-'ETF price'!O388</f>
        <v>0.40999999999999659</v>
      </c>
      <c r="O387" s="3">
        <f ca="1">'ETF price'!P389-'ETF price'!P388</f>
        <v>0.48000000000000398</v>
      </c>
      <c r="P387" s="3">
        <f ca="1">'ETF price'!Q389-'ETF price'!Q388</f>
        <v>0.50999999999999091</v>
      </c>
      <c r="Q387" s="3">
        <f ca="1">'ETF price'!R389-'ETF price'!R388</f>
        <v>-0.44999999999998863</v>
      </c>
      <c r="R387" s="3">
        <f ca="1">'ETF price'!S389-'ETF price'!S388</f>
        <v>-0.15999999999999659</v>
      </c>
      <c r="S387" s="3">
        <f ca="1">'ETF price'!T389-'ETF price'!T388</f>
        <v>0.12999999999999901</v>
      </c>
      <c r="T387" s="3">
        <f ca="1">'ETF price'!U389-'ETF price'!U388</f>
        <v>-0.26999999999999602</v>
      </c>
      <c r="U387" s="3">
        <f ca="1">'ETF price'!V389-'ETF price'!V388</f>
        <v>0.12000000000000455</v>
      </c>
      <c r="V387" s="3">
        <f ca="1">'ETF price'!W389-'ETF price'!W388</f>
        <v>0.14999999999999858</v>
      </c>
      <c r="W387" s="3">
        <f ca="1">'ETF price'!X389-'ETF price'!X388</f>
        <v>0.53999999999999204</v>
      </c>
      <c r="X387" s="3">
        <f ca="1">'ETF price'!Y389-'ETF price'!Y388</f>
        <v>1.0899999999999963</v>
      </c>
      <c r="Y387" s="3">
        <f ca="1">'ETF price'!Z389-'ETF price'!Z388</f>
        <v>0.53000000000000114</v>
      </c>
      <c r="Z387" s="3">
        <f ca="1">'ETF price'!AA389-'ETF price'!AA388</f>
        <v>0.42000000000000171</v>
      </c>
      <c r="AA387" s="3">
        <f ca="1">'ETF price'!AB389-'ETF price'!AB388</f>
        <v>1.4200000000000017</v>
      </c>
      <c r="AB387" s="3">
        <f ca="1">'ETF price'!AC389-'ETF price'!AC388</f>
        <v>0.57000000000000028</v>
      </c>
      <c r="AC387" s="3">
        <f ca="1">'ETF price'!AD389-'ETF price'!AD388</f>
        <v>0.12999999999999901</v>
      </c>
      <c r="AD387" s="3">
        <f ca="1">'ETF price'!AE389-'ETF price'!AE388</f>
        <v>0.16999999999999993</v>
      </c>
      <c r="AE387" s="3">
        <f ca="1">'ETF price'!AF389-'ETF price'!AF388</f>
        <v>-2.0000000000000018E-2</v>
      </c>
      <c r="AF387" s="3">
        <f ca="1">'ETF price'!AG389-'ETF price'!AG388</f>
        <v>1.4799999999999969</v>
      </c>
    </row>
    <row r="388" spans="1:32" ht="12.75" x14ac:dyDescent="0.2">
      <c r="A388" s="3">
        <f ca="1">'ETF price'!B390-'ETF price'!B389</f>
        <v>-3.5900000000000034</v>
      </c>
      <c r="B388" s="3">
        <f ca="1">'ETF price'!C390-'ETF price'!C389</f>
        <v>-9.6999999999999886</v>
      </c>
      <c r="C388" s="3">
        <f ca="1">'ETF price'!D390-'ETF price'!D389</f>
        <v>1.1199999999999903</v>
      </c>
      <c r="D388" s="3">
        <f ca="1">'ETF price'!E390-'ETF price'!E389</f>
        <v>-6.3700000000000045</v>
      </c>
      <c r="E388" s="3">
        <f ca="1">'ETF price'!F390-'ETF price'!F389</f>
        <v>-0.92000000000000171</v>
      </c>
      <c r="F388" s="3">
        <f ca="1">'ETF price'!G390-'ETF price'!G389</f>
        <v>-0.81000000000000227</v>
      </c>
      <c r="G388" s="3">
        <f ca="1">'ETF price'!H390-'ETF price'!H389</f>
        <v>-0.33999999999999986</v>
      </c>
      <c r="H388" s="3">
        <f ca="1">'ETF price'!I390-'ETF price'!I389</f>
        <v>2.1999999999999886</v>
      </c>
      <c r="I388" s="3">
        <f ca="1">'ETF price'!J390-'ETF price'!J389</f>
        <v>3.1400000000000148</v>
      </c>
      <c r="J388" s="3">
        <f ca="1">'ETF price'!K390-'ETF price'!K389</f>
        <v>-0.15000000000000568</v>
      </c>
      <c r="K388" s="3">
        <f ca="1">'ETF price'!L390-'ETF price'!L389</f>
        <v>-1.4300000000000068</v>
      </c>
      <c r="L388" s="3">
        <f ca="1">'ETF price'!M390-'ETF price'!M389</f>
        <v>-0.28000000000000114</v>
      </c>
      <c r="M388" s="3">
        <f ca="1">'ETF price'!N390-'ETF price'!N389</f>
        <v>0.78999999999999204</v>
      </c>
      <c r="N388" s="3">
        <f ca="1">'ETF price'!O390-'ETF price'!O389</f>
        <v>-0.68999999999999773</v>
      </c>
      <c r="O388" s="3">
        <f ca="1">'ETF price'!P390-'ETF price'!P389</f>
        <v>0.96999999999999886</v>
      </c>
      <c r="P388" s="3">
        <f ca="1">'ETF price'!Q390-'ETF price'!Q389</f>
        <v>1.2900000000000063</v>
      </c>
      <c r="Q388" s="3">
        <f ca="1">'ETF price'!R390-'ETF price'!R389</f>
        <v>0.19999999999998863</v>
      </c>
      <c r="R388" s="3">
        <f ca="1">'ETF price'!S390-'ETF price'!S389</f>
        <v>-0.38000000000000256</v>
      </c>
      <c r="S388" s="3">
        <f ca="1">'ETF price'!T390-'ETF price'!T389</f>
        <v>7.0000000000000284E-2</v>
      </c>
      <c r="T388" s="3">
        <f ca="1">'ETF price'!U390-'ETF price'!U389</f>
        <v>0.35999999999999943</v>
      </c>
      <c r="U388" s="3">
        <f ca="1">'ETF price'!V390-'ETF price'!V389</f>
        <v>-1.5700000000000074</v>
      </c>
      <c r="V388" s="3">
        <f ca="1">'ETF price'!W390-'ETF price'!W389</f>
        <v>0.26000000000000512</v>
      </c>
      <c r="W388" s="3">
        <f ca="1">'ETF price'!X390-'ETF price'!X389</f>
        <v>0.40999999999999659</v>
      </c>
      <c r="X388" s="3">
        <f ca="1">'ETF price'!Y390-'ETF price'!Y389</f>
        <v>-4.9999999999997158E-2</v>
      </c>
      <c r="Y388" s="3">
        <f ca="1">'ETF price'!Z390-'ETF price'!Z389</f>
        <v>0.64999999999999147</v>
      </c>
      <c r="Z388" s="3">
        <f ca="1">'ETF price'!AA390-'ETF price'!AA389</f>
        <v>-0.13000000000000256</v>
      </c>
      <c r="AA388" s="3">
        <f ca="1">'ETF price'!AB390-'ETF price'!AB389</f>
        <v>-0.17999999999999972</v>
      </c>
      <c r="AB388" s="3">
        <f ca="1">'ETF price'!AC390-'ETF price'!AC389</f>
        <v>-0.42000000000000171</v>
      </c>
      <c r="AC388" s="3">
        <f ca="1">'ETF price'!AD390-'ETF price'!AD389</f>
        <v>-0.10999999999999943</v>
      </c>
      <c r="AD388" s="3">
        <f ca="1">'ETF price'!AE390-'ETF price'!AE389</f>
        <v>-0.15999999999999837</v>
      </c>
      <c r="AE388" s="3">
        <f ca="1">'ETF price'!AF390-'ETF price'!AF389</f>
        <v>9.9999999999999645E-2</v>
      </c>
      <c r="AF388" s="3">
        <f ca="1">'ETF price'!AG390-'ETF price'!AG389</f>
        <v>-1.9600000000000009</v>
      </c>
    </row>
    <row r="389" spans="1:32" ht="12.75" x14ac:dyDescent="0.2">
      <c r="A389" s="3">
        <f ca="1">'ETF price'!B391-'ETF price'!B390</f>
        <v>-9.0000000000003411E-2</v>
      </c>
      <c r="B389" s="3">
        <f ca="1">'ETF price'!C391-'ETF price'!C390</f>
        <v>-0.77000000000003865</v>
      </c>
      <c r="C389" s="3">
        <f ca="1">'ETF price'!D391-'ETF price'!D390</f>
        <v>-0.45999999999999375</v>
      </c>
      <c r="D389" s="3">
        <f ca="1">'ETF price'!E391-'ETF price'!E390</f>
        <v>1.5200000000000102</v>
      </c>
      <c r="E389" s="3">
        <f ca="1">'ETF price'!F391-'ETF price'!F390</f>
        <v>0.13000000000000256</v>
      </c>
      <c r="F389" s="3">
        <f ca="1">'ETF price'!G391-'ETF price'!G390</f>
        <v>-0.18999999999999773</v>
      </c>
      <c r="G389" s="3">
        <f ca="1">'ETF price'!H391-'ETF price'!H390</f>
        <v>0.12000000000000099</v>
      </c>
      <c r="H389" s="3">
        <f ca="1">'ETF price'!I391-'ETF price'!I390</f>
        <v>1.3600000000000136</v>
      </c>
      <c r="I389" s="3">
        <f ca="1">'ETF price'!J391-'ETF price'!J390</f>
        <v>2.4399999999999977</v>
      </c>
      <c r="J389" s="3">
        <f ca="1">'ETF price'!K391-'ETF price'!K390</f>
        <v>1.210000000000008</v>
      </c>
      <c r="K389" s="3">
        <f ca="1">'ETF price'!L391-'ETF price'!L390</f>
        <v>0.64000000000000057</v>
      </c>
      <c r="L389" s="3">
        <f ca="1">'ETF price'!M391-'ETF price'!M390</f>
        <v>0.81999999999999318</v>
      </c>
      <c r="M389" s="3">
        <f ca="1">'ETF price'!N391-'ETF price'!N390</f>
        <v>0.58000000000001251</v>
      </c>
      <c r="N389" s="3">
        <f ca="1">'ETF price'!O391-'ETF price'!O390</f>
        <v>1</v>
      </c>
      <c r="O389" s="3">
        <f ca="1">'ETF price'!P391-'ETF price'!P390</f>
        <v>0.73999999999999488</v>
      </c>
      <c r="P389" s="3">
        <f ca="1">'ETF price'!Q391-'ETF price'!Q390</f>
        <v>0.92999999999999261</v>
      </c>
      <c r="Q389" s="3">
        <f ca="1">'ETF price'!R391-'ETF price'!R390</f>
        <v>1.0000000000005116E-2</v>
      </c>
      <c r="R389" s="3">
        <f ca="1">'ETF price'!S391-'ETF price'!S390</f>
        <v>-0.39999999999999858</v>
      </c>
      <c r="S389" s="3">
        <f ca="1">'ETF price'!T391-'ETF price'!T390</f>
        <v>0.12999999999999901</v>
      </c>
      <c r="T389" s="3">
        <f ca="1">'ETF price'!U391-'ETF price'!U390</f>
        <v>0.93999999999999773</v>
      </c>
      <c r="U389" s="3">
        <f ca="1">'ETF price'!V391-'ETF price'!V390</f>
        <v>-0.28999999999999204</v>
      </c>
      <c r="V389" s="3">
        <f ca="1">'ETF price'!W391-'ETF price'!W390</f>
        <v>-0.12000000000000455</v>
      </c>
      <c r="W389" s="3">
        <f ca="1">'ETF price'!X391-'ETF price'!X390</f>
        <v>-0.42999999999999261</v>
      </c>
      <c r="X389" s="3">
        <f ca="1">'ETF price'!Y391-'ETF price'!Y390</f>
        <v>-0.49000000000000199</v>
      </c>
      <c r="Y389" s="3">
        <f ca="1">'ETF price'!Z391-'ETF price'!Z390</f>
        <v>-0.25</v>
      </c>
      <c r="Z389" s="3">
        <f ca="1">'ETF price'!AA391-'ETF price'!AA390</f>
        <v>0.17000000000000171</v>
      </c>
      <c r="AA389" s="3">
        <f ca="1">'ETF price'!AB391-'ETF price'!AB390</f>
        <v>-0.58999999999999631</v>
      </c>
      <c r="AB389" s="3">
        <f ca="1">'ETF price'!AC391-'ETF price'!AC390</f>
        <v>0.41000000000000369</v>
      </c>
      <c r="AC389" s="3">
        <f ca="1">'ETF price'!AD391-'ETF price'!AD390</f>
        <v>2.9999999999999361E-2</v>
      </c>
      <c r="AD389" s="3">
        <f ca="1">'ETF price'!AE391-'ETF price'!AE390</f>
        <v>6.9999999999998508E-2</v>
      </c>
      <c r="AE389" s="3">
        <f ca="1">'ETF price'!AF391-'ETF price'!AF390</f>
        <v>-0.1599999999999997</v>
      </c>
      <c r="AF389" s="3">
        <f ca="1">'ETF price'!AG391-'ETF price'!AG390</f>
        <v>-0.45999999999999375</v>
      </c>
    </row>
    <row r="390" spans="1:32" ht="12.75" x14ac:dyDescent="0.2">
      <c r="A390" s="3">
        <f ca="1">'ETF price'!B392-'ETF price'!B391</f>
        <v>0.31000000000000227</v>
      </c>
      <c r="B390" s="3">
        <f ca="1">'ETF price'!C392-'ETF price'!C391</f>
        <v>0.51000000000004775</v>
      </c>
      <c r="C390" s="3">
        <f ca="1">'ETF price'!D392-'ETF price'!D391</f>
        <v>-7.9999999999998295E-2</v>
      </c>
      <c r="D390" s="3">
        <f ca="1">'ETF price'!E392-'ETF price'!E391</f>
        <v>0</v>
      </c>
      <c r="E390" s="3">
        <f ca="1">'ETF price'!F392-'ETF price'!F391</f>
        <v>-0.14999999999999858</v>
      </c>
      <c r="F390" s="3">
        <f ca="1">'ETF price'!G392-'ETF price'!G391</f>
        <v>-0.22000000000000242</v>
      </c>
      <c r="G390" s="3">
        <f ca="1">'ETF price'!H392-'ETF price'!H391</f>
        <v>-0.16000000000000014</v>
      </c>
      <c r="H390" s="3">
        <f ca="1">'ETF price'!I392-'ETF price'!I391</f>
        <v>-0.30000000000001137</v>
      </c>
      <c r="I390" s="3">
        <f ca="1">'ETF price'!J392-'ETF price'!J391</f>
        <v>-0.81000000000000227</v>
      </c>
      <c r="J390" s="3">
        <f ca="1">'ETF price'!K392-'ETF price'!K391</f>
        <v>-2.0500000000000114</v>
      </c>
      <c r="K390" s="3">
        <f ca="1">'ETF price'!L392-'ETF price'!L391</f>
        <v>-1.5499999999999972</v>
      </c>
      <c r="L390" s="3">
        <f ca="1">'ETF price'!M392-'ETF price'!M391</f>
        <v>-0.6699999999999946</v>
      </c>
      <c r="M390" s="3">
        <f ca="1">'ETF price'!N392-'ETF price'!N391</f>
        <v>-0.23000000000000398</v>
      </c>
      <c r="N390" s="3">
        <f ca="1">'ETF price'!O392-'ETF price'!O391</f>
        <v>-1.0600000000000023</v>
      </c>
      <c r="O390" s="3">
        <f ca="1">'ETF price'!P392-'ETF price'!P391</f>
        <v>1.3599999999999994</v>
      </c>
      <c r="P390" s="3">
        <f ca="1">'ETF price'!Q392-'ETF price'!Q391</f>
        <v>1.8900000000000006</v>
      </c>
      <c r="Q390" s="3">
        <f ca="1">'ETF price'!R392-'ETF price'!R391</f>
        <v>0.26000000000000512</v>
      </c>
      <c r="R390" s="3">
        <f ca="1">'ETF price'!S392-'ETF price'!S391</f>
        <v>0.60999999999999943</v>
      </c>
      <c r="S390" s="3">
        <f ca="1">'ETF price'!T392-'ETF price'!T391</f>
        <v>0.42999999999999972</v>
      </c>
      <c r="T390" s="3">
        <f ca="1">'ETF price'!U392-'ETF price'!U391</f>
        <v>1.7000000000000028</v>
      </c>
      <c r="U390" s="3">
        <f ca="1">'ETF price'!V392-'ETF price'!V391</f>
        <v>-0.23000000000000398</v>
      </c>
      <c r="V390" s="3">
        <f ca="1">'ETF price'!W392-'ETF price'!W391</f>
        <v>0.34000000000000341</v>
      </c>
      <c r="W390" s="3">
        <f ca="1">'ETF price'!X392-'ETF price'!X391</f>
        <v>0.87000000000000455</v>
      </c>
      <c r="X390" s="3">
        <f ca="1">'ETF price'!Y392-'ETF price'!Y391</f>
        <v>0.81000000000000227</v>
      </c>
      <c r="Y390" s="3">
        <f ca="1">'ETF price'!Z392-'ETF price'!Z391</f>
        <v>0.71000000000000796</v>
      </c>
      <c r="Z390" s="3">
        <f ca="1">'ETF price'!AA392-'ETF price'!AA391</f>
        <v>0.36999999999999744</v>
      </c>
      <c r="AA390" s="3">
        <f ca="1">'ETF price'!AB392-'ETF price'!AB391</f>
        <v>1.1699999999999946</v>
      </c>
      <c r="AB390" s="3">
        <f ca="1">'ETF price'!AC392-'ETF price'!AC391</f>
        <v>-0.88000000000000256</v>
      </c>
      <c r="AC390" s="3">
        <f ca="1">'ETF price'!AD392-'ETF price'!AD391</f>
        <v>-0.28999999999999915</v>
      </c>
      <c r="AD390" s="3">
        <f ca="1">'ETF price'!AE392-'ETF price'!AE391</f>
        <v>-0.42999999999999972</v>
      </c>
      <c r="AE390" s="3">
        <f ca="1">'ETF price'!AF392-'ETF price'!AF391</f>
        <v>-2.0000000000000018E-2</v>
      </c>
      <c r="AF390" s="3">
        <f ca="1">'ETF price'!AG392-'ETF price'!AG391</f>
        <v>-0.67000000000000171</v>
      </c>
    </row>
    <row r="391" spans="1:32" ht="12.75" x14ac:dyDescent="0.2">
      <c r="A391" s="3">
        <f ca="1">'ETF price'!B393-'ETF price'!B392</f>
        <v>2.0200000000000102</v>
      </c>
      <c r="B391" s="3">
        <f ca="1">'ETF price'!C393-'ETF price'!C392</f>
        <v>5.0999999999999659</v>
      </c>
      <c r="C391" s="3">
        <f ca="1">'ETF price'!D393-'ETF price'!D392</f>
        <v>2.1700000000000017</v>
      </c>
      <c r="D391" s="3">
        <f ca="1">'ETF price'!E393-'ETF price'!E392</f>
        <v>2.8600000000000136</v>
      </c>
      <c r="E391" s="3">
        <f ca="1">'ETF price'!F393-'ETF price'!F392</f>
        <v>0.54999999999999716</v>
      </c>
      <c r="F391" s="3">
        <f ca="1">'ETF price'!G393-'ETF price'!G392</f>
        <v>0.33999999999999986</v>
      </c>
      <c r="G391" s="3">
        <f ca="1">'ETF price'!H393-'ETF price'!H392</f>
        <v>8.9999999999999858E-2</v>
      </c>
      <c r="H391" s="3">
        <f ca="1">'ETF price'!I393-'ETF price'!I392</f>
        <v>-6.0000000000002274E-2</v>
      </c>
      <c r="I391" s="3">
        <f ca="1">'ETF price'!J393-'ETF price'!J392</f>
        <v>-0.23000000000001819</v>
      </c>
      <c r="J391" s="3">
        <f ca="1">'ETF price'!K393-'ETF price'!K392</f>
        <v>-0.30999999999997385</v>
      </c>
      <c r="K391" s="3">
        <f ca="1">'ETF price'!L393-'ETF price'!L392</f>
        <v>-0.26000000000000512</v>
      </c>
      <c r="L391" s="3">
        <f ca="1">'ETF price'!M393-'ETF price'!M392</f>
        <v>-0.24000000000000199</v>
      </c>
      <c r="M391" s="3">
        <f ca="1">'ETF price'!N393-'ETF price'!N392</f>
        <v>-4.9999999999997158E-2</v>
      </c>
      <c r="N391" s="3">
        <f ca="1">'ETF price'!O393-'ETF price'!O392</f>
        <v>-5.9999999999995168E-2</v>
      </c>
      <c r="O391" s="3">
        <f ca="1">'ETF price'!P393-'ETF price'!P392</f>
        <v>0.45000000000000284</v>
      </c>
      <c r="P391" s="3">
        <f ca="1">'ETF price'!Q393-'ETF price'!Q392</f>
        <v>0.71000000000000796</v>
      </c>
      <c r="Q391" s="3">
        <f ca="1">'ETF price'!R393-'ETF price'!R392</f>
        <v>1.5099999999999909</v>
      </c>
      <c r="R391" s="3">
        <f ca="1">'ETF price'!S393-'ETF price'!S392</f>
        <v>1.0300000000000011</v>
      </c>
      <c r="S391" s="3">
        <f ca="1">'ETF price'!T393-'ETF price'!T392</f>
        <v>8.9999999999999858E-2</v>
      </c>
      <c r="T391" s="3">
        <f ca="1">'ETF price'!U393-'ETF price'!U392</f>
        <v>0.46999999999999886</v>
      </c>
      <c r="U391" s="3">
        <f ca="1">'ETF price'!V393-'ETF price'!V392</f>
        <v>0.12000000000000455</v>
      </c>
      <c r="V391" s="3">
        <f ca="1">'ETF price'!W393-'ETF price'!W392</f>
        <v>-0.23000000000000398</v>
      </c>
      <c r="W391" s="3">
        <f ca="1">'ETF price'!X393-'ETF price'!X392</f>
        <v>-0.59000000000000341</v>
      </c>
      <c r="X391" s="3">
        <f ca="1">'ETF price'!Y393-'ETF price'!Y392</f>
        <v>-0.50999999999999801</v>
      </c>
      <c r="Y391" s="3">
        <f ca="1">'ETF price'!Z393-'ETF price'!Z392</f>
        <v>-0.49000000000000909</v>
      </c>
      <c r="Z391" s="3">
        <f ca="1">'ETF price'!AA393-'ETF price'!AA392</f>
        <v>-0.28999999999999915</v>
      </c>
      <c r="AA391" s="3">
        <f ca="1">'ETF price'!AB393-'ETF price'!AB392</f>
        <v>-0.89999999999999858</v>
      </c>
      <c r="AB391" s="3">
        <f ca="1">'ETF price'!AC393-'ETF price'!AC392</f>
        <v>0.28999999999999915</v>
      </c>
      <c r="AC391" s="3">
        <f ca="1">'ETF price'!AD393-'ETF price'!AD392</f>
        <v>2.9999999999999361E-2</v>
      </c>
      <c r="AD391" s="3">
        <f ca="1">'ETF price'!AE393-'ETF price'!AE392</f>
        <v>5.0000000000000711E-2</v>
      </c>
      <c r="AE391" s="3">
        <f ca="1">'ETF price'!AF393-'ETF price'!AF392</f>
        <v>-8.9999999999999858E-2</v>
      </c>
      <c r="AF391" s="3">
        <f ca="1">'ETF price'!AG393-'ETF price'!AG392</f>
        <v>0.15999999999999659</v>
      </c>
    </row>
    <row r="392" spans="1:32" ht="12.75" x14ac:dyDescent="0.2">
      <c r="A392" s="3">
        <f ca="1">'ETF price'!B394-'ETF price'!B393</f>
        <v>-2.4000000000000057</v>
      </c>
      <c r="B392" s="3">
        <f ca="1">'ETF price'!C394-'ETF price'!C393</f>
        <v>-5.2199999999999704</v>
      </c>
      <c r="C392" s="3">
        <f ca="1">'ETF price'!D394-'ETF price'!D393</f>
        <v>0.40999999999999659</v>
      </c>
      <c r="D392" s="3">
        <f ca="1">'ETF price'!E394-'ETF price'!E393</f>
        <v>-2.3900000000000148</v>
      </c>
      <c r="E392" s="3">
        <f ca="1">'ETF price'!F394-'ETF price'!F393</f>
        <v>0.31000000000000227</v>
      </c>
      <c r="F392" s="3">
        <f ca="1">'ETF price'!G394-'ETF price'!G393</f>
        <v>0.19000000000000128</v>
      </c>
      <c r="G392" s="3">
        <f ca="1">'ETF price'!H394-'ETF price'!H393</f>
        <v>9.9999999999980105E-3</v>
      </c>
      <c r="H392" s="3">
        <f ca="1">'ETF price'!I394-'ETF price'!I393</f>
        <v>-9.0000000000003411E-2</v>
      </c>
      <c r="I392" s="3">
        <f ca="1">'ETF price'!J394-'ETF price'!J393</f>
        <v>-4.9999999999982947E-2</v>
      </c>
      <c r="J392" s="3">
        <f ca="1">'ETF price'!K394-'ETF price'!K393</f>
        <v>-0.27000000000001023</v>
      </c>
      <c r="K392" s="3">
        <f ca="1">'ETF price'!L394-'ETF price'!L393</f>
        <v>-0.10999999999999943</v>
      </c>
      <c r="L392" s="3">
        <f ca="1">'ETF price'!M394-'ETF price'!M393</f>
        <v>-4.9999999999997158E-2</v>
      </c>
      <c r="M392" s="3">
        <f ca="1">'ETF price'!N394-'ETF price'!N393</f>
        <v>9.9999999999909051E-3</v>
      </c>
      <c r="N392" s="3">
        <f ca="1">'ETF price'!O394-'ETF price'!O393</f>
        <v>0.11999999999999744</v>
      </c>
      <c r="O392" s="3">
        <f ca="1">'ETF price'!P394-'ETF price'!P393</f>
        <v>3.0000000000001137E-2</v>
      </c>
      <c r="P392" s="3">
        <f ca="1">'ETF price'!Q394-'ETF price'!Q393</f>
        <v>-1.9999999999996021E-2</v>
      </c>
      <c r="Q392" s="3">
        <f ca="1">'ETF price'!R394-'ETF price'!R393</f>
        <v>-0.28999999999999204</v>
      </c>
      <c r="R392" s="3">
        <f ca="1">'ETF price'!S394-'ETF price'!S393</f>
        <v>-7.0000000000000284E-2</v>
      </c>
      <c r="S392" s="3">
        <f ca="1">'ETF price'!T394-'ETF price'!T393</f>
        <v>-0.12000000000000099</v>
      </c>
      <c r="T392" s="3">
        <f ca="1">'ETF price'!U394-'ETF price'!U393</f>
        <v>-0.5</v>
      </c>
      <c r="U392" s="3">
        <f ca="1">'ETF price'!V394-'ETF price'!V393</f>
        <v>-1.0200000000000102</v>
      </c>
      <c r="V392" s="3">
        <f ca="1">'ETF price'!W394-'ETF price'!W393</f>
        <v>0.21000000000000085</v>
      </c>
      <c r="W392" s="3">
        <f ca="1">'ETF price'!X394-'ETF price'!X393</f>
        <v>0.75999999999999091</v>
      </c>
      <c r="X392" s="3">
        <f ca="1">'ETF price'!Y394-'ETF price'!Y393</f>
        <v>1.509999999999998</v>
      </c>
      <c r="Y392" s="3">
        <f ca="1">'ETF price'!Z394-'ETF price'!Z393</f>
        <v>0.77000000000001023</v>
      </c>
      <c r="Z392" s="3">
        <f ca="1">'ETF price'!AA394-'ETF price'!AA393</f>
        <v>0.14000000000000057</v>
      </c>
      <c r="AA392" s="3">
        <f ca="1">'ETF price'!AB394-'ETF price'!AB393</f>
        <v>2.2100000000000009</v>
      </c>
      <c r="AB392" s="3">
        <f ca="1">'ETF price'!AC394-'ETF price'!AC393</f>
        <v>0.23000000000000398</v>
      </c>
      <c r="AC392" s="3">
        <f ca="1">'ETF price'!AD394-'ETF price'!AD393</f>
        <v>7.0000000000000284E-2</v>
      </c>
      <c r="AD392" s="3">
        <f ca="1">'ETF price'!AE394-'ETF price'!AE393</f>
        <v>9.9999999999999645E-2</v>
      </c>
      <c r="AE392" s="3">
        <f ca="1">'ETF price'!AF394-'ETF price'!AF393</f>
        <v>4.9999999999999822E-2</v>
      </c>
      <c r="AF392" s="3">
        <f ca="1">'ETF price'!AG394-'ETF price'!AG393</f>
        <v>1.25</v>
      </c>
    </row>
    <row r="393" spans="1:32" ht="12.75" x14ac:dyDescent="0.2">
      <c r="A393" s="3">
        <f ca="1">'ETF price'!B395-'ETF price'!B394</f>
        <v>-0.50999999999999091</v>
      </c>
      <c r="B393" s="3">
        <f ca="1">'ETF price'!C395-'ETF price'!C394</f>
        <v>-2.0600000000000023</v>
      </c>
      <c r="C393" s="3">
        <f ca="1">'ETF price'!D395-'ETF price'!D394</f>
        <v>-7.9999999999998295E-2</v>
      </c>
      <c r="D393" s="3">
        <f ca="1">'ETF price'!E395-'ETF price'!E394</f>
        <v>3.210000000000008</v>
      </c>
      <c r="E393" s="3">
        <f ca="1">'ETF price'!F395-'ETF price'!F394</f>
        <v>-0.46999999999999886</v>
      </c>
      <c r="F393" s="3">
        <f ca="1">'ETF price'!G395-'ETF price'!G394</f>
        <v>-0.28000000000000114</v>
      </c>
      <c r="G393" s="3">
        <f ca="1">'ETF price'!H395-'ETF price'!H394</f>
        <v>-0.21000000000000085</v>
      </c>
      <c r="H393" s="3">
        <f ca="1">'ETF price'!I395-'ETF price'!I394</f>
        <v>-1</v>
      </c>
      <c r="I393" s="3">
        <f ca="1">'ETF price'!J395-'ETF price'!J394</f>
        <v>-1.8000000000000114</v>
      </c>
      <c r="J393" s="3">
        <f ca="1">'ETF price'!K395-'ETF price'!K394</f>
        <v>-0.93000000000000682</v>
      </c>
      <c r="K393" s="3">
        <f ca="1">'ETF price'!L395-'ETF price'!L394</f>
        <v>-1.2800000000000011</v>
      </c>
      <c r="L393" s="3">
        <f ca="1">'ETF price'!M395-'ETF price'!M394</f>
        <v>-0.53000000000000114</v>
      </c>
      <c r="M393" s="3">
        <f ca="1">'ETF price'!N395-'ETF price'!N394</f>
        <v>-0.45999999999999375</v>
      </c>
      <c r="N393" s="3">
        <f ca="1">'ETF price'!O395-'ETF price'!O394</f>
        <v>-0.84000000000000341</v>
      </c>
      <c r="O393" s="3">
        <f ca="1">'ETF price'!P395-'ETF price'!P394</f>
        <v>-0.54999999999999716</v>
      </c>
      <c r="P393" s="3">
        <f ca="1">'ETF price'!Q395-'ETF price'!Q394</f>
        <v>-0.85999999999999943</v>
      </c>
      <c r="Q393" s="3">
        <f ca="1">'ETF price'!R395-'ETF price'!R394</f>
        <v>-0.54999999999999716</v>
      </c>
      <c r="R393" s="3">
        <f ca="1">'ETF price'!S395-'ETF price'!S394</f>
        <v>-0.99000000000000199</v>
      </c>
      <c r="S393" s="3">
        <f ca="1">'ETF price'!T395-'ETF price'!T394</f>
        <v>-5.9999999999998721E-2</v>
      </c>
      <c r="T393" s="3">
        <f ca="1">'ETF price'!U395-'ETF price'!U394</f>
        <v>0.77000000000001023</v>
      </c>
      <c r="U393" s="3">
        <f ca="1">'ETF price'!V395-'ETF price'!V394</f>
        <v>-1.8900000000000006</v>
      </c>
      <c r="V393" s="3">
        <f ca="1">'ETF price'!W395-'ETF price'!W394</f>
        <v>-0.44999999999999574</v>
      </c>
      <c r="W393" s="3">
        <f ca="1">'ETF price'!X395-'ETF price'!X394</f>
        <v>-1.1899999999999977</v>
      </c>
      <c r="X393" s="3">
        <f ca="1">'ETF price'!Y395-'ETF price'!Y394</f>
        <v>-0.63000000000000256</v>
      </c>
      <c r="Y393" s="3">
        <f ca="1">'ETF price'!Z395-'ETF price'!Z394</f>
        <v>-0.95000000000000284</v>
      </c>
      <c r="Z393" s="3">
        <f ca="1">'ETF price'!AA395-'ETF price'!AA394</f>
        <v>-0.82000000000000028</v>
      </c>
      <c r="AA393" s="3">
        <f ca="1">'ETF price'!AB395-'ETF price'!AB394</f>
        <v>-0.82999999999999829</v>
      </c>
      <c r="AB393" s="3">
        <f ca="1">'ETF price'!AC395-'ETF price'!AC394</f>
        <v>-0.13000000000000256</v>
      </c>
      <c r="AC393" s="3">
        <f ca="1">'ETF price'!AD395-'ETF price'!AD394</f>
        <v>-0.10999999999999943</v>
      </c>
      <c r="AD393" s="3">
        <f ca="1">'ETF price'!AE395-'ETF price'!AE394</f>
        <v>-0.19999999999999929</v>
      </c>
      <c r="AE393" s="3">
        <f ca="1">'ETF price'!AF395-'ETF price'!AF394</f>
        <v>8.0000000000000071E-2</v>
      </c>
      <c r="AF393" s="3">
        <f ca="1">'ETF price'!AG395-'ETF price'!AG394</f>
        <v>-2.009999999999998</v>
      </c>
    </row>
    <row r="394" spans="1:32" ht="12.75" x14ac:dyDescent="0.2">
      <c r="A394" s="3">
        <f ca="1">'ETF price'!B396-'ETF price'!B395</f>
        <v>2.3899999999999864</v>
      </c>
      <c r="B394" s="3">
        <f ca="1">'ETF price'!C396-'ETF price'!C395</f>
        <v>6.339999999999975</v>
      </c>
      <c r="C394" s="3">
        <f ca="1">'ETF price'!D396-'ETF price'!D395</f>
        <v>-3.1500000000000057</v>
      </c>
      <c r="D394" s="3">
        <f ca="1">'ETF price'!E396-'ETF price'!E395</f>
        <v>3.7999999999999829</v>
      </c>
      <c r="E394" s="3">
        <f ca="1">'ETF price'!F396-'ETF price'!F395</f>
        <v>0.58999999999999631</v>
      </c>
      <c r="F394" s="3">
        <f ca="1">'ETF price'!G396-'ETF price'!G395</f>
        <v>0.10000000000000142</v>
      </c>
      <c r="G394" s="3">
        <f ca="1">'ETF price'!H396-'ETF price'!H395</f>
        <v>0.27000000000000313</v>
      </c>
      <c r="H394" s="3">
        <f ca="1">'ETF price'!I396-'ETF price'!I395</f>
        <v>0.40000000000000568</v>
      </c>
      <c r="I394" s="3">
        <f ca="1">'ETF price'!J396-'ETF price'!J395</f>
        <v>1</v>
      </c>
      <c r="J394" s="3">
        <f ca="1">'ETF price'!K396-'ETF price'!K395</f>
        <v>1.9500000000000171</v>
      </c>
      <c r="K394" s="3">
        <f ca="1">'ETF price'!L396-'ETF price'!L395</f>
        <v>2.0400000000000063</v>
      </c>
      <c r="L394" s="3">
        <f ca="1">'ETF price'!M396-'ETF price'!M395</f>
        <v>1</v>
      </c>
      <c r="M394" s="3">
        <f ca="1">'ETF price'!N396-'ETF price'!N395</f>
        <v>0.29999999999999716</v>
      </c>
      <c r="N394" s="3">
        <f ca="1">'ETF price'!O396-'ETF price'!O395</f>
        <v>1.0900000000000034</v>
      </c>
      <c r="O394" s="3">
        <f ca="1">'ETF price'!P396-'ETF price'!P395</f>
        <v>0.25999999999999091</v>
      </c>
      <c r="P394" s="3">
        <f ca="1">'ETF price'!Q396-'ETF price'!Q395</f>
        <v>0.57999999999999829</v>
      </c>
      <c r="Q394" s="3">
        <f ca="1">'ETF price'!R396-'ETF price'!R395</f>
        <v>0.5899999999999892</v>
      </c>
      <c r="R394" s="3">
        <f ca="1">'ETF price'!S396-'ETF price'!S395</f>
        <v>0.45000000000000284</v>
      </c>
      <c r="S394" s="3">
        <f ca="1">'ETF price'!T396-'ETF price'!T395</f>
        <v>0.14999999999999858</v>
      </c>
      <c r="T394" s="3">
        <f ca="1">'ETF price'!U396-'ETF price'!U395</f>
        <v>0.65999999999999659</v>
      </c>
      <c r="U394" s="3">
        <f ca="1">'ETF price'!V396-'ETF price'!V395</f>
        <v>0.13000000000000966</v>
      </c>
      <c r="V394" s="3">
        <f ca="1">'ETF price'!W396-'ETF price'!W395</f>
        <v>7.0000000000000284E-2</v>
      </c>
      <c r="W394" s="3">
        <f ca="1">'ETF price'!X396-'ETF price'!X395</f>
        <v>0.25</v>
      </c>
      <c r="X394" s="3">
        <f ca="1">'ETF price'!Y396-'ETF price'!Y395</f>
        <v>0.5</v>
      </c>
      <c r="Y394" s="3">
        <f ca="1">'ETF price'!Z396-'ETF price'!Z395</f>
        <v>0.14000000000000057</v>
      </c>
      <c r="Z394" s="3">
        <f ca="1">'ETF price'!AA396-'ETF price'!AA395</f>
        <v>-0.10999999999999943</v>
      </c>
      <c r="AA394" s="3">
        <f ca="1">'ETF price'!AB396-'ETF price'!AB395</f>
        <v>0.68999999999999773</v>
      </c>
      <c r="AB394" s="3">
        <f ca="1">'ETF price'!AC396-'ETF price'!AC395</f>
        <v>-0.72999999999999687</v>
      </c>
      <c r="AC394" s="3">
        <f ca="1">'ETF price'!AD396-'ETF price'!AD395</f>
        <v>8.9999999999999858E-2</v>
      </c>
      <c r="AD394" s="3">
        <f ca="1">'ETF price'!AE396-'ETF price'!AE395</f>
        <v>0.12999999999999901</v>
      </c>
      <c r="AE394" s="3">
        <f ca="1">'ETF price'!AF396-'ETF price'!AF395</f>
        <v>-0.11000000000000032</v>
      </c>
      <c r="AF394" s="3">
        <f ca="1">'ETF price'!AG396-'ETF price'!AG395</f>
        <v>0.97999999999999687</v>
      </c>
    </row>
    <row r="395" spans="1:32" ht="12.75" x14ac:dyDescent="0.2">
      <c r="A395" s="3">
        <f ca="1">'ETF price'!B397-'ETF price'!B396</f>
        <v>0.40999999999999659</v>
      </c>
      <c r="B395" s="3">
        <f ca="1">'ETF price'!C397-'ETF price'!C396</f>
        <v>2.2400000000000091</v>
      </c>
      <c r="C395" s="3">
        <f ca="1">'ETF price'!D397-'ETF price'!D396</f>
        <v>-0.5</v>
      </c>
      <c r="D395" s="3">
        <f ca="1">'ETF price'!E397-'ETF price'!E396</f>
        <v>0.73000000000001819</v>
      </c>
      <c r="E395" s="3">
        <f ca="1">'ETF price'!F397-'ETF price'!F396</f>
        <v>0.67000000000000171</v>
      </c>
      <c r="F395" s="3">
        <f ca="1">'ETF price'!G397-'ETF price'!G396</f>
        <v>7.0000000000000284E-2</v>
      </c>
      <c r="G395" s="3">
        <f ca="1">'ETF price'!H397-'ETF price'!H396</f>
        <v>0.16999999999999815</v>
      </c>
      <c r="H395" s="3">
        <f ca="1">'ETF price'!I397-'ETF price'!I396</f>
        <v>-1.039999999999992</v>
      </c>
      <c r="I395" s="3">
        <f ca="1">'ETF price'!J397-'ETF price'!J396</f>
        <v>-1.539999999999992</v>
      </c>
      <c r="J395" s="3">
        <f ca="1">'ETF price'!K397-'ETF price'!K396</f>
        <v>-0.55000000000001137</v>
      </c>
      <c r="K395" s="3">
        <f ca="1">'ETF price'!L397-'ETF price'!L396</f>
        <v>0.48000000000000398</v>
      </c>
      <c r="L395" s="3">
        <f ca="1">'ETF price'!M397-'ETF price'!M396</f>
        <v>-0.15999999999999659</v>
      </c>
      <c r="M395" s="3">
        <f ca="1">'ETF price'!N397-'ETF price'!N396</f>
        <v>-0.46000000000000085</v>
      </c>
      <c r="N395" s="3">
        <f ca="1">'ETF price'!O397-'ETF price'!O396</f>
        <v>-0.17000000000000171</v>
      </c>
      <c r="O395" s="3">
        <f ca="1">'ETF price'!P397-'ETF price'!P396</f>
        <v>1.6300000000000097</v>
      </c>
      <c r="P395" s="3">
        <f ca="1">'ETF price'!Q397-'ETF price'!Q396</f>
        <v>2.3799999999999955</v>
      </c>
      <c r="Q395" s="3">
        <f ca="1">'ETF price'!R397-'ETF price'!R396</f>
        <v>0.45000000000000284</v>
      </c>
      <c r="R395" s="3">
        <f ca="1">'ETF price'!S397-'ETF price'!S396</f>
        <v>1.2199999999999989</v>
      </c>
      <c r="S395" s="3">
        <f ca="1">'ETF price'!T397-'ETF price'!T396</f>
        <v>0.10000000000000142</v>
      </c>
      <c r="T395" s="3">
        <f ca="1">'ETF price'!U397-'ETF price'!U396</f>
        <v>1.0799999999999983</v>
      </c>
      <c r="U395" s="3">
        <f ca="1">'ETF price'!V397-'ETF price'!V396</f>
        <v>0.28000000000000114</v>
      </c>
      <c r="V395" s="3">
        <f ca="1">'ETF price'!W397-'ETF price'!W396</f>
        <v>0.12999999999999545</v>
      </c>
      <c r="W395" s="3">
        <f ca="1">'ETF price'!X397-'ETF price'!X396</f>
        <v>0.35999999999999943</v>
      </c>
      <c r="X395" s="3">
        <f ca="1">'ETF price'!Y397-'ETF price'!Y396</f>
        <v>2.0000000000003126E-2</v>
      </c>
      <c r="Y395" s="3">
        <f ca="1">'ETF price'!Z397-'ETF price'!Z396</f>
        <v>0.23999999999999488</v>
      </c>
      <c r="Z395" s="3">
        <f ca="1">'ETF price'!AA397-'ETF price'!AA396</f>
        <v>0.29999999999999716</v>
      </c>
      <c r="AA395" s="3">
        <f ca="1">'ETF price'!AB397-'ETF price'!AB396</f>
        <v>-3.0000000000001137E-2</v>
      </c>
      <c r="AB395" s="3">
        <f ca="1">'ETF price'!AC397-'ETF price'!AC396</f>
        <v>0.17999999999999972</v>
      </c>
      <c r="AC395" s="3">
        <f ca="1">'ETF price'!AD397-'ETF price'!AD396</f>
        <v>-8.0000000000000071E-2</v>
      </c>
      <c r="AD395" s="3">
        <f ca="1">'ETF price'!AE397-'ETF price'!AE396</f>
        <v>-0.11999999999999922</v>
      </c>
      <c r="AE395" s="3">
        <f ca="1">'ETF price'!AF397-'ETF price'!AF396</f>
        <v>8.0000000000000071E-2</v>
      </c>
      <c r="AF395" s="3">
        <f ca="1">'ETF price'!AG397-'ETF price'!AG396</f>
        <v>0.94000000000000483</v>
      </c>
    </row>
    <row r="396" spans="1:32" ht="12.75" x14ac:dyDescent="0.2">
      <c r="A396" s="3">
        <f ca="1">'ETF price'!B398-'ETF price'!B397</f>
        <v>0.30000000000001137</v>
      </c>
      <c r="B396" s="3">
        <f ca="1">'ETF price'!C398-'ETF price'!C397</f>
        <v>0.24000000000000909</v>
      </c>
      <c r="C396" s="3">
        <f ca="1">'ETF price'!D398-'ETF price'!D397</f>
        <v>-1.1700000000000017</v>
      </c>
      <c r="D396" s="3">
        <f ca="1">'ETF price'!E398-'ETF price'!E397</f>
        <v>0.12000000000000455</v>
      </c>
      <c r="E396" s="3">
        <f ca="1">'ETF price'!F398-'ETF price'!F397</f>
        <v>0.35999999999999943</v>
      </c>
      <c r="F396" s="3">
        <f ca="1">'ETF price'!G398-'ETF price'!G397</f>
        <v>-0.41000000000000014</v>
      </c>
      <c r="G396" s="3">
        <f ca="1">'ETF price'!H398-'ETF price'!H397</f>
        <v>-0.26999999999999957</v>
      </c>
      <c r="H396" s="3">
        <f ca="1">'ETF price'!I398-'ETF price'!I397</f>
        <v>-0.70000000000001705</v>
      </c>
      <c r="I396" s="3">
        <f ca="1">'ETF price'!J398-'ETF price'!J397</f>
        <v>-1.4099999999999966</v>
      </c>
      <c r="J396" s="3">
        <f ca="1">'ETF price'!K398-'ETF price'!K397</f>
        <v>-1.2599999999999909</v>
      </c>
      <c r="K396" s="3">
        <f ca="1">'ETF price'!L398-'ETF price'!L397</f>
        <v>-0.99000000000000909</v>
      </c>
      <c r="L396" s="3">
        <f ca="1">'ETF price'!M398-'ETF price'!M397</f>
        <v>-1.230000000000004</v>
      </c>
      <c r="M396" s="3">
        <f ca="1">'ETF price'!N398-'ETF price'!N397</f>
        <v>-0.33999999999999631</v>
      </c>
      <c r="N396" s="3">
        <f ca="1">'ETF price'!O398-'ETF price'!O397</f>
        <v>-0.83999999999999631</v>
      </c>
      <c r="O396" s="3">
        <f ca="1">'ETF price'!P398-'ETF price'!P397</f>
        <v>-0.4100000000000108</v>
      </c>
      <c r="P396" s="3">
        <f ca="1">'ETF price'!Q398-'ETF price'!Q397</f>
        <v>-0.59000000000000341</v>
      </c>
      <c r="Q396" s="3">
        <f ca="1">'ETF price'!R398-'ETF price'!R397</f>
        <v>-0.37999999999999545</v>
      </c>
      <c r="R396" s="3">
        <f ca="1">'ETF price'!S398-'ETF price'!S397</f>
        <v>-0.60000000000000142</v>
      </c>
      <c r="S396" s="3">
        <f ca="1">'ETF price'!T398-'ETF price'!T397</f>
        <v>-0.12999999999999901</v>
      </c>
      <c r="T396" s="3">
        <f ca="1">'ETF price'!U398-'ETF price'!U397</f>
        <v>-0.21000000000000796</v>
      </c>
      <c r="U396" s="3">
        <f ca="1">'ETF price'!V398-'ETF price'!V397</f>
        <v>-1.480000000000004</v>
      </c>
      <c r="V396" s="3">
        <f ca="1">'ETF price'!W398-'ETF price'!W397</f>
        <v>0</v>
      </c>
      <c r="W396" s="3">
        <f ca="1">'ETF price'!X398-'ETF price'!X397</f>
        <v>-9.9999999999994316E-2</v>
      </c>
      <c r="X396" s="3">
        <f ca="1">'ETF price'!Y398-'ETF price'!Y397</f>
        <v>-0.42000000000000171</v>
      </c>
      <c r="Y396" s="3">
        <f ca="1">'ETF price'!Z398-'ETF price'!Z397</f>
        <v>-0.28000000000000114</v>
      </c>
      <c r="Z396" s="3">
        <f ca="1">'ETF price'!AA398-'ETF price'!AA397</f>
        <v>-7.0000000000000284E-2</v>
      </c>
      <c r="AA396" s="3">
        <f ca="1">'ETF price'!AB398-'ETF price'!AB397</f>
        <v>-0.51999999999999602</v>
      </c>
      <c r="AB396" s="3">
        <f ca="1">'ETF price'!AC398-'ETF price'!AC397</f>
        <v>-3.0000000000001137E-2</v>
      </c>
      <c r="AC396" s="3">
        <f ca="1">'ETF price'!AD398-'ETF price'!AD397</f>
        <v>4.9999999999998934E-2</v>
      </c>
      <c r="AD396" s="3">
        <f ca="1">'ETF price'!AE398-'ETF price'!AE397</f>
        <v>-0.32000000000000028</v>
      </c>
      <c r="AE396" s="3">
        <f ca="1">'ETF price'!AF398-'ETF price'!AF397</f>
        <v>6.0000000000000053E-2</v>
      </c>
      <c r="AF396" s="3">
        <f ca="1">'ETF price'!AG398-'ETF price'!AG397</f>
        <v>-1.4100000000000037</v>
      </c>
    </row>
    <row r="397" spans="1:32" ht="12.75" x14ac:dyDescent="0.2">
      <c r="A397" s="3">
        <f ca="1">'ETF price'!B399-'ETF price'!B398</f>
        <v>-4.4200000000000159</v>
      </c>
      <c r="B397" s="3">
        <f ca="1">'ETF price'!C399-'ETF price'!C398</f>
        <v>-12.110000000000014</v>
      </c>
      <c r="C397" s="3">
        <f ca="1">'ETF price'!D399-'ETF price'!D398</f>
        <v>0.64000000000000057</v>
      </c>
      <c r="D397" s="3">
        <f ca="1">'ETF price'!E399-'ETF price'!E398</f>
        <v>-6.8400000000000034</v>
      </c>
      <c r="E397" s="3">
        <f ca="1">'ETF price'!F399-'ETF price'!F398</f>
        <v>-1.3299999999999983</v>
      </c>
      <c r="F397" s="3">
        <f ca="1">'ETF price'!G399-'ETF price'!G398</f>
        <v>-1.0199999999999996</v>
      </c>
      <c r="G397" s="3">
        <f ca="1">'ETF price'!H399-'ETF price'!H398</f>
        <v>-0.44999999999999929</v>
      </c>
      <c r="H397" s="3">
        <f ca="1">'ETF price'!I399-'ETF price'!I398</f>
        <v>9.0000000000003411E-2</v>
      </c>
      <c r="I397" s="3">
        <f ca="1">'ETF price'!J399-'ETF price'!J398</f>
        <v>-0.33000000000001251</v>
      </c>
      <c r="J397" s="3">
        <f ca="1">'ETF price'!K399-'ETF price'!K398</f>
        <v>-0.69000000000001194</v>
      </c>
      <c r="K397" s="3">
        <f ca="1">'ETF price'!L399-'ETF price'!L398</f>
        <v>-1.2399999999999949</v>
      </c>
      <c r="L397" s="3">
        <f ca="1">'ETF price'!M399-'ETF price'!M398</f>
        <v>-0.17000000000000171</v>
      </c>
      <c r="M397" s="3">
        <f ca="1">'ETF price'!N399-'ETF price'!N398</f>
        <v>-7.9999999999998295E-2</v>
      </c>
      <c r="N397" s="3">
        <f ca="1">'ETF price'!O399-'ETF price'!O398</f>
        <v>-0.88000000000000256</v>
      </c>
      <c r="O397" s="3">
        <f ca="1">'ETF price'!P399-'ETF price'!P398</f>
        <v>-1.1399999999999864</v>
      </c>
      <c r="P397" s="3">
        <f ca="1">'ETF price'!Q399-'ETF price'!Q398</f>
        <v>-1.5600000000000023</v>
      </c>
      <c r="Q397" s="3">
        <f ca="1">'ETF price'!R399-'ETF price'!R398</f>
        <v>-1.0600000000000023</v>
      </c>
      <c r="R397" s="3">
        <f ca="1">'ETF price'!S399-'ETF price'!S398</f>
        <v>-1.5399999999999991</v>
      </c>
      <c r="S397" s="3">
        <f ca="1">'ETF price'!T399-'ETF price'!T398</f>
        <v>-0.37000000000000099</v>
      </c>
      <c r="T397" s="3">
        <f ca="1">'ETF price'!U399-'ETF price'!U398</f>
        <v>-1.4799999999999898</v>
      </c>
      <c r="U397" s="3">
        <f ca="1">'ETF price'!V399-'ETF price'!V398</f>
        <v>-3.6799999999999997</v>
      </c>
      <c r="V397" s="3">
        <f ca="1">'ETF price'!W399-'ETF price'!W398</f>
        <v>-0.29999999999999716</v>
      </c>
      <c r="W397" s="3">
        <f ca="1">'ETF price'!X399-'ETF price'!X398</f>
        <v>-0.76000000000000512</v>
      </c>
      <c r="X397" s="3">
        <f ca="1">'ETF price'!Y399-'ETF price'!Y398</f>
        <v>-0.21999999999999886</v>
      </c>
      <c r="Y397" s="3">
        <f ca="1">'ETF price'!Z399-'ETF price'!Z398</f>
        <v>-0.5899999999999892</v>
      </c>
      <c r="Z397" s="3">
        <f ca="1">'ETF price'!AA399-'ETF price'!AA398</f>
        <v>-0.15999999999999659</v>
      </c>
      <c r="AA397" s="3">
        <f ca="1">'ETF price'!AB399-'ETF price'!AB398</f>
        <v>-0.21999999999999886</v>
      </c>
      <c r="AB397" s="3">
        <f ca="1">'ETF price'!AC399-'ETF price'!AC398</f>
        <v>0.51999999999999602</v>
      </c>
      <c r="AC397" s="3">
        <f ca="1">'ETF price'!AD399-'ETF price'!AD398</f>
        <v>-6.9999999999998508E-2</v>
      </c>
      <c r="AD397" s="3">
        <f ca="1">'ETF price'!AE399-'ETF price'!AE398</f>
        <v>-8.0000000000000071E-2</v>
      </c>
      <c r="AE397" s="3">
        <f ca="1">'ETF price'!AF399-'ETF price'!AF398</f>
        <v>-2.9999999999999805E-2</v>
      </c>
      <c r="AF397" s="3">
        <f ca="1">'ETF price'!AG399-'ETF price'!AG398</f>
        <v>-1.0899999999999963</v>
      </c>
    </row>
    <row r="398" spans="1:32" ht="12.75" x14ac:dyDescent="0.2">
      <c r="A398" s="3">
        <f ca="1">'ETF price'!B400-'ETF price'!B399</f>
        <v>-0.70999999999997954</v>
      </c>
      <c r="B398" s="3">
        <f ca="1">'ETF price'!C400-'ETF price'!C399</f>
        <v>-1.75</v>
      </c>
      <c r="C398" s="3">
        <f ca="1">'ETF price'!D400-'ETF price'!D399</f>
        <v>-1.0699999999999932</v>
      </c>
      <c r="D398" s="3">
        <f ca="1">'ETF price'!E400-'ETF price'!E399</f>
        <v>-0.43999999999999773</v>
      </c>
      <c r="E398" s="3">
        <f ca="1">'ETF price'!F400-'ETF price'!F399</f>
        <v>0.35000000000000142</v>
      </c>
      <c r="F398" s="3">
        <f ca="1">'ETF price'!G400-'ETF price'!G399</f>
        <v>-0.15000000000000213</v>
      </c>
      <c r="G398" s="3">
        <f ca="1">'ETF price'!H400-'ETF price'!H399</f>
        <v>-6.0000000000002274E-2</v>
      </c>
      <c r="H398" s="3">
        <f ca="1">'ETF price'!I400-'ETF price'!I399</f>
        <v>-0.66999999999998749</v>
      </c>
      <c r="I398" s="3">
        <f ca="1">'ETF price'!J400-'ETF price'!J399</f>
        <v>-1.5099999999999909</v>
      </c>
      <c r="J398" s="3">
        <f ca="1">'ETF price'!K400-'ETF price'!K399</f>
        <v>-0.46999999999999886</v>
      </c>
      <c r="K398" s="3">
        <f ca="1">'ETF price'!L400-'ETF price'!L399</f>
        <v>-0.79000000000000625</v>
      </c>
      <c r="L398" s="3">
        <f ca="1">'ETF price'!M400-'ETF price'!M399</f>
        <v>-0.78999999999999915</v>
      </c>
      <c r="M398" s="3">
        <f ca="1">'ETF price'!N400-'ETF price'!N399</f>
        <v>-0.36000000000000654</v>
      </c>
      <c r="N398" s="3">
        <f ca="1">'ETF price'!O400-'ETF price'!O399</f>
        <v>-0.60000000000000142</v>
      </c>
      <c r="O398" s="3">
        <f ca="1">'ETF price'!P400-'ETF price'!P399</f>
        <v>0.86999999999999034</v>
      </c>
      <c r="P398" s="3">
        <f ca="1">'ETF price'!Q400-'ETF price'!Q399</f>
        <v>1.3300000000000125</v>
      </c>
      <c r="Q398" s="3">
        <f ca="1">'ETF price'!R400-'ETF price'!R399</f>
        <v>-0.51999999999999602</v>
      </c>
      <c r="R398" s="3">
        <f ca="1">'ETF price'!S400-'ETF price'!S399</f>
        <v>-0.11999999999999744</v>
      </c>
      <c r="S398" s="3">
        <f ca="1">'ETF price'!T400-'ETF price'!T399</f>
        <v>0.23000000000000043</v>
      </c>
      <c r="T398" s="3">
        <f ca="1">'ETF price'!U400-'ETF price'!U399</f>
        <v>1.6599999999999966</v>
      </c>
      <c r="U398" s="3">
        <f ca="1">'ETF price'!V400-'ETF price'!V399</f>
        <v>0.25</v>
      </c>
      <c r="V398" s="3">
        <f ca="1">'ETF price'!W400-'ETF price'!W399</f>
        <v>1.9999999999996021E-2</v>
      </c>
      <c r="W398" s="3">
        <f ca="1">'ETF price'!X400-'ETF price'!X399</f>
        <v>0.10999999999999943</v>
      </c>
      <c r="X398" s="3">
        <f ca="1">'ETF price'!Y400-'ETF price'!Y399</f>
        <v>0.45000000000000284</v>
      </c>
      <c r="Y398" s="3">
        <f ca="1">'ETF price'!Z400-'ETF price'!Z399</f>
        <v>0.25</v>
      </c>
      <c r="Z398" s="3">
        <f ca="1">'ETF price'!AA400-'ETF price'!AA399</f>
        <v>-0.52000000000000313</v>
      </c>
      <c r="AA398" s="3">
        <f ca="1">'ETF price'!AB400-'ETF price'!AB399</f>
        <v>0.4199999999999946</v>
      </c>
      <c r="AB398" s="3">
        <f ca="1">'ETF price'!AC400-'ETF price'!AC399</f>
        <v>-0.54999999999999716</v>
      </c>
      <c r="AC398" s="3">
        <f ca="1">'ETF price'!AD400-'ETF price'!AD399</f>
        <v>5.9999999999998721E-2</v>
      </c>
      <c r="AD398" s="3">
        <f ca="1">'ETF price'!AE400-'ETF price'!AE399</f>
        <v>8.0000000000000071E-2</v>
      </c>
      <c r="AE398" s="3">
        <f ca="1">'ETF price'!AF400-'ETF price'!AF399</f>
        <v>-0.10000000000000009</v>
      </c>
      <c r="AF398" s="3">
        <f ca="1">'ETF price'!AG400-'ETF price'!AG399</f>
        <v>-0.67999999999999972</v>
      </c>
    </row>
    <row r="399" spans="1:32" ht="12.75" x14ac:dyDescent="0.2">
      <c r="A399" s="3">
        <f ca="1">'ETF price'!B401-'ETF price'!B400</f>
        <v>-2.3600000000000136</v>
      </c>
      <c r="B399" s="3">
        <f ca="1">'ETF price'!C401-'ETF price'!C400</f>
        <v>-5.7599999999999909</v>
      </c>
      <c r="C399" s="3">
        <f ca="1">'ETF price'!D401-'ETF price'!D400</f>
        <v>-1.6000000000000085</v>
      </c>
      <c r="D399" s="3">
        <f ca="1">'ETF price'!E401-'ETF price'!E400</f>
        <v>-0.27000000000001023</v>
      </c>
      <c r="E399" s="3">
        <f ca="1">'ETF price'!F401-'ETF price'!F400</f>
        <v>-0.98000000000000398</v>
      </c>
      <c r="F399" s="3">
        <f ca="1">'ETF price'!G401-'ETF price'!G400</f>
        <v>-2.9999999999997584E-2</v>
      </c>
      <c r="G399" s="3">
        <f ca="1">'ETF price'!H401-'ETF price'!H400</f>
        <v>-7.9999999999998295E-2</v>
      </c>
      <c r="H399" s="3">
        <f ca="1">'ETF price'!I401-'ETF price'!I400</f>
        <v>-0.46999999999999886</v>
      </c>
      <c r="I399" s="3">
        <f ca="1">'ETF price'!J401-'ETF price'!J400</f>
        <v>-0.55000000000001137</v>
      </c>
      <c r="J399" s="3">
        <f ca="1">'ETF price'!K401-'ETF price'!K400</f>
        <v>0.45999999999999375</v>
      </c>
      <c r="K399" s="3">
        <f ca="1">'ETF price'!L401-'ETF price'!L400</f>
        <v>-4.9999999999997158E-2</v>
      </c>
      <c r="L399" s="3">
        <f ca="1">'ETF price'!M401-'ETF price'!M400</f>
        <v>0.14999999999999858</v>
      </c>
      <c r="M399" s="3">
        <f ca="1">'ETF price'!N401-'ETF price'!N400</f>
        <v>-0.20999999999999375</v>
      </c>
      <c r="N399" s="3">
        <f ca="1">'ETF price'!O401-'ETF price'!O400</f>
        <v>-7.9999999999998295E-2</v>
      </c>
      <c r="O399" s="3">
        <f ca="1">'ETF price'!P401-'ETF price'!P400</f>
        <v>0.12000000000000455</v>
      </c>
      <c r="P399" s="3">
        <f ca="1">'ETF price'!Q401-'ETF price'!Q400</f>
        <v>0.15999999999999659</v>
      </c>
      <c r="Q399" s="3">
        <f ca="1">'ETF price'!R401-'ETF price'!R400</f>
        <v>-0.19000000000001194</v>
      </c>
      <c r="R399" s="3">
        <f ca="1">'ETF price'!S401-'ETF price'!S400</f>
        <v>3.9999999999999147E-2</v>
      </c>
      <c r="S399" s="3">
        <f ca="1">'ETF price'!T401-'ETF price'!T400</f>
        <v>3.9999999999999147E-2</v>
      </c>
      <c r="T399" s="3">
        <f ca="1">'ETF price'!U401-'ETF price'!U400</f>
        <v>0.65000000000000568</v>
      </c>
      <c r="U399" s="3">
        <f ca="1">'ETF price'!V401-'ETF price'!V400</f>
        <v>-0.91000000000000369</v>
      </c>
      <c r="V399" s="3">
        <f ca="1">'ETF price'!W401-'ETF price'!W400</f>
        <v>-0.14000000000000057</v>
      </c>
      <c r="W399" s="3">
        <f ca="1">'ETF price'!X401-'ETF price'!X400</f>
        <v>-0.28999999999999204</v>
      </c>
      <c r="X399" s="3">
        <f ca="1">'ETF price'!Y401-'ETF price'!Y400</f>
        <v>0.11999999999999744</v>
      </c>
      <c r="Y399" s="3">
        <f ca="1">'ETF price'!Z401-'ETF price'!Z400</f>
        <v>-0.25</v>
      </c>
      <c r="Z399" s="3">
        <f ca="1">'ETF price'!AA401-'ETF price'!AA400</f>
        <v>-0.36999999999999744</v>
      </c>
      <c r="AA399" s="3">
        <f ca="1">'ETF price'!AB401-'ETF price'!AB400</f>
        <v>0.19000000000000483</v>
      </c>
      <c r="AB399" s="3">
        <f ca="1">'ETF price'!AC401-'ETF price'!AC400</f>
        <v>-0.5</v>
      </c>
      <c r="AC399" s="3">
        <f ca="1">'ETF price'!AD401-'ETF price'!AD400</f>
        <v>-0.12999999999999901</v>
      </c>
      <c r="AD399" s="3">
        <f ca="1">'ETF price'!AE401-'ETF price'!AE400</f>
        <v>-0.16000000000000014</v>
      </c>
      <c r="AE399" s="3">
        <f ca="1">'ETF price'!AF401-'ETF price'!AF400</f>
        <v>-2.9999999999999805E-2</v>
      </c>
      <c r="AF399" s="3">
        <f ca="1">'ETF price'!AG401-'ETF price'!AG400</f>
        <v>-1.4100000000000037</v>
      </c>
    </row>
    <row r="400" spans="1:32" ht="12.75" x14ac:dyDescent="0.2">
      <c r="A400" s="3">
        <f ca="1">'ETF price'!B402-'ETF price'!B401</f>
        <v>0.47999999999998977</v>
      </c>
      <c r="B400" s="3">
        <f ca="1">'ETF price'!C402-'ETF price'!C401</f>
        <v>0.73000000000001819</v>
      </c>
      <c r="C400" s="3">
        <f ca="1">'ETF price'!D402-'ETF price'!D401</f>
        <v>0.15000000000000568</v>
      </c>
      <c r="D400" s="3">
        <f ca="1">'ETF price'!E402-'ETF price'!E401</f>
        <v>1.8000000000000114</v>
      </c>
      <c r="E400" s="3">
        <f ca="1">'ETF price'!F402-'ETF price'!F401</f>
        <v>0.30000000000000426</v>
      </c>
      <c r="F400" s="3">
        <f ca="1">'ETF price'!G402-'ETF price'!G401</f>
        <v>7.9999999999998295E-2</v>
      </c>
      <c r="G400" s="3">
        <f ca="1">'ETF price'!H402-'ETF price'!H401</f>
        <v>0.12000000000000099</v>
      </c>
      <c r="H400" s="3">
        <f ca="1">'ETF price'!I402-'ETF price'!I401</f>
        <v>1.5300000000000011</v>
      </c>
      <c r="I400" s="3">
        <f ca="1">'ETF price'!J402-'ETF price'!J401</f>
        <v>2.0300000000000011</v>
      </c>
      <c r="J400" s="3">
        <f ca="1">'ETF price'!K402-'ETF price'!K401</f>
        <v>-0.79999999999999716</v>
      </c>
      <c r="K400" s="3">
        <f ca="1">'ETF price'!L402-'ETF price'!L401</f>
        <v>-2.5300000000000011</v>
      </c>
      <c r="L400" s="3">
        <f ca="1">'ETF price'!M402-'ETF price'!M401</f>
        <v>-0.29999999999999716</v>
      </c>
      <c r="M400" s="3">
        <f ca="1">'ETF price'!N402-'ETF price'!N401</f>
        <v>0.51999999999999602</v>
      </c>
      <c r="N400" s="3">
        <f ca="1">'ETF price'!O402-'ETF price'!O401</f>
        <v>-1.3999999999999986</v>
      </c>
      <c r="O400" s="3">
        <f ca="1">'ETF price'!P402-'ETF price'!P401</f>
        <v>9.9999999999994316E-2</v>
      </c>
      <c r="P400" s="3">
        <f ca="1">'ETF price'!Q402-'ETF price'!Q401</f>
        <v>0.21999999999999886</v>
      </c>
      <c r="Q400" s="3">
        <f ca="1">'ETF price'!R402-'ETF price'!R401</f>
        <v>0.55000000000001137</v>
      </c>
      <c r="R400" s="3">
        <f ca="1">'ETF price'!S402-'ETF price'!S401</f>
        <v>7.9999999999998295E-2</v>
      </c>
      <c r="S400" s="3">
        <f ca="1">'ETF price'!T402-'ETF price'!T401</f>
        <v>1.0000000000001563E-2</v>
      </c>
      <c r="T400" s="3">
        <f ca="1">'ETF price'!U402-'ETF price'!U401</f>
        <v>2.9999999999986926E-2</v>
      </c>
      <c r="U400" s="3">
        <f ca="1">'ETF price'!V402-'ETF price'!V401</f>
        <v>-0.50999999999999801</v>
      </c>
      <c r="V400" s="3">
        <f ca="1">'ETF price'!W402-'ETF price'!W401</f>
        <v>0.49000000000000199</v>
      </c>
      <c r="W400" s="3">
        <f ca="1">'ETF price'!X402-'ETF price'!X401</f>
        <v>1.0099999999999909</v>
      </c>
      <c r="X400" s="3">
        <f ca="1">'ETF price'!Y402-'ETF price'!Y401</f>
        <v>0.43999999999999773</v>
      </c>
      <c r="Y400" s="3">
        <f ca="1">'ETF price'!Z402-'ETF price'!Z401</f>
        <v>1.0299999999999869</v>
      </c>
      <c r="Z400" s="3">
        <f ca="1">'ETF price'!AA402-'ETF price'!AA401</f>
        <v>0.46999999999999886</v>
      </c>
      <c r="AA400" s="3">
        <f ca="1">'ETF price'!AB402-'ETF price'!AB401</f>
        <v>0.47999999999999687</v>
      </c>
      <c r="AB400" s="3">
        <f ca="1">'ETF price'!AC402-'ETF price'!AC401</f>
        <v>3.9999999999999147E-2</v>
      </c>
      <c r="AC400" s="3">
        <f ca="1">'ETF price'!AD402-'ETF price'!AD401</f>
        <v>7.0000000000000284E-2</v>
      </c>
      <c r="AD400" s="3">
        <f ca="1">'ETF price'!AE402-'ETF price'!AE401</f>
        <v>8.9999999999999858E-2</v>
      </c>
      <c r="AE400" s="3">
        <f ca="1">'ETF price'!AF402-'ETF price'!AF401</f>
        <v>-0.13000000000000034</v>
      </c>
      <c r="AF400" s="3">
        <f ca="1">'ETF price'!AG402-'ETF price'!AG401</f>
        <v>-1.019999999999996</v>
      </c>
    </row>
    <row r="401" spans="1:32" ht="12.75" x14ac:dyDescent="0.2">
      <c r="A401" s="3">
        <f ca="1">'ETF price'!B403-'ETF price'!B402</f>
        <v>-1.3199999999999932</v>
      </c>
      <c r="B401" s="3">
        <f ca="1">'ETF price'!C403-'ETF price'!C402</f>
        <v>-4.0600000000000023</v>
      </c>
      <c r="C401" s="3">
        <f ca="1">'ETF price'!D403-'ETF price'!D402</f>
        <v>-0.82000000000000739</v>
      </c>
      <c r="D401" s="3">
        <f ca="1">'ETF price'!E403-'ETF price'!E402</f>
        <v>-2.75</v>
      </c>
      <c r="E401" s="3">
        <f ca="1">'ETF price'!F403-'ETF price'!F402</f>
        <v>-0.85000000000000142</v>
      </c>
      <c r="F401" s="3">
        <f ca="1">'ETF price'!G403-'ETF price'!G402</f>
        <v>-0.48999999999999844</v>
      </c>
      <c r="G401" s="3">
        <f ca="1">'ETF price'!H403-'ETF price'!H402</f>
        <v>-0.20000000000000284</v>
      </c>
      <c r="H401" s="3">
        <f ca="1">'ETF price'!I403-'ETF price'!I402</f>
        <v>1.0300000000000011</v>
      </c>
      <c r="I401" s="3">
        <f ca="1">'ETF price'!J403-'ETF price'!J402</f>
        <v>1.7300000000000182</v>
      </c>
      <c r="J401" s="3">
        <f ca="1">'ETF price'!K403-'ETF price'!K402</f>
        <v>0.78000000000000114</v>
      </c>
      <c r="K401" s="3">
        <f ca="1">'ETF price'!L403-'ETF price'!L402</f>
        <v>0.64000000000000057</v>
      </c>
      <c r="L401" s="3">
        <f ca="1">'ETF price'!M403-'ETF price'!M402</f>
        <v>0.82000000000000028</v>
      </c>
      <c r="M401" s="3">
        <f ca="1">'ETF price'!N403-'ETF price'!N402</f>
        <v>0.42999999999999972</v>
      </c>
      <c r="N401" s="3">
        <f ca="1">'ETF price'!O403-'ETF price'!O402</f>
        <v>0.11999999999999744</v>
      </c>
      <c r="O401" s="3">
        <f ca="1">'ETF price'!P403-'ETF price'!P402</f>
        <v>0.43000000000000682</v>
      </c>
      <c r="P401" s="3">
        <f ca="1">'ETF price'!Q403-'ETF price'!Q402</f>
        <v>0.70000000000000284</v>
      </c>
      <c r="Q401" s="3">
        <f ca="1">'ETF price'!R403-'ETF price'!R402</f>
        <v>-0.89000000000000057</v>
      </c>
      <c r="R401" s="3">
        <f ca="1">'ETF price'!S403-'ETF price'!S402</f>
        <v>-2.0000000000003126E-2</v>
      </c>
      <c r="S401" s="3">
        <f ca="1">'ETF price'!T403-'ETF price'!T402</f>
        <v>-3.0000000000001137E-2</v>
      </c>
      <c r="T401" s="3">
        <f ca="1">'ETF price'!U403-'ETF price'!U402</f>
        <v>0.24000000000000909</v>
      </c>
      <c r="U401" s="3">
        <f ca="1">'ETF price'!V403-'ETF price'!V402</f>
        <v>-0.17000000000000171</v>
      </c>
      <c r="V401" s="3">
        <f ca="1">'ETF price'!W403-'ETF price'!W402</f>
        <v>-0.32000000000000028</v>
      </c>
      <c r="W401" s="3">
        <f ca="1">'ETF price'!X403-'ETF price'!X402</f>
        <v>-0.89999999999999147</v>
      </c>
      <c r="X401" s="3">
        <f ca="1">'ETF price'!Y403-'ETF price'!Y402</f>
        <v>-0.55999999999999517</v>
      </c>
      <c r="Y401" s="3">
        <f ca="1">'ETF price'!Z403-'ETF price'!Z402</f>
        <v>-0.70999999999999375</v>
      </c>
      <c r="Z401" s="3">
        <f ca="1">'ETF price'!AA403-'ETF price'!AA402</f>
        <v>-0.18999999999999773</v>
      </c>
      <c r="AA401" s="3">
        <f ca="1">'ETF price'!AB403-'ETF price'!AB402</f>
        <v>-0.63000000000000256</v>
      </c>
      <c r="AB401" s="3">
        <f ca="1">'ETF price'!AC403-'ETF price'!AC402</f>
        <v>6.0000000000002274E-2</v>
      </c>
      <c r="AC401" s="3">
        <f ca="1">'ETF price'!AD403-'ETF price'!AD402</f>
        <v>0.31999999999999851</v>
      </c>
      <c r="AD401" s="3">
        <f ca="1">'ETF price'!AE403-'ETF price'!AE402</f>
        <v>0.4399999999999995</v>
      </c>
      <c r="AE401" s="3">
        <f ca="1">'ETF price'!AF403-'ETF price'!AF402</f>
        <v>-0.11999999999999966</v>
      </c>
      <c r="AF401" s="3">
        <f ca="1">'ETF price'!AG403-'ETF price'!AG402</f>
        <v>1.5300000000000011</v>
      </c>
    </row>
    <row r="402" spans="1:32" ht="12.75" x14ac:dyDescent="0.2">
      <c r="A402" s="3">
        <f ca="1">'ETF price'!B404-'ETF price'!B403</f>
        <v>-2.1999999999999886</v>
      </c>
      <c r="B402" s="3">
        <f ca="1">'ETF price'!C404-'ETF price'!C403</f>
        <v>-6.0500000000000114</v>
      </c>
      <c r="C402" s="3">
        <f ca="1">'ETF price'!D404-'ETF price'!D403</f>
        <v>1.710000000000008</v>
      </c>
      <c r="D402" s="3">
        <f ca="1">'ETF price'!E404-'ETF price'!E403</f>
        <v>-3.1200000000000045</v>
      </c>
      <c r="E402" s="3">
        <f ca="1">'ETF price'!F404-'ETF price'!F403</f>
        <v>0.21999999999999886</v>
      </c>
      <c r="F402" s="3">
        <f ca="1">'ETF price'!G404-'ETF price'!G403</f>
        <v>-0.60000000000000142</v>
      </c>
      <c r="G402" s="3">
        <f ca="1">'ETF price'!H404-'ETF price'!H403</f>
        <v>7.0000000000000284E-2</v>
      </c>
      <c r="H402" s="3">
        <f ca="1">'ETF price'!I404-'ETF price'!I403</f>
        <v>-4.0000000000020464E-2</v>
      </c>
      <c r="I402" s="3">
        <f ca="1">'ETF price'!J404-'ETF price'!J403</f>
        <v>-0.18000000000000682</v>
      </c>
      <c r="J402" s="3">
        <f ca="1">'ETF price'!K404-'ETF price'!K403</f>
        <v>0.42000000000000171</v>
      </c>
      <c r="K402" s="3">
        <f ca="1">'ETF price'!L404-'ETF price'!L403</f>
        <v>-6.9999999999993179E-2</v>
      </c>
      <c r="L402" s="3">
        <f ca="1">'ETF price'!M404-'ETF price'!M403</f>
        <v>-0.25</v>
      </c>
      <c r="M402" s="3">
        <f ca="1">'ETF price'!N404-'ETF price'!N403</f>
        <v>-9.9999999999980105E-3</v>
      </c>
      <c r="N402" s="3">
        <f ca="1">'ETF price'!O404-'ETF price'!O403</f>
        <v>0</v>
      </c>
      <c r="O402" s="3">
        <f ca="1">'ETF price'!P404-'ETF price'!P403</f>
        <v>1.0999999999999943</v>
      </c>
      <c r="P402" s="3">
        <f ca="1">'ETF price'!Q404-'ETF price'!Q403</f>
        <v>1.5599999999999881</v>
      </c>
      <c r="Q402" s="3">
        <f ca="1">'ETF price'!R404-'ETF price'!R403</f>
        <v>-0.34000000000000341</v>
      </c>
      <c r="R402" s="3">
        <f ca="1">'ETF price'!S404-'ETF price'!S403</f>
        <v>-1.9999999999996021E-2</v>
      </c>
      <c r="S402" s="3">
        <f ca="1">'ETF price'!T404-'ETF price'!T403</f>
        <v>0.17000000000000171</v>
      </c>
      <c r="T402" s="3">
        <f ca="1">'ETF price'!U404-'ETF price'!U403</f>
        <v>1.039999999999992</v>
      </c>
      <c r="U402" s="3">
        <f ca="1">'ETF price'!V404-'ETF price'!V403</f>
        <v>1.3599999999999994</v>
      </c>
      <c r="V402" s="3">
        <f ca="1">'ETF price'!W404-'ETF price'!W403</f>
        <v>-0.25999999999999801</v>
      </c>
      <c r="W402" s="3">
        <f ca="1">'ETF price'!X404-'ETF price'!X403</f>
        <v>-0.64000000000000057</v>
      </c>
      <c r="X402" s="3">
        <f ca="1">'ETF price'!Y404-'ETF price'!Y403</f>
        <v>-0.5800000000000054</v>
      </c>
      <c r="Y402" s="3">
        <f ca="1">'ETF price'!Z404-'ETF price'!Z403</f>
        <v>-0.75</v>
      </c>
      <c r="Z402" s="3">
        <f ca="1">'ETF price'!AA404-'ETF price'!AA403</f>
        <v>8.9999999999996305E-2</v>
      </c>
      <c r="AA402" s="3">
        <f ca="1">'ETF price'!AB404-'ETF price'!AB403</f>
        <v>-0.69999999999999574</v>
      </c>
      <c r="AB402" s="3">
        <f ca="1">'ETF price'!AC404-'ETF price'!AC403</f>
        <v>-0.17999999999999972</v>
      </c>
      <c r="AC402" s="3">
        <f ca="1">'ETF price'!AD404-'ETF price'!AD403</f>
        <v>-0.21999999999999886</v>
      </c>
      <c r="AD402" s="3">
        <f ca="1">'ETF price'!AE404-'ETF price'!AE403</f>
        <v>-0.31999999999999851</v>
      </c>
      <c r="AE402" s="3">
        <f ca="1">'ETF price'!AF404-'ETF price'!AF403</f>
        <v>0.10999999999999988</v>
      </c>
      <c r="AF402" s="3">
        <f ca="1">'ETF price'!AG404-'ETF price'!AG403</f>
        <v>-1.490000000000002</v>
      </c>
    </row>
    <row r="403" spans="1:32" ht="12.75" x14ac:dyDescent="0.2">
      <c r="A403" s="3">
        <f ca="1">'ETF price'!B405-'ETF price'!B404</f>
        <v>1.999999999998181E-2</v>
      </c>
      <c r="B403" s="3">
        <f ca="1">'ETF price'!C405-'ETF price'!C404</f>
        <v>0.39999999999997726</v>
      </c>
      <c r="C403" s="3">
        <f ca="1">'ETF price'!D405-'ETF price'!D404</f>
        <v>-1.0799999999999983</v>
      </c>
      <c r="D403" s="3">
        <f ca="1">'ETF price'!E405-'ETF price'!E404</f>
        <v>-0.67000000000001592</v>
      </c>
      <c r="E403" s="3">
        <f ca="1">'ETF price'!F405-'ETF price'!F404</f>
        <v>0.35999999999999943</v>
      </c>
      <c r="F403" s="3">
        <f ca="1">'ETF price'!G405-'ETF price'!G404</f>
        <v>5.0000000000000711E-2</v>
      </c>
      <c r="G403" s="3">
        <f ca="1">'ETF price'!H405-'ETF price'!H404</f>
        <v>1.0000000000001563E-2</v>
      </c>
      <c r="H403" s="3">
        <f ca="1">'ETF price'!I405-'ETF price'!I404</f>
        <v>-8.9999999999974989E-2</v>
      </c>
      <c r="I403" s="3">
        <f ca="1">'ETF price'!J405-'ETF price'!J404</f>
        <v>-0.18000000000000682</v>
      </c>
      <c r="J403" s="3">
        <f ca="1">'ETF price'!K405-'ETF price'!K404</f>
        <v>0.41999999999998749</v>
      </c>
      <c r="K403" s="3">
        <f ca="1">'ETF price'!L405-'ETF price'!L404</f>
        <v>0.67999999999999261</v>
      </c>
      <c r="L403" s="3">
        <f ca="1">'ETF price'!M405-'ETF price'!M404</f>
        <v>0.31000000000000227</v>
      </c>
      <c r="M403" s="3">
        <f ca="1">'ETF price'!N405-'ETF price'!N404</f>
        <v>-3.0000000000001137E-2</v>
      </c>
      <c r="N403" s="3">
        <f ca="1">'ETF price'!O405-'ETF price'!O404</f>
        <v>-0.15999999999999659</v>
      </c>
      <c r="O403" s="3">
        <f ca="1">'ETF price'!P405-'ETF price'!P404</f>
        <v>-9.9999999999909051E-3</v>
      </c>
      <c r="P403" s="3">
        <f ca="1">'ETF price'!Q405-'ETF price'!Q404</f>
        <v>-0.15999999999999659</v>
      </c>
      <c r="Q403" s="3">
        <f ca="1">'ETF price'!R405-'ETF price'!R404</f>
        <v>6.0000000000002274E-2</v>
      </c>
      <c r="R403" s="3">
        <f ca="1">'ETF price'!S405-'ETF price'!S404</f>
        <v>-0.92000000000000171</v>
      </c>
      <c r="S403" s="3">
        <f ca="1">'ETF price'!T405-'ETF price'!T404</f>
        <v>-0.13000000000000256</v>
      </c>
      <c r="T403" s="3">
        <f ca="1">'ETF price'!U405-'ETF price'!U404</f>
        <v>-0.89999999999999147</v>
      </c>
      <c r="U403" s="3">
        <f ca="1">'ETF price'!V405-'ETF price'!V404</f>
        <v>-0.61999999999999744</v>
      </c>
      <c r="V403" s="3">
        <f ca="1">'ETF price'!W405-'ETF price'!W404</f>
        <v>3.0000000000001137E-2</v>
      </c>
      <c r="W403" s="3">
        <f ca="1">'ETF price'!X405-'ETF price'!X404</f>
        <v>9.9999999999994316E-2</v>
      </c>
      <c r="X403" s="3">
        <f ca="1">'ETF price'!Y405-'ETF price'!Y404</f>
        <v>-1.9999999999996021E-2</v>
      </c>
      <c r="Y403" s="3">
        <f ca="1">'ETF price'!Z405-'ETF price'!Z404</f>
        <v>-1.9999999999996021E-2</v>
      </c>
      <c r="Z403" s="3">
        <f ca="1">'ETF price'!AA405-'ETF price'!AA404</f>
        <v>-0.11999999999999744</v>
      </c>
      <c r="AA403" s="3">
        <f ca="1">'ETF price'!AB405-'ETF price'!AB404</f>
        <v>-3.9999999999999147E-2</v>
      </c>
      <c r="AB403" s="3">
        <f ca="1">'ETF price'!AC405-'ETF price'!AC404</f>
        <v>-1.1000000000000014</v>
      </c>
      <c r="AC403" s="3">
        <f ca="1">'ETF price'!AD405-'ETF price'!AD404</f>
        <v>0</v>
      </c>
      <c r="AD403" s="3">
        <f ca="1">'ETF price'!AE405-'ETF price'!AE404</f>
        <v>9.9999999999997868E-3</v>
      </c>
      <c r="AE403" s="3">
        <f ca="1">'ETF price'!AF405-'ETF price'!AF404</f>
        <v>-0.10999999999999988</v>
      </c>
      <c r="AF403" s="3">
        <f ca="1">'ETF price'!AG405-'ETF price'!AG404</f>
        <v>-0.52000000000000313</v>
      </c>
    </row>
    <row r="404" spans="1:32" ht="12.75" x14ac:dyDescent="0.2">
      <c r="A404" s="3">
        <f ca="1">'ETF price'!B406-'ETF price'!B405</f>
        <v>-1.2399999999999807</v>
      </c>
      <c r="B404" s="3">
        <f ca="1">'ETF price'!C406-'ETF price'!C405</f>
        <v>-2.8000000000000114</v>
      </c>
      <c r="C404" s="3">
        <f ca="1">'ETF price'!D406-'ETF price'!D405</f>
        <v>-1.1300000000000097</v>
      </c>
      <c r="D404" s="3">
        <f ca="1">'ETF price'!E406-'ETF price'!E405</f>
        <v>-4.0300000000000011</v>
      </c>
      <c r="E404" s="3">
        <f ca="1">'ETF price'!F406-'ETF price'!F405</f>
        <v>3.0000000000001137E-2</v>
      </c>
      <c r="F404" s="3">
        <f ca="1">'ETF price'!G406-'ETF price'!G405</f>
        <v>-0.28000000000000114</v>
      </c>
      <c r="G404" s="3">
        <f ca="1">'ETF price'!H406-'ETF price'!H405</f>
        <v>-5.9999999999998721E-2</v>
      </c>
      <c r="H404" s="3">
        <f ca="1">'ETF price'!I406-'ETF price'!I405</f>
        <v>0.83999999999997499</v>
      </c>
      <c r="I404" s="3">
        <f ca="1">'ETF price'!J406-'ETF price'!J405</f>
        <v>1.4000000000000057</v>
      </c>
      <c r="J404" s="3">
        <f ca="1">'ETF price'!K406-'ETF price'!K405</f>
        <v>0.40000000000000568</v>
      </c>
      <c r="K404" s="3">
        <f ca="1">'ETF price'!L406-'ETF price'!L405</f>
        <v>-6.9999999999993179E-2</v>
      </c>
      <c r="L404" s="3">
        <f ca="1">'ETF price'!M406-'ETF price'!M405</f>
        <v>0.22999999999999687</v>
      </c>
      <c r="M404" s="3">
        <f ca="1">'ETF price'!N406-'ETF price'!N405</f>
        <v>0.35000000000000142</v>
      </c>
      <c r="N404" s="3">
        <f ca="1">'ETF price'!O406-'ETF price'!O405</f>
        <v>-3.9999999999999147E-2</v>
      </c>
      <c r="O404" s="3">
        <f ca="1">'ETF price'!P406-'ETF price'!P405</f>
        <v>1.3599999999999994</v>
      </c>
      <c r="P404" s="3">
        <f ca="1">'ETF price'!Q406-'ETF price'!Q405</f>
        <v>1.7700000000000102</v>
      </c>
      <c r="Q404" s="3">
        <f ca="1">'ETF price'!R406-'ETF price'!R405</f>
        <v>-0.23000000000000398</v>
      </c>
      <c r="R404" s="3">
        <f ca="1">'ETF price'!S406-'ETF price'!S405</f>
        <v>0.14999999999999858</v>
      </c>
      <c r="S404" s="3">
        <f ca="1">'ETF price'!T406-'ETF price'!T405</f>
        <v>-3.9999999999999147E-2</v>
      </c>
      <c r="T404" s="3">
        <f ca="1">'ETF price'!U406-'ETF price'!U405</f>
        <v>4.9999999999997158E-2</v>
      </c>
      <c r="U404" s="3">
        <f ca="1">'ETF price'!V406-'ETF price'!V405</f>
        <v>-0.96000000000000085</v>
      </c>
      <c r="V404" s="3">
        <f ca="1">'ETF price'!W406-'ETF price'!W405</f>
        <v>7.0000000000000284E-2</v>
      </c>
      <c r="W404" s="3">
        <f ca="1">'ETF price'!X406-'ETF price'!X405</f>
        <v>7.9999999999998295E-2</v>
      </c>
      <c r="X404" s="3">
        <f ca="1">'ETF price'!Y406-'ETF price'!Y405</f>
        <v>0.15999999999999659</v>
      </c>
      <c r="Y404" s="3">
        <f ca="1">'ETF price'!Z406-'ETF price'!Z405</f>
        <v>0.20999999999999375</v>
      </c>
      <c r="Z404" s="3">
        <f ca="1">'ETF price'!AA406-'ETF price'!AA405</f>
        <v>7.0000000000000284E-2</v>
      </c>
      <c r="AA404" s="3">
        <f ca="1">'ETF price'!AB406-'ETF price'!AB405</f>
        <v>0.11999999999999744</v>
      </c>
      <c r="AB404" s="3">
        <f ca="1">'ETF price'!AC406-'ETF price'!AC405</f>
        <v>-0.32000000000000028</v>
      </c>
      <c r="AC404" s="3">
        <f ca="1">'ETF price'!AD406-'ETF price'!AD405</f>
        <v>-1.9999999999999574E-2</v>
      </c>
      <c r="AD404" s="3">
        <f ca="1">'ETF price'!AE406-'ETF price'!AE405</f>
        <v>-9.9999999999997868E-3</v>
      </c>
      <c r="AE404" s="3">
        <f ca="1">'ETF price'!AF406-'ETF price'!AF405</f>
        <v>-4.0000000000000036E-2</v>
      </c>
      <c r="AF404" s="3">
        <f ca="1">'ETF price'!AG406-'ETF price'!AG405</f>
        <v>0.20000000000000284</v>
      </c>
    </row>
    <row r="405" spans="1:32" ht="12.75" x14ac:dyDescent="0.2">
      <c r="A405" s="3">
        <f ca="1">'ETF price'!B407-'ETF price'!B406</f>
        <v>2.6599999999999966</v>
      </c>
      <c r="B405" s="3">
        <f ca="1">'ETF price'!C407-'ETF price'!C406</f>
        <v>6.25</v>
      </c>
      <c r="C405" s="3">
        <f ca="1">'ETF price'!D407-'ETF price'!D406</f>
        <v>-1.1099999999999994</v>
      </c>
      <c r="D405" s="3">
        <f ca="1">'ETF price'!E407-'ETF price'!E406</f>
        <v>4.6800000000000068</v>
      </c>
      <c r="E405" s="3">
        <f ca="1">'ETF price'!F407-'ETF price'!F406</f>
        <v>0.35999999999999943</v>
      </c>
      <c r="F405" s="3">
        <f ca="1">'ETF price'!G407-'ETF price'!G406</f>
        <v>0.30000000000000071</v>
      </c>
      <c r="G405" s="3">
        <f ca="1">'ETF price'!H407-'ETF price'!H406</f>
        <v>9.9999999999997868E-2</v>
      </c>
      <c r="H405" s="3">
        <f ca="1">'ETF price'!I407-'ETF price'!I406</f>
        <v>0.41000000000002501</v>
      </c>
      <c r="I405" s="3">
        <f ca="1">'ETF price'!J407-'ETF price'!J406</f>
        <v>0.65000000000000568</v>
      </c>
      <c r="J405" s="3">
        <f ca="1">'ETF price'!K407-'ETF price'!K406</f>
        <v>-0.15000000000000568</v>
      </c>
      <c r="K405" s="3">
        <f ca="1">'ETF price'!L407-'ETF price'!L406</f>
        <v>0.15999999999999659</v>
      </c>
      <c r="L405" s="3">
        <f ca="1">'ETF price'!M407-'ETF price'!M406</f>
        <v>-0.32999999999999829</v>
      </c>
      <c r="M405" s="3">
        <f ca="1">'ETF price'!N407-'ETF price'!N406</f>
        <v>0.20000000000000284</v>
      </c>
      <c r="N405" s="3">
        <f ca="1">'ETF price'!O407-'ETF price'!O406</f>
        <v>7.9999999999998295E-2</v>
      </c>
      <c r="O405" s="3">
        <f ca="1">'ETF price'!P407-'ETF price'!P406</f>
        <v>-0.38000000000000966</v>
      </c>
      <c r="P405" s="3">
        <f ca="1">'ETF price'!Q407-'ETF price'!Q406</f>
        <v>-0.59000000000000341</v>
      </c>
      <c r="Q405" s="3">
        <f ca="1">'ETF price'!R407-'ETF price'!R406</f>
        <v>0.18000000000000682</v>
      </c>
      <c r="R405" s="3">
        <f ca="1">'ETF price'!S407-'ETF price'!S406</f>
        <v>1.1200000000000045</v>
      </c>
      <c r="S405" s="3">
        <f ca="1">'ETF price'!T407-'ETF price'!T406</f>
        <v>-0.12000000000000099</v>
      </c>
      <c r="T405" s="3">
        <f ca="1">'ETF price'!U407-'ETF price'!U406</f>
        <v>-0.43999999999999773</v>
      </c>
      <c r="U405" s="3">
        <f ca="1">'ETF price'!V407-'ETF price'!V406</f>
        <v>0.20000000000000284</v>
      </c>
      <c r="V405" s="3">
        <f ca="1">'ETF price'!W407-'ETF price'!W406</f>
        <v>-7.0000000000000284E-2</v>
      </c>
      <c r="W405" s="3">
        <f ca="1">'ETF price'!X407-'ETF price'!X406</f>
        <v>-0.18999999999999773</v>
      </c>
      <c r="X405" s="3">
        <f ca="1">'ETF price'!Y407-'ETF price'!Y406</f>
        <v>-0.64000000000000057</v>
      </c>
      <c r="Y405" s="3">
        <f ca="1">'ETF price'!Z407-'ETF price'!Z406</f>
        <v>-0.36999999999999034</v>
      </c>
      <c r="Z405" s="3">
        <f ca="1">'ETF price'!AA407-'ETF price'!AA406</f>
        <v>-0.20000000000000284</v>
      </c>
      <c r="AA405" s="3">
        <f ca="1">'ETF price'!AB407-'ETF price'!AB406</f>
        <v>-0.92999999999999972</v>
      </c>
      <c r="AB405" s="3">
        <f ca="1">'ETF price'!AC407-'ETF price'!AC406</f>
        <v>-0.23000000000000398</v>
      </c>
      <c r="AC405" s="3">
        <f ca="1">'ETF price'!AD407-'ETF price'!AD406</f>
        <v>-3.0000000000001137E-2</v>
      </c>
      <c r="AD405" s="3">
        <f ca="1">'ETF price'!AE407-'ETF price'!AE406</f>
        <v>-5.0000000000000711E-2</v>
      </c>
      <c r="AE405" s="3">
        <f ca="1">'ETF price'!AF407-'ETF price'!AF406</f>
        <v>2.9999999999999805E-2</v>
      </c>
      <c r="AF405" s="3">
        <f ca="1">'ETF price'!AG407-'ETF price'!AG406</f>
        <v>-0.66000000000000014</v>
      </c>
    </row>
    <row r="406" spans="1:32" ht="12.75" x14ac:dyDescent="0.2">
      <c r="A406" s="3">
        <f ca="1">'ETF price'!B408-'ETF price'!B407</f>
        <v>-1.6700000000000159</v>
      </c>
      <c r="B406" s="3">
        <f ca="1">'ETF price'!C408-'ETF price'!C407</f>
        <v>-4.25</v>
      </c>
      <c r="C406" s="3">
        <f ca="1">'ETF price'!D408-'ETF price'!D407</f>
        <v>4.0000000000006253E-2</v>
      </c>
      <c r="D406" s="3">
        <f ca="1">'ETF price'!E408-'ETF price'!E407</f>
        <v>-2.789999999999992</v>
      </c>
      <c r="E406" s="3">
        <f ca="1">'ETF price'!F408-'ETF price'!F407</f>
        <v>-0.60999999999999943</v>
      </c>
      <c r="F406" s="3">
        <f ca="1">'ETF price'!G408-'ETF price'!G407</f>
        <v>-0.30000000000000071</v>
      </c>
      <c r="G406" s="3">
        <f ca="1">'ETF price'!H408-'ETF price'!H407</f>
        <v>-0.30000000000000071</v>
      </c>
      <c r="H406" s="3">
        <f ca="1">'ETF price'!I408-'ETF price'!I407</f>
        <v>-0.5</v>
      </c>
      <c r="I406" s="3">
        <f ca="1">'ETF price'!J408-'ETF price'!J407</f>
        <v>-0.93000000000000682</v>
      </c>
      <c r="J406" s="3">
        <f ca="1">'ETF price'!K408-'ETF price'!K407</f>
        <v>-0.40999999999999659</v>
      </c>
      <c r="K406" s="3">
        <f ca="1">'ETF price'!L408-'ETF price'!L407</f>
        <v>-0.21000000000000796</v>
      </c>
      <c r="L406" s="3">
        <f ca="1">'ETF price'!M408-'ETF price'!M407</f>
        <v>0.22999999999999687</v>
      </c>
      <c r="M406" s="3">
        <f ca="1">'ETF price'!N408-'ETF price'!N407</f>
        <v>-0.23000000000000398</v>
      </c>
      <c r="N406" s="3">
        <f ca="1">'ETF price'!O408-'ETF price'!O407</f>
        <v>-0.48000000000000398</v>
      </c>
      <c r="O406" s="3">
        <f ca="1">'ETF price'!P408-'ETF price'!P407</f>
        <v>-1.8599999999999994</v>
      </c>
      <c r="P406" s="3">
        <f ca="1">'ETF price'!Q408-'ETF price'!Q407</f>
        <v>-2.5900000000000034</v>
      </c>
      <c r="Q406" s="3">
        <f ca="1">'ETF price'!R408-'ETF price'!R407</f>
        <v>-1.3500000000000085</v>
      </c>
      <c r="R406" s="3">
        <f ca="1">'ETF price'!S408-'ETF price'!S407</f>
        <v>-1.230000000000004</v>
      </c>
      <c r="S406" s="3">
        <f ca="1">'ETF price'!T408-'ETF price'!T407</f>
        <v>-0.28999999999999915</v>
      </c>
      <c r="T406" s="3">
        <f ca="1">'ETF price'!U408-'ETF price'!U407</f>
        <v>-1.1899999999999977</v>
      </c>
      <c r="U406" s="3">
        <f ca="1">'ETF price'!V408-'ETF price'!V407</f>
        <v>-2.4400000000000048</v>
      </c>
      <c r="V406" s="3">
        <f ca="1">'ETF price'!W408-'ETF price'!W407</f>
        <v>-0.64000000000000057</v>
      </c>
      <c r="W406" s="3">
        <f ca="1">'ETF price'!X408-'ETF price'!X407</f>
        <v>-1.6299999999999955</v>
      </c>
      <c r="X406" s="3">
        <f ca="1">'ETF price'!Y408-'ETF price'!Y407</f>
        <v>-1.259999999999998</v>
      </c>
      <c r="Y406" s="3">
        <f ca="1">'ETF price'!Z408-'ETF price'!Z407</f>
        <v>-1.480000000000004</v>
      </c>
      <c r="Z406" s="3">
        <f ca="1">'ETF price'!AA408-'ETF price'!AA407</f>
        <v>-0.37999999999999545</v>
      </c>
      <c r="AA406" s="3">
        <f ca="1">'ETF price'!AB408-'ETF price'!AB407</f>
        <v>-1.5600000000000023</v>
      </c>
      <c r="AB406" s="3">
        <f ca="1">'ETF price'!AC408-'ETF price'!AC407</f>
        <v>1.0000000000005116E-2</v>
      </c>
      <c r="AC406" s="3">
        <f ca="1">'ETF price'!AD408-'ETF price'!AD407</f>
        <v>-5.9999999999998721E-2</v>
      </c>
      <c r="AD406" s="3">
        <f ca="1">'ETF price'!AE408-'ETF price'!AE407</f>
        <v>-8.9999999999999858E-2</v>
      </c>
      <c r="AE406" s="3">
        <f ca="1">'ETF price'!AF408-'ETF price'!AF407</f>
        <v>-2.9999999999999805E-2</v>
      </c>
      <c r="AF406" s="3">
        <f ca="1">'ETF price'!AG408-'ETF price'!AG407</f>
        <v>-1.6799999999999997</v>
      </c>
    </row>
    <row r="407" spans="1:32" ht="12.75" x14ac:dyDescent="0.2">
      <c r="A407" s="3">
        <f ca="1">'ETF price'!B409-'ETF price'!B408</f>
        <v>-1.5999999999999943</v>
      </c>
      <c r="B407" s="3">
        <f ca="1">'ETF price'!C409-'ETF price'!C408</f>
        <v>-4.0299999999999727</v>
      </c>
      <c r="C407" s="3">
        <f ca="1">'ETF price'!D409-'ETF price'!D408</f>
        <v>1.9500000000000028</v>
      </c>
      <c r="D407" s="3">
        <f ca="1">'ETF price'!E409-'ETF price'!E408</f>
        <v>-3.1700000000000159</v>
      </c>
      <c r="E407" s="3">
        <f ca="1">'ETF price'!F409-'ETF price'!F408</f>
        <v>-0.5</v>
      </c>
      <c r="F407" s="3">
        <f ca="1">'ETF price'!G409-'ETF price'!G408</f>
        <v>-0.48000000000000043</v>
      </c>
      <c r="G407" s="3">
        <f ca="1">'ETF price'!H409-'ETF price'!H408</f>
        <v>-0.25999999999999801</v>
      </c>
      <c r="H407" s="3">
        <f ca="1">'ETF price'!I409-'ETF price'!I408</f>
        <v>-1.0300000000000011</v>
      </c>
      <c r="I407" s="3">
        <f ca="1">'ETF price'!J409-'ETF price'!J408</f>
        <v>-2.0200000000000102</v>
      </c>
      <c r="J407" s="3">
        <f ca="1">'ETF price'!K409-'ETF price'!K408</f>
        <v>-1.8299999999999841</v>
      </c>
      <c r="K407" s="3">
        <f ca="1">'ETF price'!L409-'ETF price'!L408</f>
        <v>-1.7399999999999949</v>
      </c>
      <c r="L407" s="3">
        <f ca="1">'ETF price'!M409-'ETF price'!M408</f>
        <v>-1.1499999999999986</v>
      </c>
      <c r="M407" s="3">
        <f ca="1">'ETF price'!N409-'ETF price'!N408</f>
        <v>-0.60000000000000142</v>
      </c>
      <c r="N407" s="3">
        <f ca="1">'ETF price'!O409-'ETF price'!O408</f>
        <v>-0.95999999999999375</v>
      </c>
      <c r="O407" s="3">
        <f ca="1">'ETF price'!P409-'ETF price'!P408</f>
        <v>-0.75999999999999091</v>
      </c>
      <c r="P407" s="3">
        <f ca="1">'ETF price'!Q409-'ETF price'!Q408</f>
        <v>-0.96999999999999886</v>
      </c>
      <c r="Q407" s="3">
        <f ca="1">'ETF price'!R409-'ETF price'!R408</f>
        <v>-0.54999999999999716</v>
      </c>
      <c r="R407" s="3">
        <f ca="1">'ETF price'!S409-'ETF price'!S408</f>
        <v>0.14999999999999858</v>
      </c>
      <c r="S407" s="3">
        <f ca="1">'ETF price'!T409-'ETF price'!T408</f>
        <v>-9.9999999999997868E-2</v>
      </c>
      <c r="T407" s="3">
        <f ca="1">'ETF price'!U409-'ETF price'!U408</f>
        <v>-1.25</v>
      </c>
      <c r="U407" s="3">
        <f ca="1">'ETF price'!V409-'ETF price'!V408</f>
        <v>-1.3900000000000006</v>
      </c>
      <c r="V407" s="3">
        <f ca="1">'ETF price'!W409-'ETF price'!W408</f>
        <v>-5.0000000000004263E-2</v>
      </c>
      <c r="W407" s="3">
        <f ca="1">'ETF price'!X409-'ETF price'!X408</f>
        <v>-0.25</v>
      </c>
      <c r="X407" s="3">
        <f ca="1">'ETF price'!Y409-'ETF price'!Y408</f>
        <v>-0.46999999999999886</v>
      </c>
      <c r="Y407" s="3">
        <f ca="1">'ETF price'!Z409-'ETF price'!Z408</f>
        <v>-0.18999999999999773</v>
      </c>
      <c r="Z407" s="3">
        <f ca="1">'ETF price'!AA409-'ETF price'!AA408</f>
        <v>-0.45000000000000284</v>
      </c>
      <c r="AA407" s="3">
        <f ca="1">'ETF price'!AB409-'ETF price'!AB408</f>
        <v>-0.50999999999999801</v>
      </c>
      <c r="AB407" s="3">
        <f ca="1">'ETF price'!AC409-'ETF price'!AC408</f>
        <v>-3.9999999999999147E-2</v>
      </c>
      <c r="AC407" s="3">
        <f ca="1">'ETF price'!AD409-'ETF price'!AD408</f>
        <v>-3.0000000000001137E-2</v>
      </c>
      <c r="AD407" s="3">
        <f ca="1">'ETF price'!AE409-'ETF price'!AE408</f>
        <v>-4.0000000000000924E-2</v>
      </c>
      <c r="AE407" s="3">
        <f ca="1">'ETF price'!AF409-'ETF price'!AF408</f>
        <v>-0.14000000000000012</v>
      </c>
      <c r="AF407" s="3">
        <f ca="1">'ETF price'!AG409-'ETF price'!AG408</f>
        <v>-0.62000000000000099</v>
      </c>
    </row>
    <row r="408" spans="1:32" ht="12.75" x14ac:dyDescent="0.2">
      <c r="A408" s="3">
        <f ca="1">'ETF price'!B410-'ETF price'!B409</f>
        <v>-1.5799999999999841</v>
      </c>
      <c r="B408" s="3">
        <f ca="1">'ETF price'!C410-'ETF price'!C409</f>
        <v>-4.6100000000000136</v>
      </c>
      <c r="C408" s="3">
        <f ca="1">'ETF price'!D410-'ETF price'!D409</f>
        <v>-0.12000000000000455</v>
      </c>
      <c r="D408" s="3">
        <f ca="1">'ETF price'!E410-'ETF price'!E409</f>
        <v>-1.5799999999999841</v>
      </c>
      <c r="E408" s="3">
        <f ca="1">'ETF price'!F410-'ETF price'!F409</f>
        <v>-0.78999999999999915</v>
      </c>
      <c r="F408" s="3">
        <f ca="1">'ETF price'!G410-'ETF price'!G409</f>
        <v>-0.42999999999999972</v>
      </c>
      <c r="G408" s="3">
        <f ca="1">'ETF price'!H410-'ETF price'!H409</f>
        <v>-0.28000000000000114</v>
      </c>
      <c r="H408" s="3">
        <f ca="1">'ETF price'!I410-'ETF price'!I409</f>
        <v>-1.0700000000000216</v>
      </c>
      <c r="I408" s="3">
        <f ca="1">'ETF price'!J410-'ETF price'!J409</f>
        <v>-2.1599999999999966</v>
      </c>
      <c r="J408" s="3">
        <f ca="1">'ETF price'!K410-'ETF price'!K409</f>
        <v>-0.62000000000000455</v>
      </c>
      <c r="K408" s="3">
        <f ca="1">'ETF price'!L410-'ETF price'!L409</f>
        <v>-1.1299999999999955</v>
      </c>
      <c r="L408" s="3">
        <f ca="1">'ETF price'!M410-'ETF price'!M409</f>
        <v>-0.74000000000000199</v>
      </c>
      <c r="M408" s="3">
        <f ca="1">'ETF price'!N410-'ETF price'!N409</f>
        <v>-0.49000000000000199</v>
      </c>
      <c r="N408" s="3">
        <f ca="1">'ETF price'!O410-'ETF price'!O409</f>
        <v>-0.44000000000000483</v>
      </c>
      <c r="O408" s="3">
        <f ca="1">'ETF price'!P410-'ETF price'!P409</f>
        <v>1.039999999999992</v>
      </c>
      <c r="P408" s="3">
        <f ca="1">'ETF price'!Q410-'ETF price'!Q409</f>
        <v>1.480000000000004</v>
      </c>
      <c r="Q408" s="3">
        <f ca="1">'ETF price'!R410-'ETF price'!R409</f>
        <v>-0.15999999999999659</v>
      </c>
      <c r="R408" s="3">
        <f ca="1">'ETF price'!S410-'ETF price'!S409</f>
        <v>0.12000000000000455</v>
      </c>
      <c r="S408" s="3">
        <f ca="1">'ETF price'!T410-'ETF price'!T409</f>
        <v>5.9999999999998721E-2</v>
      </c>
      <c r="T408" s="3">
        <f ca="1">'ETF price'!U410-'ETF price'!U409</f>
        <v>0.60999999999999943</v>
      </c>
      <c r="U408" s="3">
        <f ca="1">'ETF price'!V410-'ETF price'!V409</f>
        <v>-0.9199999999999946</v>
      </c>
      <c r="V408" s="3">
        <f ca="1">'ETF price'!W410-'ETF price'!W409</f>
        <v>-0.1699999999999946</v>
      </c>
      <c r="W408" s="3">
        <f ca="1">'ETF price'!X410-'ETF price'!X409</f>
        <v>-0.45000000000000284</v>
      </c>
      <c r="X408" s="3">
        <f ca="1">'ETF price'!Y410-'ETF price'!Y409</f>
        <v>-3.9999999999999147E-2</v>
      </c>
      <c r="Y408" s="3">
        <f ca="1">'ETF price'!Z410-'ETF price'!Z409</f>
        <v>-0.32999999999999829</v>
      </c>
      <c r="Z408" s="3">
        <f ca="1">'ETF price'!AA410-'ETF price'!AA409</f>
        <v>-0.26999999999999602</v>
      </c>
      <c r="AA408" s="3">
        <f ca="1">'ETF price'!AB410-'ETF price'!AB409</f>
        <v>0</v>
      </c>
      <c r="AB408" s="3">
        <f ca="1">'ETF price'!AC410-'ETF price'!AC409</f>
        <v>-0.63000000000000256</v>
      </c>
      <c r="AC408" s="3">
        <f ca="1">'ETF price'!AD410-'ETF price'!AD409</f>
        <v>-0.49000000000000021</v>
      </c>
      <c r="AD408" s="3">
        <f ca="1">'ETF price'!AE410-'ETF price'!AE409</f>
        <v>-0.64999999999999858</v>
      </c>
      <c r="AE408" s="3">
        <f ca="1">'ETF price'!AF410-'ETF price'!AF409</f>
        <v>-6.999999999999984E-2</v>
      </c>
      <c r="AF408" s="3">
        <f ca="1">'ETF price'!AG410-'ETF price'!AG409</f>
        <v>-2.1999999999999993</v>
      </c>
    </row>
    <row r="409" spans="1:32" ht="12.75" x14ac:dyDescent="0.2">
      <c r="A409" s="3">
        <f ca="1">'ETF price'!B411-'ETF price'!B410</f>
        <v>0.25</v>
      </c>
      <c r="B409" s="3">
        <f ca="1">'ETF price'!C411-'ETF price'!C410</f>
        <v>0.81000000000000227</v>
      </c>
      <c r="C409" s="3">
        <f ca="1">'ETF price'!D411-'ETF price'!D410</f>
        <v>2.1000000000000085</v>
      </c>
      <c r="D409" s="3">
        <f ca="1">'ETF price'!E411-'ETF price'!E410</f>
        <v>0.85999999999998522</v>
      </c>
      <c r="E409" s="3">
        <f ca="1">'ETF price'!F411-'ETF price'!F410</f>
        <v>0.21000000000000085</v>
      </c>
      <c r="F409" s="3">
        <f ca="1">'ETF price'!G411-'ETF price'!G410</f>
        <v>4.00000000000027E-2</v>
      </c>
      <c r="G409" s="3">
        <f ca="1">'ETF price'!H411-'ETF price'!H410</f>
        <v>1.0000000000001563E-2</v>
      </c>
      <c r="H409" s="3">
        <f ca="1">'ETF price'!I411-'ETF price'!I410</f>
        <v>5.0000000000011369E-2</v>
      </c>
      <c r="I409" s="3">
        <f ca="1">'ETF price'!J411-'ETF price'!J410</f>
        <v>0.15999999999999659</v>
      </c>
      <c r="J409" s="3">
        <f ca="1">'ETF price'!K411-'ETF price'!K410</f>
        <v>-0.15000000000000568</v>
      </c>
      <c r="K409" s="3">
        <f ca="1">'ETF price'!L411-'ETF price'!L410</f>
        <v>0.57999999999999829</v>
      </c>
      <c r="L409" s="3">
        <f ca="1">'ETF price'!M411-'ETF price'!M410</f>
        <v>0.29000000000000625</v>
      </c>
      <c r="M409" s="3">
        <f ca="1">'ETF price'!N411-'ETF price'!N410</f>
        <v>5.0000000000004263E-2</v>
      </c>
      <c r="N409" s="3">
        <f ca="1">'ETF price'!O411-'ETF price'!O410</f>
        <v>-0.19999999999999574</v>
      </c>
      <c r="O409" s="3">
        <f ca="1">'ETF price'!P411-'ETF price'!P410</f>
        <v>0.87000000000000455</v>
      </c>
      <c r="P409" s="3">
        <f ca="1">'ETF price'!Q411-'ETF price'!Q410</f>
        <v>1.269999999999996</v>
      </c>
      <c r="Q409" s="3">
        <f ca="1">'ETF price'!R411-'ETF price'!R410</f>
        <v>-1.0000000000005116E-2</v>
      </c>
      <c r="R409" s="3">
        <f ca="1">'ETF price'!S411-'ETF price'!S410</f>
        <v>8.9999999999996305E-2</v>
      </c>
      <c r="S409" s="3">
        <f ca="1">'ETF price'!T411-'ETF price'!T410</f>
        <v>0.16999999999999815</v>
      </c>
      <c r="T409" s="3">
        <f ca="1">'ETF price'!U411-'ETF price'!U410</f>
        <v>0.81000000000000227</v>
      </c>
      <c r="U409" s="3">
        <f ca="1">'ETF price'!V411-'ETF price'!V410</f>
        <v>-0.26000000000000512</v>
      </c>
      <c r="V409" s="3">
        <f ca="1">'ETF price'!W411-'ETF price'!W410</f>
        <v>-1.0000000000005116E-2</v>
      </c>
      <c r="W409" s="3">
        <f ca="1">'ETF price'!X411-'ETF price'!X410</f>
        <v>7.9999999999998295E-2</v>
      </c>
      <c r="X409" s="3">
        <f ca="1">'ETF price'!Y411-'ETF price'!Y410</f>
        <v>3.0000000000001137E-2</v>
      </c>
      <c r="Y409" s="3">
        <f ca="1">'ETF price'!Z411-'ETF price'!Z410</f>
        <v>-6.0000000000002274E-2</v>
      </c>
      <c r="Z409" s="3">
        <f ca="1">'ETF price'!AA411-'ETF price'!AA410</f>
        <v>9.9999999999994316E-2</v>
      </c>
      <c r="AA409" s="3">
        <f ca="1">'ETF price'!AB411-'ETF price'!AB410</f>
        <v>-3.9999999999999147E-2</v>
      </c>
      <c r="AB409" s="3">
        <f ca="1">'ETF price'!AC411-'ETF price'!AC410</f>
        <v>0.53000000000000114</v>
      </c>
      <c r="AC409" s="3">
        <f ca="1">'ETF price'!AD411-'ETF price'!AD410</f>
        <v>-0.66999999999999993</v>
      </c>
      <c r="AD409" s="3">
        <f ca="1">'ETF price'!AE411-'ETF price'!AE410</f>
        <v>-0.94000000000000128</v>
      </c>
      <c r="AE409" s="3">
        <f ca="1">'ETF price'!AF411-'ETF price'!AF410</f>
        <v>-0.24000000000000021</v>
      </c>
      <c r="AF409" s="3">
        <f ca="1">'ETF price'!AG411-'ETF price'!AG410</f>
        <v>-0.82000000000000028</v>
      </c>
    </row>
    <row r="410" spans="1:32" ht="12.75" x14ac:dyDescent="0.2">
      <c r="A410" s="3">
        <f ca="1">'ETF price'!B412-'ETF price'!B411</f>
        <v>3.1500000000000057</v>
      </c>
      <c r="B410" s="3">
        <f ca="1">'ETF price'!C412-'ETF price'!C411</f>
        <v>7.1899999999999977</v>
      </c>
      <c r="C410" s="3">
        <f ca="1">'ETF price'!D412-'ETF price'!D411</f>
        <v>-2.5600000000000023</v>
      </c>
      <c r="D410" s="3">
        <f ca="1">'ETF price'!E412-'ETF price'!E411</f>
        <v>4.6000000000000227</v>
      </c>
      <c r="E410" s="3">
        <f ca="1">'ETF price'!F412-'ETF price'!F411</f>
        <v>0.89000000000000057</v>
      </c>
      <c r="F410" s="3">
        <f ca="1">'ETF price'!G412-'ETF price'!G411</f>
        <v>0.27999999999999758</v>
      </c>
      <c r="G410" s="3">
        <f ca="1">'ETF price'!H412-'ETF price'!H411</f>
        <v>8.9999999999999858E-2</v>
      </c>
      <c r="H410" s="3">
        <f ca="1">'ETF price'!I412-'ETF price'!I411</f>
        <v>0.13999999999998636</v>
      </c>
      <c r="I410" s="3">
        <f ca="1">'ETF price'!J412-'ETF price'!J411</f>
        <v>0.37999999999999545</v>
      </c>
      <c r="J410" s="3">
        <f ca="1">'ETF price'!K412-'ETF price'!K411</f>
        <v>1.8200000000000074</v>
      </c>
      <c r="K410" s="3">
        <f ca="1">'ETF price'!L412-'ETF price'!L411</f>
        <v>0.85999999999999943</v>
      </c>
      <c r="L410" s="3">
        <f ca="1">'ETF price'!M412-'ETF price'!M411</f>
        <v>0.64999999999999858</v>
      </c>
      <c r="M410" s="3">
        <f ca="1">'ETF price'!N412-'ETF price'!N411</f>
        <v>4.9999999999997158E-2</v>
      </c>
      <c r="N410" s="3">
        <f ca="1">'ETF price'!O412-'ETF price'!O411</f>
        <v>0.75999999999999801</v>
      </c>
      <c r="O410" s="3">
        <f ca="1">'ETF price'!P412-'ETF price'!P411</f>
        <v>-0.56000000000000227</v>
      </c>
      <c r="P410" s="3">
        <f ca="1">'ETF price'!Q412-'ETF price'!Q411</f>
        <v>-0.73999999999999488</v>
      </c>
      <c r="Q410" s="3">
        <f ca="1">'ETF price'!R412-'ETF price'!R411</f>
        <v>1.0000000000005116E-2</v>
      </c>
      <c r="R410" s="3">
        <f ca="1">'ETF price'!S412-'ETF price'!S411</f>
        <v>-0.29999999999999716</v>
      </c>
      <c r="S410" s="3">
        <f ca="1">'ETF price'!T412-'ETF price'!T411</f>
        <v>-5.9999999999998721E-2</v>
      </c>
      <c r="T410" s="3">
        <f ca="1">'ETF price'!U412-'ETF price'!U411</f>
        <v>-0.21000000000000796</v>
      </c>
      <c r="U410" s="3">
        <f ca="1">'ETF price'!V412-'ETF price'!V411</f>
        <v>-0.62999999999999545</v>
      </c>
      <c r="V410" s="3">
        <f ca="1">'ETF price'!W412-'ETF price'!W411</f>
        <v>-3.9999999999999147E-2</v>
      </c>
      <c r="W410" s="3">
        <f ca="1">'ETF price'!X412-'ETF price'!X411</f>
        <v>-0.10999999999999943</v>
      </c>
      <c r="X410" s="3">
        <f ca="1">'ETF price'!Y412-'ETF price'!Y411</f>
        <v>-0.27000000000000313</v>
      </c>
      <c r="Y410" s="3">
        <f ca="1">'ETF price'!Z412-'ETF price'!Z411</f>
        <v>-0.12000000000000455</v>
      </c>
      <c r="Z410" s="3">
        <f ca="1">'ETF price'!AA412-'ETF price'!AA411</f>
        <v>-0.30999999999999517</v>
      </c>
      <c r="AA410" s="3">
        <f ca="1">'ETF price'!AB412-'ETF price'!AB411</f>
        <v>-0.29999999999999716</v>
      </c>
      <c r="AB410" s="3">
        <f ca="1">'ETF price'!AC412-'ETF price'!AC411</f>
        <v>-0.21999999999999886</v>
      </c>
      <c r="AC410" s="3">
        <f ca="1">'ETF price'!AD412-'ETF price'!AD411</f>
        <v>3.0000000000001137E-2</v>
      </c>
      <c r="AD410" s="3">
        <f ca="1">'ETF price'!AE412-'ETF price'!AE411</f>
        <v>9.9999999999997868E-3</v>
      </c>
      <c r="AE410" s="3">
        <f ca="1">'ETF price'!AF412-'ETF price'!AF411</f>
        <v>-4.9999999999999822E-2</v>
      </c>
      <c r="AF410" s="3">
        <f ca="1">'ETF price'!AG412-'ETF price'!AG411</f>
        <v>-6.0000000000002274E-2</v>
      </c>
    </row>
    <row r="411" spans="1:32" ht="12.75" x14ac:dyDescent="0.2">
      <c r="A411" s="3">
        <f ca="1">'ETF price'!B413-'ETF price'!B412</f>
        <v>-0.19000000000002615</v>
      </c>
      <c r="B411" s="3">
        <f ca="1">'ETF price'!C413-'ETF price'!C412</f>
        <v>0.16000000000002501</v>
      </c>
      <c r="C411" s="3">
        <f ca="1">'ETF price'!D413-'ETF price'!D412</f>
        <v>0.92999999999999261</v>
      </c>
      <c r="D411" s="3">
        <f ca="1">'ETF price'!E413-'ETF price'!E412</f>
        <v>-1.4500000000000171</v>
      </c>
      <c r="E411" s="3">
        <f ca="1">'ETF price'!F413-'ETF price'!F412</f>
        <v>-0.10000000000000142</v>
      </c>
      <c r="F411" s="3">
        <f ca="1">'ETF price'!G413-'ETF price'!G412</f>
        <v>-0.12999999999999901</v>
      </c>
      <c r="G411" s="3">
        <f ca="1">'ETF price'!H413-'ETF price'!H412</f>
        <v>5.9999999999998721E-2</v>
      </c>
      <c r="H411" s="3">
        <f ca="1">'ETF price'!I413-'ETF price'!I412</f>
        <v>-0.46999999999999886</v>
      </c>
      <c r="I411" s="3">
        <f ca="1">'ETF price'!J413-'ETF price'!J412</f>
        <v>-0.68999999999999773</v>
      </c>
      <c r="J411" s="3">
        <f ca="1">'ETF price'!K413-'ETF price'!K412</f>
        <v>6.0000000000002274E-2</v>
      </c>
      <c r="K411" s="3">
        <f ca="1">'ETF price'!L413-'ETF price'!L412</f>
        <v>-1.9999999999996021E-2</v>
      </c>
      <c r="L411" s="3">
        <f ca="1">'ETF price'!M413-'ETF price'!M412</f>
        <v>-0.14000000000000057</v>
      </c>
      <c r="M411" s="3">
        <f ca="1">'ETF price'!N413-'ETF price'!N412</f>
        <v>-0.14999999999999858</v>
      </c>
      <c r="N411" s="3">
        <f ca="1">'ETF price'!O413-'ETF price'!O412</f>
        <v>3.9999999999999147E-2</v>
      </c>
      <c r="O411" s="3">
        <f ca="1">'ETF price'!P413-'ETF price'!P412</f>
        <v>-0.68000000000000682</v>
      </c>
      <c r="P411" s="3">
        <f ca="1">'ETF price'!Q413-'ETF price'!Q412</f>
        <v>-0.89000000000000057</v>
      </c>
      <c r="Q411" s="3">
        <f ca="1">'ETF price'!R413-'ETF price'!R412</f>
        <v>-7.000000000000739E-2</v>
      </c>
      <c r="R411" s="3">
        <f ca="1">'ETF price'!S413-'ETF price'!S412</f>
        <v>0.24000000000000199</v>
      </c>
      <c r="S411" s="3">
        <f ca="1">'ETF price'!T413-'ETF price'!T412</f>
        <v>1.0000000000001563E-2</v>
      </c>
      <c r="T411" s="3">
        <f ca="1">'ETF price'!U413-'ETF price'!U412</f>
        <v>-0.29999999999999716</v>
      </c>
      <c r="U411" s="3">
        <f ca="1">'ETF price'!V413-'ETF price'!V412</f>
        <v>-0.59000000000000341</v>
      </c>
      <c r="V411" s="3">
        <f ca="1">'ETF price'!W413-'ETF price'!W412</f>
        <v>-0.32000000000000028</v>
      </c>
      <c r="W411" s="3">
        <f ca="1">'ETF price'!X413-'ETF price'!X412</f>
        <v>-0.81000000000000227</v>
      </c>
      <c r="X411" s="3">
        <f ca="1">'ETF price'!Y413-'ETF price'!Y412</f>
        <v>-0.96000000000000085</v>
      </c>
      <c r="Y411" s="3">
        <f ca="1">'ETF price'!Z413-'ETF price'!Z412</f>
        <v>-0.90000000000000568</v>
      </c>
      <c r="Z411" s="3">
        <f ca="1">'ETF price'!AA413-'ETF price'!AA412</f>
        <v>0.10999999999999943</v>
      </c>
      <c r="AA411" s="3">
        <f ca="1">'ETF price'!AB413-'ETF price'!AB412</f>
        <v>-1.2700000000000031</v>
      </c>
      <c r="AB411" s="3">
        <f ca="1">'ETF price'!AC413-'ETF price'!AC412</f>
        <v>0.14999999999999858</v>
      </c>
      <c r="AC411" s="3">
        <f ca="1">'ETF price'!AD413-'ETF price'!AD412</f>
        <v>-0.13000000000000078</v>
      </c>
      <c r="AD411" s="3">
        <f ca="1">'ETF price'!AE413-'ETF price'!AE412</f>
        <v>-0.16000000000000014</v>
      </c>
      <c r="AE411" s="3">
        <f ca="1">'ETF price'!AF413-'ETF price'!AF412</f>
        <v>-4.0000000000000036E-2</v>
      </c>
      <c r="AF411" s="3">
        <f ca="1">'ETF price'!AG413-'ETF price'!AG412</f>
        <v>-0.54999999999999716</v>
      </c>
    </row>
    <row r="412" spans="1:32" ht="12.75" x14ac:dyDescent="0.2">
      <c r="A412" s="3">
        <f ca="1">'ETF price'!B414-'ETF price'!B413</f>
        <v>3.0300000000000011</v>
      </c>
      <c r="B412" s="3">
        <f ca="1">'ETF price'!C414-'ETF price'!C413</f>
        <v>7.7199999999999704</v>
      </c>
      <c r="C412" s="3">
        <f ca="1">'ETF price'!D414-'ETF price'!D413</f>
        <v>0.89000000000000057</v>
      </c>
      <c r="D412" s="3">
        <f ca="1">'ETF price'!E414-'ETF price'!E413</f>
        <v>3.3400000000000034</v>
      </c>
      <c r="E412" s="3">
        <f ca="1">'ETF price'!F414-'ETF price'!F413</f>
        <v>0.65999999999999659</v>
      </c>
      <c r="F412" s="3">
        <f ca="1">'ETF price'!G414-'ETF price'!G413</f>
        <v>0.53999999999999915</v>
      </c>
      <c r="G412" s="3">
        <f ca="1">'ETF price'!H414-'ETF price'!H413</f>
        <v>0.26000000000000156</v>
      </c>
      <c r="H412" s="3">
        <f ca="1">'ETF price'!I414-'ETF price'!I413</f>
        <v>0.40000000000000568</v>
      </c>
      <c r="I412" s="3">
        <f ca="1">'ETF price'!J414-'ETF price'!J413</f>
        <v>0.67000000000001592</v>
      </c>
      <c r="J412" s="3">
        <f ca="1">'ETF price'!K414-'ETF price'!K413</f>
        <v>0.73999999999999488</v>
      </c>
      <c r="K412" s="3">
        <f ca="1">'ETF price'!L414-'ETF price'!L413</f>
        <v>0.48999999999999488</v>
      </c>
      <c r="L412" s="3">
        <f ca="1">'ETF price'!M414-'ETF price'!M413</f>
        <v>0.28000000000000114</v>
      </c>
      <c r="M412" s="3">
        <f ca="1">'ETF price'!N414-'ETF price'!N413</f>
        <v>0.17999999999999972</v>
      </c>
      <c r="N412" s="3">
        <f ca="1">'ETF price'!O414-'ETF price'!O413</f>
        <v>0.47999999999999687</v>
      </c>
      <c r="O412" s="3">
        <f ca="1">'ETF price'!P414-'ETF price'!P413</f>
        <v>-0.21999999999999886</v>
      </c>
      <c r="P412" s="3">
        <f ca="1">'ETF price'!Q414-'ETF price'!Q413</f>
        <v>-0.39000000000000057</v>
      </c>
      <c r="Q412" s="3">
        <f ca="1">'ETF price'!R414-'ETF price'!R413</f>
        <v>0.13000000000000966</v>
      </c>
      <c r="R412" s="3">
        <f ca="1">'ETF price'!S414-'ETF price'!S413</f>
        <v>4.9999999999997158E-2</v>
      </c>
      <c r="S412" s="3">
        <f ca="1">'ETF price'!T414-'ETF price'!T413</f>
        <v>4.9999999999997158E-2</v>
      </c>
      <c r="T412" s="3">
        <f ca="1">'ETF price'!U414-'ETF price'!U413</f>
        <v>-0.92000000000000171</v>
      </c>
      <c r="U412" s="3">
        <f ca="1">'ETF price'!V414-'ETF price'!V413</f>
        <v>0.96999999999999886</v>
      </c>
      <c r="V412" s="3">
        <f ca="1">'ETF price'!W414-'ETF price'!W413</f>
        <v>0.3300000000000054</v>
      </c>
      <c r="W412" s="3">
        <f ca="1">'ETF price'!X414-'ETF price'!X413</f>
        <v>0.75</v>
      </c>
      <c r="X412" s="3">
        <f ca="1">'ETF price'!Y414-'ETF price'!Y413</f>
        <v>0.50999999999999801</v>
      </c>
      <c r="Y412" s="3">
        <f ca="1">'ETF price'!Z414-'ETF price'!Z413</f>
        <v>0.82000000000000739</v>
      </c>
      <c r="Z412" s="3">
        <f ca="1">'ETF price'!AA414-'ETF price'!AA413</f>
        <v>0.53000000000000114</v>
      </c>
      <c r="AA412" s="3">
        <f ca="1">'ETF price'!AB414-'ETF price'!AB413</f>
        <v>0.56000000000000227</v>
      </c>
      <c r="AB412" s="3">
        <f ca="1">'ETF price'!AC414-'ETF price'!AC413</f>
        <v>0.46999999999999886</v>
      </c>
      <c r="AC412" s="3">
        <f ca="1">'ETF price'!AD414-'ETF price'!AD413</f>
        <v>0.33000000000000007</v>
      </c>
      <c r="AD412" s="3">
        <f ca="1">'ETF price'!AE414-'ETF price'!AE413</f>
        <v>0.41000000000000014</v>
      </c>
      <c r="AE412" s="3">
        <f ca="1">'ETF price'!AF414-'ETF price'!AF413</f>
        <v>-2.0000000000000018E-2</v>
      </c>
      <c r="AF412" s="3">
        <f ca="1">'ETF price'!AG414-'ETF price'!AG413</f>
        <v>1.4399999999999977</v>
      </c>
    </row>
    <row r="413" spans="1:32" ht="12.75" x14ac:dyDescent="0.2">
      <c r="A413" s="3">
        <f ca="1">'ETF price'!B415-'ETF price'!B414</f>
        <v>-3.9399999999999977</v>
      </c>
      <c r="B413" s="3">
        <f ca="1">'ETF price'!C415-'ETF price'!C414</f>
        <v>-10.050000000000011</v>
      </c>
      <c r="C413" s="3">
        <f ca="1">'ETF price'!D415-'ETF price'!D414</f>
        <v>2.2900000000000063</v>
      </c>
      <c r="D413" s="3">
        <f ca="1">'ETF price'!E415-'ETF price'!E414</f>
        <v>-5.5099999999999909</v>
      </c>
      <c r="E413" s="3">
        <f ca="1">'ETF price'!F415-'ETF price'!F414</f>
        <v>-0.62999999999999545</v>
      </c>
      <c r="F413" s="3">
        <f ca="1">'ETF price'!G415-'ETF price'!G414</f>
        <v>-0.46000000000000085</v>
      </c>
      <c r="G413" s="3">
        <f ca="1">'ETF price'!H415-'ETF price'!H414</f>
        <v>-0.38000000000000256</v>
      </c>
      <c r="H413" s="3">
        <f ca="1">'ETF price'!I415-'ETF price'!I414</f>
        <v>-1.1599999999999966</v>
      </c>
      <c r="I413" s="3">
        <f ca="1">'ETF price'!J415-'ETF price'!J414</f>
        <v>-1.8799999999999955</v>
      </c>
      <c r="J413" s="3">
        <f ca="1">'ETF price'!K415-'ETF price'!K414</f>
        <v>-1.1700000000000017</v>
      </c>
      <c r="K413" s="3">
        <f ca="1">'ETF price'!L415-'ETF price'!L414</f>
        <v>-1.0400000000000063</v>
      </c>
      <c r="L413" s="3">
        <f ca="1">'ETF price'!M415-'ETF price'!M414</f>
        <v>-0.63000000000000256</v>
      </c>
      <c r="M413" s="3">
        <f ca="1">'ETF price'!N415-'ETF price'!N414</f>
        <v>-0.49000000000000199</v>
      </c>
      <c r="N413" s="3">
        <f ca="1">'ETF price'!O415-'ETF price'!O414</f>
        <v>-0.59999999999999432</v>
      </c>
      <c r="O413" s="3">
        <f ca="1">'ETF price'!P415-'ETF price'!P414</f>
        <v>-0.59999999999999432</v>
      </c>
      <c r="P413" s="3">
        <f ca="1">'ETF price'!Q415-'ETF price'!Q414</f>
        <v>-0.93000000000000682</v>
      </c>
      <c r="Q413" s="3">
        <f ca="1">'ETF price'!R415-'ETF price'!R414</f>
        <v>-0.34000000000000341</v>
      </c>
      <c r="R413" s="3">
        <f ca="1">'ETF price'!S415-'ETF price'!S414</f>
        <v>-0.78999999999999915</v>
      </c>
      <c r="S413" s="3">
        <f ca="1">'ETF price'!T415-'ETF price'!T414</f>
        <v>2.0000000000003126E-2</v>
      </c>
      <c r="T413" s="3">
        <f ca="1">'ETF price'!U415-'ETF price'!U414</f>
        <v>4.9999999999997158E-2</v>
      </c>
      <c r="U413" s="3">
        <f ca="1">'ETF price'!V415-'ETF price'!V414</f>
        <v>-1.259999999999998</v>
      </c>
      <c r="V413" s="3">
        <f ca="1">'ETF price'!W415-'ETF price'!W414</f>
        <v>-0.12000000000000455</v>
      </c>
      <c r="W413" s="3">
        <f ca="1">'ETF price'!X415-'ETF price'!X414</f>
        <v>-0.17000000000000171</v>
      </c>
      <c r="X413" s="3">
        <f ca="1">'ETF price'!Y415-'ETF price'!Y414</f>
        <v>0.11000000000000654</v>
      </c>
      <c r="Y413" s="3">
        <f ca="1">'ETF price'!Z415-'ETF price'!Z414</f>
        <v>-4.9999999999997158E-2</v>
      </c>
      <c r="Z413" s="3">
        <f ca="1">'ETF price'!AA415-'ETF price'!AA414</f>
        <v>-0.17000000000000171</v>
      </c>
      <c r="AA413" s="3">
        <f ca="1">'ETF price'!AB415-'ETF price'!AB414</f>
        <v>0.19999999999999574</v>
      </c>
      <c r="AB413" s="3">
        <f ca="1">'ETF price'!AC415-'ETF price'!AC414</f>
        <v>0.57000000000000028</v>
      </c>
      <c r="AC413" s="3">
        <f ca="1">'ETF price'!AD415-'ETF price'!AD414</f>
        <v>-0.24000000000000021</v>
      </c>
      <c r="AD413" s="3">
        <f ca="1">'ETF price'!AE415-'ETF price'!AE414</f>
        <v>-0.29999999999999893</v>
      </c>
      <c r="AE413" s="3">
        <f ca="1">'ETF price'!AF415-'ETF price'!AF414</f>
        <v>0.13999999999999968</v>
      </c>
      <c r="AF413" s="3">
        <f ca="1">'ETF price'!AG415-'ETF price'!AG414</f>
        <v>-1.4899999999999984</v>
      </c>
    </row>
    <row r="414" spans="1:32" ht="12.75" x14ac:dyDescent="0.2">
      <c r="A414" s="3">
        <f ca="1">'ETF price'!B416-'ETF price'!B415</f>
        <v>1.7000000000000171</v>
      </c>
      <c r="B414" s="3">
        <f ca="1">'ETF price'!C416-'ETF price'!C415</f>
        <v>4.25</v>
      </c>
      <c r="C414" s="3">
        <f ca="1">'ETF price'!D416-'ETF price'!D415</f>
        <v>0.93999999999999773</v>
      </c>
      <c r="D414" s="3">
        <f ca="1">'ETF price'!E416-'ETF price'!E415</f>
        <v>0.68999999999999773</v>
      </c>
      <c r="E414" s="3">
        <f ca="1">'ETF price'!F416-'ETF price'!F415</f>
        <v>0.75</v>
      </c>
      <c r="F414" s="3">
        <f ca="1">'ETF price'!G416-'ETF price'!G415</f>
        <v>0.13000000000000256</v>
      </c>
      <c r="G414" s="3">
        <f ca="1">'ETF price'!H416-'ETF price'!H415</f>
        <v>0.19000000000000128</v>
      </c>
      <c r="H414" s="3">
        <f ca="1">'ETF price'!I416-'ETF price'!I415</f>
        <v>0.96999999999999886</v>
      </c>
      <c r="I414" s="3">
        <f ca="1">'ETF price'!J416-'ETF price'!J415</f>
        <v>1.75</v>
      </c>
      <c r="J414" s="3">
        <f ca="1">'ETF price'!K416-'ETF price'!K415</f>
        <v>0.71999999999999886</v>
      </c>
      <c r="K414" s="3">
        <f ca="1">'ETF price'!L416-'ETF price'!L415</f>
        <v>0.87000000000000455</v>
      </c>
      <c r="L414" s="3">
        <f ca="1">'ETF price'!M416-'ETF price'!M415</f>
        <v>0.17000000000000171</v>
      </c>
      <c r="M414" s="3">
        <f ca="1">'ETF price'!N416-'ETF price'!N415</f>
        <v>0.46000000000000085</v>
      </c>
      <c r="N414" s="3">
        <f ca="1">'ETF price'!O416-'ETF price'!O415</f>
        <v>0.35999999999999943</v>
      </c>
      <c r="O414" s="3">
        <f ca="1">'ETF price'!P416-'ETF price'!P415</f>
        <v>0.84000000000000341</v>
      </c>
      <c r="P414" s="3">
        <f ca="1">'ETF price'!Q416-'ETF price'!Q415</f>
        <v>1.2399999999999949</v>
      </c>
      <c r="Q414" s="3">
        <f ca="1">'ETF price'!R416-'ETF price'!R415</f>
        <v>0.23999999999999488</v>
      </c>
      <c r="R414" s="3">
        <f ca="1">'ETF price'!S416-'ETF price'!S415</f>
        <v>-9.9999999999980105E-3</v>
      </c>
      <c r="S414" s="3">
        <f ca="1">'ETF price'!T416-'ETF price'!T415</f>
        <v>0.23999999999999844</v>
      </c>
      <c r="T414" s="3">
        <f ca="1">'ETF price'!U416-'ETF price'!U415</f>
        <v>1.0400000000000063</v>
      </c>
      <c r="U414" s="3">
        <f ca="1">'ETF price'!V416-'ETF price'!V415</f>
        <v>0.67000000000000171</v>
      </c>
      <c r="V414" s="3">
        <f ca="1">'ETF price'!W416-'ETF price'!W415</f>
        <v>0.16000000000000369</v>
      </c>
      <c r="W414" s="3">
        <f ca="1">'ETF price'!X416-'ETF price'!X415</f>
        <v>0.28000000000000114</v>
      </c>
      <c r="X414" s="3">
        <f ca="1">'ETF price'!Y416-'ETF price'!Y415</f>
        <v>-0.16000000000000369</v>
      </c>
      <c r="Y414" s="3">
        <f ca="1">'ETF price'!Z416-'ETF price'!Z415</f>
        <v>0.11999999999999034</v>
      </c>
      <c r="Z414" s="3">
        <f ca="1">'ETF price'!AA416-'ETF price'!AA415</f>
        <v>0.10000000000000142</v>
      </c>
      <c r="AA414" s="3">
        <f ca="1">'ETF price'!AB416-'ETF price'!AB415</f>
        <v>-0.30999999999999517</v>
      </c>
      <c r="AB414" s="3">
        <f ca="1">'ETF price'!AC416-'ETF price'!AC415</f>
        <v>-3.0000000000001137E-2</v>
      </c>
      <c r="AC414" s="3">
        <f ca="1">'ETF price'!AD416-'ETF price'!AD415</f>
        <v>-1.9999999999999574E-2</v>
      </c>
      <c r="AD414" s="3">
        <f ca="1">'ETF price'!AE416-'ETF price'!AE415</f>
        <v>-5.0000000000000711E-2</v>
      </c>
      <c r="AE414" s="3">
        <f ca="1">'ETF price'!AF416-'ETF price'!AF415</f>
        <v>-0.16999999999999993</v>
      </c>
      <c r="AF414" s="3">
        <f ca="1">'ETF price'!AG416-'ETF price'!AG415</f>
        <v>-0.31000000000000227</v>
      </c>
    </row>
    <row r="415" spans="1:32" ht="12.75" x14ac:dyDescent="0.2">
      <c r="A415" s="3">
        <f ca="1">'ETF price'!B417-'ETF price'!B416</f>
        <v>1.3799999999999955</v>
      </c>
      <c r="B415" s="3">
        <f ca="1">'ETF price'!C417-'ETF price'!C416</f>
        <v>3.2800000000000296</v>
      </c>
      <c r="C415" s="3">
        <f ca="1">'ETF price'!D417-'ETF price'!D416</f>
        <v>0.54999999999999716</v>
      </c>
      <c r="D415" s="3">
        <f ca="1">'ETF price'!E417-'ETF price'!E416</f>
        <v>2.0499999999999829</v>
      </c>
      <c r="E415" s="3">
        <f ca="1">'ETF price'!F417-'ETF price'!F416</f>
        <v>0.14000000000000057</v>
      </c>
      <c r="F415" s="3">
        <f ca="1">'ETF price'!G417-'ETF price'!G416</f>
        <v>0.34999999999999787</v>
      </c>
      <c r="G415" s="3">
        <f ca="1">'ETF price'!H417-'ETF price'!H416</f>
        <v>0.14999999999999858</v>
      </c>
      <c r="H415" s="3">
        <f ca="1">'ETF price'!I417-'ETF price'!I416</f>
        <v>0.31000000000000227</v>
      </c>
      <c r="I415" s="3">
        <f ca="1">'ETF price'!J417-'ETF price'!J416</f>
        <v>0.44999999999998863</v>
      </c>
      <c r="J415" s="3">
        <f ca="1">'ETF price'!K417-'ETF price'!K416</f>
        <v>0.51999999999999602</v>
      </c>
      <c r="K415" s="3">
        <f ca="1">'ETF price'!L417-'ETF price'!L416</f>
        <v>0.24000000000000909</v>
      </c>
      <c r="L415" s="3">
        <f ca="1">'ETF price'!M417-'ETF price'!M416</f>
        <v>9.9999999999980105E-3</v>
      </c>
      <c r="M415" s="3">
        <f ca="1">'ETF price'!N417-'ETF price'!N416</f>
        <v>0.13000000000000256</v>
      </c>
      <c r="N415" s="3">
        <f ca="1">'ETF price'!O417-'ETF price'!O416</f>
        <v>-0.16000000000000369</v>
      </c>
      <c r="O415" s="3">
        <f ca="1">'ETF price'!P417-'ETF price'!P416</f>
        <v>0.59000000000000341</v>
      </c>
      <c r="P415" s="3">
        <f ca="1">'ETF price'!Q417-'ETF price'!Q416</f>
        <v>0.88000000000000966</v>
      </c>
      <c r="Q415" s="3">
        <f ca="1">'ETF price'!R417-'ETF price'!R416</f>
        <v>0.59000000000000341</v>
      </c>
      <c r="R415" s="3">
        <f ca="1">'ETF price'!S417-'ETF price'!S416</f>
        <v>0.54999999999999716</v>
      </c>
      <c r="S415" s="3">
        <f ca="1">'ETF price'!T417-'ETF price'!T416</f>
        <v>-3.9999999999999147E-2</v>
      </c>
      <c r="T415" s="3">
        <f ca="1">'ETF price'!U417-'ETF price'!U416</f>
        <v>-4.0000000000006253E-2</v>
      </c>
      <c r="U415" s="3">
        <f ca="1">'ETF price'!V417-'ETF price'!V416</f>
        <v>0.30999999999999517</v>
      </c>
      <c r="V415" s="3">
        <f ca="1">'ETF price'!W417-'ETF price'!W416</f>
        <v>0.18999999999999773</v>
      </c>
      <c r="W415" s="3">
        <f ca="1">'ETF price'!X417-'ETF price'!X416</f>
        <v>0.5</v>
      </c>
      <c r="X415" s="3">
        <f ca="1">'ETF price'!Y417-'ETF price'!Y416</f>
        <v>0.47999999999999687</v>
      </c>
      <c r="Y415" s="3">
        <f ca="1">'ETF price'!Z417-'ETF price'!Z416</f>
        <v>0.39000000000000057</v>
      </c>
      <c r="Z415" s="3">
        <f ca="1">'ETF price'!AA417-'ETF price'!AA416</f>
        <v>0.28999999999999915</v>
      </c>
      <c r="AA415" s="3">
        <f ca="1">'ETF price'!AB417-'ETF price'!AB416</f>
        <v>0.62999999999999545</v>
      </c>
      <c r="AB415" s="3">
        <f ca="1">'ETF price'!AC417-'ETF price'!AC416</f>
        <v>-0.14999999999999858</v>
      </c>
      <c r="AC415" s="3">
        <f ca="1">'ETF price'!AD417-'ETF price'!AD416</f>
        <v>0</v>
      </c>
      <c r="AD415" s="3">
        <f ca="1">'ETF price'!AE417-'ETF price'!AE416</f>
        <v>9.9999999999997868E-3</v>
      </c>
      <c r="AE415" s="3">
        <f ca="1">'ETF price'!AF417-'ETF price'!AF416</f>
        <v>0</v>
      </c>
      <c r="AF415" s="3">
        <f ca="1">'ETF price'!AG417-'ETF price'!AG416</f>
        <v>0.11000000000000298</v>
      </c>
    </row>
    <row r="416" spans="1:32" ht="12.75" x14ac:dyDescent="0.2">
      <c r="A416" s="3">
        <f ca="1">'ETF price'!B418-'ETF price'!B417</f>
        <v>3.4099999999999966</v>
      </c>
      <c r="B416" s="3">
        <f ca="1">'ETF price'!C418-'ETF price'!C417</f>
        <v>8.6700000000000159</v>
      </c>
      <c r="C416" s="3">
        <f ca="1">'ETF price'!D418-'ETF price'!D417</f>
        <v>0.31000000000000227</v>
      </c>
      <c r="D416" s="3">
        <f ca="1">'ETF price'!E418-'ETF price'!E417</f>
        <v>4.3100000000000023</v>
      </c>
      <c r="E416" s="3">
        <f ca="1">'ETF price'!F418-'ETF price'!F417</f>
        <v>0.36999999999999744</v>
      </c>
      <c r="F416" s="3">
        <f ca="1">'ETF price'!G418-'ETF price'!G417</f>
        <v>0.48000000000000043</v>
      </c>
      <c r="G416" s="3">
        <f ca="1">'ETF price'!H418-'ETF price'!H417</f>
        <v>0.39000000000000057</v>
      </c>
      <c r="H416" s="3">
        <f ca="1">'ETF price'!I418-'ETF price'!I417</f>
        <v>1.1999999999999886</v>
      </c>
      <c r="I416" s="3">
        <f ca="1">'ETF price'!J418-'ETF price'!J417</f>
        <v>2.2199999999999989</v>
      </c>
      <c r="J416" s="3">
        <f ca="1">'ETF price'!K418-'ETF price'!K417</f>
        <v>1.3700000000000045</v>
      </c>
      <c r="K416" s="3">
        <f ca="1">'ETF price'!L418-'ETF price'!L417</f>
        <v>0.35999999999999943</v>
      </c>
      <c r="L416" s="3">
        <f ca="1">'ETF price'!M418-'ETF price'!M417</f>
        <v>0.79999999999999716</v>
      </c>
      <c r="M416" s="3">
        <f ca="1">'ETF price'!N418-'ETF price'!N417</f>
        <v>0.51999999999999602</v>
      </c>
      <c r="N416" s="3">
        <f ca="1">'ETF price'!O418-'ETF price'!O417</f>
        <v>0.88000000000000256</v>
      </c>
      <c r="O416" s="3">
        <f ca="1">'ETF price'!P418-'ETF price'!P417</f>
        <v>0.23999999999999488</v>
      </c>
      <c r="P416" s="3">
        <f ca="1">'ETF price'!Q418-'ETF price'!Q417</f>
        <v>0.37999999999999545</v>
      </c>
      <c r="Q416" s="3">
        <f ca="1">'ETF price'!R418-'ETF price'!R417</f>
        <v>1.3499999999999943</v>
      </c>
      <c r="R416" s="3">
        <f ca="1">'ETF price'!S418-'ETF price'!S417</f>
        <v>1.2000000000000028</v>
      </c>
      <c r="S416" s="3">
        <f ca="1">'ETF price'!T418-'ETF price'!T417</f>
        <v>8.9999999999999858E-2</v>
      </c>
      <c r="T416" s="3">
        <f ca="1">'ETF price'!U418-'ETF price'!U417</f>
        <v>0.90999999999999659</v>
      </c>
      <c r="U416" s="3">
        <f ca="1">'ETF price'!V418-'ETF price'!V417</f>
        <v>2.240000000000002</v>
      </c>
      <c r="V416" s="3">
        <f ca="1">'ETF price'!W418-'ETF price'!W417</f>
        <v>0.31000000000000227</v>
      </c>
      <c r="W416" s="3">
        <f ca="1">'ETF price'!X418-'ETF price'!X417</f>
        <v>0.85000000000000853</v>
      </c>
      <c r="X416" s="3">
        <f ca="1">'ETF price'!Y418-'ETF price'!Y417</f>
        <v>0.47000000000000597</v>
      </c>
      <c r="Y416" s="3">
        <f ca="1">'ETF price'!Z418-'ETF price'!Z417</f>
        <v>0.82999999999999829</v>
      </c>
      <c r="Z416" s="3">
        <f ca="1">'ETF price'!AA418-'ETF price'!AA417</f>
        <v>0.4199999999999946</v>
      </c>
      <c r="AA416" s="3">
        <f ca="1">'ETF price'!AB418-'ETF price'!AB417</f>
        <v>0.42000000000000171</v>
      </c>
      <c r="AB416" s="3">
        <f ca="1">'ETF price'!AC418-'ETF price'!AC417</f>
        <v>0.40999999999999659</v>
      </c>
      <c r="AC416" s="3">
        <f ca="1">'ETF price'!AD418-'ETF price'!AD417</f>
        <v>0.72000000000000064</v>
      </c>
      <c r="AD416" s="3">
        <f ca="1">'ETF price'!AE418-'ETF price'!AE417</f>
        <v>0.97000000000000064</v>
      </c>
      <c r="AE416" s="3">
        <f ca="1">'ETF price'!AF418-'ETF price'!AF417</f>
        <v>3.0000000000000249E-2</v>
      </c>
      <c r="AF416" s="3">
        <f ca="1">'ETF price'!AG418-'ETF price'!AG417</f>
        <v>4.009999999999998</v>
      </c>
    </row>
    <row r="417" spans="1:32" ht="12.75" x14ac:dyDescent="0.2">
      <c r="A417" s="3">
        <f ca="1">'ETF price'!B419-'ETF price'!B418</f>
        <v>1.3100000000000023</v>
      </c>
      <c r="B417" s="3">
        <f ca="1">'ETF price'!C419-'ETF price'!C418</f>
        <v>3.6200000000000045</v>
      </c>
      <c r="C417" s="3">
        <f ca="1">'ETF price'!D419-'ETF price'!D418</f>
        <v>0.40999999999999659</v>
      </c>
      <c r="D417" s="3">
        <f ca="1">'ETF price'!E419-'ETF price'!E418</f>
        <v>0.79000000000002046</v>
      </c>
      <c r="E417" s="3">
        <f ca="1">'ETF price'!F419-'ETF price'!F418</f>
        <v>0.42000000000000171</v>
      </c>
      <c r="F417" s="3">
        <f ca="1">'ETF price'!G419-'ETF price'!G418</f>
        <v>0.21999999999999886</v>
      </c>
      <c r="G417" s="3">
        <f ca="1">'ETF price'!H419-'ETF price'!H418</f>
        <v>0.19000000000000128</v>
      </c>
      <c r="H417" s="3">
        <f ca="1">'ETF price'!I419-'ETF price'!I418</f>
        <v>-9.9999999999994316E-2</v>
      </c>
      <c r="I417" s="3">
        <f ca="1">'ETF price'!J419-'ETF price'!J418</f>
        <v>0.12000000000000455</v>
      </c>
      <c r="J417" s="3">
        <f ca="1">'ETF price'!K419-'ETF price'!K418</f>
        <v>0.37999999999999545</v>
      </c>
      <c r="K417" s="3">
        <f ca="1">'ETF price'!L419-'ETF price'!L418</f>
        <v>0.39000000000000057</v>
      </c>
      <c r="L417" s="3">
        <f ca="1">'ETF price'!M419-'ETF price'!M418</f>
        <v>0.38000000000000256</v>
      </c>
      <c r="M417" s="3">
        <f ca="1">'ETF price'!N419-'ETF price'!N418</f>
        <v>4.0000000000006253E-2</v>
      </c>
      <c r="N417" s="3">
        <f ca="1">'ETF price'!O419-'ETF price'!O418</f>
        <v>0.39999999999999858</v>
      </c>
      <c r="O417" s="3">
        <f ca="1">'ETF price'!P419-'ETF price'!P418</f>
        <v>0.43999999999999773</v>
      </c>
      <c r="P417" s="3">
        <f ca="1">'ETF price'!Q419-'ETF price'!Q418</f>
        <v>0.65000000000000568</v>
      </c>
      <c r="Q417" s="3">
        <f ca="1">'ETF price'!R419-'ETF price'!R418</f>
        <v>0.19000000000001194</v>
      </c>
      <c r="R417" s="3">
        <f ca="1">'ETF price'!S419-'ETF price'!S418</f>
        <v>-0.15000000000000568</v>
      </c>
      <c r="S417" s="3">
        <f ca="1">'ETF price'!T419-'ETF price'!T418</f>
        <v>2.9999999999997584E-2</v>
      </c>
      <c r="T417" s="3">
        <f ca="1">'ETF price'!U419-'ETF price'!U418</f>
        <v>0.34000000000000341</v>
      </c>
      <c r="U417" s="3">
        <f ca="1">'ETF price'!V419-'ETF price'!V418</f>
        <v>-0.43999999999999773</v>
      </c>
      <c r="V417" s="3">
        <f ca="1">'ETF price'!W419-'ETF price'!W418</f>
        <v>1.9999999999996021E-2</v>
      </c>
      <c r="W417" s="3">
        <f ca="1">'ETF price'!X419-'ETF price'!X418</f>
        <v>6.9999999999993179E-2</v>
      </c>
      <c r="X417" s="3">
        <f ca="1">'ETF price'!Y419-'ETF price'!Y418</f>
        <v>-0.19000000000000483</v>
      </c>
      <c r="Y417" s="3">
        <f ca="1">'ETF price'!Z419-'ETF price'!Z418</f>
        <v>7.000000000000739E-2</v>
      </c>
      <c r="Z417" s="3">
        <f ca="1">'ETF price'!AA419-'ETF price'!AA418</f>
        <v>0.13000000000000256</v>
      </c>
      <c r="AA417" s="3">
        <f ca="1">'ETF price'!AB419-'ETF price'!AB418</f>
        <v>-0.32999999999999829</v>
      </c>
      <c r="AB417" s="3">
        <f ca="1">'ETF price'!AC419-'ETF price'!AC418</f>
        <v>-0.43999999999999773</v>
      </c>
      <c r="AC417" s="3">
        <f ca="1">'ETF price'!AD419-'ETF price'!AD418</f>
        <v>-0.28000000000000114</v>
      </c>
      <c r="AD417" s="3">
        <f ca="1">'ETF price'!AE419-'ETF price'!AE418</f>
        <v>-0.38000000000000078</v>
      </c>
      <c r="AE417" s="3">
        <f ca="1">'ETF price'!AF419-'ETF price'!AF418</f>
        <v>0.35000000000000009</v>
      </c>
      <c r="AF417" s="3">
        <f ca="1">'ETF price'!AG419-'ETF price'!AG418</f>
        <v>-0.27999999999999758</v>
      </c>
    </row>
    <row r="418" spans="1:32" ht="12.75" x14ac:dyDescent="0.2">
      <c r="A418" s="3">
        <f ca="1">'ETF price'!B420-'ETF price'!B419</f>
        <v>0.84999999999999432</v>
      </c>
      <c r="B418" s="3">
        <f ca="1">'ETF price'!C420-'ETF price'!C419</f>
        <v>2.2199999999999704</v>
      </c>
      <c r="C418" s="3">
        <f ca="1">'ETF price'!D420-'ETF price'!D419</f>
        <v>-1.0999999999999943</v>
      </c>
      <c r="D418" s="3">
        <f ca="1">'ETF price'!E420-'ETF price'!E419</f>
        <v>1.1699999999999875</v>
      </c>
      <c r="E418" s="3">
        <f ca="1">'ETF price'!F420-'ETF price'!F419</f>
        <v>0.83999999999999631</v>
      </c>
      <c r="F418" s="3">
        <f ca="1">'ETF price'!G420-'ETF price'!G419</f>
        <v>-9.9999999999997868E-2</v>
      </c>
      <c r="G418" s="3">
        <f ca="1">'ETF price'!H420-'ETF price'!H419</f>
        <v>-5.0000000000000711E-2</v>
      </c>
      <c r="H418" s="3">
        <f ca="1">'ETF price'!I420-'ETF price'!I419</f>
        <v>-1.6099999999999852</v>
      </c>
      <c r="I418" s="3">
        <f ca="1">'ETF price'!J420-'ETF price'!J419</f>
        <v>-2.6200000000000045</v>
      </c>
      <c r="J418" s="3">
        <f ca="1">'ETF price'!K420-'ETF price'!K419</f>
        <v>-1.1399999999999864</v>
      </c>
      <c r="K418" s="3">
        <f ca="1">'ETF price'!L420-'ETF price'!L419</f>
        <v>-0.48000000000000398</v>
      </c>
      <c r="L418" s="3">
        <f ca="1">'ETF price'!M420-'ETF price'!M419</f>
        <v>-0.47999999999999687</v>
      </c>
      <c r="M418" s="3">
        <f ca="1">'ETF price'!N420-'ETF price'!N419</f>
        <v>-0.63000000000000256</v>
      </c>
      <c r="N418" s="3">
        <f ca="1">'ETF price'!O420-'ETF price'!O419</f>
        <v>-0.43999999999999773</v>
      </c>
      <c r="O418" s="3">
        <f ca="1">'ETF price'!P420-'ETF price'!P419</f>
        <v>6.0000000000002274E-2</v>
      </c>
      <c r="P418" s="3">
        <f ca="1">'ETF price'!Q420-'ETF price'!Q419</f>
        <v>0.14999999999999147</v>
      </c>
      <c r="Q418" s="3">
        <f ca="1">'ETF price'!R420-'ETF price'!R419</f>
        <v>-4.0000000000006253E-2</v>
      </c>
      <c r="R418" s="3">
        <f ca="1">'ETF price'!S420-'ETF price'!S419</f>
        <v>8.00000000000054E-2</v>
      </c>
      <c r="S418" s="3">
        <f ca="1">'ETF price'!T420-'ETF price'!T419</f>
        <v>0.10000000000000142</v>
      </c>
      <c r="T418" s="3">
        <f ca="1">'ETF price'!U420-'ETF price'!U419</f>
        <v>1.4000000000000057</v>
      </c>
      <c r="U418" s="3">
        <f ca="1">'ETF price'!V420-'ETF price'!V419</f>
        <v>-5.0000000000004263E-2</v>
      </c>
      <c r="V418" s="3">
        <f ca="1">'ETF price'!W420-'ETF price'!W419</f>
        <v>-0.12999999999999545</v>
      </c>
      <c r="W418" s="3">
        <f ca="1">'ETF price'!X420-'ETF price'!X419</f>
        <v>-0.15999999999999659</v>
      </c>
      <c r="X418" s="3">
        <f ca="1">'ETF price'!Y420-'ETF price'!Y419</f>
        <v>0.12000000000000455</v>
      </c>
      <c r="Y418" s="3">
        <f ca="1">'ETF price'!Z420-'ETF price'!Z419</f>
        <v>-0.17000000000000171</v>
      </c>
      <c r="Z418" s="3">
        <f ca="1">'ETF price'!AA420-'ETF price'!AA419</f>
        <v>-0.26999999999999602</v>
      </c>
      <c r="AA418" s="3">
        <f ca="1">'ETF price'!AB420-'ETF price'!AB419</f>
        <v>0.21000000000000085</v>
      </c>
      <c r="AB418" s="3">
        <f ca="1">'ETF price'!AC420-'ETF price'!AC419</f>
        <v>-0.28999999999999915</v>
      </c>
      <c r="AC418" s="3">
        <f ca="1">'ETF price'!AD420-'ETF price'!AD419</f>
        <v>-0.37999999999999901</v>
      </c>
      <c r="AD418" s="3">
        <f ca="1">'ETF price'!AE420-'ETF price'!AE419</f>
        <v>-0.50999999999999979</v>
      </c>
      <c r="AE418" s="3">
        <f ca="1">'ETF price'!AF420-'ETF price'!AF419</f>
        <v>-3.0000000000000249E-2</v>
      </c>
      <c r="AF418" s="3">
        <f ca="1">'ETF price'!AG420-'ETF price'!AG419</f>
        <v>-1.8100000000000023</v>
      </c>
    </row>
    <row r="419" spans="1:32" ht="12.75" x14ac:dyDescent="0.2">
      <c r="A419" s="3">
        <f ca="1">'ETF price'!B421-'ETF price'!B420</f>
        <v>0.53999999999999204</v>
      </c>
      <c r="B419" s="3">
        <f ca="1">'ETF price'!C421-'ETF price'!C420</f>
        <v>1.7900000000000205</v>
      </c>
      <c r="C419" s="3">
        <f ca="1">'ETF price'!D421-'ETF price'!D420</f>
        <v>-1.2800000000000011</v>
      </c>
      <c r="D419" s="3">
        <f ca="1">'ETF price'!E421-'ETF price'!E420</f>
        <v>0.44999999999998863</v>
      </c>
      <c r="E419" s="3">
        <f ca="1">'ETF price'!F421-'ETF price'!F420</f>
        <v>0.38000000000000256</v>
      </c>
      <c r="F419" s="3">
        <f ca="1">'ETF price'!G421-'ETF price'!G420</f>
        <v>0</v>
      </c>
      <c r="G419" s="3">
        <f ca="1">'ETF price'!H421-'ETF price'!H420</f>
        <v>0.17999999999999972</v>
      </c>
      <c r="H419" s="3">
        <f ca="1">'ETF price'!I421-'ETF price'!I420</f>
        <v>0.35999999999998522</v>
      </c>
      <c r="I419" s="3">
        <f ca="1">'ETF price'!J421-'ETF price'!J420</f>
        <v>0.81999999999999318</v>
      </c>
      <c r="J419" s="3">
        <f ca="1">'ETF price'!K421-'ETF price'!K420</f>
        <v>1.2999999999999829</v>
      </c>
      <c r="K419" s="3">
        <f ca="1">'ETF price'!L421-'ETF price'!L420</f>
        <v>1.9299999999999926</v>
      </c>
      <c r="L419" s="3">
        <f ca="1">'ETF price'!M421-'ETF price'!M420</f>
        <v>0.40999999999999659</v>
      </c>
      <c r="M419" s="3">
        <f ca="1">'ETF price'!N421-'ETF price'!N420</f>
        <v>0.17999999999999972</v>
      </c>
      <c r="N419" s="3">
        <f ca="1">'ETF price'!O421-'ETF price'!O420</f>
        <v>0.64000000000000057</v>
      </c>
      <c r="O419" s="3">
        <f ca="1">'ETF price'!P421-'ETF price'!P420</f>
        <v>1.8199999999999932</v>
      </c>
      <c r="P419" s="3">
        <f ca="1">'ETF price'!Q421-'ETF price'!Q420</f>
        <v>2.5799999999999983</v>
      </c>
      <c r="Q419" s="3">
        <f ca="1">'ETF price'!R421-'ETF price'!R420</f>
        <v>0.92999999999999261</v>
      </c>
      <c r="R419" s="3">
        <f ca="1">'ETF price'!S421-'ETF price'!S420</f>
        <v>1.1099999999999994</v>
      </c>
      <c r="S419" s="3">
        <f ca="1">'ETF price'!T421-'ETF price'!T420</f>
        <v>0.28999999999999915</v>
      </c>
      <c r="T419" s="3">
        <f ca="1">'ETF price'!U421-'ETF price'!U420</f>
        <v>1.8599999999999994</v>
      </c>
      <c r="U419" s="3">
        <f ca="1">'ETF price'!V421-'ETF price'!V420</f>
        <v>0.17999999999999972</v>
      </c>
      <c r="V419" s="3">
        <f ca="1">'ETF price'!W421-'ETF price'!W420</f>
        <v>0.30999999999999517</v>
      </c>
      <c r="W419" s="3">
        <f ca="1">'ETF price'!X421-'ETF price'!X420</f>
        <v>0.71999999999999886</v>
      </c>
      <c r="X419" s="3">
        <f ca="1">'ETF price'!Y421-'ETF price'!Y420</f>
        <v>0.78000000000000114</v>
      </c>
      <c r="Y419" s="3">
        <f ca="1">'ETF price'!Z421-'ETF price'!Z420</f>
        <v>0.57999999999999829</v>
      </c>
      <c r="Z419" s="3">
        <f ca="1">'ETF price'!AA421-'ETF price'!AA420</f>
        <v>-2.0000000000003126E-2</v>
      </c>
      <c r="AA419" s="3">
        <f ca="1">'ETF price'!AB421-'ETF price'!AB420</f>
        <v>1.0599999999999952</v>
      </c>
      <c r="AB419" s="3">
        <f ca="1">'ETF price'!AC421-'ETF price'!AC420</f>
        <v>-0.15999999999999659</v>
      </c>
      <c r="AC419" s="3">
        <f ca="1">'ETF price'!AD421-'ETF price'!AD420</f>
        <v>-0.21000000000000085</v>
      </c>
      <c r="AD419" s="3">
        <f ca="1">'ETF price'!AE421-'ETF price'!AE420</f>
        <v>-0.26999999999999957</v>
      </c>
      <c r="AE419" s="3">
        <f ca="1">'ETF price'!AF421-'ETF price'!AF420</f>
        <v>-0.14000000000000012</v>
      </c>
      <c r="AF419" s="3">
        <f ca="1">'ETF price'!AG421-'ETF price'!AG420</f>
        <v>-0.78000000000000114</v>
      </c>
    </row>
    <row r="420" spans="1:32" ht="12.75" x14ac:dyDescent="0.2">
      <c r="A420" s="3">
        <f ca="1">'ETF price'!B422-'ETF price'!B421</f>
        <v>0.63000000000002387</v>
      </c>
      <c r="B420" s="3">
        <f ca="1">'ETF price'!C422-'ETF price'!C421</f>
        <v>0.75999999999999091</v>
      </c>
      <c r="C420" s="3">
        <f ca="1">'ETF price'!D422-'ETF price'!D421</f>
        <v>0.23999999999999488</v>
      </c>
      <c r="D420" s="3">
        <f ca="1">'ETF price'!E422-'ETF price'!E421</f>
        <v>-5.9999999999973852E-2</v>
      </c>
      <c r="E420" s="3">
        <f ca="1">'ETF price'!F422-'ETF price'!F421</f>
        <v>3.9999999999999147E-2</v>
      </c>
      <c r="F420" s="3">
        <f ca="1">'ETF price'!G422-'ETF price'!G421</f>
        <v>-0.15000000000000213</v>
      </c>
      <c r="G420" s="3">
        <f ca="1">'ETF price'!H422-'ETF price'!H421</f>
        <v>-0.32000000000000028</v>
      </c>
      <c r="H420" s="3">
        <f ca="1">'ETF price'!I422-'ETF price'!I421</f>
        <v>-1.3799999999999955</v>
      </c>
      <c r="I420" s="3">
        <f ca="1">'ETF price'!J422-'ETF price'!J421</f>
        <v>-2.4299999999999784</v>
      </c>
      <c r="J420" s="3">
        <f ca="1">'ETF price'!K422-'ETF price'!K421</f>
        <v>-1.8700000000000045</v>
      </c>
      <c r="K420" s="3">
        <f ca="1">'ETF price'!L422-'ETF price'!L421</f>
        <v>-1.4799999999999898</v>
      </c>
      <c r="L420" s="3">
        <f ca="1">'ETF price'!M422-'ETF price'!M421</f>
        <v>-1.1899999999999977</v>
      </c>
      <c r="M420" s="3">
        <f ca="1">'ETF price'!N422-'ETF price'!N421</f>
        <v>-0.63000000000000256</v>
      </c>
      <c r="N420" s="3">
        <f ca="1">'ETF price'!O422-'ETF price'!O421</f>
        <v>-0.90000000000000568</v>
      </c>
      <c r="O420" s="3">
        <f ca="1">'ETF price'!P422-'ETF price'!P421</f>
        <v>0.48000000000000398</v>
      </c>
      <c r="P420" s="3">
        <f ca="1">'ETF price'!Q422-'ETF price'!Q421</f>
        <v>0.53000000000000114</v>
      </c>
      <c r="Q420" s="3">
        <f ca="1">'ETF price'!R422-'ETF price'!R421</f>
        <v>-1.5499999999999972</v>
      </c>
      <c r="R420" s="3">
        <f ca="1">'ETF price'!S422-'ETF price'!S421</f>
        <v>-0.70000000000000284</v>
      </c>
      <c r="S420" s="3">
        <f ca="1">'ETF price'!T422-'ETF price'!T421</f>
        <v>0.12000000000000099</v>
      </c>
      <c r="T420" s="3">
        <f ca="1">'ETF price'!U422-'ETF price'!U421</f>
        <v>0.84000000000000341</v>
      </c>
      <c r="U420" s="3">
        <f ca="1">'ETF price'!V422-'ETF price'!V421</f>
        <v>-0.38999999999999346</v>
      </c>
      <c r="V420" s="3">
        <f ca="1">'ETF price'!W422-'ETF price'!W421</f>
        <v>-0.34999999999999432</v>
      </c>
      <c r="W420" s="3">
        <f ca="1">'ETF price'!X422-'ETF price'!X421</f>
        <v>-0.87999999999999545</v>
      </c>
      <c r="X420" s="3">
        <f ca="1">'ETF price'!Y422-'ETF price'!Y421</f>
        <v>-0.73000000000000398</v>
      </c>
      <c r="Y420" s="3">
        <f ca="1">'ETF price'!Z422-'ETF price'!Z421</f>
        <v>-0.75</v>
      </c>
      <c r="Z420" s="3">
        <f ca="1">'ETF price'!AA422-'ETF price'!AA421</f>
        <v>-0.36999999999999744</v>
      </c>
      <c r="AA420" s="3">
        <f ca="1">'ETF price'!AB422-'ETF price'!AB421</f>
        <v>-1.029999999999994</v>
      </c>
      <c r="AB420" s="3">
        <f ca="1">'ETF price'!AC422-'ETF price'!AC421</f>
        <v>0.25999999999999801</v>
      </c>
      <c r="AC420" s="3">
        <f ca="1">'ETF price'!AD422-'ETF price'!AD421</f>
        <v>2.9999999999999361E-2</v>
      </c>
      <c r="AD420" s="3">
        <f ca="1">'ETF price'!AE422-'ETF price'!AE421</f>
        <v>9.9999999999997868E-3</v>
      </c>
      <c r="AE420" s="3">
        <f ca="1">'ETF price'!AF422-'ETF price'!AF421</f>
        <v>-6.0000000000000053E-2</v>
      </c>
      <c r="AF420" s="3">
        <f ca="1">'ETF price'!AG422-'ETF price'!AG421</f>
        <v>-0.5</v>
      </c>
    </row>
    <row r="421" spans="1:32" ht="12.75" x14ac:dyDescent="0.2">
      <c r="A421" s="3">
        <f ca="1">'ETF price'!B423-'ETF price'!B422</f>
        <v>-1.8700000000000045</v>
      </c>
      <c r="B421" s="3">
        <f ca="1">'ETF price'!C423-'ETF price'!C422</f>
        <v>-5.1200000000000045</v>
      </c>
      <c r="C421" s="3">
        <f ca="1">'ETF price'!D423-'ETF price'!D422</f>
        <v>0.78000000000000114</v>
      </c>
      <c r="D421" s="3">
        <f ca="1">'ETF price'!E423-'ETF price'!E422</f>
        <v>-1.2300000000000182</v>
      </c>
      <c r="E421" s="3">
        <f ca="1">'ETF price'!F423-'ETF price'!F422</f>
        <v>-0.20000000000000284</v>
      </c>
      <c r="F421" s="3">
        <f ca="1">'ETF price'!G423-'ETF price'!G422</f>
        <v>-0.11999999999999744</v>
      </c>
      <c r="G421" s="3">
        <f ca="1">'ETF price'!H423-'ETF price'!H422</f>
        <v>-0.10999999999999943</v>
      </c>
      <c r="H421" s="3">
        <f ca="1">'ETF price'!I423-'ETF price'!I422</f>
        <v>-0.71999999999999886</v>
      </c>
      <c r="I421" s="3">
        <f ca="1">'ETF price'!J423-'ETF price'!J422</f>
        <v>-1.3700000000000045</v>
      </c>
      <c r="J421" s="3">
        <f ca="1">'ETF price'!K423-'ETF price'!K422</f>
        <v>-0.82999999999998408</v>
      </c>
      <c r="K421" s="3">
        <f ca="1">'ETF price'!L423-'ETF price'!L422</f>
        <v>0.23999999999999488</v>
      </c>
      <c r="L421" s="3">
        <f ca="1">'ETF price'!M423-'ETF price'!M422</f>
        <v>-0.17000000000000171</v>
      </c>
      <c r="M421" s="3">
        <f ca="1">'ETF price'!N423-'ETF price'!N422</f>
        <v>-0.29999999999999716</v>
      </c>
      <c r="N421" s="3">
        <f ca="1">'ETF price'!O423-'ETF price'!O422</f>
        <v>2.0000000000003126E-2</v>
      </c>
      <c r="O421" s="3">
        <f ca="1">'ETF price'!P423-'ETF price'!P422</f>
        <v>4.0000000000006253E-2</v>
      </c>
      <c r="P421" s="3">
        <f ca="1">'ETF price'!Q423-'ETF price'!Q422</f>
        <v>-1.9999999999996021E-2</v>
      </c>
      <c r="Q421" s="3">
        <f ca="1">'ETF price'!R423-'ETF price'!R422</f>
        <v>-0.17999999999999261</v>
      </c>
      <c r="R421" s="3">
        <f ca="1">'ETF price'!S423-'ETF price'!S422</f>
        <v>-0.37999999999999545</v>
      </c>
      <c r="S421" s="3">
        <f ca="1">'ETF price'!T423-'ETF price'!T422</f>
        <v>5.9999999999998721E-2</v>
      </c>
      <c r="T421" s="3">
        <f ca="1">'ETF price'!U423-'ETF price'!U422</f>
        <v>0.75999999999999091</v>
      </c>
      <c r="U421" s="3">
        <f ca="1">'ETF price'!V423-'ETF price'!V422</f>
        <v>-1.2100000000000009</v>
      </c>
      <c r="V421" s="3">
        <f ca="1">'ETF price'!W423-'ETF price'!W422</f>
        <v>-2.0000000000003126E-2</v>
      </c>
      <c r="W421" s="3">
        <f ca="1">'ETF price'!X423-'ETF price'!X422</f>
        <v>-0.26000000000000512</v>
      </c>
      <c r="X421" s="3">
        <f ca="1">'ETF price'!Y423-'ETF price'!Y422</f>
        <v>-0.82000000000000028</v>
      </c>
      <c r="Y421" s="3">
        <f ca="1">'ETF price'!Z423-'ETF price'!Z422</f>
        <v>-0.23999999999999488</v>
      </c>
      <c r="Z421" s="3">
        <f ca="1">'ETF price'!AA423-'ETF price'!AA422</f>
        <v>-7.0000000000000284E-2</v>
      </c>
      <c r="AA421" s="3">
        <f ca="1">'ETF price'!AB423-'ETF price'!AB422</f>
        <v>-1.0300000000000011</v>
      </c>
      <c r="AB421" s="3">
        <f ca="1">'ETF price'!AC423-'ETF price'!AC422</f>
        <v>0.17999999999999972</v>
      </c>
      <c r="AC421" s="3">
        <f ca="1">'ETF price'!AD423-'ETF price'!AD422</f>
        <v>0</v>
      </c>
      <c r="AD421" s="3">
        <f ca="1">'ETF price'!AE423-'ETF price'!AE422</f>
        <v>0</v>
      </c>
      <c r="AE421" s="3">
        <f ca="1">'ETF price'!AF423-'ETF price'!AF422</f>
        <v>-9.9999999999997868E-3</v>
      </c>
      <c r="AF421" s="3">
        <f ca="1">'ETF price'!AG423-'ETF price'!AG422</f>
        <v>0.17000000000000171</v>
      </c>
    </row>
    <row r="422" spans="1:32" ht="12.75" x14ac:dyDescent="0.2">
      <c r="A422" s="3">
        <f ca="1">'ETF price'!B424-'ETF price'!B423</f>
        <v>-2.5300000000000011</v>
      </c>
      <c r="B422" s="3">
        <f ca="1">'ETF price'!C424-'ETF price'!C423</f>
        <v>-6.6200000000000045</v>
      </c>
      <c r="C422" s="3">
        <f ca="1">'ETF price'!D424-'ETF price'!D423</f>
        <v>-1.9200000000000017</v>
      </c>
      <c r="D422" s="3">
        <f ca="1">'ETF price'!E424-'ETF price'!E423</f>
        <v>-3.8799999999999955</v>
      </c>
      <c r="E422" s="3">
        <f ca="1">'ETF price'!F424-'ETF price'!F423</f>
        <v>-0.32000000000000028</v>
      </c>
      <c r="F422" s="3">
        <f ca="1">'ETF price'!G424-'ETF price'!G423</f>
        <v>-0.31000000000000227</v>
      </c>
      <c r="G422" s="3">
        <f ca="1">'ETF price'!H424-'ETF price'!H423</f>
        <v>-0.32999999999999829</v>
      </c>
      <c r="H422" s="3">
        <f ca="1">'ETF price'!I424-'ETF price'!I423</f>
        <v>0.59000000000000341</v>
      </c>
      <c r="I422" s="3">
        <f ca="1">'ETF price'!J424-'ETF price'!J423</f>
        <v>0.66999999999998749</v>
      </c>
      <c r="J422" s="3">
        <f ca="1">'ETF price'!K424-'ETF price'!K423</f>
        <v>-0.43000000000000682</v>
      </c>
      <c r="K422" s="3">
        <f ca="1">'ETF price'!L424-'ETF price'!L423</f>
        <v>-1.1299999999999955</v>
      </c>
      <c r="L422" s="3">
        <f ca="1">'ETF price'!M424-'ETF price'!M423</f>
        <v>-0.35999999999999943</v>
      </c>
      <c r="M422" s="3">
        <f ca="1">'ETF price'!N424-'ETF price'!N423</f>
        <v>0.17000000000000171</v>
      </c>
      <c r="N422" s="3">
        <f ca="1">'ETF price'!O424-'ETF price'!O423</f>
        <v>-0.56000000000000227</v>
      </c>
      <c r="O422" s="3">
        <f ca="1">'ETF price'!P424-'ETF price'!P423</f>
        <v>-9.0000000000003411E-2</v>
      </c>
      <c r="P422" s="3">
        <f ca="1">'ETF price'!Q424-'ETF price'!Q423</f>
        <v>-0.18999999999999773</v>
      </c>
      <c r="Q422" s="3">
        <f ca="1">'ETF price'!R424-'ETF price'!R423</f>
        <v>-0.37000000000000455</v>
      </c>
      <c r="R422" s="3">
        <f ca="1">'ETF price'!S424-'ETF price'!S423</f>
        <v>-0.40000000000000568</v>
      </c>
      <c r="S422" s="3">
        <f ca="1">'ETF price'!T424-'ETF price'!T423</f>
        <v>-4.9999999999997158E-2</v>
      </c>
      <c r="T422" s="3">
        <f ca="1">'ETF price'!U424-'ETF price'!U423</f>
        <v>-0.56999999999999318</v>
      </c>
      <c r="U422" s="3">
        <f ca="1">'ETF price'!V424-'ETF price'!V423</f>
        <v>-1.25</v>
      </c>
      <c r="V422" s="3">
        <f ca="1">'ETF price'!W424-'ETF price'!W423</f>
        <v>-9.0000000000003411E-2</v>
      </c>
      <c r="W422" s="3">
        <f ca="1">'ETF price'!X424-'ETF price'!X423</f>
        <v>-0.15999999999999659</v>
      </c>
      <c r="X422" s="3">
        <f ca="1">'ETF price'!Y424-'ETF price'!Y423</f>
        <v>-0.46999999999999886</v>
      </c>
      <c r="Y422" s="3">
        <f ca="1">'ETF price'!Z424-'ETF price'!Z423</f>
        <v>-7.000000000000739E-2</v>
      </c>
      <c r="Z422" s="3">
        <f ca="1">'ETF price'!AA424-'ETF price'!AA423</f>
        <v>0.29999999999999716</v>
      </c>
      <c r="AA422" s="3">
        <f ca="1">'ETF price'!AB424-'ETF price'!AB423</f>
        <v>-0.59000000000000341</v>
      </c>
      <c r="AB422" s="3">
        <f ca="1">'ETF price'!AC424-'ETF price'!AC423</f>
        <v>0.42999999999999972</v>
      </c>
      <c r="AC422" s="3">
        <f ca="1">'ETF price'!AD424-'ETF price'!AD423</f>
        <v>8.0000000000000071E-2</v>
      </c>
      <c r="AD422" s="3">
        <f ca="1">'ETF price'!AE424-'ETF price'!AE423</f>
        <v>0.12000000000000099</v>
      </c>
      <c r="AE422" s="3">
        <f ca="1">'ETF price'!AF424-'ETF price'!AF423</f>
        <v>-9.9999999999997868E-3</v>
      </c>
      <c r="AF422" s="3">
        <f ca="1">'ETF price'!AG424-'ETF price'!AG423</f>
        <v>0.14999999999999858</v>
      </c>
    </row>
    <row r="423" spans="1:32" ht="12.75" x14ac:dyDescent="0.2">
      <c r="A423" s="3">
        <f ca="1">'ETF price'!B425-'ETF price'!B424</f>
        <v>0.35999999999998522</v>
      </c>
      <c r="B423" s="3">
        <f ca="1">'ETF price'!C425-'ETF price'!C424</f>
        <v>0.56000000000000227</v>
      </c>
      <c r="C423" s="3">
        <f ca="1">'ETF price'!D425-'ETF price'!D424</f>
        <v>0.32999999999999829</v>
      </c>
      <c r="D423" s="3">
        <f ca="1">'ETF price'!E425-'ETF price'!E424</f>
        <v>-0.86000000000001364</v>
      </c>
      <c r="E423" s="3">
        <f ca="1">'ETF price'!F425-'ETF price'!F424</f>
        <v>-1.9999999999996021E-2</v>
      </c>
      <c r="F423" s="3">
        <f ca="1">'ETF price'!G425-'ETF price'!G424</f>
        <v>-0.27999999999999758</v>
      </c>
      <c r="G423" s="3">
        <f ca="1">'ETF price'!H425-'ETF price'!H424</f>
        <v>-8.9999999999999858E-2</v>
      </c>
      <c r="H423" s="3">
        <f ca="1">'ETF price'!I425-'ETF price'!I424</f>
        <v>0</v>
      </c>
      <c r="I423" s="3">
        <f ca="1">'ETF price'!J425-'ETF price'!J424</f>
        <v>-0.22999999999998977</v>
      </c>
      <c r="J423" s="3">
        <f ca="1">'ETF price'!K425-'ETF price'!K424</f>
        <v>-3.0000000000001137E-2</v>
      </c>
      <c r="K423" s="3">
        <f ca="1">'ETF price'!L425-'ETF price'!L424</f>
        <v>-0.10999999999999943</v>
      </c>
      <c r="L423" s="3">
        <f ca="1">'ETF price'!M425-'ETF price'!M424</f>
        <v>-0.34000000000000341</v>
      </c>
      <c r="M423" s="3">
        <f ca="1">'ETF price'!N425-'ETF price'!N424</f>
        <v>-0.10000000000000142</v>
      </c>
      <c r="N423" s="3">
        <f ca="1">'ETF price'!O425-'ETF price'!O424</f>
        <v>-0.51999999999999602</v>
      </c>
      <c r="O423" s="3">
        <f ca="1">'ETF price'!P425-'ETF price'!P424</f>
        <v>0.87999999999999545</v>
      </c>
      <c r="P423" s="3">
        <f ca="1">'ETF price'!Q425-'ETF price'!Q424</f>
        <v>1.3199999999999932</v>
      </c>
      <c r="Q423" s="3">
        <f ca="1">'ETF price'!R425-'ETF price'!R424</f>
        <v>7.9999999999998295E-2</v>
      </c>
      <c r="R423" s="3">
        <f ca="1">'ETF price'!S425-'ETF price'!S424</f>
        <v>-0.26999999999999602</v>
      </c>
      <c r="S423" s="3">
        <f ca="1">'ETF price'!T425-'ETF price'!T424</f>
        <v>4.9999999999997158E-2</v>
      </c>
      <c r="T423" s="3">
        <f ca="1">'ETF price'!U425-'ETF price'!U424</f>
        <v>0.34999999999999432</v>
      </c>
      <c r="U423" s="3">
        <f ca="1">'ETF price'!V425-'ETF price'!V424</f>
        <v>9.9999999999980105E-3</v>
      </c>
      <c r="V423" s="3">
        <f ca="1">'ETF price'!W425-'ETF price'!W424</f>
        <v>7.0000000000000284E-2</v>
      </c>
      <c r="W423" s="3">
        <f ca="1">'ETF price'!X425-'ETF price'!X424</f>
        <v>0.31999999999999318</v>
      </c>
      <c r="X423" s="3">
        <f ca="1">'ETF price'!Y425-'ETF price'!Y424</f>
        <v>0.35000000000000142</v>
      </c>
      <c r="Y423" s="3">
        <f ca="1">'ETF price'!Z425-'ETF price'!Z424</f>
        <v>0.29000000000000625</v>
      </c>
      <c r="Z423" s="3">
        <f ca="1">'ETF price'!AA425-'ETF price'!AA424</f>
        <v>-0.24000000000000199</v>
      </c>
      <c r="AA423" s="3">
        <f ca="1">'ETF price'!AB425-'ETF price'!AB424</f>
        <v>0.39000000000000057</v>
      </c>
      <c r="AB423" s="3">
        <f ca="1">'ETF price'!AC425-'ETF price'!AC424</f>
        <v>-0.10999999999999943</v>
      </c>
      <c r="AC423" s="3">
        <f ca="1">'ETF price'!AD425-'ETF price'!AD424</f>
        <v>2.000000000000135E-2</v>
      </c>
      <c r="AD423" s="3">
        <f ca="1">'ETF price'!AE425-'ETF price'!AE424</f>
        <v>2.9999999999999361E-2</v>
      </c>
      <c r="AE423" s="3">
        <f ca="1">'ETF price'!AF425-'ETF price'!AF424</f>
        <v>1.9999999999999574E-2</v>
      </c>
      <c r="AF423" s="3">
        <f ca="1">'ETF price'!AG425-'ETF price'!AG424</f>
        <v>-0.69999999999999929</v>
      </c>
    </row>
    <row r="424" spans="1:32" ht="12.75" x14ac:dyDescent="0.2">
      <c r="A424" s="3">
        <f ca="1">'ETF price'!B426-'ETF price'!B425</f>
        <v>0.90000000000000568</v>
      </c>
      <c r="B424" s="3">
        <f ca="1">'ETF price'!C426-'ETF price'!C425</f>
        <v>2.0699999999999932</v>
      </c>
      <c r="C424" s="3">
        <f ca="1">'ETF price'!D426-'ETF price'!D425</f>
        <v>0.81000000000000227</v>
      </c>
      <c r="D424" s="3">
        <f ca="1">'ETF price'!E426-'ETF price'!E425</f>
        <v>-8.9999999999974989E-2</v>
      </c>
      <c r="E424" s="3">
        <f ca="1">'ETF price'!F426-'ETF price'!F425</f>
        <v>0.53999999999999915</v>
      </c>
      <c r="F424" s="3">
        <f ca="1">'ETF price'!G426-'ETF price'!G425</f>
        <v>8.9999999999999858E-2</v>
      </c>
      <c r="G424" s="3">
        <f ca="1">'ETF price'!H426-'ETF price'!H425</f>
        <v>0</v>
      </c>
      <c r="H424" s="3">
        <f ca="1">'ETF price'!I426-'ETF price'!I425</f>
        <v>0.90999999999999659</v>
      </c>
      <c r="I424" s="3">
        <f ca="1">'ETF price'!J426-'ETF price'!J425</f>
        <v>1.8799999999999955</v>
      </c>
      <c r="J424" s="3">
        <f ca="1">'ETF price'!K426-'ETF price'!K425</f>
        <v>0.83000000000001251</v>
      </c>
      <c r="K424" s="3">
        <f ca="1">'ETF price'!L426-'ETF price'!L425</f>
        <v>0.17999999999999261</v>
      </c>
      <c r="L424" s="3">
        <f ca="1">'ETF price'!M426-'ETF price'!M425</f>
        <v>0.48000000000000398</v>
      </c>
      <c r="M424" s="3">
        <f ca="1">'ETF price'!N426-'ETF price'!N425</f>
        <v>0.43999999999999773</v>
      </c>
      <c r="N424" s="3">
        <f ca="1">'ETF price'!O426-'ETF price'!O425</f>
        <v>0.32000000000000028</v>
      </c>
      <c r="O424" s="3">
        <f ca="1">'ETF price'!P426-'ETF price'!P425</f>
        <v>-1.2099999999999937</v>
      </c>
      <c r="P424" s="3">
        <f ca="1">'ETF price'!Q426-'ETF price'!Q425</f>
        <v>-1.7399999999999949</v>
      </c>
      <c r="Q424" s="3">
        <f ca="1">'ETF price'!R426-'ETF price'!R425</f>
        <v>0.35000000000000853</v>
      </c>
      <c r="R424" s="3">
        <f ca="1">'ETF price'!S426-'ETF price'!S425</f>
        <v>0.11999999999999744</v>
      </c>
      <c r="S424" s="3">
        <f ca="1">'ETF price'!T426-'ETF price'!T425</f>
        <v>0.15000000000000213</v>
      </c>
      <c r="T424" s="3">
        <f ca="1">'ETF price'!U426-'ETF price'!U425</f>
        <v>7.000000000000739E-2</v>
      </c>
      <c r="U424" s="3">
        <f ca="1">'ETF price'!V426-'ETF price'!V425</f>
        <v>0.15999999999999659</v>
      </c>
      <c r="V424" s="3">
        <f ca="1">'ETF price'!W426-'ETF price'!W425</f>
        <v>0.16000000000000369</v>
      </c>
      <c r="W424" s="3">
        <f ca="1">'ETF price'!X426-'ETF price'!X425</f>
        <v>0.27000000000001023</v>
      </c>
      <c r="X424" s="3">
        <f ca="1">'ETF price'!Y426-'ETF price'!Y425</f>
        <v>-5.0000000000004263E-2</v>
      </c>
      <c r="Y424" s="3">
        <f ca="1">'ETF price'!Z426-'ETF price'!Z425</f>
        <v>0.31000000000000227</v>
      </c>
      <c r="Z424" s="3">
        <f ca="1">'ETF price'!AA426-'ETF price'!AA425</f>
        <v>2.0000000000003126E-2</v>
      </c>
      <c r="AA424" s="3">
        <f ca="1">'ETF price'!AB426-'ETF price'!AB425</f>
        <v>-7.9999999999998295E-2</v>
      </c>
      <c r="AB424" s="3">
        <f ca="1">'ETF price'!AC426-'ETF price'!AC425</f>
        <v>0.49000000000000199</v>
      </c>
      <c r="AC424" s="3">
        <f ca="1">'ETF price'!AD426-'ETF price'!AD425</f>
        <v>-0.37000000000000099</v>
      </c>
      <c r="AD424" s="3">
        <f ca="1">'ETF price'!AE426-'ETF price'!AE425</f>
        <v>-0.50999999999999979</v>
      </c>
      <c r="AE424" s="3">
        <f ca="1">'ETF price'!AF426-'ETF price'!AF425</f>
        <v>7.0000000000000284E-2</v>
      </c>
      <c r="AF424" s="3">
        <f ca="1">'ETF price'!AG426-'ETF price'!AG425</f>
        <v>-1.1099999999999994</v>
      </c>
    </row>
    <row r="425" spans="1:32" ht="12.75" x14ac:dyDescent="0.2">
      <c r="A425" s="3">
        <f ca="1">'ETF price'!B427-'ETF price'!B426</f>
        <v>-3.1500000000000057</v>
      </c>
      <c r="B425" s="3">
        <f ca="1">'ETF price'!C427-'ETF price'!C426</f>
        <v>-7.6800000000000068</v>
      </c>
      <c r="C425" s="3">
        <f ca="1">'ETF price'!D427-'ETF price'!D426</f>
        <v>-2.019999999999996</v>
      </c>
      <c r="D425" s="3">
        <f ca="1">'ETF price'!E427-'ETF price'!E426</f>
        <v>-1.4000000000000057</v>
      </c>
      <c r="E425" s="3">
        <f ca="1">'ETF price'!F427-'ETF price'!F426</f>
        <v>-0.52000000000000313</v>
      </c>
      <c r="F425" s="3">
        <f ca="1">'ETF price'!G427-'ETF price'!G426</f>
        <v>-0.17000000000000171</v>
      </c>
      <c r="G425" s="3">
        <f ca="1">'ETF price'!H427-'ETF price'!H426</f>
        <v>-8.9999999999999858E-2</v>
      </c>
      <c r="H425" s="3">
        <f ca="1">'ETF price'!I427-'ETF price'!I426</f>
        <v>-0.16999999999998749</v>
      </c>
      <c r="I425" s="3">
        <f ca="1">'ETF price'!J427-'ETF price'!J426</f>
        <v>-0.65000000000000568</v>
      </c>
      <c r="J425" s="3">
        <f ca="1">'ETF price'!K427-'ETF price'!K426</f>
        <v>-0.20000000000000284</v>
      </c>
      <c r="K425" s="3">
        <f ca="1">'ETF price'!L427-'ETF price'!L426</f>
        <v>0.29999999999999716</v>
      </c>
      <c r="L425" s="3">
        <f ca="1">'ETF price'!M427-'ETF price'!M426</f>
        <v>0.24000000000000199</v>
      </c>
      <c r="M425" s="3">
        <f ca="1">'ETF price'!N427-'ETF price'!N426</f>
        <v>-7.9999999999998295E-2</v>
      </c>
      <c r="N425" s="3">
        <f ca="1">'ETF price'!O427-'ETF price'!O426</f>
        <v>3.9999999999999147E-2</v>
      </c>
      <c r="O425" s="3">
        <f ca="1">'ETF price'!P427-'ETF price'!P426</f>
        <v>2.1400000000000006</v>
      </c>
      <c r="P425" s="3">
        <f ca="1">'ETF price'!Q427-'ETF price'!Q426</f>
        <v>2.9400000000000119</v>
      </c>
      <c r="Q425" s="3">
        <f ca="1">'ETF price'!R427-'ETF price'!R426</f>
        <v>-0.19000000000001194</v>
      </c>
      <c r="R425" s="3">
        <f ca="1">'ETF price'!S427-'ETF price'!S426</f>
        <v>0.18999999999999773</v>
      </c>
      <c r="S425" s="3">
        <f ca="1">'ETF price'!T427-'ETF price'!T426</f>
        <v>8.9999999999999858E-2</v>
      </c>
      <c r="T425" s="3">
        <f ca="1">'ETF price'!U427-'ETF price'!U426</f>
        <v>1.3299999999999983</v>
      </c>
      <c r="U425" s="3">
        <f ca="1">'ETF price'!V427-'ETF price'!V426</f>
        <v>1.0600000000000023</v>
      </c>
      <c r="V425" s="3">
        <f ca="1">'ETF price'!W427-'ETF price'!W426</f>
        <v>0.22999999999999687</v>
      </c>
      <c r="W425" s="3">
        <f ca="1">'ETF price'!X427-'ETF price'!X426</f>
        <v>0.60999999999999943</v>
      </c>
      <c r="X425" s="3">
        <f ca="1">'ETF price'!Y427-'ETF price'!Y426</f>
        <v>0.39000000000000057</v>
      </c>
      <c r="Y425" s="3">
        <f ca="1">'ETF price'!Z427-'ETF price'!Z426</f>
        <v>0.81000000000000227</v>
      </c>
      <c r="Z425" s="3">
        <f ca="1">'ETF price'!AA427-'ETF price'!AA426</f>
        <v>0</v>
      </c>
      <c r="AA425" s="3">
        <f ca="1">'ETF price'!AB427-'ETF price'!AB426</f>
        <v>0.35999999999999943</v>
      </c>
      <c r="AB425" s="3">
        <f ca="1">'ETF price'!AC427-'ETF price'!AC426</f>
        <v>-0.27000000000000313</v>
      </c>
      <c r="AC425" s="3">
        <f ca="1">'ETF price'!AD427-'ETF price'!AD426</f>
        <v>0.41999999999999993</v>
      </c>
      <c r="AD425" s="3">
        <f ca="1">'ETF price'!AE427-'ETF price'!AE426</f>
        <v>0.5600000000000005</v>
      </c>
      <c r="AE425" s="3">
        <f ca="1">'ETF price'!AF427-'ETF price'!AF426</f>
        <v>-0.10999999999999988</v>
      </c>
      <c r="AF425" s="3">
        <f ca="1">'ETF price'!AG427-'ETF price'!AG426</f>
        <v>0.55000000000000071</v>
      </c>
    </row>
    <row r="426" spans="1:32" ht="12.75" x14ac:dyDescent="0.2">
      <c r="A426" s="3">
        <f ca="1">'ETF price'!B428-'ETF price'!B427</f>
        <v>0.43000000000000682</v>
      </c>
      <c r="B426" s="3">
        <f ca="1">'ETF price'!C428-'ETF price'!C427</f>
        <v>0.58000000000004093</v>
      </c>
      <c r="C426" s="3">
        <f ca="1">'ETF price'!D428-'ETF price'!D427</f>
        <v>0.40999999999999659</v>
      </c>
      <c r="D426" s="3">
        <f ca="1">'ETF price'!E428-'ETF price'!E427</f>
        <v>0.84000000000000341</v>
      </c>
      <c r="E426" s="3">
        <f ca="1">'ETF price'!F428-'ETF price'!F427</f>
        <v>-0.1699999999999946</v>
      </c>
      <c r="F426" s="3">
        <f ca="1">'ETF price'!G428-'ETF price'!G427</f>
        <v>-0.16000000000000014</v>
      </c>
      <c r="G426" s="3">
        <f ca="1">'ETF price'!H428-'ETF price'!H427</f>
        <v>-0.13000000000000256</v>
      </c>
      <c r="H426" s="3">
        <f ca="1">'ETF price'!I428-'ETF price'!I427</f>
        <v>1.999999999998181E-2</v>
      </c>
      <c r="I426" s="3">
        <f ca="1">'ETF price'!J428-'ETF price'!J427</f>
        <v>0.17000000000001592</v>
      </c>
      <c r="J426" s="3">
        <f ca="1">'ETF price'!K428-'ETF price'!K427</f>
        <v>-0.38000000000000966</v>
      </c>
      <c r="K426" s="3">
        <f ca="1">'ETF price'!L428-'ETF price'!L427</f>
        <v>-0.8399999999999892</v>
      </c>
      <c r="L426" s="3">
        <f ca="1">'ETF price'!M428-'ETF price'!M427</f>
        <v>-0.26000000000000512</v>
      </c>
      <c r="M426" s="3">
        <f ca="1">'ETF price'!N428-'ETF price'!N427</f>
        <v>-9.9999999999980105E-3</v>
      </c>
      <c r="N426" s="3">
        <f ca="1">'ETF price'!O428-'ETF price'!O427</f>
        <v>0.39999999999999858</v>
      </c>
      <c r="O426" s="3">
        <f ca="1">'ETF price'!P428-'ETF price'!P427</f>
        <v>-0.70000000000000284</v>
      </c>
      <c r="P426" s="3">
        <f ca="1">'ETF price'!Q428-'ETF price'!Q427</f>
        <v>-1.0500000000000114</v>
      </c>
      <c r="Q426" s="3">
        <f ca="1">'ETF price'!R428-'ETF price'!R427</f>
        <v>-0.47999999999998977</v>
      </c>
      <c r="R426" s="3">
        <f ca="1">'ETF price'!S428-'ETF price'!S427</f>
        <v>0.39000000000000057</v>
      </c>
      <c r="S426" s="3">
        <f ca="1">'ETF price'!T428-'ETF price'!T427</f>
        <v>7.9999999999998295E-2</v>
      </c>
      <c r="T426" s="3">
        <f ca="1">'ETF price'!U428-'ETF price'!U427</f>
        <v>-1.9999999999996021E-2</v>
      </c>
      <c r="U426" s="3">
        <f ca="1">'ETF price'!V428-'ETF price'!V427</f>
        <v>-1.1700000000000017</v>
      </c>
      <c r="V426" s="3">
        <f ca="1">'ETF price'!W428-'ETF price'!W427</f>
        <v>0</v>
      </c>
      <c r="W426" s="3">
        <f ca="1">'ETF price'!X428-'ETF price'!X427</f>
        <v>-0.1600000000000108</v>
      </c>
      <c r="X426" s="3">
        <f ca="1">'ETF price'!Y428-'ETF price'!Y427</f>
        <v>-0.42999999999999972</v>
      </c>
      <c r="Y426" s="3">
        <f ca="1">'ETF price'!Z428-'ETF price'!Z427</f>
        <v>-0.22000000000001307</v>
      </c>
      <c r="Z426" s="3">
        <f ca="1">'ETF price'!AA428-'ETF price'!AA427</f>
        <v>-0.36999999999999744</v>
      </c>
      <c r="AA426" s="3">
        <f ca="1">'ETF price'!AB428-'ETF price'!AB427</f>
        <v>-0.53000000000000114</v>
      </c>
      <c r="AB426" s="3">
        <f ca="1">'ETF price'!AC428-'ETF price'!AC427</f>
        <v>0.10000000000000142</v>
      </c>
      <c r="AC426" s="3">
        <f ca="1">'ETF price'!AD428-'ETF price'!AD427</f>
        <v>3.0000000000001137E-2</v>
      </c>
      <c r="AD426" s="3">
        <f ca="1">'ETF price'!AE428-'ETF price'!AE427</f>
        <v>4.9999999999998934E-2</v>
      </c>
      <c r="AE426" s="3">
        <f ca="1">'ETF price'!AF428-'ETF price'!AF427</f>
        <v>-5.0000000000000266E-2</v>
      </c>
      <c r="AF426" s="3">
        <f ca="1">'ETF price'!AG428-'ETF price'!AG427</f>
        <v>-0.66000000000000014</v>
      </c>
    </row>
    <row r="427" spans="1:32" ht="12.75" x14ac:dyDescent="0.2">
      <c r="A427" s="3">
        <f ca="1">'ETF price'!B429-'ETF price'!B428</f>
        <v>1.2400000000000091</v>
      </c>
      <c r="B427" s="3">
        <f ca="1">'ETF price'!C429-'ETF price'!C428</f>
        <v>3.0199999999999818</v>
      </c>
      <c r="C427" s="3">
        <f ca="1">'ETF price'!D429-'ETF price'!D428</f>
        <v>-0.12999999999999545</v>
      </c>
      <c r="D427" s="3">
        <f ca="1">'ETF price'!E429-'ETF price'!E428</f>
        <v>1.1699999999999875</v>
      </c>
      <c r="E427" s="3">
        <f ca="1">'ETF price'!F429-'ETF price'!F428</f>
        <v>0.1699999999999946</v>
      </c>
      <c r="F427" s="3">
        <f ca="1">'ETF price'!G429-'ETF price'!G428</f>
        <v>0.16000000000000014</v>
      </c>
      <c r="G427" s="3">
        <f ca="1">'ETF price'!H429-'ETF price'!H428</f>
        <v>0.12000000000000099</v>
      </c>
      <c r="H427" s="3">
        <f ca="1">'ETF price'!I429-'ETF price'!I428</f>
        <v>0.42000000000001592</v>
      </c>
      <c r="I427" s="3">
        <f ca="1">'ETF price'!J429-'ETF price'!J428</f>
        <v>0.31999999999999318</v>
      </c>
      <c r="J427" s="3">
        <f ca="1">'ETF price'!K429-'ETF price'!K428</f>
        <v>0.48000000000000398</v>
      </c>
      <c r="K427" s="3">
        <f ca="1">'ETF price'!L429-'ETF price'!L428</f>
        <v>-8.0000000000012506E-2</v>
      </c>
      <c r="L427" s="3">
        <f ca="1">'ETF price'!M429-'ETF price'!M428</f>
        <v>-1.9999999999996021E-2</v>
      </c>
      <c r="M427" s="3">
        <f ca="1">'ETF price'!N429-'ETF price'!N428</f>
        <v>0.10999999999999943</v>
      </c>
      <c r="N427" s="3">
        <f ca="1">'ETF price'!O429-'ETF price'!O428</f>
        <v>-0.24000000000000199</v>
      </c>
      <c r="O427" s="3">
        <f ca="1">'ETF price'!P429-'ETF price'!P428</f>
        <v>1.0799999999999983</v>
      </c>
      <c r="P427" s="3">
        <f ca="1">'ETF price'!Q429-'ETF price'!Q428</f>
        <v>1.5200000000000102</v>
      </c>
      <c r="Q427" s="3">
        <f ca="1">'ETF price'!R429-'ETF price'!R428</f>
        <v>1.1499999999999915</v>
      </c>
      <c r="R427" s="3">
        <f ca="1">'ETF price'!S429-'ETF price'!S428</f>
        <v>1.7800000000000011</v>
      </c>
      <c r="S427" s="3">
        <f ca="1">'ETF price'!T429-'ETF price'!T428</f>
        <v>0.21000000000000085</v>
      </c>
      <c r="T427" s="3">
        <f ca="1">'ETF price'!U429-'ETF price'!U428</f>
        <v>1.4399999999999977</v>
      </c>
      <c r="U427" s="3">
        <f ca="1">'ETF price'!V429-'ETF price'!V428</f>
        <v>1.480000000000004</v>
      </c>
      <c r="V427" s="3">
        <f ca="1">'ETF price'!W429-'ETF price'!W428</f>
        <v>0.32000000000000028</v>
      </c>
      <c r="W427" s="3">
        <f ca="1">'ETF price'!X429-'ETF price'!X428</f>
        <v>0.85999999999999943</v>
      </c>
      <c r="X427" s="3">
        <f ca="1">'ETF price'!Y429-'ETF price'!Y428</f>
        <v>0.60999999999999943</v>
      </c>
      <c r="Y427" s="3">
        <f ca="1">'ETF price'!Z429-'ETF price'!Z428</f>
        <v>1.0200000000000102</v>
      </c>
      <c r="Z427" s="3">
        <f ca="1">'ETF price'!AA429-'ETF price'!AA428</f>
        <v>0.65999999999999659</v>
      </c>
      <c r="AA427" s="3">
        <f ca="1">'ETF price'!AB429-'ETF price'!AB428</f>
        <v>0.85000000000000142</v>
      </c>
      <c r="AB427" s="3">
        <f ca="1">'ETF price'!AC429-'ETF price'!AC428</f>
        <v>-0.17000000000000171</v>
      </c>
      <c r="AC427" s="3">
        <f ca="1">'ETF price'!AD429-'ETF price'!AD428</f>
        <v>0.20999999999999908</v>
      </c>
      <c r="AD427" s="3">
        <f ca="1">'ETF price'!AE429-'ETF price'!AE428</f>
        <v>0.26999999999999957</v>
      </c>
      <c r="AE427" s="3">
        <f ca="1">'ETF price'!AF429-'ETF price'!AF428</f>
        <v>-9.9999999999997868E-3</v>
      </c>
      <c r="AF427" s="3">
        <f ca="1">'ETF price'!AG429-'ETF price'!AG428</f>
        <v>1.1600000000000001</v>
      </c>
    </row>
    <row r="428" spans="1:32" ht="12.75" x14ac:dyDescent="0.2">
      <c r="A428" s="3">
        <f ca="1">'ETF price'!B430-'ETF price'!B429</f>
        <v>-3.3100000000000023</v>
      </c>
      <c r="B428" s="3">
        <f ca="1">'ETF price'!C430-'ETF price'!C429</f>
        <v>-7.9000000000000341</v>
      </c>
      <c r="C428" s="3">
        <f ca="1">'ETF price'!D430-'ETF price'!D429</f>
        <v>-1.8400000000000034</v>
      </c>
      <c r="D428" s="3">
        <f ca="1">'ETF price'!E430-'ETF price'!E429</f>
        <v>-4.7599999999999909</v>
      </c>
      <c r="E428" s="3">
        <f ca="1">'ETF price'!F430-'ETF price'!F429</f>
        <v>-0.72999999999999687</v>
      </c>
      <c r="F428" s="3">
        <f ca="1">'ETF price'!G430-'ETF price'!G429</f>
        <v>-0.36999999999999744</v>
      </c>
      <c r="G428" s="3">
        <f ca="1">'ETF price'!H430-'ETF price'!H429</f>
        <v>-0.21999999999999886</v>
      </c>
      <c r="H428" s="3">
        <f ca="1">'ETF price'!I430-'ETF price'!I429</f>
        <v>-1.0500000000000114</v>
      </c>
      <c r="I428" s="3">
        <f ca="1">'ETF price'!J430-'ETF price'!J429</f>
        <v>-1.7400000000000091</v>
      </c>
      <c r="J428" s="3">
        <f ca="1">'ETF price'!K430-'ETF price'!K429</f>
        <v>-0.96999999999999886</v>
      </c>
      <c r="K428" s="3">
        <f ca="1">'ETF price'!L430-'ETF price'!L429</f>
        <v>-1.0999999999999943</v>
      </c>
      <c r="L428" s="3">
        <f ca="1">'ETF price'!M430-'ETF price'!M429</f>
        <v>-1.2700000000000031</v>
      </c>
      <c r="M428" s="3">
        <f ca="1">'ETF price'!N430-'ETF price'!N429</f>
        <v>-0.69000000000000483</v>
      </c>
      <c r="N428" s="3">
        <f ca="1">'ETF price'!O430-'ETF price'!O429</f>
        <v>-0.55999999999999517</v>
      </c>
      <c r="O428" s="3">
        <f ca="1">'ETF price'!P430-'ETF price'!P429</f>
        <v>-1.3499999999999943</v>
      </c>
      <c r="P428" s="3">
        <f ca="1">'ETF price'!Q430-'ETF price'!Q429</f>
        <v>-1.6300000000000239</v>
      </c>
      <c r="Q428" s="3">
        <f ca="1">'ETF price'!R430-'ETF price'!R429</f>
        <v>-0.92000000000000171</v>
      </c>
      <c r="R428" s="3">
        <f ca="1">'ETF price'!S430-'ETF price'!S429</f>
        <v>-0.57000000000000028</v>
      </c>
      <c r="S428" s="3">
        <f ca="1">'ETF price'!T430-'ETF price'!T429</f>
        <v>-5.9999999999998721E-2</v>
      </c>
      <c r="T428" s="3">
        <f ca="1">'ETF price'!U430-'ETF price'!U429</f>
        <v>0.17000000000000171</v>
      </c>
      <c r="U428" s="3">
        <f ca="1">'ETF price'!V430-'ETF price'!V429</f>
        <v>-1.1799999999999997</v>
      </c>
      <c r="V428" s="3">
        <f ca="1">'ETF price'!W430-'ETF price'!W429</f>
        <v>-0.17999999999999972</v>
      </c>
      <c r="W428" s="3">
        <f ca="1">'ETF price'!X430-'ETF price'!X429</f>
        <v>-0.41999999999998749</v>
      </c>
      <c r="X428" s="3">
        <f ca="1">'ETF price'!Y430-'ETF price'!Y429</f>
        <v>-0.14000000000000057</v>
      </c>
      <c r="Y428" s="3">
        <f ca="1">'ETF price'!Z430-'ETF price'!Z429</f>
        <v>-0.45000000000000284</v>
      </c>
      <c r="Z428" s="3">
        <f ca="1">'ETF price'!AA430-'ETF price'!AA429</f>
        <v>-0.14000000000000057</v>
      </c>
      <c r="AA428" s="3">
        <f ca="1">'ETF price'!AB430-'ETF price'!AB429</f>
        <v>-0.25</v>
      </c>
      <c r="AB428" s="3">
        <f ca="1">'ETF price'!AC430-'ETF price'!AC429</f>
        <v>-0.40999999999999659</v>
      </c>
      <c r="AC428" s="3">
        <f ca="1">'ETF price'!AD430-'ETF price'!AD429</f>
        <v>-0.10999999999999943</v>
      </c>
      <c r="AD428" s="3">
        <f ca="1">'ETF price'!AE430-'ETF price'!AE429</f>
        <v>-0.12999999999999901</v>
      </c>
      <c r="AE428" s="3">
        <f ca="1">'ETF price'!AF430-'ETF price'!AF429</f>
        <v>-2.0000000000000018E-2</v>
      </c>
      <c r="AF428" s="3">
        <f ca="1">'ETF price'!AG430-'ETF price'!AG429</f>
        <v>-0.51000000000000156</v>
      </c>
    </row>
    <row r="429" spans="1:32" ht="12.75" x14ac:dyDescent="0.2">
      <c r="A429" s="3">
        <f ca="1">'ETF price'!B431-'ETF price'!B430</f>
        <v>0.44999999999998863</v>
      </c>
      <c r="B429" s="3">
        <f ca="1">'ETF price'!C431-'ETF price'!C430</f>
        <v>1.7300000000000182</v>
      </c>
      <c r="C429" s="3">
        <f ca="1">'ETF price'!D431-'ETF price'!D430</f>
        <v>-1.8199999999999932</v>
      </c>
      <c r="D429" s="3">
        <f ca="1">'ETF price'!E431-'ETF price'!E430</f>
        <v>0.53999999999999204</v>
      </c>
      <c r="E429" s="3">
        <f ca="1">'ETF price'!F431-'ETF price'!F430</f>
        <v>-3.0000000000001137E-2</v>
      </c>
      <c r="F429" s="3">
        <f ca="1">'ETF price'!G431-'ETF price'!G430</f>
        <v>8.9999999999999858E-2</v>
      </c>
      <c r="G429" s="3">
        <f ca="1">'ETF price'!H431-'ETF price'!H430</f>
        <v>-0.15000000000000213</v>
      </c>
      <c r="H429" s="3">
        <f ca="1">'ETF price'!I431-'ETF price'!I430</f>
        <v>-0.74000000000000909</v>
      </c>
      <c r="I429" s="3">
        <f ca="1">'ETF price'!J431-'ETF price'!J430</f>
        <v>-0.82999999999998408</v>
      </c>
      <c r="J429" s="3">
        <f ca="1">'ETF price'!K431-'ETF price'!K430</f>
        <v>-1.3599999999999994</v>
      </c>
      <c r="K429" s="3">
        <f ca="1">'ETF price'!L431-'ETF price'!L430</f>
        <v>-1.1599999999999966</v>
      </c>
      <c r="L429" s="3">
        <f ca="1">'ETF price'!M431-'ETF price'!M430</f>
        <v>-0.68999999999999773</v>
      </c>
      <c r="M429" s="3">
        <f ca="1">'ETF price'!N431-'ETF price'!N430</f>
        <v>-0.21999999999999886</v>
      </c>
      <c r="N429" s="3">
        <f ca="1">'ETF price'!O431-'ETF price'!O430</f>
        <v>-1.0800000000000054</v>
      </c>
      <c r="O429" s="3">
        <f ca="1">'ETF price'!P431-'ETF price'!P430</f>
        <v>9.9999999999994316E-2</v>
      </c>
      <c r="P429" s="3">
        <f ca="1">'ETF price'!Q431-'ETF price'!Q430</f>
        <v>0.74000000000000909</v>
      </c>
      <c r="Q429" s="3">
        <f ca="1">'ETF price'!R431-'ETF price'!R430</f>
        <v>-0.72999999999998977</v>
      </c>
      <c r="R429" s="3">
        <f ca="1">'ETF price'!S431-'ETF price'!S430</f>
        <v>-0.57999999999999829</v>
      </c>
      <c r="S429" s="3">
        <f ca="1">'ETF price'!T431-'ETF price'!T430</f>
        <v>-1.0000000000001563E-2</v>
      </c>
      <c r="T429" s="3">
        <f ca="1">'ETF price'!U431-'ETF price'!U430</f>
        <v>0.15999999999999659</v>
      </c>
      <c r="U429" s="3">
        <f ca="1">'ETF price'!V431-'ETF price'!V430</f>
        <v>-1.6799999999999997</v>
      </c>
      <c r="V429" s="3">
        <f ca="1">'ETF price'!W431-'ETF price'!W430</f>
        <v>-5.9999999999995168E-2</v>
      </c>
      <c r="W429" s="3">
        <f ca="1">'ETF price'!X431-'ETF price'!X430</f>
        <v>7.9999999999998295E-2</v>
      </c>
      <c r="X429" s="3">
        <f ca="1">'ETF price'!Y431-'ETF price'!Y430</f>
        <v>-0.79999999999999716</v>
      </c>
      <c r="Y429" s="3">
        <f ca="1">'ETF price'!Z431-'ETF price'!Z430</f>
        <v>0.20000000000000284</v>
      </c>
      <c r="Z429" s="3">
        <f ca="1">'ETF price'!AA431-'ETF price'!AA430</f>
        <v>-0.60999999999999943</v>
      </c>
      <c r="AA429" s="3">
        <f ca="1">'ETF price'!AB431-'ETF price'!AB430</f>
        <v>-1.2000000000000028</v>
      </c>
      <c r="AB429" s="3">
        <f ca="1">'ETF price'!AC431-'ETF price'!AC430</f>
        <v>-0.94000000000000483</v>
      </c>
      <c r="AC429" s="3">
        <f ca="1">'ETF price'!AD431-'ETF price'!AD430</f>
        <v>0.15000000000000036</v>
      </c>
      <c r="AD429" s="3">
        <f ca="1">'ETF price'!AE431-'ETF price'!AE430</f>
        <v>0.19999999999999929</v>
      </c>
      <c r="AE429" s="3">
        <f ca="1">'ETF price'!AF431-'ETF price'!AF430</f>
        <v>6.0000000000000053E-2</v>
      </c>
      <c r="AF429" s="3">
        <f ca="1">'ETF price'!AG431-'ETF price'!AG430</f>
        <v>3.0000000000001137E-2</v>
      </c>
    </row>
    <row r="430" spans="1:32" ht="12.75" x14ac:dyDescent="0.2">
      <c r="A430" s="3">
        <f ca="1">'ETF price'!B432-'ETF price'!B431</f>
        <v>-9.0000000000003411E-2</v>
      </c>
      <c r="B430" s="3">
        <f ca="1">'ETF price'!C432-'ETF price'!C431</f>
        <v>-0.75999999999999091</v>
      </c>
      <c r="C430" s="3">
        <f ca="1">'ETF price'!D432-'ETF price'!D431</f>
        <v>0.21999999999999886</v>
      </c>
      <c r="D430" s="3">
        <f ca="1">'ETF price'!E432-'ETF price'!E431</f>
        <v>-1.3499999999999943</v>
      </c>
      <c r="E430" s="3">
        <f ca="1">'ETF price'!F432-'ETF price'!F431</f>
        <v>-0.15999999999999659</v>
      </c>
      <c r="F430" s="3">
        <f ca="1">'ETF price'!G432-'ETF price'!G431</f>
        <v>-0.14000000000000057</v>
      </c>
      <c r="G430" s="3">
        <f ca="1">'ETF price'!H432-'ETF price'!H431</f>
        <v>-2.9999999999997584E-2</v>
      </c>
      <c r="H430" s="3">
        <f ca="1">'ETF price'!I432-'ETF price'!I431</f>
        <v>0.11000000000001364</v>
      </c>
      <c r="I430" s="3">
        <f ca="1">'ETF price'!J432-'ETF price'!J431</f>
        <v>0.14999999999997726</v>
      </c>
      <c r="J430" s="3">
        <f ca="1">'ETF price'!K432-'ETF price'!K431</f>
        <v>0.45999999999999375</v>
      </c>
      <c r="K430" s="3">
        <f ca="1">'ETF price'!L432-'ETF price'!L431</f>
        <v>3.9999999999992042E-2</v>
      </c>
      <c r="L430" s="3">
        <f ca="1">'ETF price'!M432-'ETF price'!M431</f>
        <v>0.39999999999999858</v>
      </c>
      <c r="M430" s="3">
        <f ca="1">'ETF price'!N432-'ETF price'!N431</f>
        <v>8.00000000000054E-2</v>
      </c>
      <c r="N430" s="3">
        <f ca="1">'ETF price'!O432-'ETF price'!O431</f>
        <v>-0.15999999999999659</v>
      </c>
      <c r="O430" s="3">
        <f ca="1">'ETF price'!P432-'ETF price'!P431</f>
        <v>-0.85999999999999943</v>
      </c>
      <c r="P430" s="3">
        <f ca="1">'ETF price'!Q432-'ETF price'!Q431</f>
        <v>-1.1800000000000068</v>
      </c>
      <c r="Q430" s="3">
        <f ca="1">'ETF price'!R432-'ETF price'!R431</f>
        <v>-7.000000000000739E-2</v>
      </c>
      <c r="R430" s="3">
        <f ca="1">'ETF price'!S432-'ETF price'!S431</f>
        <v>-0.35999999999999943</v>
      </c>
      <c r="S430" s="3">
        <f ca="1">'ETF price'!T432-'ETF price'!T431</f>
        <v>1.9999999999999574E-2</v>
      </c>
      <c r="T430" s="3">
        <f ca="1">'ETF price'!U432-'ETF price'!U431</f>
        <v>4.9999999999997158E-2</v>
      </c>
      <c r="U430" s="3">
        <f ca="1">'ETF price'!V432-'ETF price'!V431</f>
        <v>0.35999999999999943</v>
      </c>
      <c r="V430" s="3">
        <f ca="1">'ETF price'!W432-'ETF price'!W431</f>
        <v>-4.0000000000006253E-2</v>
      </c>
      <c r="W430" s="3">
        <f ca="1">'ETF price'!X432-'ETF price'!X431</f>
        <v>-0.13000000000000966</v>
      </c>
      <c r="X430" s="3">
        <f ca="1">'ETF price'!Y432-'ETF price'!Y431</f>
        <v>-0.14999999999999858</v>
      </c>
      <c r="Y430" s="3">
        <f ca="1">'ETF price'!Z432-'ETF price'!Z431</f>
        <v>-1.0000000000005116E-2</v>
      </c>
      <c r="Z430" s="3">
        <f ca="1">'ETF price'!AA432-'ETF price'!AA431</f>
        <v>-0.18999999999999773</v>
      </c>
      <c r="AA430" s="3">
        <f ca="1">'ETF price'!AB432-'ETF price'!AB431</f>
        <v>-0.10000000000000142</v>
      </c>
      <c r="AB430" s="3">
        <f ca="1">'ETF price'!AC432-'ETF price'!AC431</f>
        <v>-0.40999999999999659</v>
      </c>
      <c r="AC430" s="3">
        <f ca="1">'ETF price'!AD432-'ETF price'!AD431</f>
        <v>0.14999999999999858</v>
      </c>
      <c r="AD430" s="3">
        <f ca="1">'ETF price'!AE432-'ETF price'!AE431</f>
        <v>0.22000000000000064</v>
      </c>
      <c r="AE430" s="3">
        <f ca="1">'ETF price'!AF432-'ETF price'!AF431</f>
        <v>-2.0000000000000018E-2</v>
      </c>
      <c r="AF430" s="3">
        <f ca="1">'ETF price'!AG432-'ETF price'!AG431</f>
        <v>-0.58000000000000185</v>
      </c>
    </row>
    <row r="431" spans="1:32" ht="12.75" x14ac:dyDescent="0.2">
      <c r="A431" s="3">
        <f ca="1">'ETF price'!B433-'ETF price'!B432</f>
        <v>-2.6599999999999966</v>
      </c>
      <c r="B431" s="3">
        <f ca="1">'ETF price'!C433-'ETF price'!C432</f>
        <v>-6.2900000000000205</v>
      </c>
      <c r="C431" s="3">
        <f ca="1">'ETF price'!D433-'ETF price'!D432</f>
        <v>0.43999999999999773</v>
      </c>
      <c r="D431" s="3">
        <f ca="1">'ETF price'!E433-'ETF price'!E432</f>
        <v>-2.6200000000000045</v>
      </c>
      <c r="E431" s="3">
        <f ca="1">'ETF price'!F433-'ETF price'!F432</f>
        <v>8.9999999999996305E-2</v>
      </c>
      <c r="F431" s="3">
        <f ca="1">'ETF price'!G433-'ETF price'!G432</f>
        <v>-0.28000000000000114</v>
      </c>
      <c r="G431" s="3">
        <f ca="1">'ETF price'!H433-'ETF price'!H432</f>
        <v>-0.12000000000000099</v>
      </c>
      <c r="H431" s="3">
        <f ca="1">'ETF price'!I433-'ETF price'!I432</f>
        <v>9.9999999999909051E-3</v>
      </c>
      <c r="I431" s="3">
        <f ca="1">'ETF price'!J433-'ETF price'!J432</f>
        <v>-0.21999999999999886</v>
      </c>
      <c r="J431" s="3">
        <f ca="1">'ETF price'!K433-'ETF price'!K432</f>
        <v>-1.0799999999999983</v>
      </c>
      <c r="K431" s="3">
        <f ca="1">'ETF price'!L433-'ETF price'!L432</f>
        <v>-1.6499999999999915</v>
      </c>
      <c r="L431" s="3">
        <f ca="1">'ETF price'!M433-'ETF price'!M432</f>
        <v>-0.31000000000000227</v>
      </c>
      <c r="M431" s="3">
        <f ca="1">'ETF price'!N433-'ETF price'!N432</f>
        <v>-7.0000000000000284E-2</v>
      </c>
      <c r="N431" s="3">
        <f ca="1">'ETF price'!O433-'ETF price'!O432</f>
        <v>-0.39999999999999858</v>
      </c>
      <c r="O431" s="3">
        <f ca="1">'ETF price'!P433-'ETF price'!P432</f>
        <v>-0.84999999999999432</v>
      </c>
      <c r="P431" s="3">
        <f ca="1">'ETF price'!Q433-'ETF price'!Q432</f>
        <v>-1.1599999999999824</v>
      </c>
      <c r="Q431" s="3">
        <f ca="1">'ETF price'!R433-'ETF price'!R432</f>
        <v>-0.84999999999999432</v>
      </c>
      <c r="R431" s="3">
        <f ca="1">'ETF price'!S433-'ETF price'!S432</f>
        <v>-0.27000000000000313</v>
      </c>
      <c r="S431" s="3">
        <f ca="1">'ETF price'!T433-'ETF price'!T432</f>
        <v>-0.21000000000000085</v>
      </c>
      <c r="T431" s="3">
        <f ca="1">'ETF price'!U433-'ETF price'!U432</f>
        <v>-1.3599999999999994</v>
      </c>
      <c r="U431" s="3">
        <f ca="1">'ETF price'!V433-'ETF price'!V432</f>
        <v>-6.0000000000002274E-2</v>
      </c>
      <c r="V431" s="3">
        <f ca="1">'ETF price'!W433-'ETF price'!W432</f>
        <v>-0.23999999999999488</v>
      </c>
      <c r="W431" s="3">
        <f ca="1">'ETF price'!X433-'ETF price'!X432</f>
        <v>-0.56999999999999318</v>
      </c>
      <c r="X431" s="3">
        <f ca="1">'ETF price'!Y433-'ETF price'!Y432</f>
        <v>-0.32000000000000028</v>
      </c>
      <c r="Y431" s="3">
        <f ca="1">'ETF price'!Z433-'ETF price'!Z432</f>
        <v>-0.51999999999999602</v>
      </c>
      <c r="Z431" s="3">
        <f ca="1">'ETF price'!AA433-'ETF price'!AA432</f>
        <v>7.0000000000000284E-2</v>
      </c>
      <c r="AA431" s="3">
        <f ca="1">'ETF price'!AB433-'ETF price'!AB432</f>
        <v>-0.36999999999999744</v>
      </c>
      <c r="AB431" s="3">
        <f ca="1">'ETF price'!AC433-'ETF price'!AC432</f>
        <v>0.10000000000000142</v>
      </c>
      <c r="AC431" s="3">
        <f ca="1">'ETF price'!AD433-'ETF price'!AD432</f>
        <v>-0.1899999999999995</v>
      </c>
      <c r="AD431" s="3">
        <f ca="1">'ETF price'!AE433-'ETF price'!AE432</f>
        <v>-0.16000000000000014</v>
      </c>
      <c r="AE431" s="3">
        <f ca="1">'ETF price'!AF433-'ETF price'!AF432</f>
        <v>-3.0000000000000249E-2</v>
      </c>
      <c r="AF431" s="3">
        <f ca="1">'ETF price'!AG433-'ETF price'!AG432</f>
        <v>-0.59999999999999787</v>
      </c>
    </row>
    <row r="432" spans="1:32" ht="12.75" x14ac:dyDescent="0.2">
      <c r="A432" s="3">
        <f ca="1">'ETF price'!B434-'ETF price'!B433</f>
        <v>-2.539999999999992</v>
      </c>
      <c r="B432" s="3">
        <f ca="1">'ETF price'!C434-'ETF price'!C433</f>
        <v>-6.9799999999999613</v>
      </c>
      <c r="C432" s="3">
        <f ca="1">'ETF price'!D434-'ETF price'!D433</f>
        <v>-1.9200000000000017</v>
      </c>
      <c r="D432" s="3">
        <f ca="1">'ETF price'!E434-'ETF price'!E433</f>
        <v>-2.9000000000000057</v>
      </c>
      <c r="E432" s="3">
        <f ca="1">'ETF price'!F434-'ETF price'!F433</f>
        <v>-0.57999999999999829</v>
      </c>
      <c r="F432" s="3">
        <f ca="1">'ETF price'!G434-'ETF price'!G433</f>
        <v>-0.62999999999999901</v>
      </c>
      <c r="G432" s="3">
        <f ca="1">'ETF price'!H434-'ETF price'!H433</f>
        <v>-0.33000000000000185</v>
      </c>
      <c r="H432" s="3">
        <f ca="1">'ETF price'!I434-'ETF price'!I433</f>
        <v>-1.1500000000000057</v>
      </c>
      <c r="I432" s="3">
        <f ca="1">'ETF price'!J434-'ETF price'!J433</f>
        <v>-2.4499999999999886</v>
      </c>
      <c r="J432" s="3">
        <f ca="1">'ETF price'!K434-'ETF price'!K433</f>
        <v>-1.5799999999999983</v>
      </c>
      <c r="K432" s="3">
        <f ca="1">'ETF price'!L434-'ETF price'!L433</f>
        <v>-0.64000000000000057</v>
      </c>
      <c r="L432" s="3">
        <f ca="1">'ETF price'!M434-'ETF price'!M433</f>
        <v>-0.65999999999999659</v>
      </c>
      <c r="M432" s="3">
        <f ca="1">'ETF price'!N434-'ETF price'!N433</f>
        <v>-0.60999999999999943</v>
      </c>
      <c r="N432" s="3">
        <f ca="1">'ETF price'!O434-'ETF price'!O433</f>
        <v>-0.67999999999999972</v>
      </c>
      <c r="O432" s="3">
        <f ca="1">'ETF price'!P434-'ETF price'!P433</f>
        <v>-1.2400000000000091</v>
      </c>
      <c r="P432" s="3">
        <f ca="1">'ETF price'!Q434-'ETF price'!Q433</f>
        <v>-1.8400000000000034</v>
      </c>
      <c r="Q432" s="3">
        <f ca="1">'ETF price'!R434-'ETF price'!R433</f>
        <v>-1.6099999999999994</v>
      </c>
      <c r="R432" s="3">
        <f ca="1">'ETF price'!S434-'ETF price'!S433</f>
        <v>-1.0599999999999952</v>
      </c>
      <c r="S432" s="3">
        <f ca="1">'ETF price'!T434-'ETF price'!T433</f>
        <v>-7.9999999999998295E-2</v>
      </c>
      <c r="T432" s="3">
        <f ca="1">'ETF price'!U434-'ETF price'!U433</f>
        <v>0.26999999999999602</v>
      </c>
      <c r="U432" s="3">
        <f ca="1">'ETF price'!V434-'ETF price'!V433</f>
        <v>-0.94999999999999574</v>
      </c>
      <c r="V432" s="3">
        <f ca="1">'ETF price'!W434-'ETF price'!W433</f>
        <v>-0.57000000000000028</v>
      </c>
      <c r="W432" s="3">
        <f ca="1">'ETF price'!X434-'ETF price'!X433</f>
        <v>-1.4099999999999966</v>
      </c>
      <c r="X432" s="3">
        <f ca="1">'ETF price'!Y434-'ETF price'!Y433</f>
        <v>-0.53999999999999915</v>
      </c>
      <c r="Y432" s="3">
        <f ca="1">'ETF price'!Z434-'ETF price'!Z433</f>
        <v>-1.230000000000004</v>
      </c>
      <c r="Z432" s="3">
        <f ca="1">'ETF price'!AA434-'ETF price'!AA433</f>
        <v>-1.25</v>
      </c>
      <c r="AA432" s="3">
        <f ca="1">'ETF price'!AB434-'ETF price'!AB433</f>
        <v>-0.60999999999999943</v>
      </c>
      <c r="AB432" s="3">
        <f ca="1">'ETF price'!AC434-'ETF price'!AC433</f>
        <v>-1.0800000000000054</v>
      </c>
      <c r="AC432" s="3">
        <f ca="1">'ETF price'!AD434-'ETF price'!AD433</f>
        <v>-0.12999999999999901</v>
      </c>
      <c r="AD432" s="3">
        <f ca="1">'ETF price'!AE434-'ETF price'!AE433</f>
        <v>-0.16000000000000014</v>
      </c>
      <c r="AE432" s="3">
        <f ca="1">'ETF price'!AF434-'ETF price'!AF433</f>
        <v>-4.9999999999999822E-2</v>
      </c>
      <c r="AF432" s="3">
        <f ca="1">'ETF price'!AG434-'ETF price'!AG433</f>
        <v>-0.83000000000000185</v>
      </c>
    </row>
    <row r="433" spans="1:32" ht="12.75" x14ac:dyDescent="0.2">
      <c r="A433" s="3">
        <f ca="1">'ETF price'!B435-'ETF price'!B434</f>
        <v>0.34999999999999432</v>
      </c>
      <c r="B433" s="3">
        <f ca="1">'ETF price'!C435-'ETF price'!C434</f>
        <v>1.1499999999999773</v>
      </c>
      <c r="C433" s="3">
        <f ca="1">'ETF price'!D435-'ETF price'!D434</f>
        <v>0.37000000000000455</v>
      </c>
      <c r="D433" s="3">
        <f ca="1">'ETF price'!E435-'ETF price'!E434</f>
        <v>1.2800000000000011</v>
      </c>
      <c r="E433" s="3">
        <f ca="1">'ETF price'!F435-'ETF price'!F434</f>
        <v>9.9999999999980105E-3</v>
      </c>
      <c r="F433" s="3">
        <f ca="1">'ETF price'!G435-'ETF price'!G434</f>
        <v>0.10999999999999943</v>
      </c>
      <c r="G433" s="3">
        <f ca="1">'ETF price'!H435-'ETF price'!H434</f>
        <v>-5.9999999999998721E-2</v>
      </c>
      <c r="H433" s="3">
        <f ca="1">'ETF price'!I435-'ETF price'!I434</f>
        <v>-0.26999999999998181</v>
      </c>
      <c r="I433" s="3">
        <f ca="1">'ETF price'!J435-'ETF price'!J434</f>
        <v>-0.47999999999998977</v>
      </c>
      <c r="J433" s="3">
        <f ca="1">'ETF price'!K435-'ETF price'!K434</f>
        <v>-0.48999999999999488</v>
      </c>
      <c r="K433" s="3">
        <f ca="1">'ETF price'!L435-'ETF price'!L434</f>
        <v>-0.74000000000000909</v>
      </c>
      <c r="L433" s="3">
        <f ca="1">'ETF price'!M435-'ETF price'!M434</f>
        <v>-0.32999999999999829</v>
      </c>
      <c r="M433" s="3">
        <f ca="1">'ETF price'!N435-'ETF price'!N434</f>
        <v>-0.20000000000000284</v>
      </c>
      <c r="N433" s="3">
        <f ca="1">'ETF price'!O435-'ETF price'!O434</f>
        <v>-0.52000000000000313</v>
      </c>
      <c r="O433" s="3">
        <f ca="1">'ETF price'!P435-'ETF price'!P434</f>
        <v>0.15000000000000568</v>
      </c>
      <c r="P433" s="3">
        <f ca="1">'ETF price'!Q435-'ETF price'!Q434</f>
        <v>0.26999999999999602</v>
      </c>
      <c r="Q433" s="3">
        <f ca="1">'ETF price'!R435-'ETF price'!R434</f>
        <v>-7.9999999999998295E-2</v>
      </c>
      <c r="R433" s="3">
        <f ca="1">'ETF price'!S435-'ETF price'!S434</f>
        <v>0.48999999999999488</v>
      </c>
      <c r="S433" s="3">
        <f ca="1">'ETF price'!T435-'ETF price'!T434</f>
        <v>1.9999999999999574E-2</v>
      </c>
      <c r="T433" s="3">
        <f ca="1">'ETF price'!U435-'ETF price'!U434</f>
        <v>0.21999999999999886</v>
      </c>
      <c r="U433" s="3">
        <f ca="1">'ETF price'!V435-'ETF price'!V434</f>
        <v>-0.77000000000000313</v>
      </c>
      <c r="V433" s="3">
        <f ca="1">'ETF price'!W435-'ETF price'!W434</f>
        <v>-0.26000000000000512</v>
      </c>
      <c r="W433" s="3">
        <f ca="1">'ETF price'!X435-'ETF price'!X434</f>
        <v>-0.48000000000000398</v>
      </c>
      <c r="X433" s="3">
        <f ca="1">'ETF price'!Y435-'ETF price'!Y434</f>
        <v>-0.19000000000000483</v>
      </c>
      <c r="Y433" s="3">
        <f ca="1">'ETF price'!Z435-'ETF price'!Z434</f>
        <v>-0.51000000000000512</v>
      </c>
      <c r="Z433" s="3">
        <f ca="1">'ETF price'!AA435-'ETF price'!AA434</f>
        <v>-0.24000000000000199</v>
      </c>
      <c r="AA433" s="3">
        <f ca="1">'ETF price'!AB435-'ETF price'!AB434</f>
        <v>-0.27000000000000313</v>
      </c>
      <c r="AB433" s="3">
        <f ca="1">'ETF price'!AC435-'ETF price'!AC434</f>
        <v>-3.9999999999999147E-2</v>
      </c>
      <c r="AC433" s="3">
        <f ca="1">'ETF price'!AD435-'ETF price'!AD434</f>
        <v>-3.0000000000001137E-2</v>
      </c>
      <c r="AD433" s="3">
        <f ca="1">'ETF price'!AE435-'ETF price'!AE434</f>
        <v>-5.0000000000000711E-2</v>
      </c>
      <c r="AE433" s="3">
        <f ca="1">'ETF price'!AF435-'ETF price'!AF434</f>
        <v>-6.0000000000000053E-2</v>
      </c>
      <c r="AF433" s="3">
        <f ca="1">'ETF price'!AG435-'ETF price'!AG434</f>
        <v>-0.76999999999999957</v>
      </c>
    </row>
    <row r="434" spans="1:32" ht="12.75" x14ac:dyDescent="0.2">
      <c r="A434" s="3">
        <f ca="1">'ETF price'!B436-'ETF price'!B435</f>
        <v>0.53000000000000114</v>
      </c>
      <c r="B434" s="3">
        <f ca="1">'ETF price'!C436-'ETF price'!C435</f>
        <v>1.6499999999999773</v>
      </c>
      <c r="C434" s="3">
        <f ca="1">'ETF price'!D436-'ETF price'!D435</f>
        <v>0.97999999999998977</v>
      </c>
      <c r="D434" s="3">
        <f ca="1">'ETF price'!E436-'ETF price'!E435</f>
        <v>1.1400000000000148</v>
      </c>
      <c r="E434" s="3">
        <f ca="1">'ETF price'!F436-'ETF price'!F435</f>
        <v>-0.17000000000000171</v>
      </c>
      <c r="F434" s="3">
        <f ca="1">'ETF price'!G436-'ETF price'!G435</f>
        <v>5.0000000000000711E-2</v>
      </c>
      <c r="G434" s="3">
        <f ca="1">'ETF price'!H436-'ETF price'!H435</f>
        <v>3.9999999999999147E-2</v>
      </c>
      <c r="H434" s="3">
        <f ca="1">'ETF price'!I436-'ETF price'!I435</f>
        <v>0.71000000000000796</v>
      </c>
      <c r="I434" s="3">
        <f ca="1">'ETF price'!J436-'ETF price'!J435</f>
        <v>1.0699999999999932</v>
      </c>
      <c r="J434" s="3">
        <f ca="1">'ETF price'!K436-'ETF price'!K435</f>
        <v>-0.29000000000000625</v>
      </c>
      <c r="K434" s="3">
        <f ca="1">'ETF price'!L436-'ETF price'!L435</f>
        <v>-1.0799999999999983</v>
      </c>
      <c r="L434" s="3">
        <f ca="1">'ETF price'!M436-'ETF price'!M435</f>
        <v>-7.0000000000000284E-2</v>
      </c>
      <c r="M434" s="3">
        <f ca="1">'ETF price'!N436-'ETF price'!N435</f>
        <v>0.32999999999999829</v>
      </c>
      <c r="N434" s="3">
        <f ca="1">'ETF price'!O436-'ETF price'!O435</f>
        <v>-0.43999999999999773</v>
      </c>
      <c r="O434" s="3">
        <f ca="1">'ETF price'!P436-'ETF price'!P435</f>
        <v>1.1200000000000045</v>
      </c>
      <c r="P434" s="3">
        <f ca="1">'ETF price'!Q436-'ETF price'!Q435</f>
        <v>1.7600000000000051</v>
      </c>
      <c r="Q434" s="3">
        <f ca="1">'ETF price'!R436-'ETF price'!R435</f>
        <v>0.61999999999999034</v>
      </c>
      <c r="R434" s="3">
        <f ca="1">'ETF price'!S436-'ETF price'!S435</f>
        <v>0.48000000000000398</v>
      </c>
      <c r="S434" s="3">
        <f ca="1">'ETF price'!T436-'ETF price'!T435</f>
        <v>-0.12000000000000099</v>
      </c>
      <c r="T434" s="3">
        <f ca="1">'ETF price'!U436-'ETF price'!U435</f>
        <v>-0.23999999999999488</v>
      </c>
      <c r="U434" s="3">
        <f ca="1">'ETF price'!V436-'ETF price'!V435</f>
        <v>-0.25</v>
      </c>
      <c r="V434" s="3">
        <f ca="1">'ETF price'!W436-'ETF price'!W435</f>
        <v>8.00000000000054E-2</v>
      </c>
      <c r="W434" s="3">
        <f ca="1">'ETF price'!X436-'ETF price'!X435</f>
        <v>0.15999999999999659</v>
      </c>
      <c r="X434" s="3">
        <f ca="1">'ETF price'!Y436-'ETF price'!Y435</f>
        <v>0.44000000000000483</v>
      </c>
      <c r="Y434" s="3">
        <f ca="1">'ETF price'!Z436-'ETF price'!Z435</f>
        <v>0.23000000000000398</v>
      </c>
      <c r="Z434" s="3">
        <f ca="1">'ETF price'!AA436-'ETF price'!AA435</f>
        <v>-6.0000000000002274E-2</v>
      </c>
      <c r="AA434" s="3">
        <f ca="1">'ETF price'!AB436-'ETF price'!AB435</f>
        <v>0.59000000000000341</v>
      </c>
      <c r="AB434" s="3">
        <f ca="1">'ETF price'!AC436-'ETF price'!AC435</f>
        <v>0.39999999999999858</v>
      </c>
      <c r="AC434" s="3">
        <f ca="1">'ETF price'!AD436-'ETF price'!AD435</f>
        <v>-6.0000000000000497E-2</v>
      </c>
      <c r="AD434" s="3">
        <f ca="1">'ETF price'!AE436-'ETF price'!AE435</f>
        <v>-9.9999999999999645E-2</v>
      </c>
      <c r="AE434" s="3">
        <f ca="1">'ETF price'!AF436-'ETF price'!AF435</f>
        <v>-4.0000000000000036E-2</v>
      </c>
      <c r="AF434" s="3">
        <f ca="1">'ETF price'!AG436-'ETF price'!AG435</f>
        <v>0</v>
      </c>
    </row>
    <row r="435" spans="1:32" ht="12.75" x14ac:dyDescent="0.2">
      <c r="A435" s="3">
        <f ca="1">'ETF price'!B437-'ETF price'!B436</f>
        <v>-2.9699999999999989</v>
      </c>
      <c r="B435" s="3">
        <f ca="1">'ETF price'!C437-'ETF price'!C436</f>
        <v>-7.4399999999999977</v>
      </c>
      <c r="C435" s="3">
        <f ca="1">'ETF price'!D437-'ETF price'!D436</f>
        <v>0.18000000000000682</v>
      </c>
      <c r="D435" s="3">
        <f ca="1">'ETF price'!E437-'ETF price'!E436</f>
        <v>-3.3900000000000148</v>
      </c>
      <c r="E435" s="3">
        <f ca="1">'ETF price'!F437-'ETF price'!F436</f>
        <v>-0.53999999999999915</v>
      </c>
      <c r="F435" s="3">
        <f ca="1">'ETF price'!G437-'ETF price'!G436</f>
        <v>-0.5</v>
      </c>
      <c r="G435" s="3">
        <f ca="1">'ETF price'!H437-'ETF price'!H436</f>
        <v>-0.27999999999999758</v>
      </c>
      <c r="H435" s="3">
        <f ca="1">'ETF price'!I437-'ETF price'!I436</f>
        <v>-1.1100000000000136</v>
      </c>
      <c r="I435" s="3">
        <f ca="1">'ETF price'!J437-'ETF price'!J436</f>
        <v>-1.6400000000000148</v>
      </c>
      <c r="J435" s="3">
        <f ca="1">'ETF price'!K437-'ETF price'!K436</f>
        <v>0.27000000000001023</v>
      </c>
      <c r="K435" s="3">
        <f ca="1">'ETF price'!L437-'ETF price'!L436</f>
        <v>1.3299999999999983</v>
      </c>
      <c r="L435" s="3">
        <f ca="1">'ETF price'!M437-'ETF price'!M436</f>
        <v>5.9999999999995168E-2</v>
      </c>
      <c r="M435" s="3">
        <f ca="1">'ETF price'!N437-'ETF price'!N436</f>
        <v>-0.46000000000000085</v>
      </c>
      <c r="N435" s="3">
        <f ca="1">'ETF price'!O437-'ETF price'!O436</f>
        <v>3.9999999999999147E-2</v>
      </c>
      <c r="O435" s="3">
        <f ca="1">'ETF price'!P437-'ETF price'!P436</f>
        <v>-0.52000000000001023</v>
      </c>
      <c r="P435" s="3">
        <f ca="1">'ETF price'!Q437-'ETF price'!Q436</f>
        <v>-0.70000000000000284</v>
      </c>
      <c r="Q435" s="3">
        <f ca="1">'ETF price'!R437-'ETF price'!R436</f>
        <v>-1.1400000000000006</v>
      </c>
      <c r="R435" s="3">
        <f ca="1">'ETF price'!S437-'ETF price'!S436</f>
        <v>-0.99000000000000199</v>
      </c>
      <c r="S435" s="3">
        <f ca="1">'ETF price'!T437-'ETF price'!T436</f>
        <v>-2.9999999999997584E-2</v>
      </c>
      <c r="T435" s="3">
        <f ca="1">'ETF price'!U437-'ETF price'!U436</f>
        <v>0.48999999999999488</v>
      </c>
      <c r="U435" s="3">
        <f ca="1">'ETF price'!V437-'ETF price'!V436</f>
        <v>-0.82999999999999829</v>
      </c>
      <c r="V435" s="3">
        <f ca="1">'ETF price'!W437-'ETF price'!W436</f>
        <v>-0.45000000000000284</v>
      </c>
      <c r="W435" s="3">
        <f ca="1">'ETF price'!X437-'ETF price'!X436</f>
        <v>-1.1499999999999915</v>
      </c>
      <c r="X435" s="3">
        <f ca="1">'ETF price'!Y437-'ETF price'!Y436</f>
        <v>-0.62000000000000455</v>
      </c>
      <c r="Y435" s="3">
        <f ca="1">'ETF price'!Z437-'ETF price'!Z436</f>
        <v>-1.4500000000000028</v>
      </c>
      <c r="Z435" s="3">
        <f ca="1">'ETF price'!AA437-'ETF price'!AA436</f>
        <v>-0.60999999999999943</v>
      </c>
      <c r="AA435" s="3">
        <f ca="1">'ETF price'!AB437-'ETF price'!AB436</f>
        <v>-0.64999999999999858</v>
      </c>
      <c r="AB435" s="3">
        <f ca="1">'ETF price'!AC437-'ETF price'!AC436</f>
        <v>-0.32000000000000028</v>
      </c>
      <c r="AC435" s="3">
        <f ca="1">'ETF price'!AD437-'ETF price'!AD436</f>
        <v>-3.9999999999999147E-2</v>
      </c>
      <c r="AD435" s="3">
        <f ca="1">'ETF price'!AE437-'ETF price'!AE436</f>
        <v>-4.9999999999998934E-2</v>
      </c>
      <c r="AE435" s="3">
        <f ca="1">'ETF price'!AF437-'ETF price'!AF436</f>
        <v>-0.10999999999999988</v>
      </c>
      <c r="AF435" s="3">
        <f ca="1">'ETF price'!AG437-'ETF price'!AG436</f>
        <v>-0.41000000000000014</v>
      </c>
    </row>
    <row r="436" spans="1:32" ht="12.75" x14ac:dyDescent="0.2">
      <c r="A436" s="3">
        <f ca="1">'ETF price'!B438-'ETF price'!B437</f>
        <v>0.25</v>
      </c>
      <c r="B436" s="3">
        <f ca="1">'ETF price'!C438-'ETF price'!C437</f>
        <v>1.2600000000000477</v>
      </c>
      <c r="C436" s="3">
        <f ca="1">'ETF price'!D438-'ETF price'!D437</f>
        <v>1.289999999999992</v>
      </c>
      <c r="D436" s="3">
        <f ca="1">'ETF price'!E438-'ETF price'!E437</f>
        <v>1.3499999999999943</v>
      </c>
      <c r="E436" s="3">
        <f ca="1">'ETF price'!F438-'ETF price'!F437</f>
        <v>0.45000000000000284</v>
      </c>
      <c r="F436" s="3">
        <f ca="1">'ETF price'!G438-'ETF price'!G437</f>
        <v>0.28999999999999915</v>
      </c>
      <c r="G436" s="3">
        <f ca="1">'ETF price'!H438-'ETF price'!H437</f>
        <v>0.11999999999999744</v>
      </c>
      <c r="H436" s="3">
        <f ca="1">'ETF price'!I438-'ETF price'!I437</f>
        <v>-0.65000000000000568</v>
      </c>
      <c r="I436" s="3">
        <f ca="1">'ETF price'!J438-'ETF price'!J437</f>
        <v>-0.95999999999997954</v>
      </c>
      <c r="J436" s="3">
        <f ca="1">'ETF price'!K438-'ETF price'!K437</f>
        <v>0.56999999999999318</v>
      </c>
      <c r="K436" s="3">
        <f ca="1">'ETF price'!L438-'ETF price'!L437</f>
        <v>0.78000000000000114</v>
      </c>
      <c r="L436" s="3">
        <f ca="1">'ETF price'!M438-'ETF price'!M437</f>
        <v>0.57000000000000028</v>
      </c>
      <c r="M436" s="3">
        <f ca="1">'ETF price'!N438-'ETF price'!N437</f>
        <v>-0.19999999999999574</v>
      </c>
      <c r="N436" s="3">
        <f ca="1">'ETF price'!O438-'ETF price'!O437</f>
        <v>0.60000000000000142</v>
      </c>
      <c r="O436" s="3">
        <f ca="1">'ETF price'!P438-'ETF price'!P437</f>
        <v>2.2400000000000091</v>
      </c>
      <c r="P436" s="3">
        <f ca="1">'ETF price'!Q438-'ETF price'!Q437</f>
        <v>3.25</v>
      </c>
      <c r="Q436" s="3">
        <f ca="1">'ETF price'!R438-'ETF price'!R437</f>
        <v>-9.9999999999909051E-3</v>
      </c>
      <c r="R436" s="3">
        <f ca="1">'ETF price'!S438-'ETF price'!S437</f>
        <v>0.59000000000000341</v>
      </c>
      <c r="S436" s="3">
        <f ca="1">'ETF price'!T438-'ETF price'!T437</f>
        <v>0.14000000000000057</v>
      </c>
      <c r="T436" s="3">
        <f ca="1">'ETF price'!U438-'ETF price'!U437</f>
        <v>2.0200000000000102</v>
      </c>
      <c r="U436" s="3">
        <f ca="1">'ETF price'!V438-'ETF price'!V437</f>
        <v>-6.0000000000002274E-2</v>
      </c>
      <c r="V436" s="3">
        <f ca="1">'ETF price'!W438-'ETF price'!W437</f>
        <v>-4.9999999999997158E-2</v>
      </c>
      <c r="W436" s="3">
        <f ca="1">'ETF price'!X438-'ETF price'!X437</f>
        <v>-0.10000000000000853</v>
      </c>
      <c r="X436" s="3">
        <f ca="1">'ETF price'!Y438-'ETF price'!Y437</f>
        <v>-0.14999999999999858</v>
      </c>
      <c r="Y436" s="3">
        <f ca="1">'ETF price'!Z438-'ETF price'!Z437</f>
        <v>-8.99999999999892E-2</v>
      </c>
      <c r="Z436" s="3">
        <f ca="1">'ETF price'!AA438-'ETF price'!AA437</f>
        <v>-0.29999999999999716</v>
      </c>
      <c r="AA436" s="3">
        <f ca="1">'ETF price'!AB438-'ETF price'!AB437</f>
        <v>-0.21999999999999886</v>
      </c>
      <c r="AB436" s="3">
        <f ca="1">'ETF price'!AC438-'ETF price'!AC437</f>
        <v>-0.53999999999999915</v>
      </c>
      <c r="AC436" s="3">
        <f ca="1">'ETF price'!AD438-'ETF price'!AD437</f>
        <v>-9.9999999999997868E-3</v>
      </c>
      <c r="AD436" s="3">
        <f ca="1">'ETF price'!AE438-'ETF price'!AE437</f>
        <v>0</v>
      </c>
      <c r="AE436" s="3">
        <f ca="1">'ETF price'!AF438-'ETF price'!AF437</f>
        <v>2.0000000000000018E-2</v>
      </c>
      <c r="AF436" s="3">
        <f ca="1">'ETF price'!AG438-'ETF price'!AG437</f>
        <v>0.33999999999999986</v>
      </c>
    </row>
    <row r="437" spans="1:32" ht="12.75" x14ac:dyDescent="0.2">
      <c r="A437" s="3">
        <f ca="1">'ETF price'!B439-'ETF price'!B438</f>
        <v>1.1500000000000057</v>
      </c>
      <c r="B437" s="3">
        <f ca="1">'ETF price'!C439-'ETF price'!C438</f>
        <v>2.6099999999999568</v>
      </c>
      <c r="C437" s="3">
        <f ca="1">'ETF price'!D439-'ETF price'!D438</f>
        <v>-1.9799999999999898</v>
      </c>
      <c r="D437" s="3">
        <f ca="1">'ETF price'!E439-'ETF price'!E438</f>
        <v>2.8600000000000136</v>
      </c>
      <c r="E437" s="3">
        <f ca="1">'ETF price'!F439-'ETF price'!F438</f>
        <v>0.47999999999999687</v>
      </c>
      <c r="F437" s="3">
        <f ca="1">'ETF price'!G439-'ETF price'!G438</f>
        <v>0.30000000000000071</v>
      </c>
      <c r="G437" s="3">
        <f ca="1">'ETF price'!H439-'ETF price'!H438</f>
        <v>0.23000000000000043</v>
      </c>
      <c r="H437" s="3">
        <f ca="1">'ETF price'!I439-'ETF price'!I438</f>
        <v>0.62000000000000455</v>
      </c>
      <c r="I437" s="3">
        <f ca="1">'ETF price'!J439-'ETF price'!J438</f>
        <v>0.15999999999999659</v>
      </c>
      <c r="J437" s="3">
        <f ca="1">'ETF price'!K439-'ETF price'!K438</f>
        <v>-0.26999999999999602</v>
      </c>
      <c r="K437" s="3">
        <f ca="1">'ETF price'!L439-'ETF price'!L438</f>
        <v>-0.21999999999999886</v>
      </c>
      <c r="L437" s="3">
        <f ca="1">'ETF price'!M439-'ETF price'!M438</f>
        <v>-0.54999999999999716</v>
      </c>
      <c r="M437" s="3">
        <f ca="1">'ETF price'!N439-'ETF price'!N438</f>
        <v>0.26999999999999602</v>
      </c>
      <c r="N437" s="3">
        <f ca="1">'ETF price'!O439-'ETF price'!O438</f>
        <v>-0.20000000000000284</v>
      </c>
      <c r="O437" s="3">
        <f ca="1">'ETF price'!P439-'ETF price'!P438</f>
        <v>9.9999999999994316E-2</v>
      </c>
      <c r="P437" s="3">
        <f ca="1">'ETF price'!Q439-'ETF price'!Q438</f>
        <v>-0.72999999999998977</v>
      </c>
      <c r="Q437" s="3">
        <f ca="1">'ETF price'!R439-'ETF price'!R438</f>
        <v>0.84000000000000341</v>
      </c>
      <c r="R437" s="3">
        <f ca="1">'ETF price'!S439-'ETF price'!S438</f>
        <v>0.92999999999999972</v>
      </c>
      <c r="S437" s="3">
        <f ca="1">'ETF price'!T439-'ETF price'!T438</f>
        <v>-3.0000000000001137E-2</v>
      </c>
      <c r="T437" s="3">
        <f ca="1">'ETF price'!U439-'ETF price'!U438</f>
        <v>-1.3300000000000125</v>
      </c>
      <c r="U437" s="3">
        <f ca="1">'ETF price'!V439-'ETF price'!V438</f>
        <v>0.17000000000000171</v>
      </c>
      <c r="V437" s="3">
        <f ca="1">'ETF price'!W439-'ETF price'!W438</f>
        <v>0.23999999999999488</v>
      </c>
      <c r="W437" s="3">
        <f ca="1">'ETF price'!X439-'ETF price'!X438</f>
        <v>7.9999999999998295E-2</v>
      </c>
      <c r="X437" s="3">
        <f ca="1">'ETF price'!Y439-'ETF price'!Y438</f>
        <v>0.39000000000000057</v>
      </c>
      <c r="Y437" s="3">
        <f ca="1">'ETF price'!Z439-'ETF price'!Z438</f>
        <v>0.53999999999999204</v>
      </c>
      <c r="Z437" s="3">
        <f ca="1">'ETF price'!AA439-'ETF price'!AA438</f>
        <v>0.35000000000000142</v>
      </c>
      <c r="AA437" s="3">
        <f ca="1">'ETF price'!AB439-'ETF price'!AB438</f>
        <v>0.40999999999999659</v>
      </c>
      <c r="AB437" s="3">
        <f ca="1">'ETF price'!AC439-'ETF price'!AC438</f>
        <v>-1.009999999999998</v>
      </c>
      <c r="AC437" s="3">
        <f ca="1">'ETF price'!AD439-'ETF price'!AD438</f>
        <v>0.34999999999999964</v>
      </c>
      <c r="AD437" s="3">
        <f ca="1">'ETF price'!AE439-'ETF price'!AE438</f>
        <v>0.49000000000000021</v>
      </c>
      <c r="AE437" s="3">
        <f ca="1">'ETF price'!AF439-'ETF price'!AF438</f>
        <v>-4.0000000000000036E-2</v>
      </c>
      <c r="AF437" s="3">
        <f ca="1">'ETF price'!AG439-'ETF price'!AG438</f>
        <v>0.83999999999999986</v>
      </c>
    </row>
    <row r="438" spans="1:32" ht="12.75" x14ac:dyDescent="0.2">
      <c r="A438" s="3">
        <f ca="1">'ETF price'!B440-'ETF price'!B439</f>
        <v>0.56000000000000227</v>
      </c>
      <c r="B438" s="3">
        <f ca="1">'ETF price'!C440-'ETF price'!C439</f>
        <v>1.6299999999999955</v>
      </c>
      <c r="C438" s="3">
        <f ca="1">'ETF price'!D440-'ETF price'!D439</f>
        <v>1.4299999999999926</v>
      </c>
      <c r="D438" s="3">
        <f ca="1">'ETF price'!E440-'ETF price'!E439</f>
        <v>0.56999999999999318</v>
      </c>
      <c r="E438" s="3">
        <f ca="1">'ETF price'!F440-'ETF price'!F439</f>
        <v>5.0000000000004263E-2</v>
      </c>
      <c r="F438" s="3">
        <f ca="1">'ETF price'!G440-'ETF price'!G439</f>
        <v>9.9999999999980105E-3</v>
      </c>
      <c r="G438" s="3">
        <f ca="1">'ETF price'!H440-'ETF price'!H439</f>
        <v>3.0000000000001137E-2</v>
      </c>
      <c r="H438" s="3">
        <f ca="1">'ETF price'!I440-'ETF price'!I439</f>
        <v>-0.97999999999998977</v>
      </c>
      <c r="I438" s="3">
        <f ca="1">'ETF price'!J440-'ETF price'!J439</f>
        <v>-1.5800000000000125</v>
      </c>
      <c r="J438" s="3">
        <f ca="1">'ETF price'!K440-'ETF price'!K439</f>
        <v>-0.54999999999999716</v>
      </c>
      <c r="K438" s="3">
        <f ca="1">'ETF price'!L440-'ETF price'!L439</f>
        <v>-0.75</v>
      </c>
      <c r="L438" s="3">
        <f ca="1">'ETF price'!M440-'ETF price'!M439</f>
        <v>-0.46000000000000085</v>
      </c>
      <c r="M438" s="3">
        <f ca="1">'ETF price'!N440-'ETF price'!N439</f>
        <v>-0.5</v>
      </c>
      <c r="N438" s="3">
        <f ca="1">'ETF price'!O440-'ETF price'!O439</f>
        <v>-3.9999999999999147E-2</v>
      </c>
      <c r="O438" s="3">
        <f ca="1">'ETF price'!P440-'ETF price'!P439</f>
        <v>-1.8599999999999994</v>
      </c>
      <c r="P438" s="3">
        <f ca="1">'ETF price'!Q440-'ETF price'!Q439</f>
        <v>-2.5600000000000165</v>
      </c>
      <c r="Q438" s="3">
        <f ca="1">'ETF price'!R440-'ETF price'!R439</f>
        <v>-0.13000000000000966</v>
      </c>
      <c r="R438" s="3">
        <f ca="1">'ETF price'!S440-'ETF price'!S439</f>
        <v>-6.0000000000002274E-2</v>
      </c>
      <c r="S438" s="3">
        <f ca="1">'ETF price'!T440-'ETF price'!T439</f>
        <v>-0.26999999999999957</v>
      </c>
      <c r="T438" s="3">
        <f ca="1">'ETF price'!U440-'ETF price'!U439</f>
        <v>-0.70999999999999375</v>
      </c>
      <c r="U438" s="3">
        <f ca="1">'ETF price'!V440-'ETF price'!V439</f>
        <v>-6.0000000000002274E-2</v>
      </c>
      <c r="V438" s="3">
        <f ca="1">'ETF price'!W440-'ETF price'!W439</f>
        <v>-0.30999999999999517</v>
      </c>
      <c r="W438" s="3">
        <f ca="1">'ETF price'!X440-'ETF price'!X439</f>
        <v>-0.56000000000000227</v>
      </c>
      <c r="X438" s="3">
        <f ca="1">'ETF price'!Y440-'ETF price'!Y439</f>
        <v>0.24000000000000199</v>
      </c>
      <c r="Y438" s="3">
        <f ca="1">'ETF price'!Z440-'ETF price'!Z439</f>
        <v>-0.53999999999999204</v>
      </c>
      <c r="Z438" s="3">
        <f ca="1">'ETF price'!AA440-'ETF price'!AA439</f>
        <v>0.11999999999999744</v>
      </c>
      <c r="AA438" s="3">
        <f ca="1">'ETF price'!AB440-'ETF price'!AB439</f>
        <v>0.48000000000000398</v>
      </c>
      <c r="AB438" s="3">
        <f ca="1">'ETF price'!AC440-'ETF price'!AC439</f>
        <v>0.36999999999999744</v>
      </c>
      <c r="AC438" s="3">
        <f ca="1">'ETF price'!AD440-'ETF price'!AD439</f>
        <v>-0.10999999999999943</v>
      </c>
      <c r="AD438" s="3">
        <f ca="1">'ETF price'!AE440-'ETF price'!AE439</f>
        <v>-0.15000000000000036</v>
      </c>
      <c r="AE438" s="3">
        <f ca="1">'ETF price'!AF440-'ETF price'!AF439</f>
        <v>4.9999999999999822E-2</v>
      </c>
      <c r="AF438" s="3">
        <f ca="1">'ETF price'!AG440-'ETF price'!AG439</f>
        <v>-9.9999999999997868E-2</v>
      </c>
    </row>
    <row r="439" spans="1:32" ht="12.75" x14ac:dyDescent="0.2">
      <c r="A439" s="3">
        <f ca="1">'ETF price'!B441-'ETF price'!B440</f>
        <v>1.7599999999999909</v>
      </c>
      <c r="B439" s="3">
        <f ca="1">'ETF price'!C441-'ETF price'!C440</f>
        <v>3.82000000000005</v>
      </c>
      <c r="C439" s="3">
        <f ca="1">'ETF price'!D441-'ETF price'!D440</f>
        <v>7.9999999999998295E-2</v>
      </c>
      <c r="D439" s="3">
        <f ca="1">'ETF price'!E441-'ETF price'!E440</f>
        <v>0.80000000000001137</v>
      </c>
      <c r="E439" s="3">
        <f ca="1">'ETF price'!F441-'ETF price'!F440</f>
        <v>0.17999999999999972</v>
      </c>
      <c r="F439" s="3">
        <f ca="1">'ETF price'!G441-'ETF price'!G440</f>
        <v>-1.9999999999999574E-2</v>
      </c>
      <c r="G439" s="3">
        <f ca="1">'ETF price'!H441-'ETF price'!H440</f>
        <v>-0.15000000000000213</v>
      </c>
      <c r="H439" s="3">
        <f ca="1">'ETF price'!I441-'ETF price'!I440</f>
        <v>-0.18000000000000682</v>
      </c>
      <c r="I439" s="3">
        <f ca="1">'ETF price'!J441-'ETF price'!J440</f>
        <v>-0.81999999999999318</v>
      </c>
      <c r="J439" s="3">
        <f ca="1">'ETF price'!K441-'ETF price'!K440</f>
        <v>-1.6500000000000057</v>
      </c>
      <c r="K439" s="3">
        <f ca="1">'ETF price'!L441-'ETF price'!L440</f>
        <v>-2.3699999999999903</v>
      </c>
      <c r="L439" s="3">
        <f ca="1">'ETF price'!M441-'ETF price'!M440</f>
        <v>-0.81000000000000227</v>
      </c>
      <c r="M439" s="3">
        <f ca="1">'ETF price'!N441-'ETF price'!N440</f>
        <v>-0.19999999999999574</v>
      </c>
      <c r="N439" s="3">
        <f ca="1">'ETF price'!O441-'ETF price'!O440</f>
        <v>-1.0399999999999991</v>
      </c>
      <c r="O439" s="3">
        <f ca="1">'ETF price'!P441-'ETF price'!P440</f>
        <v>-1.7999999999999972</v>
      </c>
      <c r="P439" s="3">
        <f ca="1">'ETF price'!Q441-'ETF price'!Q440</f>
        <v>-2.5899999999999892</v>
      </c>
      <c r="Q439" s="3">
        <f ca="1">'ETF price'!R441-'ETF price'!R440</f>
        <v>-1.039999999999992</v>
      </c>
      <c r="R439" s="3">
        <f ca="1">'ETF price'!S441-'ETF price'!S440</f>
        <v>-1.4200000000000017</v>
      </c>
      <c r="S439" s="3">
        <f ca="1">'ETF price'!T441-'ETF price'!T440</f>
        <v>-0.19000000000000128</v>
      </c>
      <c r="T439" s="3">
        <f ca="1">'ETF price'!U441-'ETF price'!U440</f>
        <v>-1.4699999999999989</v>
      </c>
      <c r="U439" s="3">
        <f ca="1">'ETF price'!V441-'ETF price'!V440</f>
        <v>-2.3599999999999994</v>
      </c>
      <c r="V439" s="3">
        <f ca="1">'ETF price'!W441-'ETF price'!W440</f>
        <v>-0.28000000000000114</v>
      </c>
      <c r="W439" s="3">
        <f ca="1">'ETF price'!X441-'ETF price'!X440</f>
        <v>-0.73999999999999488</v>
      </c>
      <c r="X439" s="3">
        <f ca="1">'ETF price'!Y441-'ETF price'!Y440</f>
        <v>-0.80000000000000426</v>
      </c>
      <c r="Y439" s="3">
        <f ca="1">'ETF price'!Z441-'ETF price'!Z440</f>
        <v>-0.96999999999999886</v>
      </c>
      <c r="Z439" s="3">
        <f ca="1">'ETF price'!AA441-'ETF price'!AA440</f>
        <v>-0.61999999999999744</v>
      </c>
      <c r="AA439" s="3">
        <f ca="1">'ETF price'!AB441-'ETF price'!AB440</f>
        <v>-1.0400000000000063</v>
      </c>
      <c r="AB439" s="3">
        <f ca="1">'ETF price'!AC441-'ETF price'!AC440</f>
        <v>0.32000000000000028</v>
      </c>
      <c r="AC439" s="3">
        <f ca="1">'ETF price'!AD441-'ETF price'!AD440</f>
        <v>0.38999999999999879</v>
      </c>
      <c r="AD439" s="3">
        <f ca="1">'ETF price'!AE441-'ETF price'!AE440</f>
        <v>0.45999999999999908</v>
      </c>
      <c r="AE439" s="3">
        <f ca="1">'ETF price'!AF441-'ETF price'!AF440</f>
        <v>5.0000000000000266E-2</v>
      </c>
      <c r="AF439" s="3">
        <f ca="1">'ETF price'!AG441-'ETF price'!AG440</f>
        <v>0.25</v>
      </c>
    </row>
    <row r="440" spans="1:32" ht="12.75" x14ac:dyDescent="0.2">
      <c r="A440" s="3">
        <f ca="1">'ETF price'!B442-'ETF price'!B441</f>
        <v>-2.8100000000000023</v>
      </c>
      <c r="B440" s="3">
        <f ca="1">'ETF price'!C442-'ETF price'!C441</f>
        <v>-7.9600000000000364</v>
      </c>
      <c r="C440" s="3">
        <f ca="1">'ETF price'!D442-'ETF price'!D441</f>
        <v>2.230000000000004</v>
      </c>
      <c r="D440" s="3">
        <f ca="1">'ETF price'!E442-'ETF price'!E441</f>
        <v>-3.2800000000000011</v>
      </c>
      <c r="E440" s="3">
        <f ca="1">'ETF price'!F442-'ETF price'!F441</f>
        <v>-0.91000000000000369</v>
      </c>
      <c r="F440" s="3">
        <f ca="1">'ETF price'!G442-'ETF price'!G441</f>
        <v>-0.55999999999999872</v>
      </c>
      <c r="G440" s="3">
        <f ca="1">'ETF price'!H442-'ETF price'!H441</f>
        <v>-0.36999999999999744</v>
      </c>
      <c r="H440" s="3">
        <f ca="1">'ETF price'!I442-'ETF price'!I441</f>
        <v>-1.1400000000000006</v>
      </c>
      <c r="I440" s="3">
        <f ca="1">'ETF price'!J442-'ETF price'!J441</f>
        <v>-2.1800000000000068</v>
      </c>
      <c r="J440" s="3">
        <f ca="1">'ETF price'!K442-'ETF price'!K441</f>
        <v>-1.3200000000000074</v>
      </c>
      <c r="K440" s="3">
        <f ca="1">'ETF price'!L442-'ETF price'!L441</f>
        <v>-0.10000000000000853</v>
      </c>
      <c r="L440" s="3">
        <f ca="1">'ETF price'!M442-'ETF price'!M441</f>
        <v>-0.60999999999999943</v>
      </c>
      <c r="M440" s="3">
        <f ca="1">'ETF price'!N442-'ETF price'!N441</f>
        <v>-0.53000000000000114</v>
      </c>
      <c r="N440" s="3">
        <f ca="1">'ETF price'!O442-'ETF price'!O441</f>
        <v>-0.16000000000000369</v>
      </c>
      <c r="O440" s="3">
        <f ca="1">'ETF price'!P442-'ETF price'!P441</f>
        <v>-6.0000000000002274E-2</v>
      </c>
      <c r="P440" s="3">
        <f ca="1">'ETF price'!Q442-'ETF price'!Q441</f>
        <v>-0.13000000000000966</v>
      </c>
      <c r="Q440" s="3">
        <f ca="1">'ETF price'!R442-'ETF price'!R441</f>
        <v>-0.21000000000000796</v>
      </c>
      <c r="R440" s="3">
        <f ca="1">'ETF price'!S442-'ETF price'!S441</f>
        <v>-0.67999999999999972</v>
      </c>
      <c r="S440" s="3">
        <f ca="1">'ETF price'!T442-'ETF price'!T441</f>
        <v>-0.10999999999999943</v>
      </c>
      <c r="T440" s="3">
        <f ca="1">'ETF price'!U442-'ETF price'!U441</f>
        <v>0.54000000000000625</v>
      </c>
      <c r="U440" s="3">
        <f ca="1">'ETF price'!V442-'ETF price'!V441</f>
        <v>-1.8399999999999963</v>
      </c>
      <c r="V440" s="3">
        <f ca="1">'ETF price'!W442-'ETF price'!W441</f>
        <v>-0.52000000000000313</v>
      </c>
      <c r="W440" s="3">
        <f ca="1">'ETF price'!X442-'ETF price'!X441</f>
        <v>-1.3799999999999955</v>
      </c>
      <c r="X440" s="3">
        <f ca="1">'ETF price'!Y442-'ETF price'!Y441</f>
        <v>-0.72999999999999687</v>
      </c>
      <c r="Y440" s="3">
        <f ca="1">'ETF price'!Z442-'ETF price'!Z441</f>
        <v>-1.2700000000000102</v>
      </c>
      <c r="Z440" s="3">
        <f ca="1">'ETF price'!AA442-'ETF price'!AA441</f>
        <v>-0.60999999999999943</v>
      </c>
      <c r="AA440" s="3">
        <f ca="1">'ETF price'!AB442-'ETF price'!AB441</f>
        <v>-0.79999999999999716</v>
      </c>
      <c r="AB440" s="3">
        <f ca="1">'ETF price'!AC442-'ETF price'!AC441</f>
        <v>0.48000000000000398</v>
      </c>
      <c r="AC440" s="3">
        <f ca="1">'ETF price'!AD442-'ETF price'!AD441</f>
        <v>-0.26999999999999957</v>
      </c>
      <c r="AD440" s="3">
        <f ca="1">'ETF price'!AE442-'ETF price'!AE441</f>
        <v>-0.38999999999999879</v>
      </c>
      <c r="AE440" s="3">
        <f ca="1">'ETF price'!AF442-'ETF price'!AF441</f>
        <v>0.11999999999999966</v>
      </c>
      <c r="AF440" s="3">
        <f ca="1">'ETF price'!AG442-'ETF price'!AG441</f>
        <v>-1.8000000000000007</v>
      </c>
    </row>
    <row r="441" spans="1:32" ht="12.75" x14ac:dyDescent="0.2">
      <c r="A441" s="3">
        <f ca="1">'ETF price'!B443-'ETF price'!B442</f>
        <v>2.0300000000000011</v>
      </c>
      <c r="B441" s="3">
        <f ca="1">'ETF price'!C443-'ETF price'!C442</f>
        <v>4.7400000000000091</v>
      </c>
      <c r="C441" s="3">
        <f ca="1">'ETF price'!D443-'ETF price'!D442</f>
        <v>0.59999999999999432</v>
      </c>
      <c r="D441" s="3">
        <f ca="1">'ETF price'!E443-'ETF price'!E442</f>
        <v>2.0600000000000023</v>
      </c>
      <c r="E441" s="3">
        <f ca="1">'ETF price'!F443-'ETF price'!F442</f>
        <v>6.0000000000002274E-2</v>
      </c>
      <c r="F441" s="3">
        <f ca="1">'ETF price'!G443-'ETF price'!G442</f>
        <v>0.21000000000000085</v>
      </c>
      <c r="G441" s="3">
        <f ca="1">'ETF price'!H443-'ETF price'!H442</f>
        <v>0.14000000000000057</v>
      </c>
      <c r="H441" s="3">
        <f ca="1">'ETF price'!I443-'ETF price'!I442</f>
        <v>0.53999999999999204</v>
      </c>
      <c r="I441" s="3">
        <f ca="1">'ETF price'!J443-'ETF price'!J442</f>
        <v>0.62000000000000455</v>
      </c>
      <c r="J441" s="3">
        <f ca="1">'ETF price'!K443-'ETF price'!K442</f>
        <v>0.86000000000001364</v>
      </c>
      <c r="K441" s="3">
        <f ca="1">'ETF price'!L443-'ETF price'!L442</f>
        <v>-0.67000000000000171</v>
      </c>
      <c r="L441" s="3">
        <f ca="1">'ETF price'!M443-'ETF price'!M442</f>
        <v>0.3300000000000054</v>
      </c>
      <c r="M441" s="3">
        <f ca="1">'ETF price'!N443-'ETF price'!N442</f>
        <v>0.17000000000000171</v>
      </c>
      <c r="N441" s="3">
        <f ca="1">'ETF price'!O443-'ETF price'!O442</f>
        <v>-0.45999999999999375</v>
      </c>
      <c r="O441" s="3">
        <f ca="1">'ETF price'!P443-'ETF price'!P442</f>
        <v>-2.7800000000000011</v>
      </c>
      <c r="P441" s="3">
        <f ca="1">'ETF price'!Q443-'ETF price'!Q442</f>
        <v>-4.2000000000000028</v>
      </c>
      <c r="Q441" s="3">
        <f ca="1">'ETF price'!R443-'ETF price'!R442</f>
        <v>0.90999999999999659</v>
      </c>
      <c r="R441" s="3">
        <f ca="1">'ETF price'!S443-'ETF price'!S442</f>
        <v>-0.43999999999999773</v>
      </c>
      <c r="S441" s="3">
        <f ca="1">'ETF price'!T443-'ETF price'!T442</f>
        <v>-0.69000000000000128</v>
      </c>
      <c r="T441" s="3">
        <f ca="1">'ETF price'!U443-'ETF price'!U442</f>
        <v>-4.3400000000000034</v>
      </c>
      <c r="U441" s="3">
        <f ca="1">'ETF price'!V443-'ETF price'!V442</f>
        <v>0.30999999999999517</v>
      </c>
      <c r="V441" s="3">
        <f ca="1">'ETF price'!W443-'ETF price'!W442</f>
        <v>0.24000000000000199</v>
      </c>
      <c r="W441" s="3">
        <f ca="1">'ETF price'!X443-'ETF price'!X442</f>
        <v>0.60999999999999943</v>
      </c>
      <c r="X441" s="3">
        <f ca="1">'ETF price'!Y443-'ETF price'!Y442</f>
        <v>0.29999999999999716</v>
      </c>
      <c r="Y441" s="3">
        <f ca="1">'ETF price'!Z443-'ETF price'!Z442</f>
        <v>0.57000000000000739</v>
      </c>
      <c r="Z441" s="3">
        <f ca="1">'ETF price'!AA443-'ETF price'!AA442</f>
        <v>0.34999999999999432</v>
      </c>
      <c r="AA441" s="3">
        <f ca="1">'ETF price'!AB443-'ETF price'!AB442</f>
        <v>0.38000000000000256</v>
      </c>
      <c r="AB441" s="3">
        <f ca="1">'ETF price'!AC443-'ETF price'!AC442</f>
        <v>-3.0000000000001137E-2</v>
      </c>
      <c r="AC441" s="3">
        <f ca="1">'ETF price'!AD443-'ETF price'!AD442</f>
        <v>0.15000000000000036</v>
      </c>
      <c r="AD441" s="3">
        <f ca="1">'ETF price'!AE443-'ETF price'!AE442</f>
        <v>0.20999999999999908</v>
      </c>
      <c r="AE441" s="3">
        <f ca="1">'ETF price'!AF443-'ETF price'!AF442</f>
        <v>-8.9999999999999858E-2</v>
      </c>
      <c r="AF441" s="3">
        <f ca="1">'ETF price'!AG443-'ETF price'!AG442</f>
        <v>0.53000000000000114</v>
      </c>
    </row>
    <row r="442" spans="1:32" ht="12.75" x14ac:dyDescent="0.2">
      <c r="A442" s="3">
        <f ca="1">'ETF price'!B444-'ETF price'!B443</f>
        <v>0.21999999999999886</v>
      </c>
      <c r="B442" s="3">
        <f ca="1">'ETF price'!C444-'ETF price'!C443</f>
        <v>0.36000000000001364</v>
      </c>
      <c r="C442" s="3">
        <f ca="1">'ETF price'!D444-'ETF price'!D443</f>
        <v>0.28000000000000114</v>
      </c>
      <c r="D442" s="3">
        <f ca="1">'ETF price'!E444-'ETF price'!E443</f>
        <v>-0.76000000000001933</v>
      </c>
      <c r="E442" s="3">
        <f ca="1">'ETF price'!F444-'ETF price'!F443</f>
        <v>-0.14000000000000057</v>
      </c>
      <c r="F442" s="3">
        <f ca="1">'ETF price'!G444-'ETF price'!G443</f>
        <v>7.9999999999998295E-2</v>
      </c>
      <c r="G442" s="3">
        <f ca="1">'ETF price'!H444-'ETF price'!H443</f>
        <v>-2.0000000000003126E-2</v>
      </c>
      <c r="H442" s="3">
        <f ca="1">'ETF price'!I444-'ETF price'!I443</f>
        <v>0.70000000000000284</v>
      </c>
      <c r="I442" s="3">
        <f ca="1">'ETF price'!J444-'ETF price'!J443</f>
        <v>1.5</v>
      </c>
      <c r="J442" s="3">
        <f ca="1">'ETF price'!K444-'ETF price'!K443</f>
        <v>1.5999999999999943</v>
      </c>
      <c r="K442" s="3">
        <f ca="1">'ETF price'!L444-'ETF price'!L443</f>
        <v>2.2700000000000102</v>
      </c>
      <c r="L442" s="3">
        <f ca="1">'ETF price'!M444-'ETF price'!M443</f>
        <v>0.67999999999999972</v>
      </c>
      <c r="M442" s="3">
        <f ca="1">'ETF price'!N444-'ETF price'!N443</f>
        <v>0.42999999999999972</v>
      </c>
      <c r="N442" s="3">
        <f ca="1">'ETF price'!O444-'ETF price'!O443</f>
        <v>0.69999999999999574</v>
      </c>
      <c r="O442" s="3">
        <f ca="1">'ETF price'!P444-'ETF price'!P443</f>
        <v>-0.53000000000000114</v>
      </c>
      <c r="P442" s="3">
        <f ca="1">'ETF price'!Q444-'ETF price'!Q443</f>
        <v>-0.45999999999999375</v>
      </c>
      <c r="Q442" s="3">
        <f ca="1">'ETF price'!R444-'ETF price'!R443</f>
        <v>-0.94999999999998863</v>
      </c>
      <c r="R442" s="3">
        <f ca="1">'ETF price'!S444-'ETF price'!S443</f>
        <v>-7.0000000000000284E-2</v>
      </c>
      <c r="S442" s="3">
        <f ca="1">'ETF price'!T444-'ETF price'!T443</f>
        <v>-0.14000000000000057</v>
      </c>
      <c r="T442" s="3">
        <f ca="1">'ETF price'!U444-'ETF price'!U443</f>
        <v>-1.6000000000000085</v>
      </c>
      <c r="U442" s="3">
        <f ca="1">'ETF price'!V444-'ETF price'!V443</f>
        <v>-1.240000000000002</v>
      </c>
      <c r="V442" s="3">
        <f ca="1">'ETF price'!W444-'ETF price'!W443</f>
        <v>0.14999999999999858</v>
      </c>
      <c r="W442" s="3">
        <f ca="1">'ETF price'!X444-'ETF price'!X443</f>
        <v>0.45999999999999375</v>
      </c>
      <c r="X442" s="3">
        <f ca="1">'ETF price'!Y444-'ETF price'!Y443</f>
        <v>0.56000000000000227</v>
      </c>
      <c r="Y442" s="3">
        <f ca="1">'ETF price'!Z444-'ETF price'!Z443</f>
        <v>0.42999999999999261</v>
      </c>
      <c r="Z442" s="3">
        <f ca="1">'ETF price'!AA444-'ETF price'!AA443</f>
        <v>0.24000000000000199</v>
      </c>
      <c r="AA442" s="3">
        <f ca="1">'ETF price'!AB444-'ETF price'!AB443</f>
        <v>0.6699999999999946</v>
      </c>
      <c r="AB442" s="3">
        <f ca="1">'ETF price'!AC444-'ETF price'!AC443</f>
        <v>0.51999999999999602</v>
      </c>
      <c r="AC442" s="3">
        <f ca="1">'ETF price'!AD444-'ETF price'!AD443</f>
        <v>-7.0000000000000284E-2</v>
      </c>
      <c r="AD442" s="3">
        <f ca="1">'ETF price'!AE444-'ETF price'!AE443</f>
        <v>-8.9999999999999858E-2</v>
      </c>
      <c r="AE442" s="3">
        <f ca="1">'ETF price'!AF444-'ETF price'!AF443</f>
        <v>-0.16000000000000014</v>
      </c>
      <c r="AF442" s="3">
        <f ca="1">'ETF price'!AG444-'ETF price'!AG443</f>
        <v>-0.20000000000000284</v>
      </c>
    </row>
    <row r="443" spans="1:32" ht="12.75" x14ac:dyDescent="0.2">
      <c r="A443" s="3">
        <f ca="1">'ETF price'!B445-'ETF price'!B444</f>
        <v>3.0900000000000034</v>
      </c>
      <c r="B443" s="3">
        <f ca="1">'ETF price'!C445-'ETF price'!C444</f>
        <v>8.339999999999975</v>
      </c>
      <c r="C443" s="3">
        <f ca="1">'ETF price'!D445-'ETF price'!D444</f>
        <v>1.1600000000000108</v>
      </c>
      <c r="D443" s="3">
        <f ca="1">'ETF price'!E445-'ETF price'!E444</f>
        <v>3.3600000000000136</v>
      </c>
      <c r="E443" s="3">
        <f ca="1">'ETF price'!F445-'ETF price'!F444</f>
        <v>1.2199999999999989</v>
      </c>
      <c r="F443" s="3">
        <f ca="1">'ETF price'!G445-'ETF price'!G444</f>
        <v>0.30000000000000071</v>
      </c>
      <c r="G443" s="3">
        <f ca="1">'ETF price'!H445-'ETF price'!H444</f>
        <v>0.28000000000000114</v>
      </c>
      <c r="H443" s="3">
        <f ca="1">'ETF price'!I445-'ETF price'!I444</f>
        <v>1.3499999999999943</v>
      </c>
      <c r="I443" s="3">
        <f ca="1">'ETF price'!J445-'ETF price'!J444</f>
        <v>2.3499999999999943</v>
      </c>
      <c r="J443" s="3">
        <f ca="1">'ETF price'!K445-'ETF price'!K444</f>
        <v>0.70000000000000284</v>
      </c>
      <c r="K443" s="3">
        <f ca="1">'ETF price'!L445-'ETF price'!L444</f>
        <v>7.9999999999998295E-2</v>
      </c>
      <c r="L443" s="3">
        <f ca="1">'ETF price'!M445-'ETF price'!M444</f>
        <v>0.23999999999999488</v>
      </c>
      <c r="M443" s="3">
        <f ca="1">'ETF price'!N445-'ETF price'!N444</f>
        <v>0.52999999999999403</v>
      </c>
      <c r="N443" s="3">
        <f ca="1">'ETF price'!O445-'ETF price'!O444</f>
        <v>0</v>
      </c>
      <c r="O443" s="3">
        <f ca="1">'ETF price'!P445-'ETF price'!P444</f>
        <v>0.51000000000000512</v>
      </c>
      <c r="P443" s="3">
        <f ca="1">'ETF price'!Q445-'ETF price'!Q444</f>
        <v>0.70999999999999375</v>
      </c>
      <c r="Q443" s="3">
        <f ca="1">'ETF price'!R445-'ETF price'!R444</f>
        <v>0.72999999999998977</v>
      </c>
      <c r="R443" s="3">
        <f ca="1">'ETF price'!S445-'ETF price'!S444</f>
        <v>0.92000000000000171</v>
      </c>
      <c r="S443" s="3">
        <f ca="1">'ETF price'!T445-'ETF price'!T444</f>
        <v>9.0000000000003411E-2</v>
      </c>
      <c r="T443" s="3">
        <f ca="1">'ETF price'!U445-'ETF price'!U444</f>
        <v>0.17000000000000171</v>
      </c>
      <c r="U443" s="3">
        <f ca="1">'ETF price'!V445-'ETF price'!V444</f>
        <v>1.0700000000000003</v>
      </c>
      <c r="V443" s="3">
        <f ca="1">'ETF price'!W445-'ETF price'!W444</f>
        <v>0.28000000000000114</v>
      </c>
      <c r="W443" s="3">
        <f ca="1">'ETF price'!X445-'ETF price'!X444</f>
        <v>0.6600000000000108</v>
      </c>
      <c r="X443" s="3">
        <f ca="1">'ETF price'!Y445-'ETF price'!Y444</f>
        <v>0.13000000000000256</v>
      </c>
      <c r="Y443" s="3">
        <f ca="1">'ETF price'!Z445-'ETF price'!Z444</f>
        <v>0.68000000000000682</v>
      </c>
      <c r="Z443" s="3">
        <f ca="1">'ETF price'!AA445-'ETF price'!AA444</f>
        <v>0.13000000000000256</v>
      </c>
      <c r="AA443" s="3">
        <f ca="1">'ETF price'!AB445-'ETF price'!AB444</f>
        <v>0.11000000000000654</v>
      </c>
      <c r="AB443" s="3">
        <f ca="1">'ETF price'!AC445-'ETF price'!AC444</f>
        <v>3.0000000000001137E-2</v>
      </c>
      <c r="AC443" s="3">
        <f ca="1">'ETF price'!AD445-'ETF price'!AD444</f>
        <v>0.20000000000000107</v>
      </c>
      <c r="AD443" s="3">
        <f ca="1">'ETF price'!AE445-'ETF price'!AE444</f>
        <v>0.28999999999999915</v>
      </c>
      <c r="AE443" s="3">
        <f ca="1">'ETF price'!AF445-'ETF price'!AF444</f>
        <v>3.0000000000000249E-2</v>
      </c>
      <c r="AF443" s="3">
        <f ca="1">'ETF price'!AG445-'ETF price'!AG444</f>
        <v>1.2700000000000031</v>
      </c>
    </row>
    <row r="444" spans="1:32" ht="12.75" x14ac:dyDescent="0.2">
      <c r="A444" s="3">
        <f ca="1">'ETF price'!B446-'ETF price'!B445</f>
        <v>0.87000000000000455</v>
      </c>
      <c r="B444" s="3">
        <f ca="1">'ETF price'!C446-'ETF price'!C445</f>
        <v>1.9499999999999886</v>
      </c>
      <c r="C444" s="3">
        <f ca="1">'ETF price'!D446-'ETF price'!D445</f>
        <v>-0.24000000000000909</v>
      </c>
      <c r="D444" s="3">
        <f ca="1">'ETF price'!E446-'ETF price'!E445</f>
        <v>-0.40000000000000568</v>
      </c>
      <c r="E444" s="3">
        <f ca="1">'ETF price'!F446-'ETF price'!F445</f>
        <v>0.78999999999999915</v>
      </c>
      <c r="F444" s="3">
        <f ca="1">'ETF price'!G446-'ETF price'!G445</f>
        <v>-0.12999999999999901</v>
      </c>
      <c r="G444" s="3">
        <f ca="1">'ETF price'!H446-'ETF price'!H445</f>
        <v>1.0000000000001563E-2</v>
      </c>
      <c r="H444" s="3">
        <f ca="1">'ETF price'!I446-'ETF price'!I445</f>
        <v>0.45000000000001705</v>
      </c>
      <c r="I444" s="3">
        <f ca="1">'ETF price'!J446-'ETF price'!J445</f>
        <v>0.62000000000000455</v>
      </c>
      <c r="J444" s="3">
        <f ca="1">'ETF price'!K446-'ETF price'!K445</f>
        <v>-0.43999999999999773</v>
      </c>
      <c r="K444" s="3">
        <f ca="1">'ETF price'!L446-'ETF price'!L445</f>
        <v>-0.57000000000000739</v>
      </c>
      <c r="L444" s="3">
        <f ca="1">'ETF price'!M446-'ETF price'!M445</f>
        <v>-0.21999999999999886</v>
      </c>
      <c r="M444" s="3">
        <f ca="1">'ETF price'!N446-'ETF price'!N445</f>
        <v>0.22000000000000597</v>
      </c>
      <c r="N444" s="3">
        <f ca="1">'ETF price'!O446-'ETF price'!O445</f>
        <v>-0.19999999999999574</v>
      </c>
      <c r="O444" s="3">
        <f ca="1">'ETF price'!P446-'ETF price'!P445</f>
        <v>2.8599999999999994</v>
      </c>
      <c r="P444" s="3">
        <f ca="1">'ETF price'!Q446-'ETF price'!Q445</f>
        <v>4.2800000000000011</v>
      </c>
      <c r="Q444" s="3">
        <f ca="1">'ETF price'!R446-'ETF price'!R445</f>
        <v>0.10000000000000853</v>
      </c>
      <c r="R444" s="3">
        <f ca="1">'ETF price'!S446-'ETF price'!S445</f>
        <v>0.55999999999999517</v>
      </c>
      <c r="S444" s="3">
        <f ca="1">'ETF price'!T446-'ETF price'!T445</f>
        <v>0.5</v>
      </c>
      <c r="T444" s="3">
        <f ca="1">'ETF price'!U446-'ETF price'!U445</f>
        <v>2.9699999999999989</v>
      </c>
      <c r="U444" s="3">
        <f ca="1">'ETF price'!V446-'ETF price'!V445</f>
        <v>-0.63999999999999346</v>
      </c>
      <c r="V444" s="3">
        <f ca="1">'ETF price'!W446-'ETF price'!W445</f>
        <v>2.0000000000003126E-2</v>
      </c>
      <c r="W444" s="3">
        <f ca="1">'ETF price'!X446-'ETF price'!X445</f>
        <v>3.9999999999992042E-2</v>
      </c>
      <c r="X444" s="3">
        <f ca="1">'ETF price'!Y446-'ETF price'!Y445</f>
        <v>3.9999999999999147E-2</v>
      </c>
      <c r="Y444" s="3">
        <f ca="1">'ETF price'!Z446-'ETF price'!Z445</f>
        <v>9.0000000000003411E-2</v>
      </c>
      <c r="Z444" s="3">
        <f ca="1">'ETF price'!AA446-'ETF price'!AA445</f>
        <v>0.43999999999999773</v>
      </c>
      <c r="AA444" s="3">
        <f ca="1">'ETF price'!AB446-'ETF price'!AB445</f>
        <v>-2.0000000000003126E-2</v>
      </c>
      <c r="AB444" s="3">
        <f ca="1">'ETF price'!AC446-'ETF price'!AC445</f>
        <v>-0.36999999999999744</v>
      </c>
      <c r="AC444" s="3">
        <f ca="1">'ETF price'!AD446-'ETF price'!AD445</f>
        <v>-0.16000000000000014</v>
      </c>
      <c r="AD444" s="3">
        <f ca="1">'ETF price'!AE446-'ETF price'!AE445</f>
        <v>-0.21999999999999886</v>
      </c>
      <c r="AE444" s="3">
        <f ca="1">'ETF price'!AF446-'ETF price'!AF445</f>
        <v>-1.0000000000000231E-2</v>
      </c>
      <c r="AF444" s="3">
        <f ca="1">'ETF price'!AG446-'ETF price'!AG445</f>
        <v>-0.11000000000000298</v>
      </c>
    </row>
    <row r="445" spans="1:32" ht="12.75" x14ac:dyDescent="0.2">
      <c r="A445" s="3">
        <f ca="1">'ETF price'!B447-'ETF price'!B446</f>
        <v>0.25999999999999091</v>
      </c>
      <c r="B445" s="3">
        <f ca="1">'ETF price'!C447-'ETF price'!C446</f>
        <v>1.410000000000025</v>
      </c>
      <c r="C445" s="3">
        <f ca="1">'ETF price'!D447-'ETF price'!D446</f>
        <v>-1.7199999999999989</v>
      </c>
      <c r="D445" s="3">
        <f ca="1">'ETF price'!E447-'ETF price'!E446</f>
        <v>2.0500000000000114</v>
      </c>
      <c r="E445" s="3">
        <f ca="1">'ETF price'!F447-'ETF price'!F446</f>
        <v>0.40000000000000568</v>
      </c>
      <c r="F445" s="3">
        <f ca="1">'ETF price'!G447-'ETF price'!G446</f>
        <v>0.29999999999999716</v>
      </c>
      <c r="G445" s="3">
        <f ca="1">'ETF price'!H447-'ETF price'!H446</f>
        <v>0.25</v>
      </c>
      <c r="H445" s="3">
        <f ca="1">'ETF price'!I447-'ETF price'!I446</f>
        <v>0.62000000000000455</v>
      </c>
      <c r="I445" s="3">
        <f ca="1">'ETF price'!J447-'ETF price'!J446</f>
        <v>1.4399999999999977</v>
      </c>
      <c r="J445" s="3">
        <f ca="1">'ETF price'!K447-'ETF price'!K446</f>
        <v>0.98999999999999488</v>
      </c>
      <c r="K445" s="3">
        <f ca="1">'ETF price'!L447-'ETF price'!L446</f>
        <v>0.43999999999999773</v>
      </c>
      <c r="L445" s="3">
        <f ca="1">'ETF price'!M447-'ETF price'!M446</f>
        <v>0.77000000000000313</v>
      </c>
      <c r="M445" s="3">
        <f ca="1">'ETF price'!N447-'ETF price'!N446</f>
        <v>0.29999999999999716</v>
      </c>
      <c r="N445" s="3">
        <f ca="1">'ETF price'!O447-'ETF price'!O446</f>
        <v>1.0399999999999991</v>
      </c>
      <c r="O445" s="3">
        <f ca="1">'ETF price'!P447-'ETF price'!P446</f>
        <v>0.10999999999999943</v>
      </c>
      <c r="P445" s="3">
        <f ca="1">'ETF price'!Q447-'ETF price'!Q446</f>
        <v>1.0000000000005116E-2</v>
      </c>
      <c r="Q445" s="3">
        <f ca="1">'ETF price'!R447-'ETF price'!R446</f>
        <v>0.82999999999999829</v>
      </c>
      <c r="R445" s="3">
        <f ca="1">'ETF price'!S447-'ETF price'!S446</f>
        <v>0.66000000000000369</v>
      </c>
      <c r="S445" s="3">
        <f ca="1">'ETF price'!T447-'ETF price'!T446</f>
        <v>-6.0000000000002274E-2</v>
      </c>
      <c r="T445" s="3">
        <f ca="1">'ETF price'!U447-'ETF price'!U446</f>
        <v>-0.42000000000000171</v>
      </c>
      <c r="U445" s="3">
        <f ca="1">'ETF price'!V447-'ETF price'!V446</f>
        <v>2.6699999999999946</v>
      </c>
      <c r="V445" s="3">
        <f ca="1">'ETF price'!W447-'ETF price'!W446</f>
        <v>0.23999999999999488</v>
      </c>
      <c r="W445" s="3">
        <f ca="1">'ETF price'!X447-'ETF price'!X446</f>
        <v>0.62999999999999545</v>
      </c>
      <c r="X445" s="3">
        <f ca="1">'ETF price'!Y447-'ETF price'!Y446</f>
        <v>0.50999999999999801</v>
      </c>
      <c r="Y445" s="3">
        <f ca="1">'ETF price'!Z447-'ETF price'!Z446</f>
        <v>0.46999999999999886</v>
      </c>
      <c r="Z445" s="3">
        <f ca="1">'ETF price'!AA447-'ETF price'!AA446</f>
        <v>0.11999999999999744</v>
      </c>
      <c r="AA445" s="3">
        <f ca="1">'ETF price'!AB447-'ETF price'!AB446</f>
        <v>0.64000000000000057</v>
      </c>
      <c r="AB445" s="3">
        <f ca="1">'ETF price'!AC447-'ETF price'!AC446</f>
        <v>-0.10999999999999943</v>
      </c>
      <c r="AC445" s="3">
        <f ca="1">'ETF price'!AD447-'ETF price'!AD446</f>
        <v>-8.9999999999999858E-2</v>
      </c>
      <c r="AD445" s="3">
        <f ca="1">'ETF price'!AE447-'ETF price'!AE446</f>
        <v>-0.13000000000000078</v>
      </c>
      <c r="AE445" s="3">
        <f ca="1">'ETF price'!AF447-'ETF price'!AF446</f>
        <v>8.0000000000000071E-2</v>
      </c>
      <c r="AF445" s="3">
        <f ca="1">'ETF price'!AG447-'ETF price'!AG446</f>
        <v>0.32000000000000028</v>
      </c>
    </row>
    <row r="446" spans="1:32" ht="12.75" x14ac:dyDescent="0.2">
      <c r="A446" s="3">
        <f ca="1">'ETF price'!B448-'ETF price'!B447</f>
        <v>1.5699999999999932</v>
      </c>
      <c r="B446" s="3">
        <f ca="1">'ETF price'!C448-'ETF price'!C447</f>
        <v>3.3899999999999864</v>
      </c>
      <c r="C446" s="3">
        <f ca="1">'ETF price'!D448-'ETF price'!D447</f>
        <v>1.2000000000000028</v>
      </c>
      <c r="D446" s="3">
        <f ca="1">'ETF price'!E448-'ETF price'!E447</f>
        <v>1.2199999999999989</v>
      </c>
      <c r="E446" s="3">
        <f ca="1">'ETF price'!F448-'ETF price'!F447</f>
        <v>0.30999999999999517</v>
      </c>
      <c r="F446" s="3">
        <f ca="1">'ETF price'!G448-'ETF price'!G447</f>
        <v>-0.13999999999999702</v>
      </c>
      <c r="G446" s="3">
        <f ca="1">'ETF price'!H448-'ETF price'!H447</f>
        <v>8.9999999999999858E-2</v>
      </c>
      <c r="H446" s="3">
        <f ca="1">'ETF price'!I448-'ETF price'!I447</f>
        <v>-0.58000000000001251</v>
      </c>
      <c r="I446" s="3">
        <f ca="1">'ETF price'!J448-'ETF price'!J447</f>
        <v>-1.3700000000000045</v>
      </c>
      <c r="J446" s="3">
        <f ca="1">'ETF price'!K448-'ETF price'!K447</f>
        <v>0.59999999999999432</v>
      </c>
      <c r="K446" s="3">
        <f ca="1">'ETF price'!L448-'ETF price'!L447</f>
        <v>-0.78000000000000114</v>
      </c>
      <c r="L446" s="3">
        <f ca="1">'ETF price'!M448-'ETF price'!M447</f>
        <v>7.0000000000000284E-2</v>
      </c>
      <c r="M446" s="3">
        <f ca="1">'ETF price'!N448-'ETF price'!N447</f>
        <v>-0.29999999999999716</v>
      </c>
      <c r="N446" s="3">
        <f ca="1">'ETF price'!O448-'ETF price'!O447</f>
        <v>-0.28000000000000114</v>
      </c>
      <c r="O446" s="3">
        <f ca="1">'ETF price'!P448-'ETF price'!P447</f>
        <v>-1.1400000000000006</v>
      </c>
      <c r="P446" s="3">
        <f ca="1">'ETF price'!Q448-'ETF price'!Q447</f>
        <v>-1.3900000000000006</v>
      </c>
      <c r="Q446" s="3">
        <f ca="1">'ETF price'!R448-'ETF price'!R447</f>
        <v>0.18999999999999773</v>
      </c>
      <c r="R446" s="3">
        <f ca="1">'ETF price'!S448-'ETF price'!S447</f>
        <v>7.9999999999998295E-2</v>
      </c>
      <c r="S446" s="3">
        <f ca="1">'ETF price'!T448-'ETF price'!T447</f>
        <v>-0.14000000000000057</v>
      </c>
      <c r="T446" s="3">
        <f ca="1">'ETF price'!U448-'ETF price'!U447</f>
        <v>-1.039999999999992</v>
      </c>
      <c r="U446" s="3">
        <f ca="1">'ETF price'!V448-'ETF price'!V447</f>
        <v>0.64000000000000057</v>
      </c>
      <c r="V446" s="3">
        <f ca="1">'ETF price'!W448-'ETF price'!W447</f>
        <v>5.0000000000004263E-2</v>
      </c>
      <c r="W446" s="3">
        <f ca="1">'ETF price'!X448-'ETF price'!X447</f>
        <v>0.13000000000000966</v>
      </c>
      <c r="X446" s="3">
        <f ca="1">'ETF price'!Y448-'ETF price'!Y447</f>
        <v>0.11999999999999744</v>
      </c>
      <c r="Y446" s="3">
        <f ca="1">'ETF price'!Z448-'ETF price'!Z447</f>
        <v>0.18999999999999773</v>
      </c>
      <c r="Z446" s="3">
        <f ca="1">'ETF price'!AA448-'ETF price'!AA447</f>
        <v>0.69000000000000483</v>
      </c>
      <c r="AA446" s="3">
        <f ca="1">'ETF price'!AB448-'ETF price'!AB447</f>
        <v>3.0000000000001137E-2</v>
      </c>
      <c r="AB446" s="3">
        <f ca="1">'ETF price'!AC448-'ETF price'!AC447</f>
        <v>0.54999999999999716</v>
      </c>
      <c r="AC446" s="3">
        <f ca="1">'ETF price'!AD448-'ETF price'!AD447</f>
        <v>-0.24000000000000021</v>
      </c>
      <c r="AD446" s="3">
        <f ca="1">'ETF price'!AE448-'ETF price'!AE447</f>
        <v>-0.33000000000000007</v>
      </c>
      <c r="AE446" s="3">
        <f ca="1">'ETF price'!AF448-'ETF price'!AF447</f>
        <v>2.0000000000000018E-2</v>
      </c>
      <c r="AF446" s="3">
        <f ca="1">'ETF price'!AG448-'ETF price'!AG447</f>
        <v>-0.85999999999999943</v>
      </c>
    </row>
    <row r="447" spans="1:32" ht="12.75" x14ac:dyDescent="0.2">
      <c r="A447" s="3">
        <f ca="1">'ETF price'!B449-'ETF price'!B448</f>
        <v>0.16000000000002501</v>
      </c>
      <c r="B447" s="3">
        <f ca="1">'ETF price'!C449-'ETF price'!C448</f>
        <v>-1.0199999999999818</v>
      </c>
      <c r="C447" s="3">
        <f ca="1">'ETF price'!D449-'ETF price'!D448</f>
        <v>-0.31000000000000227</v>
      </c>
      <c r="D447" s="3">
        <f ca="1">'ETF price'!E449-'ETF price'!E448</f>
        <v>0.40999999999999659</v>
      </c>
      <c r="E447" s="3">
        <f ca="1">'ETF price'!F449-'ETF price'!F448</f>
        <v>-0.53000000000000114</v>
      </c>
      <c r="F447" s="3">
        <f ca="1">'ETF price'!G449-'ETF price'!G448</f>
        <v>-0.23000000000000043</v>
      </c>
      <c r="G447" s="3">
        <f ca="1">'ETF price'!H449-'ETF price'!H448</f>
        <v>-0.40000000000000213</v>
      </c>
      <c r="H447" s="3">
        <f ca="1">'ETF price'!I449-'ETF price'!I448</f>
        <v>-1.1200000000000045</v>
      </c>
      <c r="I447" s="3">
        <f ca="1">'ETF price'!J449-'ETF price'!J448</f>
        <v>-2.6399999999999864</v>
      </c>
      <c r="J447" s="3">
        <f ca="1">'ETF price'!K449-'ETF price'!K448</f>
        <v>-2.4899999999999949</v>
      </c>
      <c r="K447" s="3">
        <f ca="1">'ETF price'!L449-'ETF price'!L448</f>
        <v>-2.5999999999999943</v>
      </c>
      <c r="L447" s="3">
        <f ca="1">'ETF price'!M449-'ETF price'!M448</f>
        <v>-1.3100000000000023</v>
      </c>
      <c r="M447" s="3">
        <f ca="1">'ETF price'!N449-'ETF price'!N448</f>
        <v>-0.69000000000000483</v>
      </c>
      <c r="N447" s="3">
        <f ca="1">'ETF price'!O449-'ETF price'!O448</f>
        <v>-1.6799999999999997</v>
      </c>
      <c r="O447" s="3">
        <f ca="1">'ETF price'!P449-'ETF price'!P448</f>
        <v>9.9999999999994316E-2</v>
      </c>
      <c r="P447" s="3">
        <f ca="1">'ETF price'!Q449-'ETF price'!Q448</f>
        <v>7.000000000000739E-2</v>
      </c>
      <c r="Q447" s="3">
        <f ca="1">'ETF price'!R449-'ETF price'!R448</f>
        <v>-1.1799999999999926</v>
      </c>
      <c r="R447" s="3">
        <f ca="1">'ETF price'!S449-'ETF price'!S448</f>
        <v>-1.6700000000000017</v>
      </c>
      <c r="S447" s="3">
        <f ca="1">'ETF price'!T449-'ETF price'!T448</f>
        <v>-9.9999999999980105E-3</v>
      </c>
      <c r="T447" s="3">
        <f ca="1">'ETF price'!U449-'ETF price'!U448</f>
        <v>-0.25</v>
      </c>
      <c r="U447" s="3">
        <f ca="1">'ETF price'!V449-'ETF price'!V448</f>
        <v>-1.3999999999999986</v>
      </c>
      <c r="V447" s="3">
        <f ca="1">'ETF price'!W449-'ETF price'!W448</f>
        <v>-0.21000000000000085</v>
      </c>
      <c r="W447" s="3">
        <f ca="1">'ETF price'!X449-'ETF price'!X448</f>
        <v>-0.60999999999999943</v>
      </c>
      <c r="X447" s="3">
        <f ca="1">'ETF price'!Y449-'ETF price'!Y448</f>
        <v>-0.48999999999999488</v>
      </c>
      <c r="Y447" s="3">
        <f ca="1">'ETF price'!Z449-'ETF price'!Z448</f>
        <v>-0.63000000000000966</v>
      </c>
      <c r="Z447" s="3">
        <f ca="1">'ETF price'!AA449-'ETF price'!AA448</f>
        <v>-0.46000000000000085</v>
      </c>
      <c r="AA447" s="3">
        <f ca="1">'ETF price'!AB449-'ETF price'!AB448</f>
        <v>-0.51000000000000512</v>
      </c>
      <c r="AB447" s="3">
        <f ca="1">'ETF price'!AC449-'ETF price'!AC448</f>
        <v>0.28000000000000114</v>
      </c>
      <c r="AC447" s="3">
        <f ca="1">'ETF price'!AD449-'ETF price'!AD448</f>
        <v>-5.0000000000000711E-2</v>
      </c>
      <c r="AD447" s="3">
        <f ca="1">'ETF price'!AE449-'ETF price'!AE448</f>
        <v>-2.9999999999999361E-2</v>
      </c>
      <c r="AE447" s="3">
        <f ca="1">'ETF price'!AF449-'ETF price'!AF448</f>
        <v>-9.9999999999997868E-3</v>
      </c>
      <c r="AF447" s="3">
        <f ca="1">'ETF price'!AG449-'ETF price'!AG448</f>
        <v>-0.73999999999999844</v>
      </c>
    </row>
    <row r="448" spans="1:32" ht="12.75" x14ac:dyDescent="0.2">
      <c r="A448" s="3">
        <f ca="1">'ETF price'!B450-'ETF price'!B449</f>
        <v>-2.4500000000000171</v>
      </c>
      <c r="B448" s="3">
        <f ca="1">'ETF price'!C450-'ETF price'!C449</f>
        <v>-6.8899999999999864</v>
      </c>
      <c r="C448" s="3">
        <f ca="1">'ETF price'!D450-'ETF price'!D449</f>
        <v>-1.3700000000000045</v>
      </c>
      <c r="D448" s="3">
        <f ca="1">'ETF price'!E450-'ETF price'!E449</f>
        <v>-4.4399999999999977</v>
      </c>
      <c r="E448" s="3">
        <f ca="1">'ETF price'!F450-'ETF price'!F449</f>
        <v>-0.40999999999999659</v>
      </c>
      <c r="F448" s="3">
        <f ca="1">'ETF price'!G450-'ETF price'!G449</f>
        <v>-0.24000000000000199</v>
      </c>
      <c r="G448" s="3">
        <f ca="1">'ETF price'!H450-'ETF price'!H449</f>
        <v>-0.14999999999999858</v>
      </c>
      <c r="H448" s="3">
        <f ca="1">'ETF price'!I450-'ETF price'!I449</f>
        <v>0.81000000000000227</v>
      </c>
      <c r="I448" s="3">
        <f ca="1">'ETF price'!J450-'ETF price'!J449</f>
        <v>1.4199999999999875</v>
      </c>
      <c r="J448" s="3">
        <f ca="1">'ETF price'!K450-'ETF price'!K449</f>
        <v>0.48999999999999488</v>
      </c>
      <c r="K448" s="3">
        <f ca="1">'ETF price'!L450-'ETF price'!L449</f>
        <v>0.87999999999999545</v>
      </c>
      <c r="L448" s="3">
        <f ca="1">'ETF price'!M450-'ETF price'!M449</f>
        <v>0.29999999999999716</v>
      </c>
      <c r="M448" s="3">
        <f ca="1">'ETF price'!N450-'ETF price'!N449</f>
        <v>0.34000000000000341</v>
      </c>
      <c r="N448" s="3">
        <f ca="1">'ETF price'!O450-'ETF price'!O449</f>
        <v>0.28000000000000114</v>
      </c>
      <c r="O448" s="3">
        <f ca="1">'ETF price'!P450-'ETF price'!P449</f>
        <v>1.9300000000000068</v>
      </c>
      <c r="P448" s="3">
        <f ca="1">'ETF price'!Q450-'ETF price'!Q449</f>
        <v>2.7399999999999949</v>
      </c>
      <c r="Q448" s="3">
        <f ca="1">'ETF price'!R450-'ETF price'!R449</f>
        <v>-0.29000000000000625</v>
      </c>
      <c r="R448" s="3">
        <f ca="1">'ETF price'!S450-'ETF price'!S449</f>
        <v>0</v>
      </c>
      <c r="S448" s="3">
        <f ca="1">'ETF price'!T450-'ETF price'!T449</f>
        <v>0.64000000000000057</v>
      </c>
      <c r="T448" s="3">
        <f ca="1">'ETF price'!U450-'ETF price'!U449</f>
        <v>3.5699999999999932</v>
      </c>
      <c r="U448" s="3">
        <f ca="1">'ETF price'!V450-'ETF price'!V449</f>
        <v>-0.67000000000000171</v>
      </c>
      <c r="V448" s="3">
        <f ca="1">'ETF price'!W450-'ETF price'!W449</f>
        <v>7.0000000000000284E-2</v>
      </c>
      <c r="W448" s="3">
        <f ca="1">'ETF price'!X450-'ETF price'!X449</f>
        <v>-2.0000000000010232E-2</v>
      </c>
      <c r="X448" s="3">
        <f ca="1">'ETF price'!Y450-'ETF price'!Y449</f>
        <v>-0.51000000000000512</v>
      </c>
      <c r="Y448" s="3">
        <f ca="1">'ETF price'!Z450-'ETF price'!Z449</f>
        <v>0.15000000000000568</v>
      </c>
      <c r="Z448" s="3">
        <f ca="1">'ETF price'!AA450-'ETF price'!AA449</f>
        <v>-9.9999999999980105E-3</v>
      </c>
      <c r="AA448" s="3">
        <f ca="1">'ETF price'!AB450-'ETF price'!AB449</f>
        <v>-0.80999999999999517</v>
      </c>
      <c r="AB448" s="3">
        <f ca="1">'ETF price'!AC450-'ETF price'!AC449</f>
        <v>-1.009999999999998</v>
      </c>
      <c r="AC448" s="3">
        <f ca="1">'ETF price'!AD450-'ETF price'!AD449</f>
        <v>5.0000000000000711E-2</v>
      </c>
      <c r="AD448" s="3">
        <f ca="1">'ETF price'!AE450-'ETF price'!AE449</f>
        <v>3.9999999999999147E-2</v>
      </c>
      <c r="AE448" s="3">
        <f ca="1">'ETF price'!AF450-'ETF price'!AF449</f>
        <v>-6.0000000000000053E-2</v>
      </c>
      <c r="AF448" s="3">
        <f ca="1">'ETF price'!AG450-'ETF price'!AG449</f>
        <v>-0.23000000000000043</v>
      </c>
    </row>
    <row r="449" spans="1:32" ht="12.75" x14ac:dyDescent="0.2">
      <c r="A449" s="3">
        <f ca="1">'ETF price'!B451-'ETF price'!B450</f>
        <v>1.6200000000000045</v>
      </c>
      <c r="B449" s="3">
        <f ca="1">'ETF price'!C451-'ETF price'!C450</f>
        <v>4.8599999999999568</v>
      </c>
      <c r="C449" s="3">
        <f ca="1">'ETF price'!D451-'ETF price'!D450</f>
        <v>-0.63999999999998636</v>
      </c>
      <c r="D449" s="3">
        <f ca="1">'ETF price'!E451-'ETF price'!E450</f>
        <v>2.25</v>
      </c>
      <c r="E449" s="3">
        <f ca="1">'ETF price'!F451-'ETF price'!F450</f>
        <v>0.92999999999999972</v>
      </c>
      <c r="F449" s="3">
        <f ca="1">'ETF price'!G451-'ETF price'!G450</f>
        <v>0.21000000000000085</v>
      </c>
      <c r="G449" s="3">
        <f ca="1">'ETF price'!H451-'ETF price'!H450</f>
        <v>0.32000000000000028</v>
      </c>
      <c r="H449" s="3">
        <f ca="1">'ETF price'!I451-'ETF price'!I450</f>
        <v>0.97999999999998977</v>
      </c>
      <c r="I449" s="3">
        <f ca="1">'ETF price'!J451-'ETF price'!J450</f>
        <v>1.8400000000000034</v>
      </c>
      <c r="J449" s="3">
        <f ca="1">'ETF price'!K451-'ETF price'!K450</f>
        <v>0.67000000000000171</v>
      </c>
      <c r="K449" s="3">
        <f ca="1">'ETF price'!L451-'ETF price'!L450</f>
        <v>0.60999999999999943</v>
      </c>
      <c r="L449" s="3">
        <f ca="1">'ETF price'!M451-'ETF price'!M450</f>
        <v>0.5800000000000054</v>
      </c>
      <c r="M449" s="3">
        <f ca="1">'ETF price'!N451-'ETF price'!N450</f>
        <v>0.47999999999999687</v>
      </c>
      <c r="N449" s="3">
        <f ca="1">'ETF price'!O451-'ETF price'!O450</f>
        <v>0.23999999999999488</v>
      </c>
      <c r="O449" s="3">
        <f ca="1">'ETF price'!P451-'ETF price'!P450</f>
        <v>0.59999999999999432</v>
      </c>
      <c r="P449" s="3">
        <f ca="1">'ETF price'!Q451-'ETF price'!Q450</f>
        <v>0.62999999999999545</v>
      </c>
      <c r="Q449" s="3">
        <f ca="1">'ETF price'!R451-'ETF price'!R450</f>
        <v>0.76000000000000512</v>
      </c>
      <c r="R449" s="3">
        <f ca="1">'ETF price'!S451-'ETF price'!S450</f>
        <v>0.48000000000000398</v>
      </c>
      <c r="S449" s="3">
        <f ca="1">'ETF price'!T451-'ETF price'!T450</f>
        <v>-8.0000000000001847E-2</v>
      </c>
      <c r="T449" s="3">
        <f ca="1">'ETF price'!U451-'ETF price'!U450</f>
        <v>-0.59999999999999432</v>
      </c>
      <c r="U449" s="3">
        <f ca="1">'ETF price'!V451-'ETF price'!V450</f>
        <v>0.64000000000000057</v>
      </c>
      <c r="V449" s="3">
        <f ca="1">'ETF price'!W451-'ETF price'!W450</f>
        <v>0.35000000000000142</v>
      </c>
      <c r="W449" s="3">
        <f ca="1">'ETF price'!X451-'ETF price'!X450</f>
        <v>0.93000000000000682</v>
      </c>
      <c r="X449" s="3">
        <f ca="1">'ETF price'!Y451-'ETF price'!Y450</f>
        <v>0.8300000000000054</v>
      </c>
      <c r="Y449" s="3">
        <f ca="1">'ETF price'!Z451-'ETF price'!Z450</f>
        <v>0.81000000000000227</v>
      </c>
      <c r="Z449" s="3">
        <f ca="1">'ETF price'!AA451-'ETF price'!AA450</f>
        <v>0.34999999999999432</v>
      </c>
      <c r="AA449" s="3">
        <f ca="1">'ETF price'!AB451-'ETF price'!AB450</f>
        <v>1.0300000000000011</v>
      </c>
      <c r="AB449" s="3">
        <f ca="1">'ETF price'!AC451-'ETF price'!AC450</f>
        <v>-0.60999999999999943</v>
      </c>
      <c r="AC449" s="3">
        <f ca="1">'ETF price'!AD451-'ETF price'!AD450</f>
        <v>0.60999999999999943</v>
      </c>
      <c r="AD449" s="3">
        <f ca="1">'ETF price'!AE451-'ETF price'!AE450</f>
        <v>0.90000000000000036</v>
      </c>
      <c r="AE449" s="3">
        <f ca="1">'ETF price'!AF451-'ETF price'!AF450</f>
        <v>-2.0000000000000018E-2</v>
      </c>
      <c r="AF449" s="3">
        <f ca="1">'ETF price'!AG451-'ETF price'!AG450</f>
        <v>1.2199999999999989</v>
      </c>
    </row>
    <row r="450" spans="1:32" ht="12.75" x14ac:dyDescent="0.2">
      <c r="A450" s="3">
        <f ca="1">'ETF price'!B452-'ETF price'!B451</f>
        <v>-0.78999999999999204</v>
      </c>
      <c r="B450" s="3">
        <f ca="1">'ETF price'!C452-'ETF price'!C451</f>
        <v>-1.8299999999999841</v>
      </c>
      <c r="C450" s="3">
        <f ca="1">'ETF price'!D452-'ETF price'!D451</f>
        <v>-1.9000000000000057</v>
      </c>
      <c r="D450" s="3">
        <f ca="1">'ETF price'!E452-'ETF price'!E451</f>
        <v>-1.1800000000000068</v>
      </c>
      <c r="E450" s="3">
        <f ca="1">'ETF price'!F452-'ETF price'!F451</f>
        <v>9.0000000000003411E-2</v>
      </c>
      <c r="F450" s="3">
        <f ca="1">'ETF price'!G452-'ETF price'!G451</f>
        <v>-1.9999999999999574E-2</v>
      </c>
      <c r="G450" s="3">
        <f ca="1">'ETF price'!H452-'ETF price'!H451</f>
        <v>5.9999999999998721E-2</v>
      </c>
      <c r="H450" s="3">
        <f ca="1">'ETF price'!I452-'ETF price'!I451</f>
        <v>-0.1799999999999784</v>
      </c>
      <c r="I450" s="3">
        <f ca="1">'ETF price'!J452-'ETF price'!J451</f>
        <v>-9.9999999999909051E-3</v>
      </c>
      <c r="J450" s="3">
        <f ca="1">'ETF price'!K452-'ETF price'!K451</f>
        <v>-0.15999999999999659</v>
      </c>
      <c r="K450" s="3">
        <f ca="1">'ETF price'!L452-'ETF price'!L451</f>
        <v>9.0000000000003411E-2</v>
      </c>
      <c r="L450" s="3">
        <f ca="1">'ETF price'!M452-'ETF price'!M451</f>
        <v>0.37999999999999545</v>
      </c>
      <c r="M450" s="3">
        <f ca="1">'ETF price'!N452-'ETF price'!N451</f>
        <v>5.0000000000004263E-2</v>
      </c>
      <c r="N450" s="3">
        <f ca="1">'ETF price'!O452-'ETF price'!O451</f>
        <v>3.9999999999999147E-2</v>
      </c>
      <c r="O450" s="3">
        <f ca="1">'ETF price'!P452-'ETF price'!P451</f>
        <v>0.93999999999999773</v>
      </c>
      <c r="P450" s="3">
        <f ca="1">'ETF price'!Q452-'ETF price'!Q451</f>
        <v>1.3599999999999994</v>
      </c>
      <c r="Q450" s="3">
        <f ca="1">'ETF price'!R452-'ETF price'!R451</f>
        <v>0.76999999999999602</v>
      </c>
      <c r="R450" s="3">
        <f ca="1">'ETF price'!S452-'ETF price'!S451</f>
        <v>1.0700000000000003</v>
      </c>
      <c r="S450" s="3">
        <f ca="1">'ETF price'!T452-'ETF price'!T451</f>
        <v>7.0000000000000284E-2</v>
      </c>
      <c r="T450" s="3">
        <f ca="1">'ETF price'!U452-'ETF price'!U451</f>
        <v>0.40999999999999659</v>
      </c>
      <c r="U450" s="3">
        <f ca="1">'ETF price'!V452-'ETF price'!V451</f>
        <v>0.71000000000000085</v>
      </c>
      <c r="V450" s="3">
        <f ca="1">'ETF price'!W452-'ETF price'!W451</f>
        <v>0.15999999999999659</v>
      </c>
      <c r="W450" s="3">
        <f ca="1">'ETF price'!X452-'ETF price'!X451</f>
        <v>0.65000000000000568</v>
      </c>
      <c r="X450" s="3">
        <f ca="1">'ETF price'!Y452-'ETF price'!Y451</f>
        <v>0.71999999999999886</v>
      </c>
      <c r="Y450" s="3">
        <f ca="1">'ETF price'!Z452-'ETF price'!Z451</f>
        <v>0.48999999999999488</v>
      </c>
      <c r="Z450" s="3">
        <f ca="1">'ETF price'!AA452-'ETF price'!AA451</f>
        <v>-0.17999999999999972</v>
      </c>
      <c r="AA450" s="3">
        <f ca="1">'ETF price'!AB452-'ETF price'!AB451</f>
        <v>0.87999999999999545</v>
      </c>
      <c r="AB450" s="3">
        <f ca="1">'ETF price'!AC452-'ETF price'!AC451</f>
        <v>-0.82000000000000028</v>
      </c>
      <c r="AC450" s="3">
        <f ca="1">'ETF price'!AD452-'ETF price'!AD451</f>
        <v>2.9999999999999361E-2</v>
      </c>
      <c r="AD450" s="3">
        <f ca="1">'ETF price'!AE452-'ETF price'!AE451</f>
        <v>1.9999999999999574E-2</v>
      </c>
      <c r="AE450" s="3">
        <f ca="1">'ETF price'!AF452-'ETF price'!AF451</f>
        <v>-3.0000000000000249E-2</v>
      </c>
      <c r="AF450" s="3">
        <f ca="1">'ETF price'!AG452-'ETF price'!AG451</f>
        <v>0.48000000000000043</v>
      </c>
    </row>
    <row r="451" spans="1:32" ht="12.75" x14ac:dyDescent="0.2">
      <c r="A451" s="3">
        <f ca="1">'ETF price'!B453-'ETF price'!B452</f>
        <v>-1.7400000000000091</v>
      </c>
      <c r="B451" s="3">
        <f ca="1">'ETF price'!C453-'ETF price'!C452</f>
        <v>-5.839999999999975</v>
      </c>
      <c r="C451" s="3">
        <f ca="1">'ETF price'!D453-'ETF price'!D452</f>
        <v>0.20999999999999375</v>
      </c>
      <c r="D451" s="3">
        <f ca="1">'ETF price'!E453-'ETF price'!E452</f>
        <v>-2.8799999999999955</v>
      </c>
      <c r="E451" s="3">
        <f ca="1">'ETF price'!F453-'ETF price'!F452</f>
        <v>-0.48000000000000398</v>
      </c>
      <c r="F451" s="3">
        <f ca="1">'ETF price'!G453-'ETF price'!G452</f>
        <v>-0.76999999999999957</v>
      </c>
      <c r="G451" s="3">
        <f ca="1">'ETF price'!H453-'ETF price'!H452</f>
        <v>-0.44999999999999929</v>
      </c>
      <c r="H451" s="3">
        <f ca="1">'ETF price'!I453-'ETF price'!I452</f>
        <v>-1.1400000000000148</v>
      </c>
      <c r="I451" s="3">
        <f ca="1">'ETF price'!J453-'ETF price'!J452</f>
        <v>-2.4300000000000068</v>
      </c>
      <c r="J451" s="3">
        <f ca="1">'ETF price'!K453-'ETF price'!K452</f>
        <v>-2.5700000000000074</v>
      </c>
      <c r="K451" s="3">
        <f ca="1">'ETF price'!L453-'ETF price'!L452</f>
        <v>-1.8100000000000023</v>
      </c>
      <c r="L451" s="3">
        <f ca="1">'ETF price'!M453-'ETF price'!M452</f>
        <v>-1.0899999999999963</v>
      </c>
      <c r="M451" s="3">
        <f ca="1">'ETF price'!N453-'ETF price'!N452</f>
        <v>-0.63000000000000256</v>
      </c>
      <c r="N451" s="3">
        <f ca="1">'ETF price'!O453-'ETF price'!O452</f>
        <v>-1.4799999999999969</v>
      </c>
      <c r="O451" s="3">
        <f ca="1">'ETF price'!P453-'ETF price'!P452</f>
        <v>0.82999999999999829</v>
      </c>
      <c r="P451" s="3">
        <f ca="1">'ETF price'!Q453-'ETF price'!Q452</f>
        <v>1.0100000000000051</v>
      </c>
      <c r="Q451" s="3">
        <f ca="1">'ETF price'!R453-'ETF price'!R452</f>
        <v>-2.0499999999999972</v>
      </c>
      <c r="R451" s="3">
        <f ca="1">'ETF price'!S453-'ETF price'!S452</f>
        <v>-1.3500000000000014</v>
      </c>
      <c r="S451" s="3">
        <f ca="1">'ETF price'!T453-'ETF price'!T452</f>
        <v>0.21999999999999886</v>
      </c>
      <c r="T451" s="3">
        <f ca="1">'ETF price'!U453-'ETF price'!U452</f>
        <v>1.0400000000000063</v>
      </c>
      <c r="U451" s="3">
        <f ca="1">'ETF price'!V453-'ETF price'!V452</f>
        <v>-1.4500000000000028</v>
      </c>
      <c r="V451" s="3">
        <f ca="1">'ETF price'!W453-'ETF price'!W452</f>
        <v>-0.57999999999999829</v>
      </c>
      <c r="W451" s="3">
        <f ca="1">'ETF price'!X453-'ETF price'!X452</f>
        <v>-1.4900000000000091</v>
      </c>
      <c r="X451" s="3">
        <f ca="1">'ETF price'!Y453-'ETF price'!Y452</f>
        <v>-0.95000000000000284</v>
      </c>
      <c r="Y451" s="3">
        <f ca="1">'ETF price'!Z453-'ETF price'!Z452</f>
        <v>-1.3199999999999932</v>
      </c>
      <c r="Z451" s="3">
        <f ca="1">'ETF price'!AA453-'ETF price'!AA452</f>
        <v>-0.75999999999999801</v>
      </c>
      <c r="AA451" s="3">
        <f ca="1">'ETF price'!AB453-'ETF price'!AB452</f>
        <v>-1.1499999999999986</v>
      </c>
      <c r="AB451" s="3">
        <f ca="1">'ETF price'!AC453-'ETF price'!AC452</f>
        <v>-0.30000000000000426</v>
      </c>
      <c r="AC451" s="3">
        <f ca="1">'ETF price'!AD453-'ETF price'!AD452</f>
        <v>-0.10999999999999943</v>
      </c>
      <c r="AD451" s="3">
        <f ca="1">'ETF price'!AE453-'ETF price'!AE452</f>
        <v>-0.15999999999999837</v>
      </c>
      <c r="AE451" s="3">
        <f ca="1">'ETF price'!AF453-'ETF price'!AF452</f>
        <v>5.0000000000000266E-2</v>
      </c>
      <c r="AF451" s="3">
        <f ca="1">'ETF price'!AG453-'ETF price'!AG452</f>
        <v>-1.4600000000000009</v>
      </c>
    </row>
    <row r="452" spans="1:32" ht="12.75" x14ac:dyDescent="0.2">
      <c r="A452" s="3">
        <f ca="1">'ETF price'!B454-'ETF price'!B453</f>
        <v>-0.96000000000000796</v>
      </c>
      <c r="B452" s="3">
        <f ca="1">'ETF price'!C454-'ETF price'!C453</f>
        <v>-2.9900000000000091</v>
      </c>
      <c r="C452" s="3">
        <f ca="1">'ETF price'!D454-'ETF price'!D453</f>
        <v>0.95000000000000284</v>
      </c>
      <c r="D452" s="3">
        <f ca="1">'ETF price'!E454-'ETF price'!E453</f>
        <v>-2.4200000000000159</v>
      </c>
      <c r="E452" s="3">
        <f ca="1">'ETF price'!F454-'ETF price'!F453</f>
        <v>-0.51999999999999602</v>
      </c>
      <c r="F452" s="3">
        <f ca="1">'ETF price'!G454-'ETF price'!G453</f>
        <v>-0.19000000000000128</v>
      </c>
      <c r="G452" s="3">
        <f ca="1">'ETF price'!H454-'ETF price'!H453</f>
        <v>-0.37999999999999901</v>
      </c>
      <c r="H452" s="3">
        <f ca="1">'ETF price'!I454-'ETF price'!I453</f>
        <v>-1.2800000000000011</v>
      </c>
      <c r="I452" s="3">
        <f ca="1">'ETF price'!J454-'ETF price'!J453</f>
        <v>-2.4399999999999977</v>
      </c>
      <c r="J452" s="3">
        <f ca="1">'ETF price'!K454-'ETF price'!K453</f>
        <v>-1.9599999999999937</v>
      </c>
      <c r="K452" s="3">
        <f ca="1">'ETF price'!L454-'ETF price'!L453</f>
        <v>-1.3999999999999915</v>
      </c>
      <c r="L452" s="3">
        <f ca="1">'ETF price'!M454-'ETF price'!M453</f>
        <v>-0.80000000000000426</v>
      </c>
      <c r="M452" s="3">
        <f ca="1">'ETF price'!N454-'ETF price'!N453</f>
        <v>-0.63000000000000256</v>
      </c>
      <c r="N452" s="3">
        <f ca="1">'ETF price'!O454-'ETF price'!O453</f>
        <v>-0.79999999999999716</v>
      </c>
      <c r="O452" s="3">
        <f ca="1">'ETF price'!P454-'ETF price'!P453</f>
        <v>-0.15999999999999659</v>
      </c>
      <c r="P452" s="3">
        <f ca="1">'ETF price'!Q454-'ETF price'!Q453</f>
        <v>-9.9999999999994316E-2</v>
      </c>
      <c r="Q452" s="3">
        <f ca="1">'ETF price'!R454-'ETF price'!R453</f>
        <v>-0.90000000000000568</v>
      </c>
      <c r="R452" s="3">
        <f ca="1">'ETF price'!S454-'ETF price'!S453</f>
        <v>-0.98000000000000398</v>
      </c>
      <c r="S452" s="3">
        <f ca="1">'ETF price'!T454-'ETF price'!T453</f>
        <v>0.26000000000000156</v>
      </c>
      <c r="T452" s="3">
        <f ca="1">'ETF price'!U454-'ETF price'!U453</f>
        <v>1.8400000000000034</v>
      </c>
      <c r="U452" s="3">
        <f ca="1">'ETF price'!V454-'ETF price'!V453</f>
        <v>-1.4799999999999969</v>
      </c>
      <c r="V452" s="3">
        <f ca="1">'ETF price'!W454-'ETF price'!W453</f>
        <v>-0.43999999999999773</v>
      </c>
      <c r="W452" s="3">
        <f ca="1">'ETF price'!X454-'ETF price'!X453</f>
        <v>-1.1400000000000006</v>
      </c>
      <c r="X452" s="3">
        <f ca="1">'ETF price'!Y454-'ETF price'!Y453</f>
        <v>-0.43999999999999773</v>
      </c>
      <c r="Y452" s="3">
        <f ca="1">'ETF price'!Z454-'ETF price'!Z453</f>
        <v>-0.99000000000000909</v>
      </c>
      <c r="Z452" s="3">
        <f ca="1">'ETF price'!AA454-'ETF price'!AA453</f>
        <v>-0.82999999999999829</v>
      </c>
      <c r="AA452" s="3">
        <f ca="1">'ETF price'!AB454-'ETF price'!AB453</f>
        <v>-0.45000000000000284</v>
      </c>
      <c r="AB452" s="3">
        <f ca="1">'ETF price'!AC454-'ETF price'!AC453</f>
        <v>0.21000000000000085</v>
      </c>
      <c r="AC452" s="3">
        <f ca="1">'ETF price'!AD454-'ETF price'!AD453</f>
        <v>0.17999999999999972</v>
      </c>
      <c r="AD452" s="3">
        <f ca="1">'ETF price'!AE454-'ETF price'!AE453</f>
        <v>0.30999999999999872</v>
      </c>
      <c r="AE452" s="3">
        <f ca="1">'ETF price'!AF454-'ETF price'!AF453</f>
        <v>4.9999999999999822E-2</v>
      </c>
      <c r="AF452" s="3">
        <f ca="1">'ETF price'!AG454-'ETF price'!AG453</f>
        <v>-7.0000000000000284E-2</v>
      </c>
    </row>
    <row r="453" spans="1:32" ht="12.75" x14ac:dyDescent="0.2">
      <c r="A453" s="3">
        <f ca="1">'ETF price'!B455-'ETF price'!B454</f>
        <v>-2.8199999999999932</v>
      </c>
      <c r="B453" s="3">
        <f ca="1">'ETF price'!C455-'ETF price'!C454</f>
        <v>-7.3600000000000136</v>
      </c>
      <c r="C453" s="3">
        <f ca="1">'ETF price'!D455-'ETF price'!D454</f>
        <v>-2.8599999999999994</v>
      </c>
      <c r="D453" s="3">
        <f ca="1">'ETF price'!E455-'ETF price'!E454</f>
        <v>-2.2399999999999807</v>
      </c>
      <c r="E453" s="3">
        <f ca="1">'ETF price'!F455-'ETF price'!F454</f>
        <v>-1.1900000000000048</v>
      </c>
      <c r="F453" s="3">
        <f ca="1">'ETF price'!G455-'ETF price'!G454</f>
        <v>-0.46999999999999886</v>
      </c>
      <c r="G453" s="3">
        <f ca="1">'ETF price'!H455-'ETF price'!H454</f>
        <v>-0.32000000000000028</v>
      </c>
      <c r="H453" s="3">
        <f ca="1">'ETF price'!I455-'ETF price'!I454</f>
        <v>-0.50999999999999091</v>
      </c>
      <c r="I453" s="3">
        <f ca="1">'ETF price'!J455-'ETF price'!J454</f>
        <v>-0.90000000000000568</v>
      </c>
      <c r="J453" s="3">
        <f ca="1">'ETF price'!K455-'ETF price'!K454</f>
        <v>-0.43999999999999773</v>
      </c>
      <c r="K453" s="3">
        <f ca="1">'ETF price'!L455-'ETF price'!L454</f>
        <v>-0.17000000000000171</v>
      </c>
      <c r="L453" s="3">
        <f ca="1">'ETF price'!M455-'ETF price'!M454</f>
        <v>-0.14999999999999858</v>
      </c>
      <c r="M453" s="3">
        <f ca="1">'ETF price'!N455-'ETF price'!N454</f>
        <v>-0.23999999999999488</v>
      </c>
      <c r="N453" s="3">
        <f ca="1">'ETF price'!O455-'ETF price'!O454</f>
        <v>-0.20000000000000284</v>
      </c>
      <c r="O453" s="3">
        <f ca="1">'ETF price'!P455-'ETF price'!P454</f>
        <v>-1.539999999999992</v>
      </c>
      <c r="P453" s="3">
        <f ca="1">'ETF price'!Q455-'ETF price'!Q454</f>
        <v>-2.2400000000000091</v>
      </c>
      <c r="Q453" s="3">
        <f ca="1">'ETF price'!R455-'ETF price'!R454</f>
        <v>-0.92000000000000171</v>
      </c>
      <c r="R453" s="3">
        <f ca="1">'ETF price'!S455-'ETF price'!S454</f>
        <v>-0.76999999999999602</v>
      </c>
      <c r="S453" s="3">
        <f ca="1">'ETF price'!T455-'ETF price'!T454</f>
        <v>-0.19000000000000128</v>
      </c>
      <c r="T453" s="3">
        <f ca="1">'ETF price'!U455-'ETF price'!U454</f>
        <v>-0.98000000000000398</v>
      </c>
      <c r="U453" s="3">
        <f ca="1">'ETF price'!V455-'ETF price'!V454</f>
        <v>-2.8299999999999983</v>
      </c>
      <c r="V453" s="3">
        <f ca="1">'ETF price'!W455-'ETF price'!W454</f>
        <v>-0.5</v>
      </c>
      <c r="W453" s="3">
        <f ca="1">'ETF price'!X455-'ETF price'!X454</f>
        <v>-1.2199999999999989</v>
      </c>
      <c r="X453" s="3">
        <f ca="1">'ETF price'!Y455-'ETF price'!Y454</f>
        <v>-1.2700000000000031</v>
      </c>
      <c r="Y453" s="3">
        <f ca="1">'ETF price'!Z455-'ETF price'!Z454</f>
        <v>-1.2199999999999989</v>
      </c>
      <c r="Z453" s="3">
        <f ca="1">'ETF price'!AA455-'ETF price'!AA454</f>
        <v>-0.17000000000000171</v>
      </c>
      <c r="AA453" s="3">
        <f ca="1">'ETF price'!AB455-'ETF price'!AB454</f>
        <v>-1.6299999999999955</v>
      </c>
      <c r="AB453" s="3">
        <f ca="1">'ETF price'!AC455-'ETF price'!AC454</f>
        <v>-0.25</v>
      </c>
      <c r="AC453" s="3">
        <f ca="1">'ETF price'!AD455-'ETF price'!AD454</f>
        <v>0.3100000000000005</v>
      </c>
      <c r="AD453" s="3">
        <f ca="1">'ETF price'!AE455-'ETF price'!AE454</f>
        <v>0.40000000000000036</v>
      </c>
      <c r="AE453" s="3">
        <f ca="1">'ETF price'!AF455-'ETF price'!AF454</f>
        <v>-0.12999999999999989</v>
      </c>
      <c r="AF453" s="3">
        <f ca="1">'ETF price'!AG455-'ETF price'!AG454</f>
        <v>8.0000000000001847E-2</v>
      </c>
    </row>
    <row r="454" spans="1:32" ht="12.75" x14ac:dyDescent="0.2">
      <c r="A454" s="3">
        <f ca="1">'ETF price'!B456-'ETF price'!B455</f>
        <v>0.18999999999999773</v>
      </c>
      <c r="B454" s="3">
        <f ca="1">'ETF price'!C456-'ETF price'!C455</f>
        <v>6.9999999999993179E-2</v>
      </c>
      <c r="C454" s="3">
        <f ca="1">'ETF price'!D456-'ETF price'!D455</f>
        <v>-2.019999999999996</v>
      </c>
      <c r="D454" s="3">
        <f ca="1">'ETF price'!E456-'ETF price'!E455</f>
        <v>-0.87000000000000455</v>
      </c>
      <c r="E454" s="3">
        <f ca="1">'ETF price'!F456-'ETF price'!F455</f>
        <v>-0.43999999999999773</v>
      </c>
      <c r="F454" s="3">
        <f ca="1">'ETF price'!G456-'ETF price'!G455</f>
        <v>9.9999999999997868E-2</v>
      </c>
      <c r="G454" s="3">
        <f ca="1">'ETF price'!H456-'ETF price'!H455</f>
        <v>-0.15000000000000213</v>
      </c>
      <c r="H454" s="3">
        <f ca="1">'ETF price'!I456-'ETF price'!I455</f>
        <v>-0.79999999999999716</v>
      </c>
      <c r="I454" s="3">
        <f ca="1">'ETF price'!J456-'ETF price'!J455</f>
        <v>-1.6200000000000045</v>
      </c>
      <c r="J454" s="3">
        <f ca="1">'ETF price'!K456-'ETF price'!K455</f>
        <v>-1.1500000000000057</v>
      </c>
      <c r="K454" s="3">
        <f ca="1">'ETF price'!L456-'ETF price'!L455</f>
        <v>-1.460000000000008</v>
      </c>
      <c r="L454" s="3">
        <f ca="1">'ETF price'!M456-'ETF price'!M455</f>
        <v>-0.69999999999999574</v>
      </c>
      <c r="M454" s="3">
        <f ca="1">'ETF price'!N456-'ETF price'!N455</f>
        <v>-0.42000000000000171</v>
      </c>
      <c r="N454" s="3">
        <f ca="1">'ETF price'!O456-'ETF price'!O455</f>
        <v>-3.9999999999999147E-2</v>
      </c>
      <c r="O454" s="3">
        <f ca="1">'ETF price'!P456-'ETF price'!P455</f>
        <v>-1.460000000000008</v>
      </c>
      <c r="P454" s="3">
        <f ca="1">'ETF price'!Q456-'ETF price'!Q455</f>
        <v>-2.039999999999992</v>
      </c>
      <c r="Q454" s="3">
        <f ca="1">'ETF price'!R456-'ETF price'!R455</f>
        <v>-0.84000000000000341</v>
      </c>
      <c r="R454" s="3">
        <f ca="1">'ETF price'!S456-'ETF price'!S455</f>
        <v>-0.32999999999999829</v>
      </c>
      <c r="S454" s="3">
        <f ca="1">'ETF price'!T456-'ETF price'!T455</f>
        <v>-0.16000000000000014</v>
      </c>
      <c r="T454" s="3">
        <f ca="1">'ETF price'!U456-'ETF price'!U455</f>
        <v>-1.8100000000000023</v>
      </c>
      <c r="U454" s="3">
        <f ca="1">'ETF price'!V456-'ETF price'!V455</f>
        <v>-0.24000000000000199</v>
      </c>
      <c r="V454" s="3">
        <f ca="1">'ETF price'!W456-'ETF price'!W455</f>
        <v>-0.20000000000000284</v>
      </c>
      <c r="W454" s="3">
        <f ca="1">'ETF price'!X456-'ETF price'!X455</f>
        <v>-0.60999999999999943</v>
      </c>
      <c r="X454" s="3">
        <f ca="1">'ETF price'!Y456-'ETF price'!Y455</f>
        <v>-0.11999999999999744</v>
      </c>
      <c r="Y454" s="3">
        <f ca="1">'ETF price'!Z456-'ETF price'!Z455</f>
        <v>-0.53000000000000114</v>
      </c>
      <c r="Z454" s="3">
        <f ca="1">'ETF price'!AA456-'ETF price'!AA455</f>
        <v>-0.28000000000000114</v>
      </c>
      <c r="AA454" s="3">
        <f ca="1">'ETF price'!AB456-'ETF price'!AB455</f>
        <v>-0.14999999999999858</v>
      </c>
      <c r="AB454" s="3">
        <f ca="1">'ETF price'!AC456-'ETF price'!AC455</f>
        <v>-1.9999999999996021E-2</v>
      </c>
      <c r="AC454" s="3">
        <f ca="1">'ETF price'!AD456-'ETF price'!AD455</f>
        <v>0.66000000000000014</v>
      </c>
      <c r="AD454" s="3">
        <f ca="1">'ETF price'!AE456-'ETF price'!AE455</f>
        <v>0.92000000000000171</v>
      </c>
      <c r="AE454" s="3">
        <f ca="1">'ETF price'!AF456-'ETF price'!AF455</f>
        <v>4.0000000000000036E-2</v>
      </c>
      <c r="AF454" s="3">
        <f ca="1">'ETF price'!AG456-'ETF price'!AG455</f>
        <v>1.4199999999999982</v>
      </c>
    </row>
    <row r="455" spans="1:32" ht="12.75" x14ac:dyDescent="0.2">
      <c r="A455" s="3">
        <f ca="1">'ETF price'!B457-'ETF price'!B456</f>
        <v>1.1299999999999955</v>
      </c>
      <c r="B455" s="3">
        <f ca="1">'ETF price'!C457-'ETF price'!C456</f>
        <v>3.6399999999999864</v>
      </c>
      <c r="C455" s="3">
        <f ca="1">'ETF price'!D457-'ETF price'!D456</f>
        <v>0.64000000000000057</v>
      </c>
      <c r="D455" s="3">
        <f ca="1">'ETF price'!E457-'ETF price'!E456</f>
        <v>2.0600000000000023</v>
      </c>
      <c r="E455" s="3">
        <f ca="1">'ETF price'!F457-'ETF price'!F456</f>
        <v>0.57999999999999829</v>
      </c>
      <c r="F455" s="3">
        <f ca="1">'ETF price'!G457-'ETF price'!G456</f>
        <v>0.17999999999999972</v>
      </c>
      <c r="G455" s="3">
        <f ca="1">'ETF price'!H457-'ETF price'!H456</f>
        <v>0.26000000000000156</v>
      </c>
      <c r="H455" s="3">
        <f ca="1">'ETF price'!I457-'ETF price'!I456</f>
        <v>0.39000000000000057</v>
      </c>
      <c r="I455" s="3">
        <f ca="1">'ETF price'!J457-'ETF price'!J456</f>
        <v>1.0500000000000114</v>
      </c>
      <c r="J455" s="3">
        <f ca="1">'ETF price'!K457-'ETF price'!K456</f>
        <v>1.3299999999999983</v>
      </c>
      <c r="K455" s="3">
        <f ca="1">'ETF price'!L457-'ETF price'!L456</f>
        <v>1.6300000000000097</v>
      </c>
      <c r="L455" s="3">
        <f ca="1">'ETF price'!M457-'ETF price'!M456</f>
        <v>0.64999999999999858</v>
      </c>
      <c r="M455" s="3">
        <f ca="1">'ETF price'!N457-'ETF price'!N456</f>
        <v>0.25999999999999801</v>
      </c>
      <c r="N455" s="3">
        <f ca="1">'ETF price'!O457-'ETF price'!O456</f>
        <v>0.60000000000000142</v>
      </c>
      <c r="O455" s="3">
        <f ca="1">'ETF price'!P457-'ETF price'!P456</f>
        <v>-1.25</v>
      </c>
      <c r="P455" s="3">
        <f ca="1">'ETF price'!Q457-'ETF price'!Q456</f>
        <v>-1.5300000000000011</v>
      </c>
      <c r="Q455" s="3">
        <f ca="1">'ETF price'!R457-'ETF price'!R456</f>
        <v>0.88000000000000966</v>
      </c>
      <c r="R455" s="3">
        <f ca="1">'ETF price'!S457-'ETF price'!S456</f>
        <v>0.71000000000000085</v>
      </c>
      <c r="S455" s="3">
        <f ca="1">'ETF price'!T457-'ETF price'!T456</f>
        <v>-0.26999999999999957</v>
      </c>
      <c r="T455" s="3">
        <f ca="1">'ETF price'!U457-'ETF price'!U456</f>
        <v>-1.9599999999999937</v>
      </c>
      <c r="U455" s="3">
        <f ca="1">'ETF price'!V457-'ETF price'!V456</f>
        <v>0.57999999999999829</v>
      </c>
      <c r="V455" s="3">
        <f ca="1">'ETF price'!W457-'ETF price'!W456</f>
        <v>0.21999999999999886</v>
      </c>
      <c r="W455" s="3">
        <f ca="1">'ETF price'!X457-'ETF price'!X456</f>
        <v>0.51000000000000512</v>
      </c>
      <c r="X455" s="3">
        <f ca="1">'ETF price'!Y457-'ETF price'!Y456</f>
        <v>-7.9999999999998295E-2</v>
      </c>
      <c r="Y455" s="3">
        <f ca="1">'ETF price'!Z457-'ETF price'!Z456</f>
        <v>0.37000000000000455</v>
      </c>
      <c r="Z455" s="3">
        <f ca="1">'ETF price'!AA457-'ETF price'!AA456</f>
        <v>0.41000000000000369</v>
      </c>
      <c r="AA455" s="3">
        <f ca="1">'ETF price'!AB457-'ETF price'!AB456</f>
        <v>-0.24000000000000199</v>
      </c>
      <c r="AB455" s="3">
        <f ca="1">'ETF price'!AC457-'ETF price'!AC456</f>
        <v>-0.89999999999999858</v>
      </c>
      <c r="AC455" s="3">
        <f ca="1">'ETF price'!AD457-'ETF price'!AD456</f>
        <v>0.84999999999999964</v>
      </c>
      <c r="AD455" s="3">
        <f ca="1">'ETF price'!AE457-'ETF price'!AE456</f>
        <v>1.1699999999999982</v>
      </c>
      <c r="AE455" s="3">
        <f ca="1">'ETF price'!AF457-'ETF price'!AF456</f>
        <v>6.0000000000000053E-2</v>
      </c>
      <c r="AF455" s="3">
        <f ca="1">'ETF price'!AG457-'ETF price'!AG456</f>
        <v>2.0200000000000031</v>
      </c>
    </row>
    <row r="456" spans="1:32" ht="12.75" x14ac:dyDescent="0.2">
      <c r="A456" s="3">
        <f ca="1">'ETF price'!B458-'ETF price'!B457</f>
        <v>-1.9499999999999886</v>
      </c>
      <c r="B456" s="3">
        <f ca="1">'ETF price'!C458-'ETF price'!C457</f>
        <v>-6.8299999999999841</v>
      </c>
      <c r="C456" s="3">
        <f ca="1">'ETF price'!D458-'ETF price'!D457</f>
        <v>1.1499999999999915</v>
      </c>
      <c r="D456" s="3">
        <f ca="1">'ETF price'!E458-'ETF price'!E457</f>
        <v>-6.210000000000008</v>
      </c>
      <c r="E456" s="3">
        <f ca="1">'ETF price'!F458-'ETF price'!F457</f>
        <v>-1.0799999999999983</v>
      </c>
      <c r="F456" s="3">
        <f ca="1">'ETF price'!G458-'ETF price'!G457</f>
        <v>-0.58999999999999986</v>
      </c>
      <c r="G456" s="3">
        <f ca="1">'ETF price'!H458-'ETF price'!H457</f>
        <v>-0.46999999999999886</v>
      </c>
      <c r="H456" s="3">
        <f ca="1">'ETF price'!I458-'ETF price'!I457</f>
        <v>-1.1400000000000006</v>
      </c>
      <c r="I456" s="3">
        <f ca="1">'ETF price'!J458-'ETF price'!J457</f>
        <v>-2.4499999999999886</v>
      </c>
      <c r="J456" s="3">
        <f ca="1">'ETF price'!K458-'ETF price'!K457</f>
        <v>-2.2399999999999949</v>
      </c>
      <c r="K456" s="3">
        <f ca="1">'ETF price'!L458-'ETF price'!L457</f>
        <v>-1.5900000000000034</v>
      </c>
      <c r="L456" s="3">
        <f ca="1">'ETF price'!M458-'ETF price'!M457</f>
        <v>-1.4299999999999997</v>
      </c>
      <c r="M456" s="3">
        <f ca="1">'ETF price'!N458-'ETF price'!N457</f>
        <v>-0.62999999999999545</v>
      </c>
      <c r="N456" s="3">
        <f ca="1">'ETF price'!O458-'ETF price'!O457</f>
        <v>-1.2800000000000011</v>
      </c>
      <c r="O456" s="3">
        <f ca="1">'ETF price'!P458-'ETF price'!P457</f>
        <v>-0.15999999999999659</v>
      </c>
      <c r="P456" s="3">
        <f ca="1">'ETF price'!Q458-'ETF price'!Q457</f>
        <v>-0.31000000000000227</v>
      </c>
      <c r="Q456" s="3">
        <f ca="1">'ETF price'!R458-'ETF price'!R457</f>
        <v>-0.88000000000000966</v>
      </c>
      <c r="R456" s="3">
        <f ca="1">'ETF price'!S458-'ETF price'!S457</f>
        <v>-0.3300000000000054</v>
      </c>
      <c r="S456" s="3">
        <f ca="1">'ETF price'!T458-'ETF price'!T457</f>
        <v>0.17999999999999972</v>
      </c>
      <c r="T456" s="3">
        <f ca="1">'ETF price'!U458-'ETF price'!U457</f>
        <v>1.5299999999999869</v>
      </c>
      <c r="U456" s="3">
        <f ca="1">'ETF price'!V458-'ETF price'!V457</f>
        <v>-1.6199999999999974</v>
      </c>
      <c r="V456" s="3">
        <f ca="1">'ETF price'!W458-'ETF price'!W457</f>
        <v>-0.11999999999999744</v>
      </c>
      <c r="W456" s="3">
        <f ca="1">'ETF price'!X458-'ETF price'!X457</f>
        <v>-0.32999999999999829</v>
      </c>
      <c r="X456" s="3">
        <f ca="1">'ETF price'!Y458-'ETF price'!Y457</f>
        <v>-0.17000000000000171</v>
      </c>
      <c r="Y456" s="3">
        <f ca="1">'ETF price'!Z458-'ETF price'!Z457</f>
        <v>-0.31999999999999318</v>
      </c>
      <c r="Z456" s="3">
        <f ca="1">'ETF price'!AA458-'ETF price'!AA457</f>
        <v>-0.69000000000000483</v>
      </c>
      <c r="AA456" s="3">
        <f ca="1">'ETF price'!AB458-'ETF price'!AB457</f>
        <v>-0.14000000000000057</v>
      </c>
      <c r="AB456" s="3">
        <f ca="1">'ETF price'!AC458-'ETF price'!AC457</f>
        <v>0.82999999999999829</v>
      </c>
      <c r="AC456" s="3">
        <f ca="1">'ETF price'!AD458-'ETF price'!AD457</f>
        <v>0.36999999999999922</v>
      </c>
      <c r="AD456" s="3">
        <f ca="1">'ETF price'!AE458-'ETF price'!AE457</f>
        <v>0.55999999999999872</v>
      </c>
      <c r="AE456" s="3">
        <f ca="1">'ETF price'!AF458-'ETF price'!AF457</f>
        <v>0.25</v>
      </c>
      <c r="AF456" s="3">
        <f ca="1">'ETF price'!AG458-'ETF price'!AG457</f>
        <v>-0.45000000000000284</v>
      </c>
    </row>
    <row r="457" spans="1:32" ht="12.75" x14ac:dyDescent="0.2">
      <c r="A457" s="3">
        <f ca="1">'ETF price'!B459-'ETF price'!B458</f>
        <v>-3.1200000000000045</v>
      </c>
      <c r="B457" s="3">
        <f ca="1">'ETF price'!C459-'ETF price'!C458</f>
        <v>-7.1999999999999886</v>
      </c>
      <c r="C457" s="3">
        <f ca="1">'ETF price'!D459-'ETF price'!D458</f>
        <v>0.62000000000000455</v>
      </c>
      <c r="D457" s="3">
        <f ca="1">'ETF price'!E459-'ETF price'!E458</f>
        <v>-0.87999999999999545</v>
      </c>
      <c r="E457" s="3">
        <f ca="1">'ETF price'!F459-'ETF price'!F458</f>
        <v>-0.28000000000000114</v>
      </c>
      <c r="F457" s="3">
        <f ca="1">'ETF price'!G459-'ETF price'!G458</f>
        <v>-0.32999999999999829</v>
      </c>
      <c r="G457" s="3">
        <f ca="1">'ETF price'!H459-'ETF price'!H458</f>
        <v>-0.15000000000000213</v>
      </c>
      <c r="H457" s="3">
        <f ca="1">'ETF price'!I459-'ETF price'!I458</f>
        <v>-1.25</v>
      </c>
      <c r="I457" s="3">
        <f ca="1">'ETF price'!J459-'ETF price'!J458</f>
        <v>-2.0600000000000023</v>
      </c>
      <c r="J457" s="3">
        <f ca="1">'ETF price'!K459-'ETF price'!K458</f>
        <v>-6.0000000000002274E-2</v>
      </c>
      <c r="K457" s="3">
        <f ca="1">'ETF price'!L459-'ETF price'!L458</f>
        <v>0.68000000000000682</v>
      </c>
      <c r="L457" s="3">
        <f ca="1">'ETF price'!M459-'ETF price'!M458</f>
        <v>0.25999999999999801</v>
      </c>
      <c r="M457" s="3">
        <f ca="1">'ETF price'!N459-'ETF price'!N458</f>
        <v>-0.59000000000000341</v>
      </c>
      <c r="N457" s="3">
        <f ca="1">'ETF price'!O459-'ETF price'!O458</f>
        <v>0.11999999999999744</v>
      </c>
      <c r="O457" s="3">
        <f ca="1">'ETF price'!P459-'ETF price'!P458</f>
        <v>-0.68000000000000682</v>
      </c>
      <c r="P457" s="3">
        <f ca="1">'ETF price'!Q459-'ETF price'!Q458</f>
        <v>-0.90000000000000568</v>
      </c>
      <c r="Q457" s="3">
        <f ca="1">'ETF price'!R459-'ETF price'!R458</f>
        <v>0.52000000000001023</v>
      </c>
      <c r="R457" s="3">
        <f ca="1">'ETF price'!S459-'ETF price'!S458</f>
        <v>5.0000000000004263E-2</v>
      </c>
      <c r="S457" s="3">
        <f ca="1">'ETF price'!T459-'ETF price'!T458</f>
        <v>-0.2099999999999973</v>
      </c>
      <c r="T457" s="3">
        <f ca="1">'ETF price'!U459-'ETF price'!U458</f>
        <v>-1.5699999999999932</v>
      </c>
      <c r="U457" s="3">
        <f ca="1">'ETF price'!V459-'ETF price'!V458</f>
        <v>0.40999999999999659</v>
      </c>
      <c r="V457" s="3">
        <f ca="1">'ETF price'!W459-'ETF price'!W458</f>
        <v>-7.0000000000000284E-2</v>
      </c>
      <c r="W457" s="3">
        <f ca="1">'ETF price'!X459-'ETF price'!X458</f>
        <v>3.9999999999992042E-2</v>
      </c>
      <c r="X457" s="3">
        <f ca="1">'ETF price'!Y459-'ETF price'!Y458</f>
        <v>0.90999999999999659</v>
      </c>
      <c r="Y457" s="3">
        <f ca="1">'ETF price'!Z459-'ETF price'!Z458</f>
        <v>0.44999999999998863</v>
      </c>
      <c r="Z457" s="3">
        <f ca="1">'ETF price'!AA459-'ETF price'!AA458</f>
        <v>0.67999999999999972</v>
      </c>
      <c r="AA457" s="3">
        <f ca="1">'ETF price'!AB459-'ETF price'!AB458</f>
        <v>1.1499999999999986</v>
      </c>
      <c r="AB457" s="3">
        <f ca="1">'ETF price'!AC459-'ETF price'!AC458</f>
        <v>0.5</v>
      </c>
      <c r="AC457" s="3">
        <f ca="1">'ETF price'!AD459-'ETF price'!AD458</f>
        <v>-0.28999999999999915</v>
      </c>
      <c r="AD457" s="3">
        <f ca="1">'ETF price'!AE459-'ETF price'!AE458</f>
        <v>-0.4599999999999973</v>
      </c>
      <c r="AE457" s="3">
        <f ca="1">'ETF price'!AF459-'ETF price'!AF458</f>
        <v>0</v>
      </c>
      <c r="AF457" s="3">
        <f ca="1">'ETF price'!AG459-'ETF price'!AG458</f>
        <v>-1.1699999999999982</v>
      </c>
    </row>
    <row r="458" spans="1:32" ht="12.75" x14ac:dyDescent="0.2">
      <c r="A458" s="3">
        <f ca="1">'ETF price'!B460-'ETF price'!B459</f>
        <v>0.93000000000000682</v>
      </c>
      <c r="B458" s="3">
        <f ca="1">'ETF price'!C460-'ETF price'!C459</f>
        <v>1.660000000000025</v>
      </c>
      <c r="C458" s="3">
        <f ca="1">'ETF price'!D460-'ETF price'!D459</f>
        <v>1.9000000000000057</v>
      </c>
      <c r="D458" s="3">
        <f ca="1">'ETF price'!E460-'ETF price'!E459</f>
        <v>1.5800000000000125</v>
      </c>
      <c r="E458" s="3">
        <f ca="1">'ETF price'!F460-'ETF price'!F459</f>
        <v>-0.31000000000000227</v>
      </c>
      <c r="F458" s="3">
        <f ca="1">'ETF price'!G460-'ETF price'!G459</f>
        <v>-7.0000000000000284E-2</v>
      </c>
      <c r="G458" s="3">
        <f ca="1">'ETF price'!H460-'ETF price'!H459</f>
        <v>-0.32999999999999829</v>
      </c>
      <c r="H458" s="3">
        <f ca="1">'ETF price'!I460-'ETF price'!I459</f>
        <v>-2.1200000000000045</v>
      </c>
      <c r="I458" s="3">
        <f ca="1">'ETF price'!J460-'ETF price'!J459</f>
        <v>-3.9200000000000159</v>
      </c>
      <c r="J458" s="3">
        <f ca="1">'ETF price'!K460-'ETF price'!K459</f>
        <v>-2.6400000000000006</v>
      </c>
      <c r="K458" s="3">
        <f ca="1">'ETF price'!L460-'ETF price'!L459</f>
        <v>-2.0600000000000023</v>
      </c>
      <c r="L458" s="3">
        <f ca="1">'ETF price'!M460-'ETF price'!M459</f>
        <v>-1.6599999999999966</v>
      </c>
      <c r="M458" s="3">
        <f ca="1">'ETF price'!N460-'ETF price'!N459</f>
        <v>-0.97999999999999687</v>
      </c>
      <c r="N458" s="3">
        <f ca="1">'ETF price'!O460-'ETF price'!O459</f>
        <v>-1</v>
      </c>
      <c r="O458" s="3">
        <f ca="1">'ETF price'!P460-'ETF price'!P459</f>
        <v>-2.0799999999999983</v>
      </c>
      <c r="P458" s="3">
        <f ca="1">'ETF price'!Q460-'ETF price'!Q459</f>
        <v>-2.5099999999999909</v>
      </c>
      <c r="Q458" s="3">
        <f ca="1">'ETF price'!R460-'ETF price'!R459</f>
        <v>-3.0000000000001137E-2</v>
      </c>
      <c r="R458" s="3">
        <f ca="1">'ETF price'!S460-'ETF price'!S459</f>
        <v>0.39000000000000057</v>
      </c>
      <c r="S458" s="3">
        <f ca="1">'ETF price'!T460-'ETF price'!T459</f>
        <v>0.32999999999999829</v>
      </c>
      <c r="T458" s="3">
        <f ca="1">'ETF price'!U460-'ETF price'!U459</f>
        <v>1.4699999999999989</v>
      </c>
      <c r="U458" s="3">
        <f ca="1">'ETF price'!V460-'ETF price'!V459</f>
        <v>-2.0999999999999943</v>
      </c>
      <c r="V458" s="3">
        <f ca="1">'ETF price'!W460-'ETF price'!W459</f>
        <v>-0.58000000000000185</v>
      </c>
      <c r="W458" s="3">
        <f ca="1">'ETF price'!X460-'ETF price'!X459</f>
        <v>-1.4699999999999989</v>
      </c>
      <c r="X458" s="3">
        <f ca="1">'ETF price'!Y460-'ETF price'!Y459</f>
        <v>-0.73999999999999488</v>
      </c>
      <c r="Y458" s="3">
        <f ca="1">'ETF price'!Z460-'ETF price'!Z459</f>
        <v>-1.5099999999999909</v>
      </c>
      <c r="Z458" s="3">
        <f ca="1">'ETF price'!AA460-'ETF price'!AA459</f>
        <v>-0.51999999999999602</v>
      </c>
      <c r="AA458" s="3">
        <f ca="1">'ETF price'!AB460-'ETF price'!AB459</f>
        <v>-0.85000000000000142</v>
      </c>
      <c r="AB458" s="3">
        <f ca="1">'ETF price'!AC460-'ETF price'!AC459</f>
        <v>0.25</v>
      </c>
      <c r="AC458" s="3">
        <f ca="1">'ETF price'!AD460-'ETF price'!AD459</f>
        <v>-0.14000000000000057</v>
      </c>
      <c r="AD458" s="3">
        <f ca="1">'ETF price'!AE460-'ETF price'!AE459</f>
        <v>-0.17000000000000171</v>
      </c>
      <c r="AE458" s="3">
        <f ca="1">'ETF price'!AF460-'ETF price'!AF459</f>
        <v>0</v>
      </c>
      <c r="AF458" s="3">
        <f ca="1">'ETF price'!AG460-'ETF price'!AG459</f>
        <v>-0.5</v>
      </c>
    </row>
    <row r="459" spans="1:32" ht="12.75" x14ac:dyDescent="0.2">
      <c r="A459" s="3">
        <f ca="1">'ETF price'!B461-'ETF price'!B460</f>
        <v>1.7299999999999898</v>
      </c>
      <c r="B459" s="3">
        <f ca="1">'ETF price'!C461-'ETF price'!C460</f>
        <v>3.5299999999999727</v>
      </c>
      <c r="C459" s="3">
        <f ca="1">'ETF price'!D461-'ETF price'!D460</f>
        <v>1.6400000000000006</v>
      </c>
      <c r="D459" s="3">
        <f ca="1">'ETF price'!E461-'ETF price'!E460</f>
        <v>-1.9800000000000182</v>
      </c>
      <c r="E459" s="3">
        <f ca="1">'ETF price'!F461-'ETF price'!F460</f>
        <v>0.28000000000000114</v>
      </c>
      <c r="F459" s="3">
        <f ca="1">'ETF price'!G461-'ETF price'!G460</f>
        <v>0.19000000000000128</v>
      </c>
      <c r="G459" s="3">
        <f ca="1">'ETF price'!H461-'ETF price'!H460</f>
        <v>0.14000000000000057</v>
      </c>
      <c r="H459" s="3">
        <f ca="1">'ETF price'!I461-'ETF price'!I460</f>
        <v>0.68999999999999773</v>
      </c>
      <c r="I459" s="3">
        <f ca="1">'ETF price'!J461-'ETF price'!J460</f>
        <v>1.1700000000000159</v>
      </c>
      <c r="J459" s="3">
        <f ca="1">'ETF price'!K461-'ETF price'!K460</f>
        <v>0.62000000000000455</v>
      </c>
      <c r="K459" s="3">
        <f ca="1">'ETF price'!L461-'ETF price'!L460</f>
        <v>1.0699999999999932</v>
      </c>
      <c r="L459" s="3">
        <f ca="1">'ETF price'!M461-'ETF price'!M460</f>
        <v>0.42999999999999972</v>
      </c>
      <c r="M459" s="3">
        <f ca="1">'ETF price'!N461-'ETF price'!N460</f>
        <v>0.32000000000000028</v>
      </c>
      <c r="N459" s="3">
        <f ca="1">'ETF price'!O461-'ETF price'!O460</f>
        <v>0.44000000000000483</v>
      </c>
      <c r="O459" s="3">
        <f ca="1">'ETF price'!P461-'ETF price'!P460</f>
        <v>0.28000000000000114</v>
      </c>
      <c r="P459" s="3">
        <f ca="1">'ETF price'!Q461-'ETF price'!Q460</f>
        <v>0.3399999999999892</v>
      </c>
      <c r="Q459" s="3">
        <f ca="1">'ETF price'!R461-'ETF price'!R460</f>
        <v>0.76999999999999602</v>
      </c>
      <c r="R459" s="3">
        <f ca="1">'ETF price'!S461-'ETF price'!S460</f>
        <v>0.39999999999999858</v>
      </c>
      <c r="S459" s="3">
        <f ca="1">'ETF price'!T461-'ETF price'!T460</f>
        <v>-0.39999999999999858</v>
      </c>
      <c r="T459" s="3">
        <f ca="1">'ETF price'!U461-'ETF price'!U460</f>
        <v>-2.3100000000000023</v>
      </c>
      <c r="U459" s="3">
        <f ca="1">'ETF price'!V461-'ETF price'!V460</f>
        <v>0.39999999999999858</v>
      </c>
      <c r="V459" s="3">
        <f ca="1">'ETF price'!W461-'ETF price'!W460</f>
        <v>0.55999999999999872</v>
      </c>
      <c r="W459" s="3">
        <f ca="1">'ETF price'!X461-'ETF price'!X460</f>
        <v>1.2000000000000028</v>
      </c>
      <c r="X459" s="3">
        <f ca="1">'ETF price'!Y461-'ETF price'!Y460</f>
        <v>0.44999999999999574</v>
      </c>
      <c r="Y459" s="3">
        <f ca="1">'ETF price'!Z461-'ETF price'!Z460</f>
        <v>1.1599999999999966</v>
      </c>
      <c r="Z459" s="3">
        <f ca="1">'ETF price'!AA461-'ETF price'!AA460</f>
        <v>0.10000000000000142</v>
      </c>
      <c r="AA459" s="3">
        <f ca="1">'ETF price'!AB461-'ETF price'!AB460</f>
        <v>0.5800000000000054</v>
      </c>
      <c r="AB459" s="3">
        <f ca="1">'ETF price'!AC461-'ETF price'!AC460</f>
        <v>1.4399999999999977</v>
      </c>
      <c r="AC459" s="3">
        <f ca="1">'ETF price'!AD461-'ETF price'!AD460</f>
        <v>0.24000000000000021</v>
      </c>
      <c r="AD459" s="3">
        <f ca="1">'ETF price'!AE461-'ETF price'!AE460</f>
        <v>0.42000000000000171</v>
      </c>
      <c r="AE459" s="3">
        <f ca="1">'ETF price'!AF461-'ETF price'!AF460</f>
        <v>-9.0000000000000302E-2</v>
      </c>
      <c r="AF459" s="3">
        <f ca="1">'ETF price'!AG461-'ETF price'!AG460</f>
        <v>0.23000000000000043</v>
      </c>
    </row>
    <row r="460" spans="1:32" ht="12.75" x14ac:dyDescent="0.2">
      <c r="A460" s="3">
        <f ca="1">'ETF price'!B462-'ETF price'!B461</f>
        <v>1.1599999999999966</v>
      </c>
      <c r="B460" s="3">
        <f ca="1">'ETF price'!C462-'ETF price'!C461</f>
        <v>3.0500000000000114</v>
      </c>
      <c r="C460" s="3">
        <f ca="1">'ETF price'!D462-'ETF price'!D461</f>
        <v>1.3699999999999903</v>
      </c>
      <c r="D460" s="3">
        <f ca="1">'ETF price'!E462-'ETF price'!E461</f>
        <v>1.3300000000000125</v>
      </c>
      <c r="E460" s="3">
        <f ca="1">'ETF price'!F462-'ETF price'!F461</f>
        <v>0.81000000000000227</v>
      </c>
      <c r="F460" s="3">
        <f ca="1">'ETF price'!G462-'ETF price'!G461</f>
        <v>0.23999999999999844</v>
      </c>
      <c r="G460" s="3">
        <f ca="1">'ETF price'!H462-'ETF price'!H461</f>
        <v>0.12999999999999901</v>
      </c>
      <c r="H460" s="3">
        <f ca="1">'ETF price'!I462-'ETF price'!I461</f>
        <v>0.71000000000000796</v>
      </c>
      <c r="I460" s="3">
        <f ca="1">'ETF price'!J462-'ETF price'!J461</f>
        <v>1.5300000000000011</v>
      </c>
      <c r="J460" s="3">
        <f ca="1">'ETF price'!K462-'ETF price'!K461</f>
        <v>0.65000000000000568</v>
      </c>
      <c r="K460" s="3">
        <f ca="1">'ETF price'!L462-'ETF price'!L461</f>
        <v>1.0400000000000063</v>
      </c>
      <c r="L460" s="3">
        <f ca="1">'ETF price'!M462-'ETF price'!M461</f>
        <v>0.64000000000000057</v>
      </c>
      <c r="M460" s="3">
        <f ca="1">'ETF price'!N462-'ETF price'!N461</f>
        <v>0.39999999999999858</v>
      </c>
      <c r="N460" s="3">
        <f ca="1">'ETF price'!O462-'ETF price'!O461</f>
        <v>-0.12000000000000455</v>
      </c>
      <c r="O460" s="3">
        <f ca="1">'ETF price'!P462-'ETF price'!P461</f>
        <v>0.28000000000000114</v>
      </c>
      <c r="P460" s="3">
        <f ca="1">'ETF price'!Q462-'ETF price'!Q461</f>
        <v>0.45000000000000284</v>
      </c>
      <c r="Q460" s="3">
        <f ca="1">'ETF price'!R462-'ETF price'!R461</f>
        <v>0.34000000000000341</v>
      </c>
      <c r="R460" s="3">
        <f ca="1">'ETF price'!S462-'ETF price'!S461</f>
        <v>-0.32000000000000028</v>
      </c>
      <c r="S460" s="3">
        <f ca="1">'ETF price'!T462-'ETF price'!T461</f>
        <v>-8.9999999999999858E-2</v>
      </c>
      <c r="T460" s="3">
        <f ca="1">'ETF price'!U462-'ETF price'!U461</f>
        <v>-1.0300000000000011</v>
      </c>
      <c r="U460" s="3">
        <f ca="1">'ETF price'!V462-'ETF price'!V461</f>
        <v>0.62999999999999545</v>
      </c>
      <c r="V460" s="3">
        <f ca="1">'ETF price'!W462-'ETF price'!W461</f>
        <v>0.35000000000000142</v>
      </c>
      <c r="W460" s="3">
        <f ca="1">'ETF price'!X462-'ETF price'!X461</f>
        <v>0.81999999999999318</v>
      </c>
      <c r="X460" s="3">
        <f ca="1">'ETF price'!Y462-'ETF price'!Y461</f>
        <v>0.20000000000000284</v>
      </c>
      <c r="Y460" s="3">
        <f ca="1">'ETF price'!Z462-'ETF price'!Z461</f>
        <v>0.70999999999999375</v>
      </c>
      <c r="Z460" s="3">
        <f ca="1">'ETF price'!AA462-'ETF price'!AA461</f>
        <v>0.64999999999999858</v>
      </c>
      <c r="AA460" s="3">
        <f ca="1">'ETF price'!AB462-'ETF price'!AB461</f>
        <v>0.21999999999999886</v>
      </c>
      <c r="AB460" s="3">
        <f ca="1">'ETF price'!AC462-'ETF price'!AC461</f>
        <v>0.84000000000000341</v>
      </c>
      <c r="AC460" s="3">
        <f ca="1">'ETF price'!AD462-'ETF price'!AD461</f>
        <v>6.0000000000000497E-2</v>
      </c>
      <c r="AD460" s="3">
        <f ca="1">'ETF price'!AE462-'ETF price'!AE461</f>
        <v>5.9999999999998721E-2</v>
      </c>
      <c r="AE460" s="3">
        <f ca="1">'ETF price'!AF462-'ETF price'!AF461</f>
        <v>2.0000000000000018E-2</v>
      </c>
      <c r="AF460" s="3">
        <f ca="1">'ETF price'!AG462-'ETF price'!AG461</f>
        <v>7.0000000000000284E-2</v>
      </c>
    </row>
    <row r="461" spans="1:32" ht="12.75" x14ac:dyDescent="0.2">
      <c r="A461" s="3">
        <f ca="1">'ETF price'!B463-'ETF price'!B462</f>
        <v>3.1700000000000159</v>
      </c>
      <c r="B461" s="3">
        <f ca="1">'ETF price'!C463-'ETF price'!C462</f>
        <v>6.6899999999999977</v>
      </c>
      <c r="C461" s="3">
        <f ca="1">'ETF price'!D463-'ETF price'!D462</f>
        <v>0.56000000000000227</v>
      </c>
      <c r="D461" s="3">
        <f ca="1">'ETF price'!E463-'ETF price'!E462</f>
        <v>3.4699999999999989</v>
      </c>
      <c r="E461" s="3">
        <f ca="1">'ETF price'!F463-'ETF price'!F462</f>
        <v>0.19999999999999574</v>
      </c>
      <c r="F461" s="3">
        <f ca="1">'ETF price'!G463-'ETF price'!G462</f>
        <v>0.33000000000000185</v>
      </c>
      <c r="G461" s="3">
        <f ca="1">'ETF price'!H463-'ETF price'!H462</f>
        <v>1.9999999999999574E-2</v>
      </c>
      <c r="H461" s="3">
        <f ca="1">'ETF price'!I463-'ETF price'!I462</f>
        <v>0.25999999999999091</v>
      </c>
      <c r="I461" s="3">
        <f ca="1">'ETF price'!J463-'ETF price'!J462</f>
        <v>0.50999999999999091</v>
      </c>
      <c r="J461" s="3">
        <f ca="1">'ETF price'!K463-'ETF price'!K462</f>
        <v>1.5299999999999869</v>
      </c>
      <c r="K461" s="3">
        <f ca="1">'ETF price'!L463-'ETF price'!L462</f>
        <v>1.3699999999999903</v>
      </c>
      <c r="L461" s="3">
        <f ca="1">'ETF price'!M463-'ETF price'!M462</f>
        <v>0.36999999999999744</v>
      </c>
      <c r="M461" s="3">
        <f ca="1">'ETF price'!N463-'ETF price'!N462</f>
        <v>0.11999999999999744</v>
      </c>
      <c r="N461" s="3">
        <f ca="1">'ETF price'!O463-'ETF price'!O462</f>
        <v>0.75999999999999801</v>
      </c>
      <c r="O461" s="3">
        <f ca="1">'ETF price'!P463-'ETF price'!P462</f>
        <v>-0.20000000000000284</v>
      </c>
      <c r="P461" s="3">
        <f ca="1">'ETF price'!Q463-'ETF price'!Q462</f>
        <v>-0.25999999999999091</v>
      </c>
      <c r="Q461" s="3">
        <f ca="1">'ETF price'!R463-'ETF price'!R462</f>
        <v>3.9999999999992042E-2</v>
      </c>
      <c r="R461" s="3">
        <f ca="1">'ETF price'!S463-'ETF price'!S462</f>
        <v>0.19999999999999574</v>
      </c>
      <c r="S461" s="3">
        <f ca="1">'ETF price'!T463-'ETF price'!T462</f>
        <v>3.9999999999999147E-2</v>
      </c>
      <c r="T461" s="3">
        <f ca="1">'ETF price'!U463-'ETF price'!U462</f>
        <v>-0.26999999999999602</v>
      </c>
      <c r="U461" s="3">
        <f ca="1">'ETF price'!V463-'ETF price'!V462</f>
        <v>-0.45999999999999375</v>
      </c>
      <c r="V461" s="3">
        <f ca="1">'ETF price'!W463-'ETF price'!W462</f>
        <v>0.21000000000000085</v>
      </c>
      <c r="W461" s="3">
        <f ca="1">'ETF price'!X463-'ETF price'!X462</f>
        <v>0.51000000000000512</v>
      </c>
      <c r="X461" s="3">
        <f ca="1">'ETF price'!Y463-'ETF price'!Y462</f>
        <v>0.17000000000000171</v>
      </c>
      <c r="Y461" s="3">
        <f ca="1">'ETF price'!Z463-'ETF price'!Z462</f>
        <v>0.51000000000000512</v>
      </c>
      <c r="Z461" s="3">
        <f ca="1">'ETF price'!AA463-'ETF price'!AA462</f>
        <v>0.17000000000000171</v>
      </c>
      <c r="AA461" s="3">
        <f ca="1">'ETF price'!AB463-'ETF price'!AB462</f>
        <v>0.15999999999999659</v>
      </c>
      <c r="AB461" s="3">
        <f ca="1">'ETF price'!AC463-'ETF price'!AC462</f>
        <v>-0.26000000000000512</v>
      </c>
      <c r="AC461" s="3">
        <f ca="1">'ETF price'!AD463-'ETF price'!AD462</f>
        <v>0.10999999999999943</v>
      </c>
      <c r="AD461" s="3">
        <f ca="1">'ETF price'!AE463-'ETF price'!AE462</f>
        <v>-5.9999999999998721E-2</v>
      </c>
      <c r="AE461" s="3">
        <f ca="1">'ETF price'!AF463-'ETF price'!AF462</f>
        <v>-4.0000000000000036E-2</v>
      </c>
      <c r="AF461" s="3">
        <f ca="1">'ETF price'!AG463-'ETF price'!AG462</f>
        <v>0.48999999999999844</v>
      </c>
    </row>
    <row r="462" spans="1:32" ht="12.75" x14ac:dyDescent="0.2">
      <c r="A462" s="3">
        <f ca="1">'ETF price'!B464-'ETF price'!B463</f>
        <v>2.8299999999999841</v>
      </c>
      <c r="B462" s="3">
        <f ca="1">'ETF price'!C464-'ETF price'!C463</f>
        <v>7.3899999999999864</v>
      </c>
      <c r="C462" s="3">
        <f ca="1">'ETF price'!D464-'ETF price'!D463</f>
        <v>1.4000000000000057</v>
      </c>
      <c r="D462" s="3">
        <f ca="1">'ETF price'!E464-'ETF price'!E463</f>
        <v>3.4300000000000068</v>
      </c>
      <c r="E462" s="3">
        <f ca="1">'ETF price'!F464-'ETF price'!F463</f>
        <v>0.46000000000000085</v>
      </c>
      <c r="F462" s="3">
        <f ca="1">'ETF price'!G464-'ETF price'!G463</f>
        <v>0.75</v>
      </c>
      <c r="G462" s="3">
        <f ca="1">'ETF price'!H464-'ETF price'!H463</f>
        <v>0.32000000000000028</v>
      </c>
      <c r="H462" s="3">
        <f ca="1">'ETF price'!I464-'ETF price'!I463</f>
        <v>1.980000000000004</v>
      </c>
      <c r="I462" s="3">
        <f ca="1">'ETF price'!J464-'ETF price'!J463</f>
        <v>3.4900000000000091</v>
      </c>
      <c r="J462" s="3">
        <f ca="1">'ETF price'!K464-'ETF price'!K463</f>
        <v>1.6099999999999994</v>
      </c>
      <c r="K462" s="3">
        <f ca="1">'ETF price'!L464-'ETF price'!L463</f>
        <v>0.6600000000000108</v>
      </c>
      <c r="L462" s="3">
        <f ca="1">'ETF price'!M464-'ETF price'!M463</f>
        <v>0.53000000000000114</v>
      </c>
      <c r="M462" s="3">
        <f ca="1">'ETF price'!N464-'ETF price'!N463</f>
        <v>0.89999999999999858</v>
      </c>
      <c r="N462" s="3">
        <f ca="1">'ETF price'!O464-'ETF price'!O463</f>
        <v>0.76000000000000512</v>
      </c>
      <c r="O462" s="3">
        <f ca="1">'ETF price'!P464-'ETF price'!P463</f>
        <v>2.5700000000000074</v>
      </c>
      <c r="P462" s="3">
        <f ca="1">'ETF price'!Q464-'ETF price'!Q463</f>
        <v>3.6199999999999903</v>
      </c>
      <c r="Q462" s="3">
        <f ca="1">'ETF price'!R464-'ETF price'!R463</f>
        <v>1.4699999999999989</v>
      </c>
      <c r="R462" s="3">
        <f ca="1">'ETF price'!S464-'ETF price'!S463</f>
        <v>1.0200000000000031</v>
      </c>
      <c r="S462" s="3">
        <f ca="1">'ETF price'!T464-'ETF price'!T463</f>
        <v>0.25999999999999801</v>
      </c>
      <c r="T462" s="3">
        <f ca="1">'ETF price'!U464-'ETF price'!U463</f>
        <v>1.4300000000000068</v>
      </c>
      <c r="U462" s="3">
        <f ca="1">'ETF price'!V464-'ETF price'!V463</f>
        <v>1.519999999999996</v>
      </c>
      <c r="V462" s="3">
        <f ca="1">'ETF price'!W464-'ETF price'!W463</f>
        <v>0.77000000000000313</v>
      </c>
      <c r="W462" s="3">
        <f ca="1">'ETF price'!X464-'ETF price'!X463</f>
        <v>1.980000000000004</v>
      </c>
      <c r="X462" s="3">
        <f ca="1">'ETF price'!Y464-'ETF price'!Y463</f>
        <v>1.759999999999998</v>
      </c>
      <c r="Y462" s="3">
        <f ca="1">'ETF price'!Z464-'ETF price'!Z463</f>
        <v>1.7600000000000051</v>
      </c>
      <c r="Z462" s="3">
        <f ca="1">'ETF price'!AA464-'ETF price'!AA463</f>
        <v>1.029999999999994</v>
      </c>
      <c r="AA462" s="3">
        <f ca="1">'ETF price'!AB464-'ETF price'!AB463</f>
        <v>2.2600000000000051</v>
      </c>
      <c r="AB462" s="3">
        <f ca="1">'ETF price'!AC464-'ETF price'!AC463</f>
        <v>-1.9999999999996021E-2</v>
      </c>
      <c r="AC462" s="3">
        <f ca="1">'ETF price'!AD464-'ETF price'!AD463</f>
        <v>-2.9999999999999361E-2</v>
      </c>
      <c r="AD462" s="3">
        <f ca="1">'ETF price'!AE464-'ETF price'!AE463</f>
        <v>0.16000000000000014</v>
      </c>
      <c r="AE462" s="3">
        <f ca="1">'ETF price'!AF464-'ETF price'!AF463</f>
        <v>4.0000000000000036E-2</v>
      </c>
      <c r="AF462" s="3">
        <f ca="1">'ETF price'!AG464-'ETF price'!AG463</f>
        <v>2.0199999999999996</v>
      </c>
    </row>
    <row r="463" spans="1:32" ht="12.75" x14ac:dyDescent="0.2">
      <c r="A463" s="3">
        <f ca="1">'ETF price'!B465-'ETF price'!B464</f>
        <v>1.75</v>
      </c>
      <c r="B463" s="3">
        <f ca="1">'ETF price'!C465-'ETF price'!C464</f>
        <v>6</v>
      </c>
      <c r="C463" s="3">
        <f ca="1">'ETF price'!D465-'ETF price'!D464</f>
        <v>0.54999999999999716</v>
      </c>
      <c r="D463" s="3">
        <f ca="1">'ETF price'!E465-'ETF price'!E464</f>
        <v>4.0599999999999739</v>
      </c>
      <c r="E463" s="3">
        <f ca="1">'ETF price'!F465-'ETF price'!F464</f>
        <v>0.78999999999999915</v>
      </c>
      <c r="F463" s="3">
        <f ca="1">'ETF price'!G465-'ETF price'!G464</f>
        <v>0.59999999999999787</v>
      </c>
      <c r="G463" s="3">
        <f ca="1">'ETF price'!H465-'ETF price'!H464</f>
        <v>0.55999999999999872</v>
      </c>
      <c r="H463" s="3">
        <f ca="1">'ETF price'!I465-'ETF price'!I464</f>
        <v>0.62999999999999545</v>
      </c>
      <c r="I463" s="3">
        <f ca="1">'ETF price'!J465-'ETF price'!J464</f>
        <v>1.6599999999999966</v>
      </c>
      <c r="J463" s="3">
        <f ca="1">'ETF price'!K465-'ETF price'!K464</f>
        <v>2.9700000000000131</v>
      </c>
      <c r="K463" s="3">
        <f ca="1">'ETF price'!L465-'ETF price'!L464</f>
        <v>3.1999999999999886</v>
      </c>
      <c r="L463" s="3">
        <f ca="1">'ETF price'!M465-'ETF price'!M464</f>
        <v>1.7199999999999989</v>
      </c>
      <c r="M463" s="3">
        <f ca="1">'ETF price'!N465-'ETF price'!N464</f>
        <v>0.48000000000000398</v>
      </c>
      <c r="N463" s="3">
        <f ca="1">'ETF price'!O465-'ETF price'!O464</f>
        <v>2.2800000000000011</v>
      </c>
      <c r="O463" s="3">
        <f ca="1">'ETF price'!P465-'ETF price'!P464</f>
        <v>-0.87999999999999545</v>
      </c>
      <c r="P463" s="3">
        <f ca="1">'ETF price'!Q465-'ETF price'!Q464</f>
        <v>-1.1099999999999994</v>
      </c>
      <c r="Q463" s="3">
        <f ca="1">'ETF price'!R465-'ETF price'!R464</f>
        <v>1.2200000000000131</v>
      </c>
      <c r="R463" s="3">
        <f ca="1">'ETF price'!S465-'ETF price'!S464</f>
        <v>0.52000000000000313</v>
      </c>
      <c r="S463" s="3">
        <f ca="1">'ETF price'!T465-'ETF price'!T464</f>
        <v>-0.12999999999999901</v>
      </c>
      <c r="T463" s="3">
        <f ca="1">'ETF price'!U465-'ETF price'!U464</f>
        <v>-1.3300000000000125</v>
      </c>
      <c r="U463" s="3">
        <f ca="1">'ETF price'!V465-'ETF price'!V464</f>
        <v>1.6600000000000037</v>
      </c>
      <c r="V463" s="3">
        <f ca="1">'ETF price'!W465-'ETF price'!W464</f>
        <v>0.43999999999999773</v>
      </c>
      <c r="W463" s="3">
        <f ca="1">'ETF price'!X465-'ETF price'!X464</f>
        <v>1.289999999999992</v>
      </c>
      <c r="X463" s="3">
        <f ca="1">'ETF price'!Y465-'ETF price'!Y464</f>
        <v>1.2000000000000028</v>
      </c>
      <c r="Y463" s="3">
        <f ca="1">'ETF price'!Z465-'ETF price'!Z464</f>
        <v>1.1499999999999915</v>
      </c>
      <c r="Z463" s="3">
        <f ca="1">'ETF price'!AA465-'ETF price'!AA464</f>
        <v>0.81000000000000227</v>
      </c>
      <c r="AA463" s="3">
        <f ca="1">'ETF price'!AB465-'ETF price'!AB464</f>
        <v>1.529999999999994</v>
      </c>
      <c r="AB463" s="3">
        <f ca="1">'ETF price'!AC465-'ETF price'!AC464</f>
        <v>0</v>
      </c>
      <c r="AC463" s="3">
        <f ca="1">'ETF price'!AD465-'ETF price'!AD464</f>
        <v>-9.9999999999999645E-2</v>
      </c>
      <c r="AD463" s="3">
        <f ca="1">'ETF price'!AE465-'ETF price'!AE464</f>
        <v>-0.26000000000000156</v>
      </c>
      <c r="AE463" s="3">
        <f ca="1">'ETF price'!AF465-'ETF price'!AF464</f>
        <v>0.10000000000000009</v>
      </c>
      <c r="AF463" s="3">
        <f ca="1">'ETF price'!AG465-'ETF price'!AG464</f>
        <v>0.21999999999999886</v>
      </c>
    </row>
    <row r="464" spans="1:32" ht="12.75" x14ac:dyDescent="0.2">
      <c r="A464" s="3">
        <f ca="1">'ETF price'!B466-'ETF price'!B465</f>
        <v>1.1299999999999955</v>
      </c>
      <c r="B464" s="3">
        <f ca="1">'ETF price'!C466-'ETF price'!C465</f>
        <v>1.9399999999999977</v>
      </c>
      <c r="C464" s="3">
        <f ca="1">'ETF price'!D466-'ETF price'!D465</f>
        <v>-0.60999999999999943</v>
      </c>
      <c r="D464" s="3">
        <f ca="1">'ETF price'!E466-'ETF price'!E465</f>
        <v>-0.28999999999999204</v>
      </c>
      <c r="E464" s="3">
        <f ca="1">'ETF price'!F466-'ETF price'!F465</f>
        <v>-0.29999999999999716</v>
      </c>
      <c r="F464" s="3">
        <f ca="1">'ETF price'!G466-'ETF price'!G465</f>
        <v>-1.9999999999999574E-2</v>
      </c>
      <c r="G464" s="3">
        <f ca="1">'ETF price'!H466-'ETF price'!H465</f>
        <v>-0.21999999999999886</v>
      </c>
      <c r="H464" s="3">
        <f ca="1">'ETF price'!I466-'ETF price'!I465</f>
        <v>0.84999999999999432</v>
      </c>
      <c r="I464" s="3">
        <f ca="1">'ETF price'!J466-'ETF price'!J465</f>
        <v>1.0900000000000034</v>
      </c>
      <c r="J464" s="3">
        <f ca="1">'ETF price'!K466-'ETF price'!K465</f>
        <v>-0.38000000000000966</v>
      </c>
      <c r="K464" s="3">
        <f ca="1">'ETF price'!L466-'ETF price'!L465</f>
        <v>-1.5799999999999983</v>
      </c>
      <c r="L464" s="3">
        <f ca="1">'ETF price'!M466-'ETF price'!M465</f>
        <v>-0.53999999999999915</v>
      </c>
      <c r="M464" s="3">
        <f ca="1">'ETF price'!N466-'ETF price'!N465</f>
        <v>0.21000000000000085</v>
      </c>
      <c r="N464" s="3">
        <f ca="1">'ETF price'!O466-'ETF price'!O465</f>
        <v>-0.44000000000000483</v>
      </c>
      <c r="O464" s="3">
        <f ca="1">'ETF price'!P466-'ETF price'!P465</f>
        <v>-0.98000000000000398</v>
      </c>
      <c r="P464" s="3">
        <f ca="1">'ETF price'!Q466-'ETF price'!Q465</f>
        <v>-1.7099999999999937</v>
      </c>
      <c r="Q464" s="3">
        <f ca="1">'ETF price'!R466-'ETF price'!R465</f>
        <v>-0.39000000000000057</v>
      </c>
      <c r="R464" s="3">
        <f ca="1">'ETF price'!S466-'ETF price'!S465</f>
        <v>-0.45000000000000284</v>
      </c>
      <c r="S464" s="3">
        <f ca="1">'ETF price'!T466-'ETF price'!T465</f>
        <v>0.10000000000000142</v>
      </c>
      <c r="T464" s="3">
        <f ca="1">'ETF price'!U466-'ETF price'!U465</f>
        <v>6.0000000000002274E-2</v>
      </c>
      <c r="U464" s="3">
        <f ca="1">'ETF price'!V466-'ETF price'!V465</f>
        <v>-0.82000000000000028</v>
      </c>
      <c r="V464" s="3">
        <f ca="1">'ETF price'!W466-'ETF price'!W465</f>
        <v>-0.10000000000000142</v>
      </c>
      <c r="W464" s="3">
        <f ca="1">'ETF price'!X466-'ETF price'!X465</f>
        <v>-0.31999999999999318</v>
      </c>
      <c r="X464" s="3">
        <f ca="1">'ETF price'!Y466-'ETF price'!Y465</f>
        <v>-0.54000000000000625</v>
      </c>
      <c r="Y464" s="3">
        <f ca="1">'ETF price'!Z466-'ETF price'!Z465</f>
        <v>-0.36999999999999034</v>
      </c>
      <c r="Z464" s="3">
        <f ca="1">'ETF price'!AA466-'ETF price'!AA465</f>
        <v>-0.47999999999999687</v>
      </c>
      <c r="AA464" s="3">
        <f ca="1">'ETF price'!AB466-'ETF price'!AB465</f>
        <v>-0.61999999999999744</v>
      </c>
      <c r="AB464" s="3">
        <f ca="1">'ETF price'!AC466-'ETF price'!AC465</f>
        <v>-0.28999999999999915</v>
      </c>
      <c r="AC464" s="3">
        <f ca="1">'ETF price'!AD466-'ETF price'!AD465</f>
        <v>0.38999999999999879</v>
      </c>
      <c r="AD464" s="3">
        <f ca="1">'ETF price'!AE466-'ETF price'!AE465</f>
        <v>0.28000000000000114</v>
      </c>
      <c r="AE464" s="3">
        <f ca="1">'ETF price'!AF466-'ETF price'!AF465</f>
        <v>6.0000000000000053E-2</v>
      </c>
      <c r="AF464" s="3">
        <f ca="1">'ETF price'!AG466-'ETF price'!AG465</f>
        <v>-0.52999999999999758</v>
      </c>
    </row>
    <row r="465" spans="1:32" ht="12.75" x14ac:dyDescent="0.2">
      <c r="A465" s="3">
        <f ca="1">'ETF price'!B467-'ETF price'!B466</f>
        <v>1.8900000000000148</v>
      </c>
      <c r="B465" s="3">
        <f ca="1">'ETF price'!C467-'ETF price'!C466</f>
        <v>5.2099999999999795</v>
      </c>
      <c r="C465" s="3">
        <f ca="1">'ETF price'!D467-'ETF price'!D466</f>
        <v>2.8400000000000034</v>
      </c>
      <c r="D465" s="3">
        <f ca="1">'ETF price'!E467-'ETF price'!E466</f>
        <v>1</v>
      </c>
      <c r="E465" s="3">
        <f ca="1">'ETF price'!F467-'ETF price'!F466</f>
        <v>0.60000000000000142</v>
      </c>
      <c r="F465" s="3">
        <f ca="1">'ETF price'!G467-'ETF price'!G466</f>
        <v>-3.9999999999999147E-2</v>
      </c>
      <c r="G465" s="3">
        <f ca="1">'ETF price'!H467-'ETF price'!H466</f>
        <v>0.19999999999999929</v>
      </c>
      <c r="H465" s="3">
        <f ca="1">'ETF price'!I467-'ETF price'!I466</f>
        <v>9.0000000000003411E-2</v>
      </c>
      <c r="I465" s="3">
        <f ca="1">'ETF price'!J467-'ETF price'!J466</f>
        <v>0.41999999999998749</v>
      </c>
      <c r="J465" s="3">
        <f ca="1">'ETF price'!K467-'ETF price'!K466</f>
        <v>0.89000000000000057</v>
      </c>
      <c r="K465" s="3">
        <f ca="1">'ETF price'!L467-'ETF price'!L466</f>
        <v>1.6400000000000006</v>
      </c>
      <c r="L465" s="3">
        <f ca="1">'ETF price'!M467-'ETF price'!M466</f>
        <v>0.75</v>
      </c>
      <c r="M465" s="3">
        <f ca="1">'ETF price'!N467-'ETF price'!N466</f>
        <v>0.15999999999999659</v>
      </c>
      <c r="N465" s="3">
        <f ca="1">'ETF price'!O467-'ETF price'!O466</f>
        <v>1.4400000000000048</v>
      </c>
      <c r="O465" s="3">
        <f ca="1">'ETF price'!P467-'ETF price'!P466</f>
        <v>-1.9000000000000057</v>
      </c>
      <c r="P465" s="3">
        <f ca="1">'ETF price'!Q467-'ETF price'!Q466</f>
        <v>-2.9200000000000017</v>
      </c>
      <c r="Q465" s="3">
        <f ca="1">'ETF price'!R467-'ETF price'!R466</f>
        <v>-1.5200000000000102</v>
      </c>
      <c r="R465" s="3">
        <f ca="1">'ETF price'!S467-'ETF price'!S466</f>
        <v>-0.97999999999999687</v>
      </c>
      <c r="S465" s="3">
        <f ca="1">'ETF price'!T467-'ETF price'!T466</f>
        <v>-0.53000000000000114</v>
      </c>
      <c r="T465" s="3">
        <f ca="1">'ETF price'!U467-'ETF price'!U466</f>
        <v>-3.1099999999999994</v>
      </c>
      <c r="U465" s="3">
        <f ca="1">'ETF price'!V467-'ETF price'!V466</f>
        <v>2.9999999999994031E-2</v>
      </c>
      <c r="V465" s="3">
        <f ca="1">'ETF price'!W467-'ETF price'!W466</f>
        <v>-4.9999999999997158E-2</v>
      </c>
      <c r="W465" s="3">
        <f ca="1">'ETF price'!X467-'ETF price'!X466</f>
        <v>-0.12000000000000455</v>
      </c>
      <c r="X465" s="3">
        <f ca="1">'ETF price'!Y467-'ETF price'!Y466</f>
        <v>-0.31999999999999318</v>
      </c>
      <c r="Y465" s="3">
        <f ca="1">'ETF price'!Z467-'ETF price'!Z466</f>
        <v>-0.13000000000000966</v>
      </c>
      <c r="Z465" s="3">
        <f ca="1">'ETF price'!AA467-'ETF price'!AA466</f>
        <v>-0.28999999999999915</v>
      </c>
      <c r="AA465" s="3">
        <f ca="1">'ETF price'!AB467-'ETF price'!AB466</f>
        <v>-0.42000000000000171</v>
      </c>
      <c r="AB465" s="3">
        <f ca="1">'ETF price'!AC467-'ETF price'!AC466</f>
        <v>0.59999999999999432</v>
      </c>
      <c r="AC465" s="3">
        <f ca="1">'ETF price'!AD467-'ETF price'!AD466</f>
        <v>0.18000000000000149</v>
      </c>
      <c r="AD465" s="3">
        <f ca="1">'ETF price'!AE467-'ETF price'!AE466</f>
        <v>0.42999999999999972</v>
      </c>
      <c r="AE465" s="3">
        <f ca="1">'ETF price'!AF467-'ETF price'!AF466</f>
        <v>6.999999999999984E-2</v>
      </c>
      <c r="AF465" s="3">
        <f ca="1">'ETF price'!AG467-'ETF price'!AG466</f>
        <v>0.28999999999999915</v>
      </c>
    </row>
    <row r="466" spans="1:32" ht="12.75" x14ac:dyDescent="0.2">
      <c r="A466" s="3">
        <f ca="1">'ETF price'!B468-'ETF price'!B467</f>
        <v>0.99000000000000909</v>
      </c>
      <c r="B466" s="3">
        <f ca="1">'ETF price'!C468-'ETF price'!C467</f>
        <v>1.8100000000000023</v>
      </c>
      <c r="C466" s="3">
        <f ca="1">'ETF price'!D468-'ETF price'!D467</f>
        <v>-0.46999999999999886</v>
      </c>
      <c r="D466" s="3">
        <f ca="1">'ETF price'!E468-'ETF price'!E467</f>
        <v>0.15999999999999659</v>
      </c>
      <c r="E466" s="3">
        <f ca="1">'ETF price'!F468-'ETF price'!F467</f>
        <v>8.9999999999996305E-2</v>
      </c>
      <c r="F466" s="3">
        <f ca="1">'ETF price'!G468-'ETF price'!G467</f>
        <v>-8.0000000000001847E-2</v>
      </c>
      <c r="G466" s="3">
        <f ca="1">'ETF price'!H468-'ETF price'!H467</f>
        <v>-7.0000000000000284E-2</v>
      </c>
      <c r="H466" s="3">
        <f ca="1">'ETF price'!I468-'ETF price'!I467</f>
        <v>-0.18000000000000682</v>
      </c>
      <c r="I466" s="3">
        <f ca="1">'ETF price'!J468-'ETF price'!J467</f>
        <v>-0.84999999999999432</v>
      </c>
      <c r="J466" s="3">
        <f ca="1">'ETF price'!K468-'ETF price'!K467</f>
        <v>-1.8199999999999932</v>
      </c>
      <c r="K466" s="3">
        <f ca="1">'ETF price'!L468-'ETF price'!L467</f>
        <v>-2.0899999999999892</v>
      </c>
      <c r="L466" s="3">
        <f ca="1">'ETF price'!M468-'ETF price'!M467</f>
        <v>-1.1099999999999994</v>
      </c>
      <c r="M466" s="3">
        <f ca="1">'ETF price'!N468-'ETF price'!N467</f>
        <v>-0.21000000000000085</v>
      </c>
      <c r="N466" s="3">
        <f ca="1">'ETF price'!O468-'ETF price'!O467</f>
        <v>-1.4000000000000057</v>
      </c>
      <c r="O466" s="3">
        <f ca="1">'ETF price'!P468-'ETF price'!P467</f>
        <v>-1.0499999999999972</v>
      </c>
      <c r="P466" s="3">
        <f ca="1">'ETF price'!Q468-'ETF price'!Q467</f>
        <v>-1.4200000000000017</v>
      </c>
      <c r="Q466" s="3">
        <f ca="1">'ETF price'!R468-'ETF price'!R467</f>
        <v>0.24000000000000909</v>
      </c>
      <c r="R466" s="3">
        <f ca="1">'ETF price'!S468-'ETF price'!S467</f>
        <v>-0.3300000000000054</v>
      </c>
      <c r="S466" s="3">
        <f ca="1">'ETF price'!T468-'ETF price'!T467</f>
        <v>-0.26999999999999957</v>
      </c>
      <c r="T466" s="3">
        <f ca="1">'ETF price'!U468-'ETF price'!U467</f>
        <v>-1.6099999999999994</v>
      </c>
      <c r="U466" s="3">
        <f ca="1">'ETF price'!V468-'ETF price'!V467</f>
        <v>-1.3699999999999974</v>
      </c>
      <c r="V466" s="3">
        <f ca="1">'ETF price'!W468-'ETF price'!W467</f>
        <v>3.9999999999999147E-2</v>
      </c>
      <c r="W466" s="3">
        <f ca="1">'ETF price'!X468-'ETF price'!X467</f>
        <v>3.0000000000001137E-2</v>
      </c>
      <c r="X466" s="3">
        <f ca="1">'ETF price'!Y468-'ETF price'!Y467</f>
        <v>-0.38000000000000256</v>
      </c>
      <c r="Y466" s="3">
        <f ca="1">'ETF price'!Z468-'ETF price'!Z467</f>
        <v>0</v>
      </c>
      <c r="Z466" s="3">
        <f ca="1">'ETF price'!AA468-'ETF price'!AA467</f>
        <v>0.19999999999999574</v>
      </c>
      <c r="AA466" s="3">
        <f ca="1">'ETF price'!AB468-'ETF price'!AB467</f>
        <v>-0.55999999999999517</v>
      </c>
      <c r="AB466" s="3">
        <f ca="1">'ETF price'!AC468-'ETF price'!AC467</f>
        <v>-7.0000000000000284E-2</v>
      </c>
      <c r="AC466" s="3">
        <f ca="1">'ETF price'!AD468-'ETF price'!AD467</f>
        <v>-9.0000000000001634E-2</v>
      </c>
      <c r="AD466" s="3">
        <f ca="1">'ETF price'!AE468-'ETF price'!AE467</f>
        <v>-0.12999999999999901</v>
      </c>
      <c r="AE466" s="3">
        <f ca="1">'ETF price'!AF468-'ETF price'!AF467</f>
        <v>-4.0000000000000036E-2</v>
      </c>
      <c r="AF466" s="3">
        <f ca="1">'ETF price'!AG468-'ETF price'!AG467</f>
        <v>-1.25</v>
      </c>
    </row>
    <row r="467" spans="1:32" ht="12.75" x14ac:dyDescent="0.2">
      <c r="A467" s="3">
        <f ca="1">'ETF price'!B469-'ETF price'!B468</f>
        <v>-0.8200000000000216</v>
      </c>
      <c r="B467" s="3">
        <f ca="1">'ETF price'!C469-'ETF price'!C468</f>
        <v>-2.6199999999999477</v>
      </c>
      <c r="C467" s="3">
        <f ca="1">'ETF price'!D469-'ETF price'!D468</f>
        <v>2.4199999999999875</v>
      </c>
      <c r="D467" s="3">
        <f ca="1">'ETF price'!E469-'ETF price'!E468</f>
        <v>-0.75999999999999091</v>
      </c>
      <c r="E467" s="3">
        <f ca="1">'ETF price'!F469-'ETF price'!F468</f>
        <v>-0.21999999999999886</v>
      </c>
      <c r="F467" s="3">
        <f ca="1">'ETF price'!G469-'ETF price'!G468</f>
        <v>-0.11999999999999744</v>
      </c>
      <c r="G467" s="3">
        <f ca="1">'ETF price'!H469-'ETF price'!H468</f>
        <v>-0.25</v>
      </c>
      <c r="H467" s="3">
        <f ca="1">'ETF price'!I469-'ETF price'!I468</f>
        <v>-2.6499999999999915</v>
      </c>
      <c r="I467" s="3">
        <f ca="1">'ETF price'!J469-'ETF price'!J468</f>
        <v>-5.0500000000000114</v>
      </c>
      <c r="J467" s="3">
        <f ca="1">'ETF price'!K469-'ETF price'!K468</f>
        <v>-3.5</v>
      </c>
      <c r="K467" s="3">
        <f ca="1">'ETF price'!L469-'ETF price'!L468</f>
        <v>-2.8400000000000034</v>
      </c>
      <c r="L467" s="3">
        <f ca="1">'ETF price'!M469-'ETF price'!M468</f>
        <v>-1.7600000000000051</v>
      </c>
      <c r="M467" s="3">
        <f ca="1">'ETF price'!N469-'ETF price'!N468</f>
        <v>-1.3099999999999952</v>
      </c>
      <c r="N467" s="3">
        <f ca="1">'ETF price'!O469-'ETF price'!O468</f>
        <v>-1.1999999999999957</v>
      </c>
      <c r="O467" s="3">
        <f ca="1">'ETF price'!P469-'ETF price'!P468</f>
        <v>-0.25</v>
      </c>
      <c r="P467" s="3">
        <f ca="1">'ETF price'!Q469-'ETF price'!Q468</f>
        <v>-0.26000000000000512</v>
      </c>
      <c r="Q467" s="3">
        <f ca="1">'ETF price'!R469-'ETF price'!R468</f>
        <v>-0.6600000000000108</v>
      </c>
      <c r="R467" s="3">
        <f ca="1">'ETF price'!S469-'ETF price'!S468</f>
        <v>-0.37999999999999545</v>
      </c>
      <c r="S467" s="3">
        <f ca="1">'ETF price'!T469-'ETF price'!T468</f>
        <v>-5.9999999999998721E-2</v>
      </c>
      <c r="T467" s="3">
        <f ca="1">'ETF price'!U469-'ETF price'!U468</f>
        <v>6.0000000000002274E-2</v>
      </c>
      <c r="U467" s="3">
        <f ca="1">'ETF price'!V469-'ETF price'!V468</f>
        <v>-0.97999999999999687</v>
      </c>
      <c r="V467" s="3">
        <f ca="1">'ETF price'!W469-'ETF price'!W468</f>
        <v>-0.14000000000000057</v>
      </c>
      <c r="W467" s="3">
        <f ca="1">'ETF price'!X469-'ETF price'!X468</f>
        <v>-0.42999999999999261</v>
      </c>
      <c r="X467" s="3">
        <f ca="1">'ETF price'!Y469-'ETF price'!Y468</f>
        <v>-0.55000000000000426</v>
      </c>
      <c r="Y467" s="3">
        <f ca="1">'ETF price'!Z469-'ETF price'!Z468</f>
        <v>-0.25</v>
      </c>
      <c r="Z467" s="3">
        <f ca="1">'ETF price'!AA469-'ETF price'!AA468</f>
        <v>-0.53000000000000114</v>
      </c>
      <c r="AA467" s="3">
        <f ca="1">'ETF price'!AB469-'ETF price'!AB468</f>
        <v>-0.88000000000000256</v>
      </c>
      <c r="AB467" s="3">
        <f ca="1">'ETF price'!AC469-'ETF price'!AC468</f>
        <v>1.2900000000000063</v>
      </c>
      <c r="AC467" s="3">
        <f ca="1">'ETF price'!AD469-'ETF price'!AD468</f>
        <v>0.66000000000000014</v>
      </c>
      <c r="AD467" s="3">
        <f ca="1">'ETF price'!AE469-'ETF price'!AE468</f>
        <v>0.43999999999999773</v>
      </c>
      <c r="AE467" s="3">
        <f ca="1">'ETF price'!AF469-'ETF price'!AF468</f>
        <v>1.0000000000000231E-2</v>
      </c>
      <c r="AF467" s="3">
        <f ca="1">'ETF price'!AG469-'ETF price'!AG468</f>
        <v>0.23000000000000043</v>
      </c>
    </row>
    <row r="468" spans="1:32" ht="12.75" x14ac:dyDescent="0.2">
      <c r="A468" s="3">
        <f ca="1">'ETF price'!B470-'ETF price'!B469</f>
        <v>4.5700000000000216</v>
      </c>
      <c r="B468" s="3">
        <f ca="1">'ETF price'!C470-'ETF price'!C469</f>
        <v>11.46999999999997</v>
      </c>
      <c r="C468" s="3">
        <f ca="1">'ETF price'!D470-'ETF price'!D469</f>
        <v>8.0000000000012506E-2</v>
      </c>
      <c r="D468" s="3">
        <f ca="1">'ETF price'!E470-'ETF price'!E469</f>
        <v>6.3899999999999864</v>
      </c>
      <c r="E468" s="3">
        <f ca="1">'ETF price'!F470-'ETF price'!F469</f>
        <v>0.81000000000000227</v>
      </c>
      <c r="F468" s="3">
        <f ca="1">'ETF price'!G470-'ETF price'!G469</f>
        <v>0.37999999999999901</v>
      </c>
      <c r="G468" s="3">
        <f ca="1">'ETF price'!H470-'ETF price'!H469</f>
        <v>0.28999999999999915</v>
      </c>
      <c r="H468" s="3">
        <f ca="1">'ETF price'!I470-'ETF price'!I469</f>
        <v>0.75</v>
      </c>
      <c r="I468" s="3">
        <f ca="1">'ETF price'!J470-'ETF price'!J469</f>
        <v>1.210000000000008</v>
      </c>
      <c r="J468" s="3">
        <f ca="1">'ETF price'!K470-'ETF price'!K469</f>
        <v>0.54999999999999716</v>
      </c>
      <c r="K468" s="3">
        <f ca="1">'ETF price'!L470-'ETF price'!L469</f>
        <v>0.35999999999999943</v>
      </c>
      <c r="L468" s="3">
        <f ca="1">'ETF price'!M470-'ETF price'!M469</f>
        <v>0.37000000000000455</v>
      </c>
      <c r="M468" s="3">
        <f ca="1">'ETF price'!N470-'ETF price'!N469</f>
        <v>0.27999999999999403</v>
      </c>
      <c r="N468" s="3">
        <f ca="1">'ETF price'!O470-'ETF price'!O469</f>
        <v>7.9999999999998295E-2</v>
      </c>
      <c r="O468" s="3">
        <f ca="1">'ETF price'!P470-'ETF price'!P469</f>
        <v>0.90999999999999659</v>
      </c>
      <c r="P468" s="3">
        <f ca="1">'ETF price'!Q470-'ETF price'!Q469</f>
        <v>1.1500000000000057</v>
      </c>
      <c r="Q468" s="3">
        <f ca="1">'ETF price'!R470-'ETF price'!R469</f>
        <v>0.90000000000000568</v>
      </c>
      <c r="R468" s="3">
        <f ca="1">'ETF price'!S470-'ETF price'!S469</f>
        <v>0.28000000000000114</v>
      </c>
      <c r="S468" s="3">
        <f ca="1">'ETF price'!T470-'ETF price'!T469</f>
        <v>0.11999999999999744</v>
      </c>
      <c r="T468" s="3">
        <f ca="1">'ETF price'!U470-'ETF price'!U469</f>
        <v>1.5400000000000063</v>
      </c>
      <c r="U468" s="3">
        <f ca="1">'ETF price'!V470-'ETF price'!V469</f>
        <v>-0.16000000000000369</v>
      </c>
      <c r="V468" s="3">
        <f ca="1">'ETF price'!W470-'ETF price'!W469</f>
        <v>0.37999999999999545</v>
      </c>
      <c r="W468" s="3">
        <f ca="1">'ETF price'!X470-'ETF price'!X469</f>
        <v>0.91999999999998749</v>
      </c>
      <c r="X468" s="3">
        <f ca="1">'ETF price'!Y470-'ETF price'!Y469</f>
        <v>0.31000000000000227</v>
      </c>
      <c r="Y468" s="3">
        <f ca="1">'ETF price'!Z470-'ETF price'!Z469</f>
        <v>0.87000000000000455</v>
      </c>
      <c r="Z468" s="3">
        <f ca="1">'ETF price'!AA470-'ETF price'!AA469</f>
        <v>0.38000000000000256</v>
      </c>
      <c r="AA468" s="3">
        <f ca="1">'ETF price'!AB470-'ETF price'!AB469</f>
        <v>0.22999999999999687</v>
      </c>
      <c r="AB468" s="3">
        <f ca="1">'ETF price'!AC470-'ETF price'!AC469</f>
        <v>0.40999999999999659</v>
      </c>
      <c r="AC468" s="3">
        <f ca="1">'ETF price'!AD470-'ETF price'!AD469</f>
        <v>0.35000000000000142</v>
      </c>
      <c r="AD468" s="3">
        <f ca="1">'ETF price'!AE470-'ETF price'!AE469</f>
        <v>0.40000000000000213</v>
      </c>
      <c r="AE468" s="3">
        <f ca="1">'ETF price'!AF470-'ETF price'!AF469</f>
        <v>9.9999999999997868E-3</v>
      </c>
      <c r="AF468" s="3">
        <f ca="1">'ETF price'!AG470-'ETF price'!AG469</f>
        <v>-5.9999999999998721E-2</v>
      </c>
    </row>
    <row r="469" spans="1:32" ht="12.75" x14ac:dyDescent="0.2">
      <c r="A469" s="3">
        <f ca="1">'ETF price'!B471-'ETF price'!B470</f>
        <v>-1.0500000000000114</v>
      </c>
      <c r="B469" s="3">
        <f ca="1">'ETF price'!C471-'ETF price'!C470</f>
        <v>-2.2300000000000182</v>
      </c>
      <c r="C469" s="3">
        <f ca="1">'ETF price'!D471-'ETF price'!D470</f>
        <v>0.76999999999999602</v>
      </c>
      <c r="D469" s="3">
        <f ca="1">'ETF price'!E471-'ETF price'!E470</f>
        <v>-1.5999999999999943</v>
      </c>
      <c r="E469" s="3">
        <f ca="1">'ETF price'!F471-'ETF price'!F470</f>
        <v>0.17999999999999972</v>
      </c>
      <c r="F469" s="3">
        <f ca="1">'ETF price'!G471-'ETF price'!G470</f>
        <v>3.9999999999999147E-2</v>
      </c>
      <c r="G469" s="3">
        <f ca="1">'ETF price'!H471-'ETF price'!H470</f>
        <v>-3.9999999999999147E-2</v>
      </c>
      <c r="H469" s="3">
        <f ca="1">'ETF price'!I471-'ETF price'!I470</f>
        <v>0.73000000000000398</v>
      </c>
      <c r="I469" s="3">
        <f ca="1">'ETF price'!J471-'ETF price'!J470</f>
        <v>1.5</v>
      </c>
      <c r="J469" s="3">
        <f ca="1">'ETF price'!K471-'ETF price'!K470</f>
        <v>-0.10999999999999943</v>
      </c>
      <c r="K469" s="3">
        <f ca="1">'ETF price'!L471-'ETF price'!L470</f>
        <v>0.32999999999999829</v>
      </c>
      <c r="L469" s="3">
        <f ca="1">'ETF price'!M471-'ETF price'!M470</f>
        <v>0.10000000000000142</v>
      </c>
      <c r="M469" s="3">
        <f ca="1">'ETF price'!N471-'ETF price'!N470</f>
        <v>0.39000000000000057</v>
      </c>
      <c r="N469" s="3">
        <f ca="1">'ETF price'!O471-'ETF price'!O470</f>
        <v>-0.32000000000000028</v>
      </c>
      <c r="O469" s="3">
        <f ca="1">'ETF price'!P471-'ETF price'!P470</f>
        <v>0.60000000000000853</v>
      </c>
      <c r="P469" s="3">
        <f ca="1">'ETF price'!Q471-'ETF price'!Q470</f>
        <v>0.87999999999999545</v>
      </c>
      <c r="Q469" s="3">
        <f ca="1">'ETF price'!R471-'ETF price'!R470</f>
        <v>-0.10999999999999943</v>
      </c>
      <c r="R469" s="3">
        <f ca="1">'ETF price'!S471-'ETF price'!S470</f>
        <v>-4.0000000000006253E-2</v>
      </c>
      <c r="S469" s="3">
        <f ca="1">'ETF price'!T471-'ETF price'!T470</f>
        <v>0.35000000000000142</v>
      </c>
      <c r="T469" s="3">
        <f ca="1">'ETF price'!U471-'ETF price'!U470</f>
        <v>1.1299999999999955</v>
      </c>
      <c r="U469" s="3">
        <f ca="1">'ETF price'!V471-'ETF price'!V470</f>
        <v>0.31000000000000227</v>
      </c>
      <c r="V469" s="3">
        <f ca="1">'ETF price'!W471-'ETF price'!W470</f>
        <v>-4.9999999999997158E-2</v>
      </c>
      <c r="W469" s="3">
        <f ca="1">'ETF price'!X471-'ETF price'!X470</f>
        <v>-0.14999999999999147</v>
      </c>
      <c r="X469" s="3">
        <f ca="1">'ETF price'!Y471-'ETF price'!Y470</f>
        <v>9.9999999999980105E-3</v>
      </c>
      <c r="Y469" s="3">
        <f ca="1">'ETF price'!Z471-'ETF price'!Z470</f>
        <v>-0.15000000000000568</v>
      </c>
      <c r="Z469" s="3">
        <f ca="1">'ETF price'!AA471-'ETF price'!AA470</f>
        <v>-0.28999999999999915</v>
      </c>
      <c r="AA469" s="3">
        <f ca="1">'ETF price'!AB471-'ETF price'!AB470</f>
        <v>7.0000000000000284E-2</v>
      </c>
      <c r="AB469" s="3">
        <f ca="1">'ETF price'!AC471-'ETF price'!AC470</f>
        <v>6.0000000000002274E-2</v>
      </c>
      <c r="AC469" s="3">
        <f ca="1">'ETF price'!AD471-'ETF price'!AD470</f>
        <v>-0.13000000000000078</v>
      </c>
      <c r="AD469" s="3">
        <f ca="1">'ETF price'!AE471-'ETF price'!AE470</f>
        <v>-0.31000000000000227</v>
      </c>
      <c r="AE469" s="3">
        <f ca="1">'ETF price'!AF471-'ETF price'!AF470</f>
        <v>2.0000000000000018E-2</v>
      </c>
      <c r="AF469" s="3">
        <f ca="1">'ETF price'!AG471-'ETF price'!AG470</f>
        <v>-0.91000000000000014</v>
      </c>
    </row>
    <row r="470" spans="1:32" ht="12.75" x14ac:dyDescent="0.2">
      <c r="A470" s="3">
        <f ca="1">'ETF price'!B472-'ETF price'!B471</f>
        <v>3.5699999999999932</v>
      </c>
      <c r="B470" s="3">
        <f ca="1">'ETF price'!C472-'ETF price'!C471</f>
        <v>10.730000000000018</v>
      </c>
      <c r="C470" s="3">
        <f ca="1">'ETF price'!D472-'ETF price'!D471</f>
        <v>-0.20000000000000284</v>
      </c>
      <c r="D470" s="3">
        <f ca="1">'ETF price'!E472-'ETF price'!E471</f>
        <v>6.0400000000000205</v>
      </c>
      <c r="E470" s="3">
        <f ca="1">'ETF price'!F472-'ETF price'!F471</f>
        <v>1.3900000000000006</v>
      </c>
      <c r="F470" s="3">
        <f ca="1">'ETF price'!G472-'ETF price'!G471</f>
        <v>0.92000000000000171</v>
      </c>
      <c r="G470" s="3">
        <f ca="1">'ETF price'!H472-'ETF price'!H471</f>
        <v>0.76000000000000156</v>
      </c>
      <c r="H470" s="3">
        <f ca="1">'ETF price'!I472-'ETF price'!I471</f>
        <v>0.85999999999999943</v>
      </c>
      <c r="I470" s="3">
        <f ca="1">'ETF price'!J472-'ETF price'!J471</f>
        <v>2.6299999999999955</v>
      </c>
      <c r="J470" s="3">
        <f ca="1">'ETF price'!K472-'ETF price'!K471</f>
        <v>2.4899999999999949</v>
      </c>
      <c r="K470" s="3">
        <f ca="1">'ETF price'!L472-'ETF price'!L471</f>
        <v>3.6299999999999955</v>
      </c>
      <c r="L470" s="3">
        <f ca="1">'ETF price'!M472-'ETF price'!M471</f>
        <v>1.7299999999999969</v>
      </c>
      <c r="M470" s="3">
        <f ca="1">'ETF price'!N472-'ETF price'!N471</f>
        <v>0.69000000000000483</v>
      </c>
      <c r="N470" s="3">
        <f ca="1">'ETF price'!O472-'ETF price'!O471</f>
        <v>2.3500000000000014</v>
      </c>
      <c r="O470" s="3">
        <f ca="1">'ETF price'!P472-'ETF price'!P471</f>
        <v>0.75</v>
      </c>
      <c r="P470" s="3">
        <f ca="1">'ETF price'!Q472-'ETF price'!Q471</f>
        <v>1.1700000000000017</v>
      </c>
      <c r="Q470" s="3">
        <f ca="1">'ETF price'!R472-'ETF price'!R471</f>
        <v>2.2800000000000011</v>
      </c>
      <c r="R470" s="3">
        <f ca="1">'ETF price'!S472-'ETF price'!S471</f>
        <v>2.5</v>
      </c>
      <c r="S470" s="3">
        <f ca="1">'ETF price'!T472-'ETF price'!T471</f>
        <v>-3.9999999999999147E-2</v>
      </c>
      <c r="T470" s="3">
        <f ca="1">'ETF price'!U472-'ETF price'!U471</f>
        <v>-0.23000000000000398</v>
      </c>
      <c r="U470" s="3">
        <f ca="1">'ETF price'!V472-'ETF price'!V471</f>
        <v>4.32</v>
      </c>
      <c r="V470" s="3">
        <f ca="1">'ETF price'!W472-'ETF price'!W471</f>
        <v>0.64000000000000057</v>
      </c>
      <c r="W470" s="3">
        <f ca="1">'ETF price'!X472-'ETF price'!X471</f>
        <v>1.9699999999999989</v>
      </c>
      <c r="X470" s="3">
        <f ca="1">'ETF price'!Y472-'ETF price'!Y471</f>
        <v>2.3100000000000023</v>
      </c>
      <c r="Y470" s="3">
        <f ca="1">'ETF price'!Z472-'ETF price'!Z471</f>
        <v>1.75</v>
      </c>
      <c r="Z470" s="3">
        <f ca="1">'ETF price'!AA472-'ETF price'!AA471</f>
        <v>1.8399999999999963</v>
      </c>
      <c r="AA470" s="3">
        <f ca="1">'ETF price'!AB472-'ETF price'!AB471</f>
        <v>3.0500000000000043</v>
      </c>
      <c r="AB470" s="3">
        <f ca="1">'ETF price'!AC472-'ETF price'!AC471</f>
        <v>0.39999999999999858</v>
      </c>
      <c r="AC470" s="3">
        <f ca="1">'ETF price'!AD472-'ETF price'!AD471</f>
        <v>-0.67999999999999972</v>
      </c>
      <c r="AD470" s="3">
        <f ca="1">'ETF price'!AE472-'ETF price'!AE471</f>
        <v>-0.80000000000000071</v>
      </c>
      <c r="AE470" s="3">
        <f ca="1">'ETF price'!AF472-'ETF price'!AF471</f>
        <v>-6.999999999999984E-2</v>
      </c>
      <c r="AF470" s="3">
        <f ca="1">'ETF price'!AG472-'ETF price'!AG471</f>
        <v>0.30999999999999872</v>
      </c>
    </row>
    <row r="471" spans="1:32" ht="12.75" x14ac:dyDescent="0.2">
      <c r="A471" s="3">
        <f ca="1">'ETF price'!B473-'ETF price'!B472</f>
        <v>0.23000000000001819</v>
      </c>
      <c r="B471" s="3">
        <f ca="1">'ETF price'!C473-'ETF price'!C472</f>
        <v>0.58999999999997499</v>
      </c>
      <c r="C471" s="3">
        <f ca="1">'ETF price'!D473-'ETF price'!D472</f>
        <v>1.6500000000000057</v>
      </c>
      <c r="D471" s="3">
        <f ca="1">'ETF price'!E473-'ETF price'!E472</f>
        <v>1.2299999999999898</v>
      </c>
      <c r="E471" s="3">
        <f ca="1">'ETF price'!F473-'ETF price'!F472</f>
        <v>-0.34000000000000341</v>
      </c>
      <c r="F471" s="3">
        <f ca="1">'ETF price'!G473-'ETF price'!G472</f>
        <v>0.10999999999999943</v>
      </c>
      <c r="G471" s="3">
        <f ca="1">'ETF price'!H473-'ETF price'!H472</f>
        <v>0.18999999999999773</v>
      </c>
      <c r="H471" s="3">
        <f ca="1">'ETF price'!I473-'ETF price'!I472</f>
        <v>9.9999999999994316E-2</v>
      </c>
      <c r="I471" s="3">
        <f ca="1">'ETF price'!J473-'ETF price'!J472</f>
        <v>0.25999999999999091</v>
      </c>
      <c r="J471" s="3">
        <f ca="1">'ETF price'!K473-'ETF price'!K472</f>
        <v>0.12000000000000455</v>
      </c>
      <c r="K471" s="3">
        <f ca="1">'ETF price'!L473-'ETF price'!L472</f>
        <v>0.18999999999999773</v>
      </c>
      <c r="L471" s="3">
        <f ca="1">'ETF price'!M473-'ETF price'!M472</f>
        <v>0.22999999999999687</v>
      </c>
      <c r="M471" s="3">
        <f ca="1">'ETF price'!N473-'ETF price'!N472</f>
        <v>3.9999999999999147E-2</v>
      </c>
      <c r="N471" s="3">
        <f ca="1">'ETF price'!O473-'ETF price'!O472</f>
        <v>0.53000000000000114</v>
      </c>
      <c r="O471" s="3">
        <f ca="1">'ETF price'!P473-'ETF price'!P472</f>
        <v>-0.1600000000000108</v>
      </c>
      <c r="P471" s="3">
        <f ca="1">'ETF price'!Q473-'ETF price'!Q472</f>
        <v>-0.34999999999999432</v>
      </c>
      <c r="Q471" s="3">
        <f ca="1">'ETF price'!R473-'ETF price'!R472</f>
        <v>0.34999999999999432</v>
      </c>
      <c r="R471" s="3">
        <f ca="1">'ETF price'!S473-'ETF price'!S472</f>
        <v>0.10000000000000142</v>
      </c>
      <c r="S471" s="3">
        <f ca="1">'ETF price'!T473-'ETF price'!T472</f>
        <v>-0.16000000000000014</v>
      </c>
      <c r="T471" s="3">
        <f ca="1">'ETF price'!U473-'ETF price'!U472</f>
        <v>-1.3499999999999943</v>
      </c>
      <c r="U471" s="3">
        <f ca="1">'ETF price'!V473-'ETF price'!V472</f>
        <v>0.61999999999999744</v>
      </c>
      <c r="V471" s="3">
        <f ca="1">'ETF price'!W473-'ETF price'!W472</f>
        <v>0.18999999999999773</v>
      </c>
      <c r="W471" s="3">
        <f ca="1">'ETF price'!X473-'ETF price'!X472</f>
        <v>0.40999999999999659</v>
      </c>
      <c r="X471" s="3">
        <f ca="1">'ETF price'!Y473-'ETF price'!Y472</f>
        <v>0.53000000000000114</v>
      </c>
      <c r="Y471" s="3">
        <f ca="1">'ETF price'!Z473-'ETF price'!Z472</f>
        <v>0.35000000000000853</v>
      </c>
      <c r="Z471" s="3">
        <f ca="1">'ETF price'!AA473-'ETF price'!AA472</f>
        <v>8.00000000000054E-2</v>
      </c>
      <c r="AA471" s="3">
        <f ca="1">'ETF price'!AB473-'ETF price'!AB472</f>
        <v>0.60999999999999943</v>
      </c>
      <c r="AB471" s="3">
        <f ca="1">'ETF price'!AC473-'ETF price'!AC472</f>
        <v>0.18999999999999773</v>
      </c>
      <c r="AC471" s="3">
        <f ca="1">'ETF price'!AD473-'ETF price'!AD472</f>
        <v>0.6899999999999995</v>
      </c>
      <c r="AD471" s="3">
        <f ca="1">'ETF price'!AE473-'ETF price'!AE472</f>
        <v>1.2600000000000016</v>
      </c>
      <c r="AE471" s="3">
        <f ca="1">'ETF price'!AF473-'ETF price'!AF472</f>
        <v>-6.999999999999984E-2</v>
      </c>
      <c r="AF471" s="3">
        <f ca="1">'ETF price'!AG473-'ETF price'!AG472</f>
        <v>1.870000000000001</v>
      </c>
    </row>
    <row r="472" spans="1:32" ht="12.75" x14ac:dyDescent="0.2">
      <c r="A472" s="3">
        <f ca="1">'ETF price'!B474-'ETF price'!B473</f>
        <v>0.90999999999999659</v>
      </c>
      <c r="B472" s="3">
        <f ca="1">'ETF price'!C474-'ETF price'!C473</f>
        <v>1.0100000000000477</v>
      </c>
      <c r="C472" s="3">
        <f ca="1">'ETF price'!D474-'ETF price'!D473</f>
        <v>-0.82000000000000739</v>
      </c>
      <c r="D472" s="3">
        <f ca="1">'ETF price'!E474-'ETF price'!E473</f>
        <v>7.9999999999984084E-2</v>
      </c>
      <c r="E472" s="3">
        <f ca="1">'ETF price'!F474-'ETF price'!F473</f>
        <v>-0.48999999999999488</v>
      </c>
      <c r="F472" s="3">
        <f ca="1">'ETF price'!G474-'ETF price'!G473</f>
        <v>3.9999999999999147E-2</v>
      </c>
      <c r="G472" s="3">
        <f ca="1">'ETF price'!H474-'ETF price'!H473</f>
        <v>-0.21999999999999886</v>
      </c>
      <c r="H472" s="3">
        <f ca="1">'ETF price'!I474-'ETF price'!I473</f>
        <v>0.54999999999999716</v>
      </c>
      <c r="I472" s="3">
        <f ca="1">'ETF price'!J474-'ETF price'!J473</f>
        <v>0.63000000000002387</v>
      </c>
      <c r="J472" s="3">
        <f ca="1">'ETF price'!K474-'ETF price'!K473</f>
        <v>-1</v>
      </c>
      <c r="K472" s="3">
        <f ca="1">'ETF price'!L474-'ETF price'!L473</f>
        <v>-0.96999999999999886</v>
      </c>
      <c r="L472" s="3">
        <f ca="1">'ETF price'!M474-'ETF price'!M473</f>
        <v>-0.61999999999999744</v>
      </c>
      <c r="M472" s="3">
        <f ca="1">'ETF price'!N474-'ETF price'!N473</f>
        <v>0.17999999999999972</v>
      </c>
      <c r="N472" s="3">
        <f ca="1">'ETF price'!O474-'ETF price'!O473</f>
        <v>-0.5</v>
      </c>
      <c r="O472" s="3">
        <f ca="1">'ETF price'!P474-'ETF price'!P473</f>
        <v>-1.6499999999999915</v>
      </c>
      <c r="P472" s="3">
        <f ca="1">'ETF price'!Q474-'ETF price'!Q473</f>
        <v>-2.3500000000000085</v>
      </c>
      <c r="Q472" s="3">
        <f ca="1">'ETF price'!R474-'ETF price'!R473</f>
        <v>0.24000000000000909</v>
      </c>
      <c r="R472" s="3">
        <f ca="1">'ETF price'!S474-'ETF price'!S473</f>
        <v>-0.25999999999999801</v>
      </c>
      <c r="S472" s="3">
        <f ca="1">'ETF price'!T474-'ETF price'!T473</f>
        <v>-0.58000000000000185</v>
      </c>
      <c r="T472" s="3">
        <f ca="1">'ETF price'!U474-'ETF price'!U473</f>
        <v>-3.2900000000000063</v>
      </c>
      <c r="U472" s="3">
        <f ca="1">'ETF price'!V474-'ETF price'!V473</f>
        <v>-1.1700000000000017</v>
      </c>
      <c r="V472" s="3">
        <f ca="1">'ETF price'!W474-'ETF price'!W473</f>
        <v>0.14000000000000057</v>
      </c>
      <c r="W472" s="3">
        <f ca="1">'ETF price'!X474-'ETF price'!X473</f>
        <v>4.9999999999997158E-2</v>
      </c>
      <c r="X472" s="3">
        <f ca="1">'ETF price'!Y474-'ETF price'!Y473</f>
        <v>-0.45000000000000284</v>
      </c>
      <c r="Y472" s="3">
        <f ca="1">'ETF price'!Z474-'ETF price'!Z473</f>
        <v>0.23999999999999488</v>
      </c>
      <c r="Z472" s="3">
        <f ca="1">'ETF price'!AA474-'ETF price'!AA473</f>
        <v>-1.0000000000005116E-2</v>
      </c>
      <c r="AA472" s="3">
        <f ca="1">'ETF price'!AB474-'ETF price'!AB473</f>
        <v>-0.57000000000000028</v>
      </c>
      <c r="AB472" s="3">
        <f ca="1">'ETF price'!AC474-'ETF price'!AC473</f>
        <v>-8.9999999999996305E-2</v>
      </c>
      <c r="AC472" s="3">
        <f ca="1">'ETF price'!AD474-'ETF price'!AD473</f>
        <v>-0.64000000000000057</v>
      </c>
      <c r="AD472" s="3">
        <f ca="1">'ETF price'!AE474-'ETF price'!AE473</f>
        <v>-0.89000000000000057</v>
      </c>
      <c r="AE472" s="3">
        <f ca="1">'ETF price'!AF474-'ETF price'!AF473</f>
        <v>-2.0000000000000018E-2</v>
      </c>
      <c r="AF472" s="3">
        <f ca="1">'ETF price'!AG474-'ETF price'!AG473</f>
        <v>-1.1500000000000021</v>
      </c>
    </row>
    <row r="473" spans="1:32" ht="12.75" x14ac:dyDescent="0.2">
      <c r="A473" s="3">
        <f ca="1">'ETF price'!B475-'ETF price'!B474</f>
        <v>-0.37999999999999545</v>
      </c>
      <c r="B473" s="3">
        <f ca="1">'ETF price'!C475-'ETF price'!C474</f>
        <v>0.19999999999998863</v>
      </c>
      <c r="C473" s="3">
        <f ca="1">'ETF price'!D475-'ETF price'!D474</f>
        <v>0.62000000000000455</v>
      </c>
      <c r="D473" s="3">
        <f ca="1">'ETF price'!E475-'ETF price'!E474</f>
        <v>1.2000000000000171</v>
      </c>
      <c r="E473" s="3">
        <f ca="1">'ETF price'!F475-'ETF price'!F474</f>
        <v>0.46000000000000085</v>
      </c>
      <c r="F473" s="3">
        <f ca="1">'ETF price'!G475-'ETF price'!G474</f>
        <v>0.17000000000000171</v>
      </c>
      <c r="G473" s="3">
        <f ca="1">'ETF price'!H475-'ETF price'!H474</f>
        <v>0.15000000000000213</v>
      </c>
      <c r="H473" s="3">
        <f ca="1">'ETF price'!I475-'ETF price'!I474</f>
        <v>-0.25999999999999091</v>
      </c>
      <c r="I473" s="3">
        <f ca="1">'ETF price'!J475-'ETF price'!J474</f>
        <v>-0.16000000000002501</v>
      </c>
      <c r="J473" s="3">
        <f ca="1">'ETF price'!K475-'ETF price'!K474</f>
        <v>1.0699999999999932</v>
      </c>
      <c r="K473" s="3">
        <f ca="1">'ETF price'!L475-'ETF price'!L474</f>
        <v>2.5300000000000011</v>
      </c>
      <c r="L473" s="3">
        <f ca="1">'ETF price'!M475-'ETF price'!M474</f>
        <v>0.91000000000000369</v>
      </c>
      <c r="M473" s="3">
        <f ca="1">'ETF price'!N475-'ETF price'!N474</f>
        <v>-3.9999999999999147E-2</v>
      </c>
      <c r="N473" s="3">
        <f ca="1">'ETF price'!O475-'ETF price'!O474</f>
        <v>1.5399999999999991</v>
      </c>
      <c r="O473" s="3">
        <f ca="1">'ETF price'!P475-'ETF price'!P474</f>
        <v>1.7399999999999949</v>
      </c>
      <c r="P473" s="3">
        <f ca="1">'ETF price'!Q475-'ETF price'!Q474</f>
        <v>2.3900000000000006</v>
      </c>
      <c r="Q473" s="3">
        <f ca="1">'ETF price'!R475-'ETF price'!R474</f>
        <v>0.14999999999999147</v>
      </c>
      <c r="R473" s="3">
        <f ca="1">'ETF price'!S475-'ETF price'!S474</f>
        <v>0.92000000000000171</v>
      </c>
      <c r="S473" s="3">
        <f ca="1">'ETF price'!T475-'ETF price'!T474</f>
        <v>0.33999999999999986</v>
      </c>
      <c r="T473" s="3">
        <f ca="1">'ETF price'!U475-'ETF price'!U474</f>
        <v>2.7000000000000028</v>
      </c>
      <c r="U473" s="3">
        <f ca="1">'ETF price'!V475-'ETF price'!V474</f>
        <v>0.15000000000000568</v>
      </c>
      <c r="V473" s="3">
        <f ca="1">'ETF price'!W475-'ETF price'!W474</f>
        <v>0.17999999999999972</v>
      </c>
      <c r="W473" s="3">
        <f ca="1">'ETF price'!X475-'ETF price'!X474</f>
        <v>0.60000000000000853</v>
      </c>
      <c r="X473" s="3">
        <f ca="1">'ETF price'!Y475-'ETF price'!Y474</f>
        <v>0.57000000000000028</v>
      </c>
      <c r="Y473" s="3">
        <f ca="1">'ETF price'!Z475-'ETF price'!Z474</f>
        <v>0.43999999999999773</v>
      </c>
      <c r="Z473" s="3">
        <f ca="1">'ETF price'!AA475-'ETF price'!AA474</f>
        <v>-3.9999999999999147E-2</v>
      </c>
      <c r="AA473" s="3">
        <f ca="1">'ETF price'!AB475-'ETF price'!AB474</f>
        <v>0.67999999999999972</v>
      </c>
      <c r="AB473" s="3">
        <f ca="1">'ETF price'!AC475-'ETF price'!AC474</f>
        <v>0.21999999999999886</v>
      </c>
      <c r="AC473" s="3">
        <f ca="1">'ETF price'!AD475-'ETF price'!AD474</f>
        <v>6.0000000000000497E-2</v>
      </c>
      <c r="AD473" s="3">
        <f ca="1">'ETF price'!AE475-'ETF price'!AE474</f>
        <v>0.26999999999999957</v>
      </c>
      <c r="AE473" s="3">
        <f ca="1">'ETF price'!AF475-'ETF price'!AF474</f>
        <v>0.20999999999999996</v>
      </c>
      <c r="AF473" s="3">
        <f ca="1">'ETF price'!AG475-'ETF price'!AG474</f>
        <v>0.58000000000000185</v>
      </c>
    </row>
    <row r="474" spans="1:32" ht="12.75" x14ac:dyDescent="0.2">
      <c r="A474" s="3">
        <f ca="1">'ETF price'!B476-'ETF price'!B475</f>
        <v>2.6499999999999773</v>
      </c>
      <c r="B474" s="3">
        <f ca="1">'ETF price'!C476-'ETF price'!C475</f>
        <v>6.4300000000000068</v>
      </c>
      <c r="C474" s="3">
        <f ca="1">'ETF price'!D476-'ETF price'!D475</f>
        <v>-0.32999999999999829</v>
      </c>
      <c r="D474" s="3">
        <f ca="1">'ETF price'!E476-'ETF price'!E475</f>
        <v>2.5300000000000011</v>
      </c>
      <c r="E474" s="3">
        <f ca="1">'ETF price'!F476-'ETF price'!F475</f>
        <v>0.5</v>
      </c>
      <c r="F474" s="3">
        <f ca="1">'ETF price'!G476-'ETF price'!G475</f>
        <v>0.37999999999999901</v>
      </c>
      <c r="G474" s="3">
        <f ca="1">'ETF price'!H476-'ETF price'!H475</f>
        <v>0.17999999999999972</v>
      </c>
      <c r="H474" s="3">
        <f ca="1">'ETF price'!I476-'ETF price'!I475</f>
        <v>0.78000000000000114</v>
      </c>
      <c r="I474" s="3">
        <f ca="1">'ETF price'!J476-'ETF price'!J475</f>
        <v>1.4700000000000273</v>
      </c>
      <c r="J474" s="3">
        <f ca="1">'ETF price'!K476-'ETF price'!K475</f>
        <v>0.82000000000000739</v>
      </c>
      <c r="K474" s="3">
        <f ca="1">'ETF price'!L476-'ETF price'!L475</f>
        <v>0.82999999999999829</v>
      </c>
      <c r="L474" s="3">
        <f ca="1">'ETF price'!M476-'ETF price'!M475</f>
        <v>0.57999999999999829</v>
      </c>
      <c r="M474" s="3">
        <f ca="1">'ETF price'!N476-'ETF price'!N475</f>
        <v>0.39999999999999858</v>
      </c>
      <c r="N474" s="3">
        <f ca="1">'ETF price'!O476-'ETF price'!O475</f>
        <v>0.87999999999999545</v>
      </c>
      <c r="O474" s="3">
        <f ca="1">'ETF price'!P476-'ETF price'!P475</f>
        <v>0.12000000000000455</v>
      </c>
      <c r="P474" s="3">
        <f ca="1">'ETF price'!Q476-'ETF price'!Q475</f>
        <v>0.13000000000000966</v>
      </c>
      <c r="Q474" s="3">
        <f ca="1">'ETF price'!R476-'ETF price'!R475</f>
        <v>0.14000000000000057</v>
      </c>
      <c r="R474" s="3">
        <f ca="1">'ETF price'!S476-'ETF price'!S475</f>
        <v>9.9999999999994316E-2</v>
      </c>
      <c r="S474" s="3">
        <f ca="1">'ETF price'!T476-'ETF price'!T475</f>
        <v>0.30000000000000071</v>
      </c>
      <c r="T474" s="3">
        <f ca="1">'ETF price'!U476-'ETF price'!U475</f>
        <v>1.5499999999999972</v>
      </c>
      <c r="U474" s="3">
        <f ca="1">'ETF price'!V476-'ETF price'!V475</f>
        <v>1.3999999999999986</v>
      </c>
      <c r="V474" s="3">
        <f ca="1">'ETF price'!W476-'ETF price'!W475</f>
        <v>0.14000000000000057</v>
      </c>
      <c r="W474" s="3">
        <f ca="1">'ETF price'!X476-'ETF price'!X475</f>
        <v>0.28999999999999204</v>
      </c>
      <c r="X474" s="3">
        <f ca="1">'ETF price'!Y476-'ETF price'!Y475</f>
        <v>-3.9999999999999147E-2</v>
      </c>
      <c r="Y474" s="3">
        <f ca="1">'ETF price'!Z476-'ETF price'!Z475</f>
        <v>0.26000000000000512</v>
      </c>
      <c r="Z474" s="3">
        <f ca="1">'ETF price'!AA476-'ETF price'!AA475</f>
        <v>0.28000000000000114</v>
      </c>
      <c r="AA474" s="3">
        <f ca="1">'ETF price'!AB476-'ETF price'!AB475</f>
        <v>-5.0000000000004263E-2</v>
      </c>
      <c r="AB474" s="3">
        <f ca="1">'ETF price'!AC476-'ETF price'!AC475</f>
        <v>0.13000000000000256</v>
      </c>
      <c r="AC474" s="3">
        <f ca="1">'ETF price'!AD476-'ETF price'!AD475</f>
        <v>0.49000000000000021</v>
      </c>
      <c r="AD474" s="3">
        <f ca="1">'ETF price'!AE476-'ETF price'!AE475</f>
        <v>0.57000000000000028</v>
      </c>
      <c r="AE474" s="3">
        <f ca="1">'ETF price'!AF476-'ETF price'!AF475</f>
        <v>-7.0000000000000284E-2</v>
      </c>
      <c r="AF474" s="3">
        <f ca="1">'ETF price'!AG476-'ETF price'!AG475</f>
        <v>1.3999999999999986</v>
      </c>
    </row>
    <row r="475" spans="1:32" ht="12.75" x14ac:dyDescent="0.2">
      <c r="A475" s="3">
        <f ca="1">'ETF price'!B477-'ETF price'!B476</f>
        <v>-1.5</v>
      </c>
      <c r="B475" s="3">
        <f ca="1">'ETF price'!C477-'ETF price'!C476</f>
        <v>-3.8400000000000318</v>
      </c>
      <c r="C475" s="3">
        <f ca="1">'ETF price'!D477-'ETF price'!D476</f>
        <v>-0.10000000000000853</v>
      </c>
      <c r="D475" s="3">
        <f ca="1">'ETF price'!E477-'ETF price'!E476</f>
        <v>-3.2600000000000193</v>
      </c>
      <c r="E475" s="3">
        <f ca="1">'ETF price'!F477-'ETF price'!F476</f>
        <v>0.17999999999999972</v>
      </c>
      <c r="F475" s="3">
        <f ca="1">'ETF price'!G477-'ETF price'!G476</f>
        <v>3.0000000000001137E-2</v>
      </c>
      <c r="G475" s="3">
        <f ca="1">'ETF price'!H477-'ETF price'!H476</f>
        <v>-8.9999999999999858E-2</v>
      </c>
      <c r="H475" s="3">
        <f ca="1">'ETF price'!I477-'ETF price'!I476</f>
        <v>0.78000000000000114</v>
      </c>
      <c r="I475" s="3">
        <f ca="1">'ETF price'!J477-'ETF price'!J476</f>
        <v>1.1999999999999886</v>
      </c>
      <c r="J475" s="3">
        <f ca="1">'ETF price'!K477-'ETF price'!K476</f>
        <v>-0.95000000000000284</v>
      </c>
      <c r="K475" s="3">
        <f ca="1">'ETF price'!L477-'ETF price'!L476</f>
        <v>-1.4899999999999949</v>
      </c>
      <c r="L475" s="3">
        <f ca="1">'ETF price'!M477-'ETF price'!M476</f>
        <v>-0.5</v>
      </c>
      <c r="M475" s="3">
        <f ca="1">'ETF price'!N477-'ETF price'!N476</f>
        <v>0.21999999999999886</v>
      </c>
      <c r="N475" s="3">
        <f ca="1">'ETF price'!O477-'ETF price'!O476</f>
        <v>-0.95999999999999375</v>
      </c>
      <c r="O475" s="3">
        <f ca="1">'ETF price'!P477-'ETF price'!P476</f>
        <v>-0.18999999999999773</v>
      </c>
      <c r="P475" s="3">
        <f ca="1">'ETF price'!Q477-'ETF price'!Q476</f>
        <v>-0.28000000000000114</v>
      </c>
      <c r="Q475" s="3">
        <f ca="1">'ETF price'!R477-'ETF price'!R476</f>
        <v>0.31000000000000227</v>
      </c>
      <c r="R475" s="3">
        <f ca="1">'ETF price'!S477-'ETF price'!S476</f>
        <v>0.13000000000000256</v>
      </c>
      <c r="S475" s="3">
        <f ca="1">'ETF price'!T477-'ETF price'!T476</f>
        <v>0.14000000000000057</v>
      </c>
      <c r="T475" s="3">
        <f ca="1">'ETF price'!U477-'ETF price'!U476</f>
        <v>0.23000000000000398</v>
      </c>
      <c r="U475" s="3">
        <f ca="1">'ETF price'!V477-'ETF price'!V476</f>
        <v>-0.99000000000000199</v>
      </c>
      <c r="V475" s="3">
        <f ca="1">'ETF price'!W477-'ETF price'!W476</f>
        <v>-1.9999999999996021E-2</v>
      </c>
      <c r="W475" s="3">
        <f ca="1">'ETF price'!X477-'ETF price'!X476</f>
        <v>-0.11999999999999034</v>
      </c>
      <c r="X475" s="3">
        <f ca="1">'ETF price'!Y477-'ETF price'!Y476</f>
        <v>-0.68999999999999773</v>
      </c>
      <c r="Y475" s="3">
        <f ca="1">'ETF price'!Z477-'ETF price'!Z476</f>
        <v>-9.0000000000003411E-2</v>
      </c>
      <c r="Z475" s="3">
        <f ca="1">'ETF price'!AA477-'ETF price'!AA476</f>
        <v>-0.17999999999999972</v>
      </c>
      <c r="AA475" s="3">
        <f ca="1">'ETF price'!AB477-'ETF price'!AB476</f>
        <v>-1.009999999999998</v>
      </c>
      <c r="AB475" s="3">
        <f ca="1">'ETF price'!AC477-'ETF price'!AC476</f>
        <v>-0.13000000000000256</v>
      </c>
      <c r="AC475" s="3">
        <f ca="1">'ETF price'!AD477-'ETF price'!AD476</f>
        <v>-0.26999999999999957</v>
      </c>
      <c r="AD475" s="3">
        <f ca="1">'ETF price'!AE477-'ETF price'!AE476</f>
        <v>-0.37999999999999901</v>
      </c>
      <c r="AE475" s="3">
        <f ca="1">'ETF price'!AF477-'ETF price'!AF476</f>
        <v>-9.9999999999997868E-3</v>
      </c>
      <c r="AF475" s="3">
        <f ca="1">'ETF price'!AG477-'ETF price'!AG476</f>
        <v>-0.41000000000000014</v>
      </c>
    </row>
    <row r="476" spans="1:32" ht="12.75" x14ac:dyDescent="0.2">
      <c r="A476" s="3">
        <f ca="1">'ETF price'!B478-'ETF price'!B477</f>
        <v>0.8200000000000216</v>
      </c>
      <c r="B476" s="3">
        <f ca="1">'ETF price'!C478-'ETF price'!C477</f>
        <v>1.6800000000000068</v>
      </c>
      <c r="C476" s="3">
        <f ca="1">'ETF price'!D478-'ETF price'!D477</f>
        <v>0.32999999999999829</v>
      </c>
      <c r="D476" s="3">
        <f ca="1">'ETF price'!E478-'ETF price'!E477</f>
        <v>0.55000000000001137</v>
      </c>
      <c r="E476" s="3">
        <f ca="1">'ETF price'!F478-'ETF price'!F477</f>
        <v>0.10999999999999943</v>
      </c>
      <c r="F476" s="3">
        <f ca="1">'ETF price'!G478-'ETF price'!G477</f>
        <v>-1.0000000000001563E-2</v>
      </c>
      <c r="G476" s="3">
        <f ca="1">'ETF price'!H478-'ETF price'!H477</f>
        <v>0.16999999999999815</v>
      </c>
      <c r="H476" s="3">
        <f ca="1">'ETF price'!I478-'ETF price'!I477</f>
        <v>0.62000000000000455</v>
      </c>
      <c r="I476" s="3">
        <f ca="1">'ETF price'!J478-'ETF price'!J477</f>
        <v>1.1800000000000068</v>
      </c>
      <c r="J476" s="3">
        <f ca="1">'ETF price'!K478-'ETF price'!K477</f>
        <v>0.75</v>
      </c>
      <c r="K476" s="3">
        <f ca="1">'ETF price'!L478-'ETF price'!L477</f>
        <v>0.79999999999999716</v>
      </c>
      <c r="L476" s="3">
        <f ca="1">'ETF price'!M478-'ETF price'!M477</f>
        <v>0.35999999999999943</v>
      </c>
      <c r="M476" s="3">
        <f ca="1">'ETF price'!N478-'ETF price'!N477</f>
        <v>0.35000000000000142</v>
      </c>
      <c r="N476" s="3">
        <f ca="1">'ETF price'!O478-'ETF price'!O477</f>
        <v>0.61999999999999744</v>
      </c>
      <c r="O476" s="3">
        <f ca="1">'ETF price'!P478-'ETF price'!P477</f>
        <v>-4.0000000000006253E-2</v>
      </c>
      <c r="P476" s="3">
        <f ca="1">'ETF price'!Q478-'ETF price'!Q477</f>
        <v>-9.0000000000003411E-2</v>
      </c>
      <c r="Q476" s="3">
        <f ca="1">'ETF price'!R478-'ETF price'!R477</f>
        <v>4.9999999999997158E-2</v>
      </c>
      <c r="R476" s="3">
        <f ca="1">'ETF price'!S478-'ETF price'!S477</f>
        <v>0.25</v>
      </c>
      <c r="S476" s="3">
        <f ca="1">'ETF price'!T478-'ETF price'!T477</f>
        <v>-0.21000000000000085</v>
      </c>
      <c r="T476" s="3">
        <f ca="1">'ETF price'!U478-'ETF price'!U477</f>
        <v>-0.92000000000000171</v>
      </c>
      <c r="U476" s="3">
        <f ca="1">'ETF price'!V478-'ETF price'!V477</f>
        <v>2.0000000000003126E-2</v>
      </c>
      <c r="V476" s="3">
        <f ca="1">'ETF price'!W478-'ETF price'!W477</f>
        <v>0.14000000000000057</v>
      </c>
      <c r="W476" s="3">
        <f ca="1">'ETF price'!X478-'ETF price'!X477</f>
        <v>0.39000000000000057</v>
      </c>
      <c r="X476" s="3">
        <f ca="1">'ETF price'!Y478-'ETF price'!Y477</f>
        <v>0.18999999999999773</v>
      </c>
      <c r="Y476" s="3">
        <f ca="1">'ETF price'!Z478-'ETF price'!Z477</f>
        <v>0.32999999999999829</v>
      </c>
      <c r="Z476" s="3">
        <f ca="1">'ETF price'!AA478-'ETF price'!AA477</f>
        <v>0.10999999999999943</v>
      </c>
      <c r="AA476" s="3">
        <f ca="1">'ETF price'!AB478-'ETF price'!AB477</f>
        <v>0.19000000000000483</v>
      </c>
      <c r="AB476" s="3">
        <f ca="1">'ETF price'!AC478-'ETF price'!AC477</f>
        <v>1.9999999999996021E-2</v>
      </c>
      <c r="AC476" s="3">
        <f ca="1">'ETF price'!AD478-'ETF price'!AD477</f>
        <v>0.41999999999999993</v>
      </c>
      <c r="AD476" s="3">
        <f ca="1">'ETF price'!AE478-'ETF price'!AE477</f>
        <v>0.41999999999999815</v>
      </c>
      <c r="AE476" s="3">
        <f ca="1">'ETF price'!AF478-'ETF price'!AF477</f>
        <v>0.10999999999999988</v>
      </c>
      <c r="AF476" s="3">
        <f ca="1">'ETF price'!AG478-'ETF price'!AG477</f>
        <v>0.90000000000000213</v>
      </c>
    </row>
    <row r="477" spans="1:32" ht="12.75" x14ac:dyDescent="0.2">
      <c r="A477" s="3">
        <f ca="1">'ETF price'!B479-'ETF price'!B478</f>
        <v>-0.36000000000001364</v>
      </c>
      <c r="B477" s="3">
        <f ca="1">'ETF price'!C479-'ETF price'!C478</f>
        <v>-0.5</v>
      </c>
      <c r="C477" s="3">
        <f ca="1">'ETF price'!D479-'ETF price'!D478</f>
        <v>0.15000000000000568</v>
      </c>
      <c r="D477" s="3">
        <f ca="1">'ETF price'!E479-'ETF price'!E478</f>
        <v>0.12000000000000455</v>
      </c>
      <c r="E477" s="3">
        <f ca="1">'ETF price'!F479-'ETF price'!F478</f>
        <v>0.33999999999999631</v>
      </c>
      <c r="F477" s="3">
        <f ca="1">'ETF price'!G479-'ETF price'!G478</f>
        <v>-1.0000000000001563E-2</v>
      </c>
      <c r="G477" s="3">
        <f ca="1">'ETF price'!H479-'ETF price'!H478</f>
        <v>5.0000000000000711E-2</v>
      </c>
      <c r="H477" s="3">
        <f ca="1">'ETF price'!I479-'ETF price'!I478</f>
        <v>0.69999999999998863</v>
      </c>
      <c r="I477" s="3">
        <f ca="1">'ETF price'!J479-'ETF price'!J478</f>
        <v>1.2099999999999795</v>
      </c>
      <c r="J477" s="3">
        <f ca="1">'ETF price'!K479-'ETF price'!K478</f>
        <v>0.64000000000000057</v>
      </c>
      <c r="K477" s="3">
        <f ca="1">'ETF price'!L479-'ETF price'!L478</f>
        <v>0.85999999999999943</v>
      </c>
      <c r="L477" s="3">
        <f ca="1">'ETF price'!M479-'ETF price'!M478</f>
        <v>0.14000000000000057</v>
      </c>
      <c r="M477" s="3">
        <f ca="1">'ETF price'!N479-'ETF price'!N478</f>
        <v>0.36999999999999744</v>
      </c>
      <c r="N477" s="3">
        <f ca="1">'ETF price'!O479-'ETF price'!O478</f>
        <v>0.39999999999999858</v>
      </c>
      <c r="O477" s="3">
        <f ca="1">'ETF price'!P479-'ETF price'!P478</f>
        <v>0.35000000000000853</v>
      </c>
      <c r="P477" s="3">
        <f ca="1">'ETF price'!Q479-'ETF price'!Q478</f>
        <v>0.59999999999999432</v>
      </c>
      <c r="Q477" s="3">
        <f ca="1">'ETF price'!R479-'ETF price'!R478</f>
        <v>0.35000000000000853</v>
      </c>
      <c r="R477" s="3">
        <f ca="1">'ETF price'!S479-'ETF price'!S478</f>
        <v>0.30000000000000426</v>
      </c>
      <c r="S477" s="3">
        <f ca="1">'ETF price'!T479-'ETF price'!T478</f>
        <v>-0.16000000000000014</v>
      </c>
      <c r="T477" s="3">
        <f ca="1">'ETF price'!U479-'ETF price'!U478</f>
        <v>-0.79000000000000625</v>
      </c>
      <c r="U477" s="3">
        <f ca="1">'ETF price'!V479-'ETF price'!V478</f>
        <v>-0.5800000000000054</v>
      </c>
      <c r="V477" s="3">
        <f ca="1">'ETF price'!W479-'ETF price'!W478</f>
        <v>0.10999999999999943</v>
      </c>
      <c r="W477" s="3">
        <f ca="1">'ETF price'!X479-'ETF price'!X478</f>
        <v>0.32999999999999829</v>
      </c>
      <c r="X477" s="3">
        <f ca="1">'ETF price'!Y479-'ETF price'!Y478</f>
        <v>0.10000000000000142</v>
      </c>
      <c r="Y477" s="3">
        <f ca="1">'ETF price'!Z479-'ETF price'!Z478</f>
        <v>0.25</v>
      </c>
      <c r="Z477" s="3">
        <f ca="1">'ETF price'!AA479-'ETF price'!AA478</f>
        <v>0.14000000000000057</v>
      </c>
      <c r="AA477" s="3">
        <f ca="1">'ETF price'!AB479-'ETF price'!AB478</f>
        <v>5.9999999999995168E-2</v>
      </c>
      <c r="AB477" s="3">
        <f ca="1">'ETF price'!AC479-'ETF price'!AC478</f>
        <v>0.55000000000000426</v>
      </c>
      <c r="AC477" s="3">
        <f ca="1">'ETF price'!AD479-'ETF price'!AD478</f>
        <v>0.12999999999999901</v>
      </c>
      <c r="AD477" s="3">
        <f ca="1">'ETF price'!AE479-'ETF price'!AE478</f>
        <v>0.12000000000000099</v>
      </c>
      <c r="AE477" s="3">
        <f ca="1">'ETF price'!AF479-'ETF price'!AF478</f>
        <v>-8.9999999999999858E-2</v>
      </c>
      <c r="AF477" s="3">
        <f ca="1">'ETF price'!AG479-'ETF price'!AG478</f>
        <v>1.4899999999999984</v>
      </c>
    </row>
    <row r="478" spans="1:32" ht="12.75" x14ac:dyDescent="0.2">
      <c r="A478" s="3">
        <f ca="1">'ETF price'!B480-'ETF price'!B479</f>
        <v>-9.9999999999909051E-3</v>
      </c>
      <c r="B478" s="3">
        <f ca="1">'ETF price'!C480-'ETF price'!C479</f>
        <v>-0.24000000000000909</v>
      </c>
      <c r="C478" s="3">
        <f ca="1">'ETF price'!D480-'ETF price'!D479</f>
        <v>-0.20000000000000284</v>
      </c>
      <c r="D478" s="3">
        <f ca="1">'ETF price'!E480-'ETF price'!E479</f>
        <v>-0.24000000000000909</v>
      </c>
      <c r="E478" s="3">
        <f ca="1">'ETF price'!F480-'ETF price'!F479</f>
        <v>0</v>
      </c>
      <c r="F478" s="3">
        <f ca="1">'ETF price'!G480-'ETF price'!G479</f>
        <v>1.0000000000001563E-2</v>
      </c>
      <c r="G478" s="3">
        <f ca="1">'ETF price'!H480-'ETF price'!H479</f>
        <v>-7.0000000000000284E-2</v>
      </c>
      <c r="H478" s="3">
        <f ca="1">'ETF price'!I480-'ETF price'!I479</f>
        <v>-0.81999999999999318</v>
      </c>
      <c r="I478" s="3">
        <f ca="1">'ETF price'!J480-'ETF price'!J479</f>
        <v>-1.3199999999999932</v>
      </c>
      <c r="J478" s="3">
        <f ca="1">'ETF price'!K480-'ETF price'!K479</f>
        <v>-0.79000000000000625</v>
      </c>
      <c r="K478" s="3">
        <f ca="1">'ETF price'!L480-'ETF price'!L479</f>
        <v>-0.42999999999999261</v>
      </c>
      <c r="L478" s="3">
        <f ca="1">'ETF price'!M480-'ETF price'!M479</f>
        <v>-0.13000000000000256</v>
      </c>
      <c r="M478" s="3">
        <f ca="1">'ETF price'!N480-'ETF price'!N479</f>
        <v>-0.37999999999999545</v>
      </c>
      <c r="N478" s="3">
        <f ca="1">'ETF price'!O480-'ETF price'!O479</f>
        <v>-0.33999999999999631</v>
      </c>
      <c r="O478" s="3">
        <f ca="1">'ETF price'!P480-'ETF price'!P479</f>
        <v>-0.30000000000001137</v>
      </c>
      <c r="P478" s="3">
        <f ca="1">'ETF price'!Q480-'ETF price'!Q479</f>
        <v>-0.56999999999999318</v>
      </c>
      <c r="Q478" s="3">
        <f ca="1">'ETF price'!R480-'ETF price'!R479</f>
        <v>-0.10000000000000853</v>
      </c>
      <c r="R478" s="3">
        <f ca="1">'ETF price'!S480-'ETF price'!S479</f>
        <v>0.42999999999999972</v>
      </c>
      <c r="S478" s="3">
        <f ca="1">'ETF price'!T480-'ETF price'!T479</f>
        <v>-0.16000000000000014</v>
      </c>
      <c r="T478" s="3">
        <f ca="1">'ETF price'!U480-'ETF price'!U479</f>
        <v>-0.85999999999999943</v>
      </c>
      <c r="U478" s="3">
        <f ca="1">'ETF price'!V480-'ETF price'!V479</f>
        <v>-0.84999999999999432</v>
      </c>
      <c r="V478" s="3">
        <f ca="1">'ETF price'!W480-'ETF price'!W479</f>
        <v>-0.12000000000000455</v>
      </c>
      <c r="W478" s="3">
        <f ca="1">'ETF price'!X480-'ETF price'!X479</f>
        <v>-0.23000000000000398</v>
      </c>
      <c r="X478" s="3">
        <f ca="1">'ETF price'!Y480-'ETF price'!Y479</f>
        <v>-0.13000000000000256</v>
      </c>
      <c r="Y478" s="3">
        <f ca="1">'ETF price'!Z480-'ETF price'!Z479</f>
        <v>-0.15999999999999659</v>
      </c>
      <c r="Z478" s="3">
        <f ca="1">'ETF price'!AA480-'ETF price'!AA479</f>
        <v>0.13000000000000256</v>
      </c>
      <c r="AA478" s="3">
        <f ca="1">'ETF price'!AB480-'ETF price'!AB479</f>
        <v>-0.28000000000000114</v>
      </c>
      <c r="AB478" s="3">
        <f ca="1">'ETF price'!AC480-'ETF price'!AC479</f>
        <v>0.53000000000000114</v>
      </c>
      <c r="AC478" s="3">
        <f ca="1">'ETF price'!AD480-'ETF price'!AD479</f>
        <v>-0.64999999999999858</v>
      </c>
      <c r="AD478" s="3">
        <f ca="1">'ETF price'!AE480-'ETF price'!AE479</f>
        <v>-0.71000000000000085</v>
      </c>
      <c r="AE478" s="3">
        <f ca="1">'ETF price'!AF480-'ETF price'!AF479</f>
        <v>6.999999999999984E-2</v>
      </c>
      <c r="AF478" s="3">
        <f ca="1">'ETF price'!AG480-'ETF price'!AG479</f>
        <v>-5.0000000000000711E-2</v>
      </c>
    </row>
    <row r="479" spans="1:32" ht="12.75" x14ac:dyDescent="0.2">
      <c r="A479" s="3">
        <f ca="1">'ETF price'!B481-'ETF price'!B480</f>
        <v>0.34999999999999432</v>
      </c>
      <c r="B479" s="3">
        <f ca="1">'ETF price'!C481-'ETF price'!C480</f>
        <v>0.85000000000002274</v>
      </c>
      <c r="C479" s="3">
        <f ca="1">'ETF price'!D481-'ETF price'!D480</f>
        <v>0.40000000000000568</v>
      </c>
      <c r="D479" s="3">
        <f ca="1">'ETF price'!E481-'ETF price'!E480</f>
        <v>-1</v>
      </c>
      <c r="E479" s="3">
        <f ca="1">'ETF price'!F481-'ETF price'!F480</f>
        <v>5.0000000000004263E-2</v>
      </c>
      <c r="F479" s="3">
        <f ca="1">'ETF price'!G481-'ETF price'!G480</f>
        <v>-8.9999999999999858E-2</v>
      </c>
      <c r="G479" s="3">
        <f ca="1">'ETF price'!H481-'ETF price'!H480</f>
        <v>-0.12999999999999901</v>
      </c>
      <c r="H479" s="3">
        <f ca="1">'ETF price'!I481-'ETF price'!I480</f>
        <v>-0.67000000000001592</v>
      </c>
      <c r="I479" s="3">
        <f ca="1">'ETF price'!J481-'ETF price'!J480</f>
        <v>-1.3499999999999943</v>
      </c>
      <c r="J479" s="3">
        <f ca="1">'ETF price'!K481-'ETF price'!K480</f>
        <v>-0.35999999999999943</v>
      </c>
      <c r="K479" s="3">
        <f ca="1">'ETF price'!L481-'ETF price'!L480</f>
        <v>-0.20000000000000284</v>
      </c>
      <c r="L479" s="3">
        <f ca="1">'ETF price'!M481-'ETF price'!M480</f>
        <v>-0.21999999999999886</v>
      </c>
      <c r="M479" s="3">
        <f ca="1">'ETF price'!N481-'ETF price'!N480</f>
        <v>-0.36000000000000654</v>
      </c>
      <c r="N479" s="3">
        <f ca="1">'ETF price'!O481-'ETF price'!O480</f>
        <v>0.21999999999999886</v>
      </c>
      <c r="O479" s="3">
        <f ca="1">'ETF price'!P481-'ETF price'!P480</f>
        <v>2.0000000000010232E-2</v>
      </c>
      <c r="P479" s="3">
        <f ca="1">'ETF price'!Q481-'ETF price'!Q480</f>
        <v>-1.0000000000005116E-2</v>
      </c>
      <c r="Q479" s="3">
        <f ca="1">'ETF price'!R481-'ETF price'!R480</f>
        <v>0.1600000000000108</v>
      </c>
      <c r="R479" s="3">
        <f ca="1">'ETF price'!S481-'ETF price'!S480</f>
        <v>5.9999999999995168E-2</v>
      </c>
      <c r="S479" s="3">
        <f ca="1">'ETF price'!T481-'ETF price'!T480</f>
        <v>0.28999999999999915</v>
      </c>
      <c r="T479" s="3">
        <f ca="1">'ETF price'!U481-'ETF price'!U480</f>
        <v>1.3000000000000114</v>
      </c>
      <c r="U479" s="3">
        <f ca="1">'ETF price'!V481-'ETF price'!V480</f>
        <v>0.65999999999999659</v>
      </c>
      <c r="V479" s="3">
        <f ca="1">'ETF price'!W481-'ETF price'!W480</f>
        <v>-9.9999999999980105E-3</v>
      </c>
      <c r="W479" s="3">
        <f ca="1">'ETF price'!X481-'ETF price'!X480</f>
        <v>-6.0000000000002274E-2</v>
      </c>
      <c r="X479" s="3">
        <f ca="1">'ETF price'!Y481-'ETF price'!Y480</f>
        <v>1.0000000000005116E-2</v>
      </c>
      <c r="Y479" s="3">
        <f ca="1">'ETF price'!Z481-'ETF price'!Z480</f>
        <v>-0.15999999999999659</v>
      </c>
      <c r="Z479" s="3">
        <f ca="1">'ETF price'!AA481-'ETF price'!AA480</f>
        <v>0.19999999999999574</v>
      </c>
      <c r="AA479" s="3">
        <f ca="1">'ETF price'!AB481-'ETF price'!AB480</f>
        <v>-9.9999999999980105E-3</v>
      </c>
      <c r="AB479" s="3">
        <f ca="1">'ETF price'!AC481-'ETF price'!AC480</f>
        <v>0.57999999999999829</v>
      </c>
      <c r="AC479" s="3">
        <f ca="1">'ETF price'!AD481-'ETF price'!AD480</f>
        <v>0.58000000000000007</v>
      </c>
      <c r="AD479" s="3">
        <f ca="1">'ETF price'!AE481-'ETF price'!AE480</f>
        <v>0.83999999999999986</v>
      </c>
      <c r="AE479" s="3">
        <f ca="1">'ETF price'!AF481-'ETF price'!AF480</f>
        <v>-9.9999999999997868E-3</v>
      </c>
      <c r="AF479" s="3">
        <f ca="1">'ETF price'!AG481-'ETF price'!AG480</f>
        <v>2.3000000000000007</v>
      </c>
    </row>
    <row r="480" spans="1:32" ht="12.75" x14ac:dyDescent="0.2">
      <c r="A480" s="3">
        <f ca="1">'ETF price'!B482-'ETF price'!B481</f>
        <v>0.13999999999998636</v>
      </c>
      <c r="B480" s="3">
        <f ca="1">'ETF price'!C482-'ETF price'!C481</f>
        <v>1.7900000000000205</v>
      </c>
      <c r="C480" s="3">
        <f ca="1">'ETF price'!D482-'ETF price'!D481</f>
        <v>-1.480000000000004</v>
      </c>
      <c r="D480" s="3">
        <f ca="1">'ETF price'!E482-'ETF price'!E481</f>
        <v>1.8499999999999943</v>
      </c>
      <c r="E480" s="3">
        <f ca="1">'ETF price'!F482-'ETF price'!F481</f>
        <v>0.9199999999999946</v>
      </c>
      <c r="F480" s="3">
        <f ca="1">'ETF price'!G482-'ETF price'!G481</f>
        <v>0.37000000000000099</v>
      </c>
      <c r="G480" s="3">
        <f ca="1">'ETF price'!H482-'ETF price'!H481</f>
        <v>0.18999999999999773</v>
      </c>
      <c r="H480" s="3">
        <f ca="1">'ETF price'!I482-'ETF price'!I481</f>
        <v>4.0000000000020464E-2</v>
      </c>
      <c r="I480" s="3">
        <f ca="1">'ETF price'!J482-'ETF price'!J481</f>
        <v>0.21999999999999886</v>
      </c>
      <c r="J480" s="3">
        <f ca="1">'ETF price'!K482-'ETF price'!K481</f>
        <v>1.1300000000000097</v>
      </c>
      <c r="K480" s="3">
        <f ca="1">'ETF price'!L482-'ETF price'!L481</f>
        <v>0.81999999999999318</v>
      </c>
      <c r="L480" s="3">
        <f ca="1">'ETF price'!M482-'ETF price'!M481</f>
        <v>0.53999999999999915</v>
      </c>
      <c r="M480" s="3">
        <f ca="1">'ETF price'!N482-'ETF price'!N481</f>
        <v>0.10000000000000142</v>
      </c>
      <c r="N480" s="3">
        <f ca="1">'ETF price'!O482-'ETF price'!O481</f>
        <v>0.21999999999999886</v>
      </c>
      <c r="O480" s="3">
        <f ca="1">'ETF price'!P482-'ETF price'!P481</f>
        <v>-0.63000000000000966</v>
      </c>
      <c r="P480" s="3">
        <f ca="1">'ETF price'!Q482-'ETF price'!Q481</f>
        <v>-0.84000000000000341</v>
      </c>
      <c r="Q480" s="3">
        <f ca="1">'ETF price'!R482-'ETF price'!R481</f>
        <v>0.41999999999998749</v>
      </c>
      <c r="R480" s="3">
        <f ca="1">'ETF price'!S482-'ETF price'!S481</f>
        <v>7.9999999999998295E-2</v>
      </c>
      <c r="S480" s="3">
        <f ca="1">'ETF price'!T482-'ETF price'!T481</f>
        <v>0.17000000000000171</v>
      </c>
      <c r="T480" s="3">
        <f ca="1">'ETF price'!U482-'ETF price'!U481</f>
        <v>1.2599999999999909</v>
      </c>
      <c r="U480" s="3">
        <f ca="1">'ETF price'!V482-'ETF price'!V481</f>
        <v>0.55000000000000426</v>
      </c>
      <c r="V480" s="3">
        <f ca="1">'ETF price'!W482-'ETF price'!W481</f>
        <v>0.25</v>
      </c>
      <c r="W480" s="3">
        <f ca="1">'ETF price'!X482-'ETF price'!X481</f>
        <v>0.73999999999999488</v>
      </c>
      <c r="X480" s="3">
        <f ca="1">'ETF price'!Y482-'ETF price'!Y481</f>
        <v>0.79999999999999716</v>
      </c>
      <c r="Y480" s="3">
        <f ca="1">'ETF price'!Z482-'ETF price'!Z481</f>
        <v>0.68999999999999773</v>
      </c>
      <c r="Z480" s="3">
        <f ca="1">'ETF price'!AA482-'ETF price'!AA481</f>
        <v>0.28000000000000114</v>
      </c>
      <c r="AA480" s="3">
        <f ca="1">'ETF price'!AB482-'ETF price'!AB481</f>
        <v>0.92000000000000171</v>
      </c>
      <c r="AB480" s="3">
        <f ca="1">'ETF price'!AC482-'ETF price'!AC481</f>
        <v>2.0000000000003126E-2</v>
      </c>
      <c r="AC480" s="3">
        <f ca="1">'ETF price'!AD482-'ETF price'!AD481</f>
        <v>-0.35000000000000142</v>
      </c>
      <c r="AD480" s="3">
        <f ca="1">'ETF price'!AE482-'ETF price'!AE481</f>
        <v>-0.41000000000000014</v>
      </c>
      <c r="AE480" s="3">
        <f ca="1">'ETF price'!AF482-'ETF price'!AF481</f>
        <v>0.10000000000000009</v>
      </c>
      <c r="AF480" s="3">
        <f ca="1">'ETF price'!AG482-'ETF price'!AG481</f>
        <v>0.48000000000000043</v>
      </c>
    </row>
    <row r="481" spans="1:32" ht="12.75" x14ac:dyDescent="0.2">
      <c r="A481" s="3">
        <f ca="1">'ETF price'!B483-'ETF price'!B482</f>
        <v>0.27000000000001023</v>
      </c>
      <c r="B481" s="3">
        <f ca="1">'ETF price'!C483-'ETF price'!C482</f>
        <v>-0.1300000000000523</v>
      </c>
      <c r="C481" s="3">
        <f ca="1">'ETF price'!D483-'ETF price'!D482</f>
        <v>0.62999999999999545</v>
      </c>
      <c r="D481" s="3">
        <f ca="1">'ETF price'!E483-'ETF price'!E482</f>
        <v>-1.1999999999999886</v>
      </c>
      <c r="E481" s="3">
        <f ca="1">'ETF price'!F483-'ETF price'!F482</f>
        <v>7.0000000000000284E-2</v>
      </c>
      <c r="F481" s="3">
        <f ca="1">'ETF price'!G483-'ETF price'!G482</f>
        <v>-0.10000000000000142</v>
      </c>
      <c r="G481" s="3">
        <f ca="1">'ETF price'!H483-'ETF price'!H482</f>
        <v>0.15000000000000213</v>
      </c>
      <c r="H481" s="3">
        <f ca="1">'ETF price'!I483-'ETF price'!I482</f>
        <v>1.6299999999999955</v>
      </c>
      <c r="I481" s="3">
        <f ca="1">'ETF price'!J483-'ETF price'!J482</f>
        <v>2.8499999999999943</v>
      </c>
      <c r="J481" s="3">
        <f ca="1">'ETF price'!K483-'ETF price'!K482</f>
        <v>1.5900000000000034</v>
      </c>
      <c r="K481" s="3">
        <f ca="1">'ETF price'!L483-'ETF price'!L482</f>
        <v>1.6700000000000017</v>
      </c>
      <c r="L481" s="3">
        <f ca="1">'ETF price'!M483-'ETF price'!M482</f>
        <v>1.5600000000000023</v>
      </c>
      <c r="M481" s="3">
        <f ca="1">'ETF price'!N483-'ETF price'!N482</f>
        <v>0.73000000000000398</v>
      </c>
      <c r="N481" s="3">
        <f ca="1">'ETF price'!O483-'ETF price'!O482</f>
        <v>-0.66000000000000369</v>
      </c>
      <c r="O481" s="3">
        <f ca="1">'ETF price'!P483-'ETF price'!P482</f>
        <v>0.56000000000000227</v>
      </c>
      <c r="P481" s="3">
        <f ca="1">'ETF price'!Q483-'ETF price'!Q482</f>
        <v>0.81000000000000227</v>
      </c>
      <c r="Q481" s="3">
        <f ca="1">'ETF price'!R483-'ETF price'!R482</f>
        <v>0.81000000000000227</v>
      </c>
      <c r="R481" s="3">
        <f ca="1">'ETF price'!S483-'ETF price'!S482</f>
        <v>0.84000000000000341</v>
      </c>
      <c r="S481" s="3">
        <f ca="1">'ETF price'!T483-'ETF price'!T482</f>
        <v>-0.41000000000000014</v>
      </c>
      <c r="T481" s="3">
        <f ca="1">'ETF price'!U483-'ETF price'!U482</f>
        <v>-2.3799999999999955</v>
      </c>
      <c r="U481" s="3">
        <f ca="1">'ETF price'!V483-'ETF price'!V482</f>
        <v>0</v>
      </c>
      <c r="V481" s="3">
        <f ca="1">'ETF price'!W483-'ETF price'!W482</f>
        <v>0.39999999999999858</v>
      </c>
      <c r="W481" s="3">
        <f ca="1">'ETF price'!X483-'ETF price'!X482</f>
        <v>0.84000000000000341</v>
      </c>
      <c r="X481" s="3">
        <f ca="1">'ETF price'!Y483-'ETF price'!Y482</f>
        <v>0.17000000000000171</v>
      </c>
      <c r="Y481" s="3">
        <f ca="1">'ETF price'!Z483-'ETF price'!Z482</f>
        <v>0.82000000000000739</v>
      </c>
      <c r="Z481" s="3">
        <f ca="1">'ETF price'!AA483-'ETF price'!AA482</f>
        <v>0.29999999999999716</v>
      </c>
      <c r="AA481" s="3">
        <f ca="1">'ETF price'!AB483-'ETF price'!AB482</f>
        <v>8.9999999999996305E-2</v>
      </c>
      <c r="AB481" s="3">
        <f ca="1">'ETF price'!AC483-'ETF price'!AC482</f>
        <v>-0.28000000000000114</v>
      </c>
      <c r="AC481" s="3">
        <f ca="1">'ETF price'!AD483-'ETF price'!AD482</f>
        <v>0.10000000000000142</v>
      </c>
      <c r="AD481" s="3">
        <f ca="1">'ETF price'!AE483-'ETF price'!AE482</f>
        <v>4.00000000000027E-2</v>
      </c>
      <c r="AE481" s="3">
        <f ca="1">'ETF price'!AF483-'ETF price'!AF482</f>
        <v>-2.0000000000000018E-2</v>
      </c>
      <c r="AF481" s="3">
        <f ca="1">'ETF price'!AG483-'ETF price'!AG482</f>
        <v>-0.89000000000000057</v>
      </c>
    </row>
    <row r="482" spans="1:32" ht="12.75" x14ac:dyDescent="0.2">
      <c r="A482" s="3">
        <f ca="1">'ETF price'!B484-'ETF price'!B483</f>
        <v>0.42000000000001592</v>
      </c>
      <c r="B482" s="3">
        <f ca="1">'ETF price'!C484-'ETF price'!C483</f>
        <v>2.6200000000000045</v>
      </c>
      <c r="C482" s="3">
        <f ca="1">'ETF price'!D484-'ETF price'!D483</f>
        <v>-1.0999999999999943</v>
      </c>
      <c r="D482" s="3">
        <f ca="1">'ETF price'!E484-'ETF price'!E483</f>
        <v>0.80000000000001137</v>
      </c>
      <c r="E482" s="3">
        <f ca="1">'ETF price'!F484-'ETF price'!F483</f>
        <v>0.73000000000000398</v>
      </c>
      <c r="F482" s="3">
        <f ca="1">'ETF price'!G484-'ETF price'!G483</f>
        <v>0.60000000000000142</v>
      </c>
      <c r="G482" s="3">
        <f ca="1">'ETF price'!H484-'ETF price'!H483</f>
        <v>0.44999999999999929</v>
      </c>
      <c r="H482" s="3">
        <f ca="1">'ETF price'!I484-'ETF price'!I483</f>
        <v>0.52000000000001023</v>
      </c>
      <c r="I482" s="3">
        <f ca="1">'ETF price'!J484-'ETF price'!J483</f>
        <v>1.5500000000000114</v>
      </c>
      <c r="J482" s="3">
        <f ca="1">'ETF price'!K484-'ETF price'!K483</f>
        <v>1.6699999999999875</v>
      </c>
      <c r="K482" s="3">
        <f ca="1">'ETF price'!L484-'ETF price'!L483</f>
        <v>2.3100000000000023</v>
      </c>
      <c r="L482" s="3">
        <f ca="1">'ETF price'!M484-'ETF price'!M483</f>
        <v>1.1499999999999986</v>
      </c>
      <c r="M482" s="3">
        <f ca="1">'ETF price'!N484-'ETF price'!N483</f>
        <v>0.39999999999999858</v>
      </c>
      <c r="N482" s="3">
        <f ca="1">'ETF price'!O484-'ETF price'!O483</f>
        <v>1.1400000000000006</v>
      </c>
      <c r="O482" s="3">
        <f ca="1">'ETF price'!P484-'ETF price'!P483</f>
        <v>0.43999999999999773</v>
      </c>
      <c r="P482" s="3">
        <f ca="1">'ETF price'!Q484-'ETF price'!Q483</f>
        <v>0.71999999999999886</v>
      </c>
      <c r="Q482" s="3">
        <f ca="1">'ETF price'!R484-'ETF price'!R483</f>
        <v>0.93999999999999773</v>
      </c>
      <c r="R482" s="3">
        <f ca="1">'ETF price'!S484-'ETF price'!S483</f>
        <v>1.5</v>
      </c>
      <c r="S482" s="3">
        <f ca="1">'ETF price'!T484-'ETF price'!T483</f>
        <v>-0.10999999999999943</v>
      </c>
      <c r="T482" s="3">
        <f ca="1">'ETF price'!U484-'ETF price'!U483</f>
        <v>-0.90000000000000568</v>
      </c>
      <c r="U482" s="3">
        <f ca="1">'ETF price'!V484-'ETF price'!V483</f>
        <v>2.029999999999994</v>
      </c>
      <c r="V482" s="3">
        <f ca="1">'ETF price'!W484-'ETF price'!W483</f>
        <v>0.27000000000000313</v>
      </c>
      <c r="W482" s="3">
        <f ca="1">'ETF price'!X484-'ETF price'!X483</f>
        <v>0.96999999999999886</v>
      </c>
      <c r="X482" s="3">
        <f ca="1">'ETF price'!Y484-'ETF price'!Y483</f>
        <v>1.6899999999999977</v>
      </c>
      <c r="Y482" s="3">
        <f ca="1">'ETF price'!Z484-'ETF price'!Z483</f>
        <v>0.78999999999999204</v>
      </c>
      <c r="Z482" s="3">
        <f ca="1">'ETF price'!AA484-'ETF price'!AA483</f>
        <v>0.78000000000000114</v>
      </c>
      <c r="AA482" s="3">
        <f ca="1">'ETF price'!AB484-'ETF price'!AB483</f>
        <v>2.3400000000000034</v>
      </c>
      <c r="AB482" s="3">
        <f ca="1">'ETF price'!AC484-'ETF price'!AC483</f>
        <v>-0.28999999999999915</v>
      </c>
      <c r="AC482" s="3">
        <f ca="1">'ETF price'!AD484-'ETF price'!AD483</f>
        <v>0.35999999999999943</v>
      </c>
      <c r="AD482" s="3">
        <f ca="1">'ETF price'!AE484-'ETF price'!AE483</f>
        <v>0.39999999999999858</v>
      </c>
      <c r="AE482" s="3">
        <f ca="1">'ETF price'!AF484-'ETF price'!AF483</f>
        <v>0.16999999999999993</v>
      </c>
      <c r="AF482" s="3">
        <f ca="1">'ETF price'!AG484-'ETF price'!AG483</f>
        <v>3.2700000000000031</v>
      </c>
    </row>
    <row r="483" spans="1:32" ht="12.75" x14ac:dyDescent="0.2">
      <c r="A483" s="3">
        <f ca="1">'ETF price'!B485-'ETF price'!B484</f>
        <v>-2.2600000000000193</v>
      </c>
      <c r="B483" s="3">
        <f ca="1">'ETF price'!C485-'ETF price'!C484</f>
        <v>-4.7299999999999613</v>
      </c>
      <c r="C483" s="3">
        <f ca="1">'ETF price'!D485-'ETF price'!D484</f>
        <v>1.9699999999999989</v>
      </c>
      <c r="D483" s="3">
        <f ca="1">'ETF price'!E485-'ETF price'!E484</f>
        <v>-1.9300000000000068</v>
      </c>
      <c r="E483" s="3">
        <f ca="1">'ETF price'!F485-'ETF price'!F484</f>
        <v>0.39999999999999858</v>
      </c>
      <c r="F483" s="3">
        <f ca="1">'ETF price'!G485-'ETF price'!G484</f>
        <v>-0.31000000000000227</v>
      </c>
      <c r="G483" s="3">
        <f ca="1">'ETF price'!H485-'ETF price'!H484</f>
        <v>5.0000000000000711E-2</v>
      </c>
      <c r="H483" s="3">
        <f ca="1">'ETF price'!I485-'ETF price'!I484</f>
        <v>0.25</v>
      </c>
      <c r="I483" s="3">
        <f ca="1">'ETF price'!J485-'ETF price'!J484</f>
        <v>0.76999999999998181</v>
      </c>
      <c r="J483" s="3">
        <f ca="1">'ETF price'!K485-'ETF price'!K484</f>
        <v>0.79000000000000625</v>
      </c>
      <c r="K483" s="3">
        <f ca="1">'ETF price'!L485-'ETF price'!L484</f>
        <v>1.3599999999999994</v>
      </c>
      <c r="L483" s="3">
        <f ca="1">'ETF price'!M485-'ETF price'!M484</f>
        <v>0.67000000000000171</v>
      </c>
      <c r="M483" s="3">
        <f ca="1">'ETF price'!N485-'ETF price'!N484</f>
        <v>0.15999999999999659</v>
      </c>
      <c r="N483" s="3">
        <f ca="1">'ETF price'!O485-'ETF price'!O484</f>
        <v>0.44000000000000483</v>
      </c>
      <c r="O483" s="3">
        <f ca="1">'ETF price'!P485-'ETF price'!P484</f>
        <v>-0.39000000000000057</v>
      </c>
      <c r="P483" s="3">
        <f ca="1">'ETF price'!Q485-'ETF price'!Q484</f>
        <v>-0.82999999999999829</v>
      </c>
      <c r="Q483" s="3">
        <f ca="1">'ETF price'!R485-'ETF price'!R484</f>
        <v>-0.96999999999999886</v>
      </c>
      <c r="R483" s="3">
        <f ca="1">'ETF price'!S485-'ETF price'!S484</f>
        <v>-0.53999999999999915</v>
      </c>
      <c r="S483" s="3">
        <f ca="1">'ETF price'!T485-'ETF price'!T484</f>
        <v>-0.16000000000000014</v>
      </c>
      <c r="T483" s="3">
        <f ca="1">'ETF price'!U485-'ETF price'!U484</f>
        <v>-0.76999999999999602</v>
      </c>
      <c r="U483" s="3">
        <f ca="1">'ETF price'!V485-'ETF price'!V484</f>
        <v>-0.12999999999999545</v>
      </c>
      <c r="V483" s="3">
        <f ca="1">'ETF price'!W485-'ETF price'!W484</f>
        <v>-3.9999999999999147E-2</v>
      </c>
      <c r="W483" s="3">
        <f ca="1">'ETF price'!X485-'ETF price'!X484</f>
        <v>0.15000000000000568</v>
      </c>
      <c r="X483" s="3">
        <f ca="1">'ETF price'!Y485-'ETF price'!Y484</f>
        <v>0.52000000000000313</v>
      </c>
      <c r="Y483" s="3">
        <f ca="1">'ETF price'!Z485-'ETF price'!Z484</f>
        <v>0.15999999999999659</v>
      </c>
      <c r="Z483" s="3">
        <f ca="1">'ETF price'!AA485-'ETF price'!AA484</f>
        <v>0.21000000000000085</v>
      </c>
      <c r="AA483" s="3">
        <f ca="1">'ETF price'!AB485-'ETF price'!AB484</f>
        <v>0.65999999999999659</v>
      </c>
      <c r="AB483" s="3">
        <f ca="1">'ETF price'!AC485-'ETF price'!AC484</f>
        <v>0.32999999999999829</v>
      </c>
      <c r="AC483" s="3">
        <f ca="1">'ETF price'!AD485-'ETF price'!AD484</f>
        <v>1</v>
      </c>
      <c r="AD483" s="3">
        <f ca="1">'ETF price'!AE485-'ETF price'!AE484</f>
        <v>1.4800000000000004</v>
      </c>
      <c r="AE483" s="3">
        <f ca="1">'ETF price'!AF485-'ETF price'!AF484</f>
        <v>4.9999999999999822E-2</v>
      </c>
      <c r="AF483" s="3">
        <f ca="1">'ETF price'!AG485-'ETF price'!AG484</f>
        <v>2.769999999999996</v>
      </c>
    </row>
    <row r="484" spans="1:32" ht="12.75" x14ac:dyDescent="0.2">
      <c r="A484" s="3">
        <f ca="1">'ETF price'!B486-'ETF price'!B485</f>
        <v>1.0999999999999943</v>
      </c>
      <c r="B484" s="3">
        <f ca="1">'ETF price'!C486-'ETF price'!C485</f>
        <v>2.4900000000000091</v>
      </c>
      <c r="C484" s="3">
        <f ca="1">'ETF price'!D486-'ETF price'!D485</f>
        <v>0.85000000000000853</v>
      </c>
      <c r="D484" s="3">
        <f ca="1">'ETF price'!E486-'ETF price'!E485</f>
        <v>-0.96000000000000796</v>
      </c>
      <c r="E484" s="3">
        <f ca="1">'ETF price'!F486-'ETF price'!F485</f>
        <v>-0.25999999999999801</v>
      </c>
      <c r="F484" s="3">
        <f ca="1">'ETF price'!G486-'ETF price'!G485</f>
        <v>-0.14999999999999858</v>
      </c>
      <c r="G484" s="3">
        <f ca="1">'ETF price'!H486-'ETF price'!H485</f>
        <v>-0.28000000000000114</v>
      </c>
      <c r="H484" s="3">
        <f ca="1">'ETF price'!I486-'ETF price'!I485</f>
        <v>-0.17000000000001592</v>
      </c>
      <c r="I484" s="3">
        <f ca="1">'ETF price'!J486-'ETF price'!J485</f>
        <v>-0.48999999999998067</v>
      </c>
      <c r="J484" s="3">
        <f ca="1">'ETF price'!K486-'ETF price'!K485</f>
        <v>-0.48999999999999488</v>
      </c>
      <c r="K484" s="3">
        <f ca="1">'ETF price'!L486-'ETF price'!L485</f>
        <v>-0.39000000000000057</v>
      </c>
      <c r="L484" s="3">
        <f ca="1">'ETF price'!M486-'ETF price'!M485</f>
        <v>-0.60999999999999943</v>
      </c>
      <c r="M484" s="3">
        <f ca="1">'ETF price'!N486-'ETF price'!N485</f>
        <v>-0.10999999999999943</v>
      </c>
      <c r="N484" s="3">
        <f ca="1">'ETF price'!O486-'ETF price'!O485</f>
        <v>-0.64000000000000057</v>
      </c>
      <c r="O484" s="3">
        <f ca="1">'ETF price'!P486-'ETF price'!P485</f>
        <v>-1.4799999999999898</v>
      </c>
      <c r="P484" s="3">
        <f ca="1">'ETF price'!Q486-'ETF price'!Q485</f>
        <v>-2.0900000000000034</v>
      </c>
      <c r="Q484" s="3">
        <f ca="1">'ETF price'!R486-'ETF price'!R485</f>
        <v>-1.1299999999999955</v>
      </c>
      <c r="R484" s="3">
        <f ca="1">'ETF price'!S486-'ETF price'!S485</f>
        <v>-1.3800000000000026</v>
      </c>
      <c r="S484" s="3">
        <f ca="1">'ETF price'!T486-'ETF price'!T485</f>
        <v>-0.21000000000000085</v>
      </c>
      <c r="T484" s="3">
        <f ca="1">'ETF price'!U486-'ETF price'!U485</f>
        <v>-0.89000000000000057</v>
      </c>
      <c r="U484" s="3">
        <f ca="1">'ETF price'!V486-'ETF price'!V485</f>
        <v>-0.51000000000000512</v>
      </c>
      <c r="V484" s="3">
        <f ca="1">'ETF price'!W486-'ETF price'!W485</f>
        <v>-0.17999999999999972</v>
      </c>
      <c r="W484" s="3">
        <f ca="1">'ETF price'!X486-'ETF price'!X485</f>
        <v>-0.43000000000000682</v>
      </c>
      <c r="X484" s="3">
        <f ca="1">'ETF price'!Y486-'ETF price'!Y485</f>
        <v>-0.5800000000000054</v>
      </c>
      <c r="Y484" s="3">
        <f ca="1">'ETF price'!Z486-'ETF price'!Z485</f>
        <v>-0.39000000000000057</v>
      </c>
      <c r="Z484" s="3">
        <f ca="1">'ETF price'!AA486-'ETF price'!AA485</f>
        <v>-0.15999999999999659</v>
      </c>
      <c r="AA484" s="3">
        <f ca="1">'ETF price'!AB486-'ETF price'!AB485</f>
        <v>-0.59999999999999432</v>
      </c>
      <c r="AB484" s="3">
        <f ca="1">'ETF price'!AC486-'ETF price'!AC485</f>
        <v>0.36999999999999744</v>
      </c>
      <c r="AC484" s="3">
        <f ca="1">'ETF price'!AD486-'ETF price'!AD485</f>
        <v>0.49000000000000021</v>
      </c>
      <c r="AD484" s="3">
        <f ca="1">'ETF price'!AE486-'ETF price'!AE485</f>
        <v>1.0300000000000011</v>
      </c>
      <c r="AE484" s="3">
        <f ca="1">'ETF price'!AF486-'ETF price'!AF485</f>
        <v>-6.999999999999984E-2</v>
      </c>
      <c r="AF484" s="3">
        <f ca="1">'ETF price'!AG486-'ETF price'!AG485</f>
        <v>0.55000000000000426</v>
      </c>
    </row>
    <row r="485" spans="1:32" ht="12.75" x14ac:dyDescent="0.2">
      <c r="A485" s="3">
        <f ca="1">'ETF price'!B487-'ETF price'!B486</f>
        <v>-1.5599999999999739</v>
      </c>
      <c r="B485" s="3">
        <f ca="1">'ETF price'!C487-'ETF price'!C486</f>
        <v>-4.0200000000000387</v>
      </c>
      <c r="C485" s="3">
        <f ca="1">'ETF price'!D487-'ETF price'!D486</f>
        <v>0.65999999999999659</v>
      </c>
      <c r="D485" s="3">
        <f ca="1">'ETF price'!E487-'ETF price'!E486</f>
        <v>-1.0499999999999829</v>
      </c>
      <c r="E485" s="3">
        <f ca="1">'ETF price'!F487-'ETF price'!F486</f>
        <v>-0.19000000000000483</v>
      </c>
      <c r="F485" s="3">
        <f ca="1">'ETF price'!G487-'ETF price'!G486</f>
        <v>-0.21000000000000085</v>
      </c>
      <c r="G485" s="3">
        <f ca="1">'ETF price'!H487-'ETF price'!H486</f>
        <v>-1.9999999999999574E-2</v>
      </c>
      <c r="H485" s="3">
        <f ca="1">'ETF price'!I487-'ETF price'!I486</f>
        <v>9.9999999999994316E-2</v>
      </c>
      <c r="I485" s="3">
        <f ca="1">'ETF price'!J487-'ETF price'!J486</f>
        <v>0.31999999999999318</v>
      </c>
      <c r="J485" s="3">
        <f ca="1">'ETF price'!K487-'ETF price'!K486</f>
        <v>0.95999999999999375</v>
      </c>
      <c r="K485" s="3">
        <f ca="1">'ETF price'!L487-'ETF price'!L486</f>
        <v>0.74000000000000909</v>
      </c>
      <c r="L485" s="3">
        <f ca="1">'ETF price'!M487-'ETF price'!M486</f>
        <v>0.23999999999999488</v>
      </c>
      <c r="M485" s="3">
        <f ca="1">'ETF price'!N487-'ETF price'!N486</f>
        <v>6.0000000000002274E-2</v>
      </c>
      <c r="N485" s="3">
        <f ca="1">'ETF price'!O487-'ETF price'!O486</f>
        <v>0.32000000000000028</v>
      </c>
      <c r="O485" s="3">
        <f ca="1">'ETF price'!P487-'ETF price'!P486</f>
        <v>-1.2400000000000091</v>
      </c>
      <c r="P485" s="3">
        <f ca="1">'ETF price'!Q487-'ETF price'!Q486</f>
        <v>-2.0899999999999892</v>
      </c>
      <c r="Q485" s="3">
        <f ca="1">'ETF price'!R487-'ETF price'!R486</f>
        <v>-0.17000000000000171</v>
      </c>
      <c r="R485" s="3">
        <f ca="1">'ETF price'!S487-'ETF price'!S486</f>
        <v>-0.64000000000000057</v>
      </c>
      <c r="S485" s="3">
        <f ca="1">'ETF price'!T487-'ETF price'!T486</f>
        <v>-0.57000000000000028</v>
      </c>
      <c r="T485" s="3">
        <f ca="1">'ETF price'!U487-'ETF price'!U486</f>
        <v>-2.8199999999999932</v>
      </c>
      <c r="U485" s="3">
        <f ca="1">'ETF price'!V487-'ETF price'!V486</f>
        <v>-0.64999999999999858</v>
      </c>
      <c r="V485" s="3">
        <f ca="1">'ETF price'!W487-'ETF price'!W486</f>
        <v>-0.17999999999999972</v>
      </c>
      <c r="W485" s="3">
        <f ca="1">'ETF price'!X487-'ETF price'!X486</f>
        <v>-0.39000000000000057</v>
      </c>
      <c r="X485" s="3">
        <f ca="1">'ETF price'!Y487-'ETF price'!Y486</f>
        <v>-9.9999999999980105E-3</v>
      </c>
      <c r="Y485" s="3">
        <f ca="1">'ETF price'!Z487-'ETF price'!Z486</f>
        <v>-0.53000000000000114</v>
      </c>
      <c r="Z485" s="3">
        <f ca="1">'ETF price'!AA487-'ETF price'!AA486</f>
        <v>-0.13000000000000256</v>
      </c>
      <c r="AA485" s="3">
        <f ca="1">'ETF price'!AB487-'ETF price'!AB486</f>
        <v>1.9999999999996021E-2</v>
      </c>
      <c r="AB485" s="3">
        <f ca="1">'ETF price'!AC487-'ETF price'!AC486</f>
        <v>0.28999999999999915</v>
      </c>
      <c r="AC485" s="3">
        <f ca="1">'ETF price'!AD487-'ETF price'!AD486</f>
        <v>-5.0000000000000711E-2</v>
      </c>
      <c r="AD485" s="3">
        <f ca="1">'ETF price'!AE487-'ETF price'!AE486</f>
        <v>-5.0000000000000711E-2</v>
      </c>
      <c r="AE485" s="3">
        <f ca="1">'ETF price'!AF487-'ETF price'!AF486</f>
        <v>0.35000000000000009</v>
      </c>
      <c r="AF485" s="3">
        <f ca="1">'ETF price'!AG487-'ETF price'!AG486</f>
        <v>-0.42000000000000171</v>
      </c>
    </row>
    <row r="486" spans="1:32" ht="12.75" x14ac:dyDescent="0.2">
      <c r="A486" s="3">
        <f ca="1">'ETF price'!B488-'ETF price'!B487</f>
        <v>2.2199999999999989</v>
      </c>
      <c r="B486" s="3">
        <f ca="1">'ETF price'!C488-'ETF price'!C487</f>
        <v>4.9499999999999886</v>
      </c>
      <c r="C486" s="3">
        <f ca="1">'ETF price'!D488-'ETF price'!D487</f>
        <v>0.70000000000000284</v>
      </c>
      <c r="D486" s="3">
        <f ca="1">'ETF price'!E488-'ETF price'!E487</f>
        <v>4.5099999999999909</v>
      </c>
      <c r="E486" s="3">
        <f ca="1">'ETF price'!F488-'ETF price'!F487</f>
        <v>-3.0000000000001137E-2</v>
      </c>
      <c r="F486" s="3">
        <f ca="1">'ETF price'!G488-'ETF price'!G487</f>
        <v>0.19000000000000128</v>
      </c>
      <c r="G486" s="3">
        <f ca="1">'ETF price'!H488-'ETF price'!H487</f>
        <v>7.9999999999998295E-2</v>
      </c>
      <c r="H486" s="3">
        <f ca="1">'ETF price'!I488-'ETF price'!I487</f>
        <v>-0.15999999999999659</v>
      </c>
      <c r="I486" s="3">
        <f ca="1">'ETF price'!J488-'ETF price'!J487</f>
        <v>-0.21999999999999886</v>
      </c>
      <c r="J486" s="3">
        <f ca="1">'ETF price'!K488-'ETF price'!K487</f>
        <v>0.87999999999999545</v>
      </c>
      <c r="K486" s="3">
        <f ca="1">'ETF price'!L488-'ETF price'!L487</f>
        <v>0.97999999999998977</v>
      </c>
      <c r="L486" s="3">
        <f ca="1">'ETF price'!M488-'ETF price'!M487</f>
        <v>0.60999999999999943</v>
      </c>
      <c r="M486" s="3">
        <f ca="1">'ETF price'!N488-'ETF price'!N487</f>
        <v>0</v>
      </c>
      <c r="N486" s="3">
        <f ca="1">'ETF price'!O488-'ETF price'!O487</f>
        <v>0.32000000000000028</v>
      </c>
      <c r="O486" s="3">
        <f ca="1">'ETF price'!P488-'ETF price'!P487</f>
        <v>-0.56000000000000227</v>
      </c>
      <c r="P486" s="3">
        <f ca="1">'ETF price'!Q488-'ETF price'!Q487</f>
        <v>-0.57999999999999829</v>
      </c>
      <c r="Q486" s="3">
        <f ca="1">'ETF price'!R488-'ETF price'!R487</f>
        <v>0.54999999999999716</v>
      </c>
      <c r="R486" s="3">
        <f ca="1">'ETF price'!S488-'ETF price'!S487</f>
        <v>0.21999999999999886</v>
      </c>
      <c r="S486" s="3">
        <f ca="1">'ETF price'!T488-'ETF price'!T487</f>
        <v>3.9999999999999147E-2</v>
      </c>
      <c r="T486" s="3">
        <f ca="1">'ETF price'!U488-'ETF price'!U487</f>
        <v>0.34999999999999432</v>
      </c>
      <c r="U486" s="3">
        <f ca="1">'ETF price'!V488-'ETF price'!V487</f>
        <v>7.0000000000000284E-2</v>
      </c>
      <c r="V486" s="3">
        <f ca="1">'ETF price'!W488-'ETF price'!W487</f>
        <v>0.1699999999999946</v>
      </c>
      <c r="W486" s="3">
        <f ca="1">'ETF price'!X488-'ETF price'!X487</f>
        <v>0.44000000000001194</v>
      </c>
      <c r="X486" s="3">
        <f ca="1">'ETF price'!Y488-'ETF price'!Y487</f>
        <v>0.71999999999999886</v>
      </c>
      <c r="Y486" s="3">
        <f ca="1">'ETF price'!Z488-'ETF price'!Z487</f>
        <v>0.32000000000000739</v>
      </c>
      <c r="Z486" s="3">
        <f ca="1">'ETF price'!AA488-'ETF price'!AA487</f>
        <v>4.9999999999997158E-2</v>
      </c>
      <c r="AA486" s="3">
        <f ca="1">'ETF price'!AB488-'ETF price'!AB487</f>
        <v>0.92000000000000171</v>
      </c>
      <c r="AB486" s="3">
        <f ca="1">'ETF price'!AC488-'ETF price'!AC487</f>
        <v>0.37000000000000455</v>
      </c>
      <c r="AC486" s="3">
        <f ca="1">'ETF price'!AD488-'ETF price'!AD487</f>
        <v>0.21000000000000085</v>
      </c>
      <c r="AD486" s="3">
        <f ca="1">'ETF price'!AE488-'ETF price'!AE487</f>
        <v>-0.25</v>
      </c>
      <c r="AE486" s="3">
        <f ca="1">'ETF price'!AF488-'ETF price'!AF487</f>
        <v>0.17999999999999972</v>
      </c>
      <c r="AF486" s="3">
        <f ca="1">'ETF price'!AG488-'ETF price'!AG487</f>
        <v>-6.0000000000002274E-2</v>
      </c>
    </row>
    <row r="487" spans="1:32" ht="12.75" x14ac:dyDescent="0.2">
      <c r="A487" s="3">
        <f ca="1">'ETF price'!B489-'ETF price'!B488</f>
        <v>1.5799999999999841</v>
      </c>
      <c r="B487" s="3">
        <f ca="1">'ETF price'!C489-'ETF price'!C488</f>
        <v>4.1400000000000432</v>
      </c>
      <c r="C487" s="3">
        <f ca="1">'ETF price'!D489-'ETF price'!D488</f>
        <v>1.1199999999999903</v>
      </c>
      <c r="D487" s="3">
        <f ca="1">'ETF price'!E489-'ETF price'!E488</f>
        <v>1.3599999999999852</v>
      </c>
      <c r="E487" s="3">
        <f ca="1">'ETF price'!F489-'ETF price'!F488</f>
        <v>0.22000000000000597</v>
      </c>
      <c r="F487" s="3">
        <f ca="1">'ETF price'!G489-'ETF price'!G488</f>
        <v>0.16999999999999815</v>
      </c>
      <c r="G487" s="3">
        <f ca="1">'ETF price'!H489-'ETF price'!H488</f>
        <v>8.0000000000001847E-2</v>
      </c>
      <c r="H487" s="3">
        <f ca="1">'ETF price'!I489-'ETF price'!I488</f>
        <v>0.21999999999999886</v>
      </c>
      <c r="I487" s="3">
        <f ca="1">'ETF price'!J489-'ETF price'!J488</f>
        <v>0.28000000000000114</v>
      </c>
      <c r="J487" s="3">
        <f ca="1">'ETF price'!K489-'ETF price'!K488</f>
        <v>-0.85999999999999943</v>
      </c>
      <c r="K487" s="3">
        <f ca="1">'ETF price'!L489-'ETF price'!L488</f>
        <v>-1.2000000000000028</v>
      </c>
      <c r="L487" s="3">
        <f ca="1">'ETF price'!M489-'ETF price'!M488</f>
        <v>-0.58999999999999631</v>
      </c>
      <c r="M487" s="3">
        <f ca="1">'ETF price'!N489-'ETF price'!N488</f>
        <v>3.9999999999999147E-2</v>
      </c>
      <c r="N487" s="3">
        <f ca="1">'ETF price'!O489-'ETF price'!O488</f>
        <v>-0.92000000000000171</v>
      </c>
      <c r="O487" s="3">
        <f ca="1">'ETF price'!P489-'ETF price'!P488</f>
        <v>0.88000000000000966</v>
      </c>
      <c r="P487" s="3">
        <f ca="1">'ETF price'!Q489-'ETF price'!Q488</f>
        <v>1.3499999999999943</v>
      </c>
      <c r="Q487" s="3">
        <f ca="1">'ETF price'!R489-'ETF price'!R488</f>
        <v>0.30000000000001137</v>
      </c>
      <c r="R487" s="3">
        <f ca="1">'ETF price'!S489-'ETF price'!S488</f>
        <v>0.10000000000000142</v>
      </c>
      <c r="S487" s="3">
        <f ca="1">'ETF price'!T489-'ETF price'!T488</f>
        <v>0.10000000000000142</v>
      </c>
      <c r="T487" s="3">
        <f ca="1">'ETF price'!U489-'ETF price'!U488</f>
        <v>1.4200000000000017</v>
      </c>
      <c r="U487" s="3">
        <f ca="1">'ETF price'!V489-'ETF price'!V488</f>
        <v>-0.82999999999999829</v>
      </c>
      <c r="V487" s="3">
        <f ca="1">'ETF price'!W489-'ETF price'!W488</f>
        <v>0.19000000000000483</v>
      </c>
      <c r="W487" s="3">
        <f ca="1">'ETF price'!X489-'ETF price'!X488</f>
        <v>0.51999999999999602</v>
      </c>
      <c r="X487" s="3">
        <f ca="1">'ETF price'!Y489-'ETF price'!Y488</f>
        <v>0.46999999999999886</v>
      </c>
      <c r="Y487" s="3">
        <f ca="1">'ETF price'!Z489-'ETF price'!Z488</f>
        <v>0.53000000000000114</v>
      </c>
      <c r="Z487" s="3">
        <f ca="1">'ETF price'!AA489-'ETF price'!AA488</f>
        <v>-7.9999999999998295E-2</v>
      </c>
      <c r="AA487" s="3">
        <f ca="1">'ETF price'!AB489-'ETF price'!AB488</f>
        <v>0.53000000000000114</v>
      </c>
      <c r="AB487" s="3">
        <f ca="1">'ETF price'!AC489-'ETF price'!AC488</f>
        <v>1.1699999999999946</v>
      </c>
      <c r="AC487" s="3">
        <f ca="1">'ETF price'!AD489-'ETF price'!AD488</f>
        <v>0.30000000000000071</v>
      </c>
      <c r="AD487" s="3">
        <f ca="1">'ETF price'!AE489-'ETF price'!AE488</f>
        <v>0.60999999999999943</v>
      </c>
      <c r="AE487" s="3">
        <f ca="1">'ETF price'!AF489-'ETF price'!AF488</f>
        <v>6.0000000000000053E-2</v>
      </c>
      <c r="AF487" s="3">
        <f ca="1">'ETF price'!AG489-'ETF price'!AG488</f>
        <v>3.1099999999999994</v>
      </c>
    </row>
    <row r="488" spans="1:32" ht="12.75" x14ac:dyDescent="0.2">
      <c r="A488" s="3">
        <f ca="1">'ETF price'!B490-'ETF price'!B489</f>
        <v>1.6299999999999955</v>
      </c>
      <c r="B488" s="3">
        <f ca="1">'ETF price'!C490-'ETF price'!C489</f>
        <v>3.2199999999999704</v>
      </c>
      <c r="C488" s="3">
        <f ca="1">'ETF price'!D490-'ETF price'!D489</f>
        <v>-0.17000000000000171</v>
      </c>
      <c r="D488" s="3">
        <f ca="1">'ETF price'!E490-'ETF price'!E489</f>
        <v>5.9399999999999977</v>
      </c>
      <c r="E488" s="3">
        <f ca="1">'ETF price'!F490-'ETF price'!F489</f>
        <v>0.57999999999999829</v>
      </c>
      <c r="F488" s="3">
        <f ca="1">'ETF price'!G490-'ETF price'!G489</f>
        <v>0.12000000000000099</v>
      </c>
      <c r="G488" s="3">
        <f ca="1">'ETF price'!H490-'ETF price'!H489</f>
        <v>0.21999999999999886</v>
      </c>
      <c r="H488" s="3">
        <f ca="1">'ETF price'!I490-'ETF price'!I489</f>
        <v>0.87000000000000455</v>
      </c>
      <c r="I488" s="3">
        <f ca="1">'ETF price'!J490-'ETF price'!J489</f>
        <v>1.3100000000000023</v>
      </c>
      <c r="J488" s="3">
        <f ca="1">'ETF price'!K490-'ETF price'!K489</f>
        <v>0.89000000000000057</v>
      </c>
      <c r="K488" s="3">
        <f ca="1">'ETF price'!L490-'ETF price'!L489</f>
        <v>-0.45999999999999375</v>
      </c>
      <c r="L488" s="3">
        <f ca="1">'ETF price'!M490-'ETF price'!M489</f>
        <v>0.52000000000000313</v>
      </c>
      <c r="M488" s="3">
        <f ca="1">'ETF price'!N490-'ETF price'!N489</f>
        <v>0.35999999999999943</v>
      </c>
      <c r="N488" s="3">
        <f ca="1">'ETF price'!O490-'ETF price'!O489</f>
        <v>-0.20000000000000284</v>
      </c>
      <c r="O488" s="3">
        <f ca="1">'ETF price'!P490-'ETF price'!P489</f>
        <v>9.9999999999994316E-2</v>
      </c>
      <c r="P488" s="3">
        <f ca="1">'ETF price'!Q490-'ETF price'!Q489</f>
        <v>6.9999999999993179E-2</v>
      </c>
      <c r="Q488" s="3">
        <f ca="1">'ETF price'!R490-'ETF price'!R489</f>
        <v>0.57999999999999829</v>
      </c>
      <c r="R488" s="3">
        <f ca="1">'ETF price'!S490-'ETF price'!S489</f>
        <v>8.00000000000054E-2</v>
      </c>
      <c r="S488" s="3">
        <f ca="1">'ETF price'!T490-'ETF price'!T489</f>
        <v>-7.9999999999998295E-2</v>
      </c>
      <c r="T488" s="3">
        <f ca="1">'ETF price'!U490-'ETF price'!U489</f>
        <v>0.26999999999999602</v>
      </c>
      <c r="U488" s="3">
        <f ca="1">'ETF price'!V490-'ETF price'!V489</f>
        <v>-9.9999999999980105E-3</v>
      </c>
      <c r="V488" s="3">
        <f ca="1">'ETF price'!W490-'ETF price'!W489</f>
        <v>0.21999999999999886</v>
      </c>
      <c r="W488" s="3">
        <f ca="1">'ETF price'!X490-'ETF price'!X489</f>
        <v>0.53999999999999204</v>
      </c>
      <c r="X488" s="3">
        <f ca="1">'ETF price'!Y490-'ETF price'!Y489</f>
        <v>-1.9999999999996021E-2</v>
      </c>
      <c r="Y488" s="3">
        <f ca="1">'ETF price'!Z490-'ETF price'!Z489</f>
        <v>0.51999999999999602</v>
      </c>
      <c r="Z488" s="3">
        <f ca="1">'ETF price'!AA490-'ETF price'!AA489</f>
        <v>0.13000000000000256</v>
      </c>
      <c r="AA488" s="3">
        <f ca="1">'ETF price'!AB490-'ETF price'!AB489</f>
        <v>-0.10999999999999943</v>
      </c>
      <c r="AB488" s="3">
        <f ca="1">'ETF price'!AC490-'ETF price'!AC489</f>
        <v>1.1700000000000017</v>
      </c>
      <c r="AC488" s="3">
        <f ca="1">'ETF price'!AD490-'ETF price'!AD489</f>
        <v>-1.3200000000000021</v>
      </c>
      <c r="AD488" s="3">
        <f ca="1">'ETF price'!AE490-'ETF price'!AE489</f>
        <v>-1.8900000000000006</v>
      </c>
      <c r="AE488" s="3">
        <f ca="1">'ETF price'!AF490-'ETF price'!AF489</f>
        <v>-8.0000000000000071E-2</v>
      </c>
      <c r="AF488" s="3">
        <f ca="1">'ETF price'!AG490-'ETF price'!AG489</f>
        <v>-4.3999999999999986</v>
      </c>
    </row>
    <row r="489" spans="1:32" ht="12.75" x14ac:dyDescent="0.2">
      <c r="A489" s="3">
        <f ca="1">'ETF price'!B491-'ETF price'!B490</f>
        <v>1.25</v>
      </c>
      <c r="B489" s="3">
        <f ca="1">'ETF price'!C491-'ETF price'!C490</f>
        <v>2.8100000000000023</v>
      </c>
      <c r="C489" s="3">
        <f ca="1">'ETF price'!D491-'ETF price'!D490</f>
        <v>0.59000000000000341</v>
      </c>
      <c r="D489" s="3">
        <f ca="1">'ETF price'!E491-'ETF price'!E490</f>
        <v>1.2900000000000205</v>
      </c>
      <c r="E489" s="3">
        <f ca="1">'ETF price'!F491-'ETF price'!F490</f>
        <v>0.64999999999999858</v>
      </c>
      <c r="F489" s="3">
        <f ca="1">'ETF price'!G491-'ETF price'!G490</f>
        <v>0.14000000000000057</v>
      </c>
      <c r="G489" s="3">
        <f ca="1">'ETF price'!H491-'ETF price'!H490</f>
        <v>0.12000000000000099</v>
      </c>
      <c r="H489" s="3">
        <f ca="1">'ETF price'!I491-'ETF price'!I490</f>
        <v>0.56999999999999318</v>
      </c>
      <c r="I489" s="3">
        <f ca="1">'ETF price'!J491-'ETF price'!J490</f>
        <v>1.4799999999999898</v>
      </c>
      <c r="J489" s="3">
        <f ca="1">'ETF price'!K491-'ETF price'!K490</f>
        <v>1.3599999999999994</v>
      </c>
      <c r="K489" s="3">
        <f ca="1">'ETF price'!L491-'ETF price'!L490</f>
        <v>1.2199999999999989</v>
      </c>
      <c r="L489" s="3">
        <f ca="1">'ETF price'!M491-'ETF price'!M490</f>
        <v>0.70999999999999375</v>
      </c>
      <c r="M489" s="3">
        <f ca="1">'ETF price'!N491-'ETF price'!N490</f>
        <v>0.38000000000000256</v>
      </c>
      <c r="N489" s="3">
        <f ca="1">'ETF price'!O491-'ETF price'!O490</f>
        <v>3.0000000000001137E-2</v>
      </c>
      <c r="O489" s="3">
        <f ca="1">'ETF price'!P491-'ETF price'!P490</f>
        <v>-1.1299999999999955</v>
      </c>
      <c r="P489" s="3">
        <f ca="1">'ETF price'!Q491-'ETF price'!Q490</f>
        <v>-1.6999999999999886</v>
      </c>
      <c r="Q489" s="3">
        <f ca="1">'ETF price'!R491-'ETF price'!R490</f>
        <v>0.47999999999998977</v>
      </c>
      <c r="R489" s="3">
        <f ca="1">'ETF price'!S491-'ETF price'!S490</f>
        <v>-1.0900000000000034</v>
      </c>
      <c r="S489" s="3">
        <f ca="1">'ETF price'!T491-'ETF price'!T490</f>
        <v>-0.35000000000000142</v>
      </c>
      <c r="T489" s="3">
        <f ca="1">'ETF price'!U491-'ETF price'!U490</f>
        <v>-2.5499999999999972</v>
      </c>
      <c r="U489" s="3">
        <f ca="1">'ETF price'!V491-'ETF price'!V490</f>
        <v>-1.3500000000000014</v>
      </c>
      <c r="V489" s="3">
        <f ca="1">'ETF price'!W491-'ETF price'!W490</f>
        <v>0.25999999999999801</v>
      </c>
      <c r="W489" s="3">
        <f ca="1">'ETF price'!X491-'ETF price'!X490</f>
        <v>0.56000000000000227</v>
      </c>
      <c r="X489" s="3">
        <f ca="1">'ETF price'!Y491-'ETF price'!Y490</f>
        <v>-0.20000000000000284</v>
      </c>
      <c r="Y489" s="3">
        <f ca="1">'ETF price'!Z491-'ETF price'!Z490</f>
        <v>0.48999999999999488</v>
      </c>
      <c r="Z489" s="3">
        <f ca="1">'ETF price'!AA491-'ETF price'!AA490</f>
        <v>-9.9999999999980105E-3</v>
      </c>
      <c r="AA489" s="3">
        <f ca="1">'ETF price'!AB491-'ETF price'!AB490</f>
        <v>-0.38000000000000256</v>
      </c>
      <c r="AB489" s="3">
        <f ca="1">'ETF price'!AC491-'ETF price'!AC490</f>
        <v>-0.25999999999999801</v>
      </c>
      <c r="AC489" s="3">
        <f ca="1">'ETF price'!AD491-'ETF price'!AD490</f>
        <v>6.0000000000000497E-2</v>
      </c>
      <c r="AD489" s="3">
        <f ca="1">'ETF price'!AE491-'ETF price'!AE490</f>
        <v>0.19000000000000128</v>
      </c>
      <c r="AE489" s="3">
        <f ca="1">'ETF price'!AF491-'ETF price'!AF490</f>
        <v>-9.9999999999997868E-3</v>
      </c>
      <c r="AF489" s="3">
        <f ca="1">'ETF price'!AG491-'ETF price'!AG490</f>
        <v>0.43999999999999773</v>
      </c>
    </row>
    <row r="490" spans="1:32" ht="12.75" x14ac:dyDescent="0.2">
      <c r="A490" s="3">
        <f ca="1">'ETF price'!B492-'ETF price'!B491</f>
        <v>1.6700000000000159</v>
      </c>
      <c r="B490" s="3">
        <f ca="1">'ETF price'!C492-'ETF price'!C491</f>
        <v>5.4700000000000273</v>
      </c>
      <c r="C490" s="3">
        <f ca="1">'ETF price'!D492-'ETF price'!D491</f>
        <v>0.79999999999999716</v>
      </c>
      <c r="D490" s="3">
        <f ca="1">'ETF price'!E492-'ETF price'!E491</f>
        <v>2.789999999999992</v>
      </c>
      <c r="E490" s="3">
        <f ca="1">'ETF price'!F492-'ETF price'!F491</f>
        <v>0.67999999999999972</v>
      </c>
      <c r="F490" s="3">
        <f ca="1">'ETF price'!G492-'ETF price'!G491</f>
        <v>0.46000000000000085</v>
      </c>
      <c r="G490" s="3">
        <f ca="1">'ETF price'!H492-'ETF price'!H491</f>
        <v>0.53000000000000114</v>
      </c>
      <c r="H490" s="3">
        <f ca="1">'ETF price'!I492-'ETF price'!I491</f>
        <v>2.460000000000008</v>
      </c>
      <c r="I490" s="3">
        <f ca="1">'ETF price'!J492-'ETF price'!J491</f>
        <v>4.9699999999999989</v>
      </c>
      <c r="J490" s="3">
        <f ca="1">'ETF price'!K492-'ETF price'!K491</f>
        <v>5.2700000000000102</v>
      </c>
      <c r="K490" s="3">
        <f ca="1">'ETF price'!L492-'ETF price'!L491</f>
        <v>3.8700000000000045</v>
      </c>
      <c r="L490" s="3">
        <f ca="1">'ETF price'!M492-'ETF price'!M491</f>
        <v>3.1700000000000017</v>
      </c>
      <c r="M490" s="3">
        <f ca="1">'ETF price'!N492-'ETF price'!N491</f>
        <v>1.279999999999994</v>
      </c>
      <c r="N490" s="3">
        <f ca="1">'ETF price'!O492-'ETF price'!O491</f>
        <v>2.240000000000002</v>
      </c>
      <c r="O490" s="3">
        <f ca="1">'ETF price'!P492-'ETF price'!P491</f>
        <v>1.1299999999999955</v>
      </c>
      <c r="P490" s="3">
        <f ca="1">'ETF price'!Q492-'ETF price'!Q491</f>
        <v>1.5699999999999932</v>
      </c>
      <c r="Q490" s="3">
        <f ca="1">'ETF price'!R492-'ETF price'!R491</f>
        <v>1.0100000000000051</v>
      </c>
      <c r="R490" s="3">
        <f ca="1">'ETF price'!S492-'ETF price'!S491</f>
        <v>1.9500000000000028</v>
      </c>
      <c r="S490" s="3">
        <f ca="1">'ETF price'!T492-'ETF price'!T491</f>
        <v>0.25999999999999801</v>
      </c>
      <c r="T490" s="3">
        <f ca="1">'ETF price'!U492-'ETF price'!U491</f>
        <v>1.0799999999999983</v>
      </c>
      <c r="U490" s="3">
        <f ca="1">'ETF price'!V492-'ETF price'!V491</f>
        <v>2.4799999999999969</v>
      </c>
      <c r="V490" s="3">
        <f ca="1">'ETF price'!W492-'ETF price'!W491</f>
        <v>0.59000000000000341</v>
      </c>
      <c r="W490" s="3">
        <f ca="1">'ETF price'!X492-'ETF price'!X491</f>
        <v>1.6400000000000006</v>
      </c>
      <c r="X490" s="3">
        <f ca="1">'ETF price'!Y492-'ETF price'!Y491</f>
        <v>2.1200000000000045</v>
      </c>
      <c r="Y490" s="3">
        <f ca="1">'ETF price'!Z492-'ETF price'!Z491</f>
        <v>1.4300000000000068</v>
      </c>
      <c r="Z490" s="3">
        <f ca="1">'ETF price'!AA492-'ETF price'!AA491</f>
        <v>1.3799999999999955</v>
      </c>
      <c r="AA490" s="3">
        <f ca="1">'ETF price'!AB492-'ETF price'!AB491</f>
        <v>2.8400000000000034</v>
      </c>
      <c r="AB490" s="3">
        <f ca="1">'ETF price'!AC492-'ETF price'!AC491</f>
        <v>7.0000000000000284E-2</v>
      </c>
      <c r="AC490" s="3">
        <f ca="1">'ETF price'!AD492-'ETF price'!AD491</f>
        <v>0.5600000000000005</v>
      </c>
      <c r="AD490" s="3">
        <f ca="1">'ETF price'!AE492-'ETF price'!AE491</f>
        <v>0.87000000000000099</v>
      </c>
      <c r="AE490" s="3">
        <f ca="1">'ETF price'!AF492-'ETF price'!AF491</f>
        <v>0.10000000000000009</v>
      </c>
      <c r="AF490" s="3">
        <f ca="1">'ETF price'!AG492-'ETF price'!AG491</f>
        <v>3.4200000000000017</v>
      </c>
    </row>
    <row r="491" spans="1:32" ht="12.75" x14ac:dyDescent="0.2">
      <c r="A491" s="3">
        <f ca="1">'ETF price'!B493-'ETF price'!B492</f>
        <v>-0.46999999999999886</v>
      </c>
      <c r="B491" s="3">
        <f ca="1">'ETF price'!C493-'ETF price'!C492</f>
        <v>0.93000000000000682</v>
      </c>
      <c r="C491" s="3">
        <f ca="1">'ETF price'!D493-'ETF price'!D492</f>
        <v>0.53000000000000114</v>
      </c>
      <c r="D491" s="3">
        <f ca="1">'ETF price'!E493-'ETF price'!E492</f>
        <v>5.0999999999999943</v>
      </c>
      <c r="E491" s="3">
        <f ca="1">'ETF price'!F493-'ETF price'!F492</f>
        <v>-3.9999999999999147E-2</v>
      </c>
      <c r="F491" s="3">
        <f ca="1">'ETF price'!G493-'ETF price'!G492</f>
        <v>0.48000000000000043</v>
      </c>
      <c r="G491" s="3">
        <f ca="1">'ETF price'!H493-'ETF price'!H492</f>
        <v>0.43999999999999773</v>
      </c>
      <c r="H491" s="3">
        <f ca="1">'ETF price'!I493-'ETF price'!I492</f>
        <v>-0.65999999999999659</v>
      </c>
      <c r="I491" s="3">
        <f ca="1">'ETF price'!J493-'ETF price'!J492</f>
        <v>-0.5</v>
      </c>
      <c r="J491" s="3">
        <f ca="1">'ETF price'!K493-'ETF price'!K492</f>
        <v>1.3499999999999943</v>
      </c>
      <c r="K491" s="3">
        <f ca="1">'ETF price'!L493-'ETF price'!L492</f>
        <v>1.5300000000000011</v>
      </c>
      <c r="L491" s="3">
        <f ca="1">'ETF price'!M493-'ETF price'!M492</f>
        <v>0.57000000000000739</v>
      </c>
      <c r="M491" s="3">
        <f ca="1">'ETF price'!N493-'ETF price'!N492</f>
        <v>-0.17999999999999261</v>
      </c>
      <c r="N491" s="3">
        <f ca="1">'ETF price'!O493-'ETF price'!O492</f>
        <v>1.6400000000000006</v>
      </c>
      <c r="O491" s="3">
        <f ca="1">'ETF price'!P493-'ETF price'!P492</f>
        <v>2.4200000000000017</v>
      </c>
      <c r="P491" s="3">
        <f ca="1">'ETF price'!Q493-'ETF price'!Q492</f>
        <v>3.480000000000004</v>
      </c>
      <c r="Q491" s="3">
        <f ca="1">'ETF price'!R493-'ETF price'!R492</f>
        <v>1.3900000000000006</v>
      </c>
      <c r="R491" s="3">
        <f ca="1">'ETF price'!S493-'ETF price'!S492</f>
        <v>2.0700000000000003</v>
      </c>
      <c r="S491" s="3">
        <f ca="1">'ETF price'!T493-'ETF price'!T492</f>
        <v>0.38000000000000256</v>
      </c>
      <c r="T491" s="3">
        <f ca="1">'ETF price'!U493-'ETF price'!U492</f>
        <v>1.8299999999999983</v>
      </c>
      <c r="U491" s="3">
        <f ca="1">'ETF price'!V493-'ETF price'!V492</f>
        <v>3.8200000000000003</v>
      </c>
      <c r="V491" s="3">
        <f ca="1">'ETF price'!W493-'ETF price'!W492</f>
        <v>0.36999999999999744</v>
      </c>
      <c r="W491" s="3">
        <f ca="1">'ETF price'!X493-'ETF price'!X492</f>
        <v>1.1899999999999977</v>
      </c>
      <c r="X491" s="3">
        <f ca="1">'ETF price'!Y493-'ETF price'!Y492</f>
        <v>1.9699999999999989</v>
      </c>
      <c r="Y491" s="3">
        <f ca="1">'ETF price'!Z493-'ETF price'!Z492</f>
        <v>1.3599999999999994</v>
      </c>
      <c r="Z491" s="3">
        <f ca="1">'ETF price'!AA493-'ETF price'!AA492</f>
        <v>1.0900000000000034</v>
      </c>
      <c r="AA491" s="3">
        <f ca="1">'ETF price'!AB493-'ETF price'!AB492</f>
        <v>2.4799999999999969</v>
      </c>
      <c r="AB491" s="3">
        <f ca="1">'ETF price'!AC493-'ETF price'!AC492</f>
        <v>0.53999999999999915</v>
      </c>
      <c r="AC491" s="3">
        <f ca="1">'ETF price'!AD493-'ETF price'!AD492</f>
        <v>8.9999999999999858E-2</v>
      </c>
      <c r="AD491" s="3">
        <f ca="1">'ETF price'!AE493-'ETF price'!AE492</f>
        <v>-2.0000000000003126E-2</v>
      </c>
      <c r="AE491" s="3">
        <f ca="1">'ETF price'!AF493-'ETF price'!AF492</f>
        <v>-0.17000000000000037</v>
      </c>
      <c r="AF491" s="3">
        <f ca="1">'ETF price'!AG493-'ETF price'!AG492</f>
        <v>1.6099999999999994</v>
      </c>
    </row>
    <row r="492" spans="1:32" ht="12.75" x14ac:dyDescent="0.2">
      <c r="A492" s="3">
        <f ca="1">'ETF price'!B494-'ETF price'!B493</f>
        <v>0.95999999999997954</v>
      </c>
      <c r="B492" s="3">
        <f ca="1">'ETF price'!C494-'ETF price'!C493</f>
        <v>2.3100000000000023</v>
      </c>
      <c r="C492" s="3">
        <f ca="1">'ETF price'!D494-'ETF price'!D493</f>
        <v>-1.8199999999999932</v>
      </c>
      <c r="D492" s="3">
        <f ca="1">'ETF price'!E494-'ETF price'!E493</f>
        <v>0.71000000000000796</v>
      </c>
      <c r="E492" s="3">
        <f ca="1">'ETF price'!F494-'ETF price'!F493</f>
        <v>0.45000000000000284</v>
      </c>
      <c r="F492" s="3">
        <f ca="1">'ETF price'!G494-'ETF price'!G493</f>
        <v>0.26999999999999957</v>
      </c>
      <c r="G492" s="3">
        <f ca="1">'ETF price'!H494-'ETF price'!H493</f>
        <v>-0.11999999999999744</v>
      </c>
      <c r="H492" s="3">
        <f ca="1">'ETF price'!I494-'ETF price'!I493</f>
        <v>-1.1500000000000057</v>
      </c>
      <c r="I492" s="3">
        <f ca="1">'ETF price'!J494-'ETF price'!J493</f>
        <v>-2.3199999999999932</v>
      </c>
      <c r="J492" s="3">
        <f ca="1">'ETF price'!K494-'ETF price'!K493</f>
        <v>-0.96999999999999886</v>
      </c>
      <c r="K492" s="3">
        <f ca="1">'ETF price'!L494-'ETF price'!L493</f>
        <v>0.23999999999999488</v>
      </c>
      <c r="L492" s="3">
        <f ca="1">'ETF price'!M494-'ETF price'!M493</f>
        <v>-0.38000000000000966</v>
      </c>
      <c r="M492" s="3">
        <f ca="1">'ETF price'!N494-'ETF price'!N493</f>
        <v>-0.75</v>
      </c>
      <c r="N492" s="3">
        <f ca="1">'ETF price'!O494-'ETF price'!O493</f>
        <v>-0.71000000000000085</v>
      </c>
      <c r="O492" s="3">
        <f ca="1">'ETF price'!P494-'ETF price'!P493</f>
        <v>-0.45000000000000284</v>
      </c>
      <c r="P492" s="3">
        <f ca="1">'ETF price'!Q494-'ETF price'!Q493</f>
        <v>-0.71000000000000796</v>
      </c>
      <c r="Q492" s="3">
        <f ca="1">'ETF price'!R494-'ETF price'!R493</f>
        <v>-0.21999999999999886</v>
      </c>
      <c r="R492" s="3">
        <f ca="1">'ETF price'!S494-'ETF price'!S493</f>
        <v>0.25</v>
      </c>
      <c r="S492" s="3">
        <f ca="1">'ETF price'!T494-'ETF price'!T493</f>
        <v>3.9999999999999147E-2</v>
      </c>
      <c r="T492" s="3">
        <f ca="1">'ETF price'!U494-'ETF price'!U493</f>
        <v>-9.9999999999909051E-3</v>
      </c>
      <c r="U492" s="3">
        <f ca="1">'ETF price'!V494-'ETF price'!V493</f>
        <v>1.0200000000000031</v>
      </c>
      <c r="V492" s="3">
        <f ca="1">'ETF price'!W494-'ETF price'!W493</f>
        <v>-0.21999999999999886</v>
      </c>
      <c r="W492" s="3">
        <f ca="1">'ETF price'!X494-'ETF price'!X493</f>
        <v>-0.51999999999999602</v>
      </c>
      <c r="X492" s="3">
        <f ca="1">'ETF price'!Y494-'ETF price'!Y493</f>
        <v>-0.63000000000000256</v>
      </c>
      <c r="Y492" s="3">
        <f ca="1">'ETF price'!Z494-'ETF price'!Z493</f>
        <v>-0.65999999999999659</v>
      </c>
      <c r="Z492" s="3">
        <f ca="1">'ETF price'!AA494-'ETF price'!AA493</f>
        <v>-0.49000000000000199</v>
      </c>
      <c r="AA492" s="3">
        <f ca="1">'ETF price'!AB494-'ETF price'!AB493</f>
        <v>-0.85999999999999943</v>
      </c>
      <c r="AB492" s="3">
        <f ca="1">'ETF price'!AC494-'ETF price'!AC493</f>
        <v>-1.3299999999999983</v>
      </c>
      <c r="AC492" s="3">
        <f ca="1">'ETF price'!AD494-'ETF price'!AD493</f>
        <v>-0.27999999999999936</v>
      </c>
      <c r="AD492" s="3">
        <f ca="1">'ETF price'!AE494-'ETF price'!AE493</f>
        <v>-0.34999999999999787</v>
      </c>
      <c r="AE492" s="3">
        <f ca="1">'ETF price'!AF494-'ETF price'!AF493</f>
        <v>-2.0000000000000018E-2</v>
      </c>
      <c r="AF492" s="3">
        <f ca="1">'ETF price'!AG494-'ETF price'!AG493</f>
        <v>-0.14000000000000057</v>
      </c>
    </row>
    <row r="493" spans="1:32" ht="12.75" x14ac:dyDescent="0.2">
      <c r="A493" s="3">
        <f ca="1">'ETF price'!B495-'ETF price'!B494</f>
        <v>0.15000000000000568</v>
      </c>
      <c r="B493" s="3">
        <f ca="1">'ETF price'!C495-'ETF price'!C494</f>
        <v>1.1099999999999568</v>
      </c>
      <c r="C493" s="3">
        <f ca="1">'ETF price'!D495-'ETF price'!D494</f>
        <v>1.4899999999999949</v>
      </c>
      <c r="D493" s="3">
        <f ca="1">'ETF price'!E495-'ETF price'!E494</f>
        <v>-0.53000000000000114</v>
      </c>
      <c r="E493" s="3">
        <f ca="1">'ETF price'!F495-'ETF price'!F494</f>
        <v>0.1699999999999946</v>
      </c>
      <c r="F493" s="3">
        <f ca="1">'ETF price'!G495-'ETF price'!G494</f>
        <v>5.9999999999998721E-2</v>
      </c>
      <c r="G493" s="3">
        <f ca="1">'ETF price'!H495-'ETF price'!H494</f>
        <v>2.9999999999997584E-2</v>
      </c>
      <c r="H493" s="3">
        <f ca="1">'ETF price'!I495-'ETF price'!I494</f>
        <v>-0.37999999999999545</v>
      </c>
      <c r="I493" s="3">
        <f ca="1">'ETF price'!J495-'ETF price'!J494</f>
        <v>0.34000000000000341</v>
      </c>
      <c r="J493" s="3">
        <f ca="1">'ETF price'!K495-'ETF price'!K494</f>
        <v>-0.94999999999998863</v>
      </c>
      <c r="K493" s="3">
        <f ca="1">'ETF price'!L495-'ETF price'!L494</f>
        <v>-1.3599999999999994</v>
      </c>
      <c r="L493" s="3">
        <f ca="1">'ETF price'!M495-'ETF price'!M494</f>
        <v>-0.43999999999999773</v>
      </c>
      <c r="M493" s="3">
        <f ca="1">'ETF price'!N495-'ETF price'!N494</f>
        <v>1.9999999999996021E-2</v>
      </c>
      <c r="N493" s="3">
        <f ca="1">'ETF price'!O495-'ETF price'!O494</f>
        <v>-0.32000000000000028</v>
      </c>
      <c r="O493" s="3">
        <f ca="1">'ETF price'!P495-'ETF price'!P494</f>
        <v>-0.11999999999999034</v>
      </c>
      <c r="P493" s="3">
        <f ca="1">'ETF price'!Q495-'ETF price'!Q494</f>
        <v>1.1200000000000045</v>
      </c>
      <c r="Q493" s="3">
        <f ca="1">'ETF price'!R495-'ETF price'!R494</f>
        <v>-0.46000000000000796</v>
      </c>
      <c r="R493" s="3">
        <f ca="1">'ETF price'!S495-'ETF price'!S494</f>
        <v>0.80999999999999517</v>
      </c>
      <c r="S493" s="3">
        <f ca="1">'ETF price'!T495-'ETF price'!T494</f>
        <v>-0.92999999999999972</v>
      </c>
      <c r="T493" s="3">
        <f ca="1">'ETF price'!U495-'ETF price'!U494</f>
        <v>0.93999999999999773</v>
      </c>
      <c r="U493" s="3">
        <f ca="1">'ETF price'!V495-'ETF price'!V494</f>
        <v>-1.1799999999999997</v>
      </c>
      <c r="V493" s="3">
        <f ca="1">'ETF price'!W495-'ETF price'!W494</f>
        <v>-6.0000000000002274E-2</v>
      </c>
      <c r="W493" s="3">
        <f ca="1">'ETF price'!X495-'ETF price'!X494</f>
        <v>0.15999999999999659</v>
      </c>
      <c r="X493" s="3">
        <f ca="1">'ETF price'!Y495-'ETF price'!Y494</f>
        <v>-0.67000000000000171</v>
      </c>
      <c r="Y493" s="3">
        <f ca="1">'ETF price'!Z495-'ETF price'!Z494</f>
        <v>0.18999999999999773</v>
      </c>
      <c r="Z493" s="3">
        <f ca="1">'ETF price'!AA495-'ETF price'!AA494</f>
        <v>-0.53000000000000114</v>
      </c>
      <c r="AA493" s="3">
        <f ca="1">'ETF price'!AB495-'ETF price'!AB494</f>
        <v>-0.98000000000000398</v>
      </c>
      <c r="AB493" s="3">
        <f ca="1">'ETF price'!AC495-'ETF price'!AC494</f>
        <v>0.57999999999999829</v>
      </c>
      <c r="AC493" s="3">
        <f ca="1">'ETF price'!AD495-'ETF price'!AD494</f>
        <v>-0.29000000000000092</v>
      </c>
      <c r="AD493" s="3">
        <f ca="1">'ETF price'!AE495-'ETF price'!AE494</f>
        <v>-0.14000000000000057</v>
      </c>
      <c r="AE493" s="3">
        <f ca="1">'ETF price'!AF495-'ETF price'!AF494</f>
        <v>0.24000000000000021</v>
      </c>
      <c r="AF493" s="3">
        <f ca="1">'ETF price'!AG495-'ETF price'!AG494</f>
        <v>1.6700000000000017</v>
      </c>
    </row>
    <row r="494" spans="1:32" ht="12.75" x14ac:dyDescent="0.2">
      <c r="A494" s="3">
        <f ca="1">'ETF price'!B496-'ETF price'!B495</f>
        <v>0.73000000000001819</v>
      </c>
      <c r="B494" s="3">
        <f ca="1">'ETF price'!C496-'ETF price'!C495</f>
        <v>1.6700000000000159</v>
      </c>
      <c r="C494" s="3">
        <f ca="1">'ETF price'!D496-'ETF price'!D495</f>
        <v>0.15999999999999659</v>
      </c>
      <c r="D494" s="3">
        <f ca="1">'ETF price'!E496-'ETF price'!E495</f>
        <v>1.0099999999999909</v>
      </c>
      <c r="E494" s="3">
        <f ca="1">'ETF price'!F496-'ETF price'!F495</f>
        <v>0.45000000000000284</v>
      </c>
      <c r="F494" s="3">
        <f ca="1">'ETF price'!G496-'ETF price'!G495</f>
        <v>0.33999999999999986</v>
      </c>
      <c r="G494" s="3">
        <f ca="1">'ETF price'!H496-'ETF price'!H495</f>
        <v>0.33999999999999986</v>
      </c>
      <c r="H494" s="3">
        <f ca="1">'ETF price'!I496-'ETF price'!I495</f>
        <v>0.90000000000000568</v>
      </c>
      <c r="I494" s="3">
        <f ca="1">'ETF price'!J496-'ETF price'!J495</f>
        <v>1.3700000000000045</v>
      </c>
      <c r="J494" s="3">
        <f ca="1">'ETF price'!K496-'ETF price'!K495</f>
        <v>2.089999999999975</v>
      </c>
      <c r="K494" s="3">
        <f ca="1">'ETF price'!L496-'ETF price'!L495</f>
        <v>2.1400000000000006</v>
      </c>
      <c r="L494" s="3">
        <f ca="1">'ETF price'!M496-'ETF price'!M495</f>
        <v>1.3200000000000074</v>
      </c>
      <c r="M494" s="3">
        <f ca="1">'ETF price'!N496-'ETF price'!N495</f>
        <v>0.59000000000000341</v>
      </c>
      <c r="N494" s="3">
        <f ca="1">'ETF price'!O496-'ETF price'!O495</f>
        <v>1.6000000000000014</v>
      </c>
      <c r="O494" s="3">
        <f ca="1">'ETF price'!P496-'ETF price'!P495</f>
        <v>1.0099999999999909</v>
      </c>
      <c r="P494" s="3">
        <f ca="1">'ETF price'!Q496-'ETF price'!Q495</f>
        <v>0.39000000000000057</v>
      </c>
      <c r="Q494" s="3">
        <f ca="1">'ETF price'!R496-'ETF price'!R495</f>
        <v>0.78000000000000114</v>
      </c>
      <c r="R494" s="3">
        <f ca="1">'ETF price'!S496-'ETF price'!S495</f>
        <v>1.8000000000000043</v>
      </c>
      <c r="S494" s="3">
        <f ca="1">'ETF price'!T496-'ETF price'!T495</f>
        <v>0.16999999999999815</v>
      </c>
      <c r="T494" s="3">
        <f ca="1">'ETF price'!U496-'ETF price'!U495</f>
        <v>1.269999999999996</v>
      </c>
      <c r="U494" s="3">
        <f ca="1">'ETF price'!V496-'ETF price'!V495</f>
        <v>2.3500000000000014</v>
      </c>
      <c r="V494" s="3">
        <f ca="1">'ETF price'!W496-'ETF price'!W495</f>
        <v>0.28000000000000114</v>
      </c>
      <c r="W494" s="3">
        <f ca="1">'ETF price'!X496-'ETF price'!X495</f>
        <v>0.35000000000000853</v>
      </c>
      <c r="X494" s="3">
        <f ca="1">'ETF price'!Y496-'ETF price'!Y495</f>
        <v>0.5800000000000054</v>
      </c>
      <c r="Y494" s="3">
        <f ca="1">'ETF price'!Z496-'ETF price'!Z495</f>
        <v>0.70000000000000284</v>
      </c>
      <c r="Z494" s="3">
        <f ca="1">'ETF price'!AA496-'ETF price'!AA495</f>
        <v>0.27000000000000313</v>
      </c>
      <c r="AA494" s="3">
        <f ca="1">'ETF price'!AB496-'ETF price'!AB495</f>
        <v>0.77000000000000313</v>
      </c>
      <c r="AB494" s="3">
        <f ca="1">'ETF price'!AC496-'ETF price'!AC495</f>
        <v>0.17999999999999972</v>
      </c>
      <c r="AC494" s="3">
        <f ca="1">'ETF price'!AD496-'ETF price'!AD495</f>
        <v>-9.9999999999997868E-3</v>
      </c>
      <c r="AD494" s="3">
        <f ca="1">'ETF price'!AE496-'ETF price'!AE495</f>
        <v>0.12000000000000099</v>
      </c>
      <c r="AE494" s="3">
        <f ca="1">'ETF price'!AF496-'ETF price'!AF495</f>
        <v>4.0000000000000036E-2</v>
      </c>
      <c r="AF494" s="3">
        <f ca="1">'ETF price'!AG496-'ETF price'!AG495</f>
        <v>1.0900000000000034</v>
      </c>
    </row>
    <row r="495" spans="1:32" ht="12.75" x14ac:dyDescent="0.2">
      <c r="A495" s="3">
        <f ca="1">'ETF price'!B497-'ETF price'!B496</f>
        <v>-2.910000000000025</v>
      </c>
      <c r="B495" s="3">
        <f ca="1">'ETF price'!C497-'ETF price'!C496</f>
        <v>-7.7799999999999727</v>
      </c>
      <c r="C495" s="3">
        <f ca="1">'ETF price'!D497-'ETF price'!D496</f>
        <v>0.65000000000000568</v>
      </c>
      <c r="D495" s="3">
        <f ca="1">'ETF price'!E497-'ETF price'!E496</f>
        <v>-6</v>
      </c>
      <c r="E495" s="3">
        <f ca="1">'ETF price'!F497-'ETF price'!F496</f>
        <v>-0.78000000000000114</v>
      </c>
      <c r="F495" s="3">
        <f ca="1">'ETF price'!G497-'ETF price'!G496</f>
        <v>-0.67999999999999972</v>
      </c>
      <c r="G495" s="3">
        <f ca="1">'ETF price'!H497-'ETF price'!H496</f>
        <v>-0.66000000000000014</v>
      </c>
      <c r="H495" s="3">
        <f ca="1">'ETF price'!I497-'ETF price'!I496</f>
        <v>-1.9500000000000171</v>
      </c>
      <c r="I495" s="3">
        <f ca="1">'ETF price'!J497-'ETF price'!J496</f>
        <v>-4.1200000000000045</v>
      </c>
      <c r="J495" s="3">
        <f ca="1">'ETF price'!K497-'ETF price'!K496</f>
        <v>-4.039999999999992</v>
      </c>
      <c r="K495" s="3">
        <f ca="1">'ETF price'!L497-'ETF price'!L496</f>
        <v>-3.8400000000000034</v>
      </c>
      <c r="L495" s="3">
        <f ca="1">'ETF price'!M497-'ETF price'!M496</f>
        <v>-2.0000000000000071</v>
      </c>
      <c r="M495" s="3">
        <f ca="1">'ETF price'!N497-'ETF price'!N496</f>
        <v>-1.0600000000000023</v>
      </c>
      <c r="N495" s="3">
        <f ca="1">'ETF price'!O497-'ETF price'!O496</f>
        <v>-2.0700000000000003</v>
      </c>
      <c r="O495" s="3">
        <f ca="1">'ETF price'!P497-'ETF price'!P496</f>
        <v>-0.78999999999999204</v>
      </c>
      <c r="P495" s="3">
        <f ca="1">'ETF price'!Q497-'ETF price'!Q496</f>
        <v>-1.2999999999999972</v>
      </c>
      <c r="Q495" s="3">
        <f ca="1">'ETF price'!R497-'ETF price'!R496</f>
        <v>-1.3099999999999881</v>
      </c>
      <c r="R495" s="3">
        <f ca="1">'ETF price'!S497-'ETF price'!S496</f>
        <v>-1.1000000000000014</v>
      </c>
      <c r="S495" s="3">
        <f ca="1">'ETF price'!T497-'ETF price'!T496</f>
        <v>-0.25999999999999801</v>
      </c>
      <c r="T495" s="3">
        <f ca="1">'ETF price'!U497-'ETF price'!U496</f>
        <v>-0.56999999999999318</v>
      </c>
      <c r="U495" s="3">
        <f ca="1">'ETF price'!V497-'ETF price'!V496</f>
        <v>-2.3100000000000023</v>
      </c>
      <c r="V495" s="3">
        <f ca="1">'ETF price'!W497-'ETF price'!W496</f>
        <v>-0.67000000000000171</v>
      </c>
      <c r="W495" s="3">
        <f ca="1">'ETF price'!X497-'ETF price'!X496</f>
        <v>-1.6200000000000045</v>
      </c>
      <c r="X495" s="3">
        <f ca="1">'ETF price'!Y497-'ETF price'!Y496</f>
        <v>-0.99000000000000199</v>
      </c>
      <c r="Y495" s="3">
        <f ca="1">'ETF price'!Z497-'ETF price'!Z496</f>
        <v>-1.8900000000000006</v>
      </c>
      <c r="Z495" s="3">
        <f ca="1">'ETF price'!AA497-'ETF price'!AA496</f>
        <v>-0.5</v>
      </c>
      <c r="AA495" s="3">
        <f ca="1">'ETF price'!AB497-'ETF price'!AB496</f>
        <v>-1.2299999999999969</v>
      </c>
      <c r="AB495" s="3">
        <f ca="1">'ETF price'!AC497-'ETF price'!AC496</f>
        <v>0.29999999999999716</v>
      </c>
      <c r="AC495" s="3">
        <f ca="1">'ETF price'!AD497-'ETF price'!AD496</f>
        <v>-1.6500000000000004</v>
      </c>
      <c r="AD495" s="3">
        <f ca="1">'ETF price'!AE497-'ETF price'!AE496</f>
        <v>0.5</v>
      </c>
      <c r="AE495" s="3">
        <f ca="1">'ETF price'!AF497-'ETF price'!AF496</f>
        <v>-8.9999999999999858E-2</v>
      </c>
      <c r="AF495" s="3">
        <f ca="1">'ETF price'!AG497-'ETF price'!AG496</f>
        <v>0.46999999999999886</v>
      </c>
    </row>
    <row r="496" spans="1:32" ht="12.75" x14ac:dyDescent="0.2">
      <c r="A496" s="3">
        <f ca="1">'ETF price'!B498-'ETF price'!B497</f>
        <v>2.1300000000000239</v>
      </c>
      <c r="B496" s="3">
        <f ca="1">'ETF price'!C498-'ETF price'!C497</f>
        <v>5.9199999999999591</v>
      </c>
      <c r="C496" s="3">
        <f ca="1">'ETF price'!D498-'ETF price'!D497</f>
        <v>0</v>
      </c>
      <c r="D496" s="3">
        <f ca="1">'ETF price'!E498-'ETF price'!E497</f>
        <v>5.1000000000000227</v>
      </c>
      <c r="E496" s="3">
        <f ca="1">'ETF price'!F498-'ETF price'!F497</f>
        <v>0.57000000000000028</v>
      </c>
      <c r="F496" s="3">
        <f ca="1">'ETF price'!G498-'ETF price'!G497</f>
        <v>0.58999999999999986</v>
      </c>
      <c r="G496" s="3">
        <f ca="1">'ETF price'!H498-'ETF price'!H497</f>
        <v>0.48000000000000043</v>
      </c>
      <c r="H496" s="3">
        <f ca="1">'ETF price'!I498-'ETF price'!I497</f>
        <v>1.6200000000000045</v>
      </c>
      <c r="I496" s="3">
        <f ca="1">'ETF price'!J498-'ETF price'!J497</f>
        <v>3.3299999999999841</v>
      </c>
      <c r="J496" s="3">
        <f ca="1">'ETF price'!K498-'ETF price'!K497</f>
        <v>2.0300000000000011</v>
      </c>
      <c r="K496" s="3">
        <f ca="1">'ETF price'!L498-'ETF price'!L497</f>
        <v>2.0100000000000051</v>
      </c>
      <c r="L496" s="3">
        <f ca="1">'ETF price'!M498-'ETF price'!M497</f>
        <v>1.1799999999999997</v>
      </c>
      <c r="M496" s="3">
        <f ca="1">'ETF price'!N498-'ETF price'!N497</f>
        <v>0.89000000000000057</v>
      </c>
      <c r="N496" s="3">
        <f ca="1">'ETF price'!O498-'ETF price'!O497</f>
        <v>0.96999999999999886</v>
      </c>
      <c r="O496" s="3">
        <f ca="1">'ETF price'!P498-'ETF price'!P497</f>
        <v>0.32999999999999829</v>
      </c>
      <c r="P496" s="3">
        <f ca="1">'ETF price'!Q498-'ETF price'!Q497</f>
        <v>0.67000000000000171</v>
      </c>
      <c r="Q496" s="3">
        <f ca="1">'ETF price'!R498-'ETF price'!R497</f>
        <v>0.88999999999998636</v>
      </c>
      <c r="R496" s="3">
        <f ca="1">'ETF price'!S498-'ETF price'!S497</f>
        <v>1.3399999999999963</v>
      </c>
      <c r="S496" s="3">
        <f ca="1">'ETF price'!T498-'ETF price'!T497</f>
        <v>3.9999999999999147E-2</v>
      </c>
      <c r="T496" s="3">
        <f ca="1">'ETF price'!U498-'ETF price'!U497</f>
        <v>0.23999999999999488</v>
      </c>
      <c r="U496" s="3">
        <f ca="1">'ETF price'!V498-'ETF price'!V497</f>
        <v>2.4200000000000017</v>
      </c>
      <c r="V496" s="3">
        <f ca="1">'ETF price'!W498-'ETF price'!W497</f>
        <v>0.35999999999999943</v>
      </c>
      <c r="W496" s="3">
        <f ca="1">'ETF price'!X498-'ETF price'!X497</f>
        <v>0.82999999999999829</v>
      </c>
      <c r="X496" s="3">
        <f ca="1">'ETF price'!Y498-'ETF price'!Y497</f>
        <v>0.43999999999999773</v>
      </c>
      <c r="Y496" s="3">
        <f ca="1">'ETF price'!Z498-'ETF price'!Z497</f>
        <v>0.64000000000000057</v>
      </c>
      <c r="Z496" s="3">
        <f ca="1">'ETF price'!AA498-'ETF price'!AA497</f>
        <v>0.32999999999999829</v>
      </c>
      <c r="AA496" s="3">
        <f ca="1">'ETF price'!AB498-'ETF price'!AB497</f>
        <v>0.55999999999999517</v>
      </c>
      <c r="AB496" s="3">
        <f ca="1">'ETF price'!AC498-'ETF price'!AC497</f>
        <v>0.17999999999999972</v>
      </c>
      <c r="AC496" s="3">
        <f ca="1">'ETF price'!AD498-'ETF price'!AD497</f>
        <v>0.1899999999999995</v>
      </c>
      <c r="AD496" s="3">
        <f ca="1">'ETF price'!AE498-'ETF price'!AE497</f>
        <v>0.10999999999999943</v>
      </c>
      <c r="AE496" s="3">
        <f ca="1">'ETF price'!AF498-'ETF price'!AF497</f>
        <v>0.25999999999999979</v>
      </c>
      <c r="AF496" s="3">
        <f ca="1">'ETF price'!AG498-'ETF price'!AG497</f>
        <v>3.3499999999999943</v>
      </c>
    </row>
    <row r="497" spans="1:32" ht="12.75" x14ac:dyDescent="0.2">
      <c r="A497" s="3">
        <f ca="1">'ETF price'!B499-'ETF price'!B498</f>
        <v>0.25</v>
      </c>
      <c r="B497" s="3">
        <f ca="1">'ETF price'!C499-'ETF price'!C498</f>
        <v>0.47000000000002728</v>
      </c>
      <c r="C497" s="3">
        <f ca="1">'ETF price'!D499-'ETF price'!D498</f>
        <v>6.0000000000002274E-2</v>
      </c>
      <c r="D497" s="3">
        <f ca="1">'ETF price'!E499-'ETF price'!E498</f>
        <v>0.59999999999999432</v>
      </c>
      <c r="E497" s="3">
        <f ca="1">'ETF price'!F499-'ETF price'!F498</f>
        <v>0.25</v>
      </c>
      <c r="F497" s="3">
        <f ca="1">'ETF price'!G499-'ETF price'!G498</f>
        <v>-0.10999999999999943</v>
      </c>
      <c r="G497" s="3">
        <f ca="1">'ETF price'!H499-'ETF price'!H498</f>
        <v>5.0000000000000711E-2</v>
      </c>
      <c r="H497" s="3">
        <f ca="1">'ETF price'!I499-'ETF price'!I498</f>
        <v>0.67000000000001592</v>
      </c>
      <c r="I497" s="3">
        <f ca="1">'ETF price'!J499-'ETF price'!J498</f>
        <v>1.710000000000008</v>
      </c>
      <c r="J497" s="3">
        <f ca="1">'ETF price'!K499-'ETF price'!K498</f>
        <v>2.8600000000000136</v>
      </c>
      <c r="K497" s="3">
        <f ca="1">'ETF price'!L499-'ETF price'!L498</f>
        <v>2.9500000000000028</v>
      </c>
      <c r="L497" s="3">
        <f ca="1">'ETF price'!M499-'ETF price'!M498</f>
        <v>0.96000000000000796</v>
      </c>
      <c r="M497" s="3">
        <f ca="1">'ETF price'!N499-'ETF price'!N498</f>
        <v>0.45000000000000284</v>
      </c>
      <c r="N497" s="3">
        <f ca="1">'ETF price'!O499-'ETF price'!O498</f>
        <v>0.89999999999999858</v>
      </c>
      <c r="O497" s="3">
        <f ca="1">'ETF price'!P499-'ETF price'!P498</f>
        <v>0.25</v>
      </c>
      <c r="P497" s="3">
        <f ca="1">'ETF price'!Q499-'ETF price'!Q498</f>
        <v>0.32999999999999829</v>
      </c>
      <c r="Q497" s="3">
        <f ca="1">'ETF price'!R499-'ETF price'!R498</f>
        <v>0.53000000000000114</v>
      </c>
      <c r="R497" s="3">
        <f ca="1">'ETF price'!S499-'ETF price'!S498</f>
        <v>0.65000000000000568</v>
      </c>
      <c r="S497" s="3">
        <f ca="1">'ETF price'!T499-'ETF price'!T498</f>
        <v>-3.9999999999999147E-2</v>
      </c>
      <c r="T497" s="3">
        <f ca="1">'ETF price'!U499-'ETF price'!U498</f>
        <v>-0.34000000000000341</v>
      </c>
      <c r="U497" s="3">
        <f ca="1">'ETF price'!V499-'ETF price'!V498</f>
        <v>-0.46999999999999886</v>
      </c>
      <c r="V497" s="3">
        <f ca="1">'ETF price'!W499-'ETF price'!W498</f>
        <v>8.00000000000054E-2</v>
      </c>
      <c r="W497" s="3">
        <f ca="1">'ETF price'!X499-'ETF price'!X498</f>
        <v>0.29000000000000625</v>
      </c>
      <c r="X497" s="3">
        <f ca="1">'ETF price'!Y499-'ETF price'!Y498</f>
        <v>0.21000000000000085</v>
      </c>
      <c r="Y497" s="3">
        <f ca="1">'ETF price'!Z499-'ETF price'!Z498</f>
        <v>0.31000000000000227</v>
      </c>
      <c r="Z497" s="3">
        <f ca="1">'ETF price'!AA499-'ETF price'!AA498</f>
        <v>0.15999999999999659</v>
      </c>
      <c r="AA497" s="3">
        <f ca="1">'ETF price'!AB499-'ETF price'!AB498</f>
        <v>0.32999999999999829</v>
      </c>
      <c r="AB497" s="3">
        <f ca="1">'ETF price'!AC499-'ETF price'!AC498</f>
        <v>0.21000000000000085</v>
      </c>
      <c r="AC497" s="3">
        <f ca="1">'ETF price'!AD499-'ETF price'!AD498</f>
        <v>0.23000000000000043</v>
      </c>
      <c r="AD497" s="3">
        <f ca="1">'ETF price'!AE499-'ETF price'!AE498</f>
        <v>-3.9999999999999147E-2</v>
      </c>
      <c r="AE497" s="3">
        <f ca="1">'ETF price'!AF499-'ETF price'!AF498</f>
        <v>5.9999999999999609E-2</v>
      </c>
      <c r="AF497" s="3">
        <f ca="1">'ETF price'!AG499-'ETF price'!AG498</f>
        <v>2.720000000000006</v>
      </c>
    </row>
    <row r="498" spans="1:32" ht="12.75" x14ac:dyDescent="0.2">
      <c r="A498" s="3">
        <f ca="1">'ETF price'!B500-'ETF price'!B499</f>
        <v>0.79999999999998295</v>
      </c>
      <c r="B498" s="3">
        <f ca="1">'ETF price'!C500-'ETF price'!C499</f>
        <v>2.3899999999999864</v>
      </c>
      <c r="C498" s="3">
        <f ca="1">'ETF price'!D500-'ETF price'!D499</f>
        <v>-0.56000000000000227</v>
      </c>
      <c r="D498" s="3">
        <f ca="1">'ETF price'!E500-'ETF price'!E499</f>
        <v>3.3599999999999852</v>
      </c>
      <c r="E498" s="3">
        <f ca="1">'ETF price'!F500-'ETF price'!F499</f>
        <v>0.35999999999999943</v>
      </c>
      <c r="F498" s="3">
        <f ca="1">'ETF price'!G500-'ETF price'!G499</f>
        <v>0.21999999999999886</v>
      </c>
      <c r="G498" s="3">
        <f ca="1">'ETF price'!H500-'ETF price'!H499</f>
        <v>0.16000000000000014</v>
      </c>
      <c r="H498" s="3">
        <f ca="1">'ETF price'!I500-'ETF price'!I499</f>
        <v>0.29999999999998295</v>
      </c>
      <c r="I498" s="3">
        <f ca="1">'ETF price'!J500-'ETF price'!J499</f>
        <v>0.86000000000001364</v>
      </c>
      <c r="J498" s="3">
        <f ca="1">'ETF price'!K500-'ETF price'!K499</f>
        <v>1.2599999999999909</v>
      </c>
      <c r="K498" s="3">
        <f ca="1">'ETF price'!L500-'ETF price'!L499</f>
        <v>1.8399999999999892</v>
      </c>
      <c r="L498" s="3">
        <f ca="1">'ETF price'!M500-'ETF price'!M499</f>
        <v>0.5899999999999892</v>
      </c>
      <c r="M498" s="3">
        <f ca="1">'ETF price'!N500-'ETF price'!N499</f>
        <v>0.20999999999999375</v>
      </c>
      <c r="N498" s="3">
        <f ca="1">'ETF price'!O500-'ETF price'!O499</f>
        <v>0.60000000000000142</v>
      </c>
      <c r="O498" s="3">
        <f ca="1">'ETF price'!P500-'ETF price'!P499</f>
        <v>0.72999999999998977</v>
      </c>
      <c r="P498" s="3">
        <f ca="1">'ETF price'!Q500-'ETF price'!Q499</f>
        <v>1.1499999999999915</v>
      </c>
      <c r="Q498" s="3">
        <f ca="1">'ETF price'!R500-'ETF price'!R499</f>
        <v>0.40000000000000568</v>
      </c>
      <c r="R498" s="3">
        <f ca="1">'ETF price'!S500-'ETF price'!S499</f>
        <v>0.5</v>
      </c>
      <c r="S498" s="3">
        <f ca="1">'ETF price'!T500-'ETF price'!T499</f>
        <v>0.21999999999999886</v>
      </c>
      <c r="T498" s="3">
        <f ca="1">'ETF price'!U500-'ETF price'!U499</f>
        <v>1.519999999999996</v>
      </c>
      <c r="U498" s="3">
        <f ca="1">'ETF price'!V500-'ETF price'!V499</f>
        <v>1.0699999999999932</v>
      </c>
      <c r="V498" s="3">
        <f ca="1">'ETF price'!W500-'ETF price'!W499</f>
        <v>0.14999999999999858</v>
      </c>
      <c r="W498" s="3">
        <f ca="1">'ETF price'!X500-'ETF price'!X499</f>
        <v>0.5</v>
      </c>
      <c r="X498" s="3">
        <f ca="1">'ETF price'!Y500-'ETF price'!Y499</f>
        <v>0.60999999999999943</v>
      </c>
      <c r="Y498" s="3">
        <f ca="1">'ETF price'!Z500-'ETF price'!Z499</f>
        <v>0.46999999999999886</v>
      </c>
      <c r="Z498" s="3">
        <f ca="1">'ETF price'!AA500-'ETF price'!AA499</f>
        <v>0.29000000000000625</v>
      </c>
      <c r="AA498" s="3">
        <f ca="1">'ETF price'!AB500-'ETF price'!AB499</f>
        <v>0.81000000000000227</v>
      </c>
      <c r="AB498" s="3">
        <f ca="1">'ETF price'!AC500-'ETF price'!AC499</f>
        <v>-0.19999999999999574</v>
      </c>
      <c r="AC498" s="3">
        <f ca="1">'ETF price'!AD500-'ETF price'!AD499</f>
        <v>-0.54999999999999893</v>
      </c>
      <c r="AD498" s="3">
        <f ca="1">'ETF price'!AE500-'ETF price'!AE499</f>
        <v>-0.7900000000000027</v>
      </c>
      <c r="AE498" s="3">
        <f ca="1">'ETF price'!AF500-'ETF price'!AF499</f>
        <v>6.0000000000000497E-2</v>
      </c>
      <c r="AF498" s="3">
        <f ca="1">'ETF price'!AG500-'ETF price'!AG499</f>
        <v>7.9999999999998295E-2</v>
      </c>
    </row>
    <row r="499" spans="1:32" ht="12.75" x14ac:dyDescent="0.2">
      <c r="A499" s="3">
        <f ca="1">'ETF price'!B501-'ETF price'!B500</f>
        <v>-9.9999999999909051E-3</v>
      </c>
      <c r="B499" s="3">
        <f ca="1">'ETF price'!C501-'ETF price'!C500</f>
        <v>0.47000000000002728</v>
      </c>
      <c r="C499" s="3">
        <f ca="1">'ETF price'!D501-'ETF price'!D500</f>
        <v>-3.230000000000004</v>
      </c>
      <c r="D499" s="3">
        <f ca="1">'ETF price'!E501-'ETF price'!E500</f>
        <v>0.5</v>
      </c>
      <c r="E499" s="3">
        <f ca="1">'ETF price'!F501-'ETF price'!F500</f>
        <v>-0.19999999999999574</v>
      </c>
      <c r="F499" s="3">
        <f ca="1">'ETF price'!G501-'ETF price'!G500</f>
        <v>8.0000000000001847E-2</v>
      </c>
      <c r="G499" s="3">
        <f ca="1">'ETF price'!H501-'ETF price'!H500</f>
        <v>5.0000000000000711E-2</v>
      </c>
      <c r="H499" s="3">
        <f ca="1">'ETF price'!I501-'ETF price'!I500</f>
        <v>0.56999999999999318</v>
      </c>
      <c r="I499" s="3">
        <f ca="1">'ETF price'!J501-'ETF price'!J500</f>
        <v>1.2399999999999807</v>
      </c>
      <c r="J499" s="3">
        <f ca="1">'ETF price'!K501-'ETF price'!K500</f>
        <v>1.8300000000000125</v>
      </c>
      <c r="K499" s="3">
        <f ca="1">'ETF price'!L501-'ETF price'!L500</f>
        <v>1.3700000000000045</v>
      </c>
      <c r="L499" s="3">
        <f ca="1">'ETF price'!M501-'ETF price'!M500</f>
        <v>0.43999999999999773</v>
      </c>
      <c r="M499" s="3">
        <f ca="1">'ETF price'!N501-'ETF price'!N500</f>
        <v>0.34000000000000341</v>
      </c>
      <c r="N499" s="3">
        <f ca="1">'ETF price'!O501-'ETF price'!O500</f>
        <v>9.0000000000003411E-2</v>
      </c>
      <c r="O499" s="3">
        <f ca="1">'ETF price'!P501-'ETF price'!P500</f>
        <v>-0.37999999999999545</v>
      </c>
      <c r="P499" s="3">
        <f ca="1">'ETF price'!Q501-'ETF price'!Q500</f>
        <v>-0.69999999999998863</v>
      </c>
      <c r="Q499" s="3">
        <f ca="1">'ETF price'!R501-'ETF price'!R500</f>
        <v>0.20999999999999375</v>
      </c>
      <c r="R499" s="3">
        <f ca="1">'ETF price'!S501-'ETF price'!S500</f>
        <v>0.12999999999999545</v>
      </c>
      <c r="S499" s="3">
        <f ca="1">'ETF price'!T501-'ETF price'!T500</f>
        <v>-9.9999999999997868E-2</v>
      </c>
      <c r="T499" s="3">
        <f ca="1">'ETF price'!U501-'ETF price'!U500</f>
        <v>-1.289999999999992</v>
      </c>
      <c r="U499" s="3">
        <f ca="1">'ETF price'!V501-'ETF price'!V500</f>
        <v>2.0000000000003126E-2</v>
      </c>
      <c r="V499" s="3">
        <f ca="1">'ETF price'!W501-'ETF price'!W500</f>
        <v>0.11999999999999744</v>
      </c>
      <c r="W499" s="3">
        <f ca="1">'ETF price'!X501-'ETF price'!X500</f>
        <v>0.28999999999999204</v>
      </c>
      <c r="X499" s="3">
        <f ca="1">'ETF price'!Y501-'ETF price'!Y500</f>
        <v>-3.9999999999999147E-2</v>
      </c>
      <c r="Y499" s="3">
        <f ca="1">'ETF price'!Z501-'ETF price'!Z500</f>
        <v>0.22999999999998977</v>
      </c>
      <c r="Z499" s="3">
        <f ca="1">'ETF price'!AA501-'ETF price'!AA500</f>
        <v>0.22999999999999687</v>
      </c>
      <c r="AA499" s="3">
        <f ca="1">'ETF price'!AB501-'ETF price'!AB500</f>
        <v>-8.9999999999996305E-2</v>
      </c>
      <c r="AB499" s="3">
        <f ca="1">'ETF price'!AC501-'ETF price'!AC500</f>
        <v>1.9999999999996021E-2</v>
      </c>
      <c r="AC499" s="3">
        <f ca="1">'ETF price'!AD501-'ETF price'!AD500</f>
        <v>0.62999999999999901</v>
      </c>
      <c r="AD499" s="3">
        <f ca="1">'ETF price'!AE501-'ETF price'!AE500</f>
        <v>0.66000000000000014</v>
      </c>
      <c r="AE499" s="3">
        <f ca="1">'ETF price'!AF501-'ETF price'!AF500</f>
        <v>0.17999999999999972</v>
      </c>
      <c r="AF499" s="3">
        <f ca="1">'ETF price'!AG501-'ETF price'!AG500</f>
        <v>6.3100000000000023</v>
      </c>
    </row>
    <row r="500" spans="1:32" ht="12.75" x14ac:dyDescent="0.2">
      <c r="A500" s="3">
        <f ca="1">'ETF price'!B502-'ETF price'!B501</f>
        <v>0.22999999999998977</v>
      </c>
      <c r="B500" s="3">
        <f ca="1">'ETF price'!C502-'ETF price'!C501</f>
        <v>0.31999999999999318</v>
      </c>
      <c r="C500" s="3">
        <f ca="1">'ETF price'!D502-'ETF price'!D501</f>
        <v>-1.2099999999999937</v>
      </c>
      <c r="D500" s="3">
        <f ca="1">'ETF price'!E502-'ETF price'!E501</f>
        <v>-0.37000000000000455</v>
      </c>
      <c r="E500" s="3">
        <f ca="1">'ETF price'!F502-'ETF price'!F501</f>
        <v>-7.0000000000000284E-2</v>
      </c>
      <c r="F500" s="3">
        <f ca="1">'ETF price'!G502-'ETF price'!G501</f>
        <v>2.9999999999997584E-2</v>
      </c>
      <c r="G500" s="3">
        <f ca="1">'ETF price'!H502-'ETF price'!H501</f>
        <v>9.9999999999980105E-3</v>
      </c>
      <c r="H500" s="3">
        <f ca="1">'ETF price'!I502-'ETF price'!I501</f>
        <v>0.35000000000002274</v>
      </c>
      <c r="I500" s="3">
        <f ca="1">'ETF price'!J502-'ETF price'!J501</f>
        <v>0.61000000000001364</v>
      </c>
      <c r="J500" s="3">
        <f ca="1">'ETF price'!K502-'ETF price'!K501</f>
        <v>0.16999999999998749</v>
      </c>
      <c r="K500" s="3">
        <f ca="1">'ETF price'!L502-'ETF price'!L501</f>
        <v>3.0000000000001137E-2</v>
      </c>
      <c r="L500" s="3">
        <f ca="1">'ETF price'!M502-'ETF price'!M501</f>
        <v>-9.9999999999994316E-2</v>
      </c>
      <c r="M500" s="3">
        <f ca="1">'ETF price'!N502-'ETF price'!N501</f>
        <v>9.0000000000003411E-2</v>
      </c>
      <c r="N500" s="3">
        <f ca="1">'ETF price'!O502-'ETF price'!O501</f>
        <v>-1.0000000000005116E-2</v>
      </c>
      <c r="O500" s="3">
        <f ca="1">'ETF price'!P502-'ETF price'!P501</f>
        <v>-1.2999999999999972</v>
      </c>
      <c r="P500" s="3">
        <f ca="1">'ETF price'!Q502-'ETF price'!Q501</f>
        <v>-1.6899999999999977</v>
      </c>
      <c r="Q500" s="3">
        <f ca="1">'ETF price'!R502-'ETF price'!R501</f>
        <v>-0.32999999999999829</v>
      </c>
      <c r="R500" s="3">
        <f ca="1">'ETF price'!S502-'ETF price'!S501</f>
        <v>-0.65999999999999659</v>
      </c>
      <c r="S500" s="3">
        <f ca="1">'ETF price'!T502-'ETF price'!T501</f>
        <v>-0.19000000000000128</v>
      </c>
      <c r="T500" s="3">
        <f ca="1">'ETF price'!U502-'ETF price'!U501</f>
        <v>-1.7399999999999949</v>
      </c>
      <c r="U500" s="3">
        <f ca="1">'ETF price'!V502-'ETF price'!V501</f>
        <v>0.53999999999999915</v>
      </c>
      <c r="V500" s="3">
        <f ca="1">'ETF price'!W502-'ETF price'!W501</f>
        <v>0.10999999999999943</v>
      </c>
      <c r="W500" s="3">
        <f ca="1">'ETF price'!X502-'ETF price'!X501</f>
        <v>0.29000000000000625</v>
      </c>
      <c r="X500" s="3">
        <f ca="1">'ETF price'!Y502-'ETF price'!Y501</f>
        <v>7.9999999999998295E-2</v>
      </c>
      <c r="Y500" s="3">
        <f ca="1">'ETF price'!Z502-'ETF price'!Z501</f>
        <v>0.33000000000001251</v>
      </c>
      <c r="Z500" s="3">
        <f ca="1">'ETF price'!AA502-'ETF price'!AA501</f>
        <v>0.25</v>
      </c>
      <c r="AA500" s="3">
        <f ca="1">'ETF price'!AB502-'ETF price'!AB501</f>
        <v>0.12999999999999545</v>
      </c>
      <c r="AB500" s="3">
        <f ca="1">'ETF price'!AC502-'ETF price'!AC501</f>
        <v>-0.64000000000000057</v>
      </c>
      <c r="AC500" s="3">
        <f ca="1">'ETF price'!AD502-'ETF price'!AD501</f>
        <v>-0.16999999999999993</v>
      </c>
      <c r="AD500" s="3">
        <f ca="1">'ETF price'!AE502-'ETF price'!AE501</f>
        <v>-0.48999999999999844</v>
      </c>
      <c r="AE500" s="3">
        <f ca="1">'ETF price'!AF502-'ETF price'!AF501</f>
        <v>0.27000000000000046</v>
      </c>
      <c r="AF500" s="3">
        <f ca="1">'ETF price'!AG502-'ETF price'!AG501</f>
        <v>-4.1600000000000037</v>
      </c>
    </row>
    <row r="501" spans="1:32" ht="12.75" x14ac:dyDescent="0.2">
      <c r="A501" s="3">
        <f ca="1">'ETF price'!B503-'ETF price'!B502</f>
        <v>-0.59000000000000341</v>
      </c>
      <c r="B501" s="3">
        <f ca="1">'ETF price'!C503-'ETF price'!C502</f>
        <v>-2.7900000000000205</v>
      </c>
      <c r="C501" s="3">
        <f ca="1">'ETF price'!D503-'ETF price'!D502</f>
        <v>-0.81000000000000227</v>
      </c>
      <c r="D501" s="3">
        <f ca="1">'ETF price'!E503-'ETF price'!E502</f>
        <v>-1.4199999999999875</v>
      </c>
      <c r="E501" s="3">
        <f ca="1">'ETF price'!F503-'ETF price'!F502</f>
        <v>-0.29000000000000625</v>
      </c>
      <c r="F501" s="3">
        <f ca="1">'ETF price'!G503-'ETF price'!G502</f>
        <v>-0.21999999999999886</v>
      </c>
      <c r="G501" s="3">
        <f ca="1">'ETF price'!H503-'ETF price'!H502</f>
        <v>-0.14000000000000057</v>
      </c>
      <c r="H501" s="3">
        <f ca="1">'ETF price'!I503-'ETF price'!I502</f>
        <v>0.13999999999998636</v>
      </c>
      <c r="I501" s="3">
        <f ca="1">'ETF price'!J503-'ETF price'!J502</f>
        <v>-0.39000000000001478</v>
      </c>
      <c r="J501" s="3">
        <f ca="1">'ETF price'!K503-'ETF price'!K502</f>
        <v>-1.1800000000000068</v>
      </c>
      <c r="K501" s="3">
        <f ca="1">'ETF price'!L503-'ETF price'!L502</f>
        <v>-1.5699999999999932</v>
      </c>
      <c r="L501" s="3">
        <f ca="1">'ETF price'!M503-'ETF price'!M502</f>
        <v>-0.76999999999999602</v>
      </c>
      <c r="M501" s="3">
        <f ca="1">'ETF price'!N503-'ETF price'!N502</f>
        <v>-4.0000000000006253E-2</v>
      </c>
      <c r="N501" s="3">
        <f ca="1">'ETF price'!O503-'ETF price'!O502</f>
        <v>-0.85000000000000142</v>
      </c>
      <c r="O501" s="3">
        <f ca="1">'ETF price'!P503-'ETF price'!P502</f>
        <v>-0.18999999999999773</v>
      </c>
      <c r="P501" s="3">
        <f ca="1">'ETF price'!Q503-'ETF price'!Q502</f>
        <v>-0.40000000000000568</v>
      </c>
      <c r="Q501" s="3">
        <f ca="1">'ETF price'!R503-'ETF price'!R502</f>
        <v>-0.3399999999999892</v>
      </c>
      <c r="R501" s="3">
        <f ca="1">'ETF price'!S503-'ETF price'!S502</f>
        <v>-0.91000000000000369</v>
      </c>
      <c r="S501" s="3">
        <f ca="1">'ETF price'!T503-'ETF price'!T502</f>
        <v>-0.12000000000000099</v>
      </c>
      <c r="T501" s="3">
        <f ca="1">'ETF price'!U503-'ETF price'!U502</f>
        <v>-0.53000000000000114</v>
      </c>
      <c r="U501" s="3">
        <f ca="1">'ETF price'!V503-'ETF price'!V502</f>
        <v>-0.86999999999999744</v>
      </c>
      <c r="V501" s="3">
        <f ca="1">'ETF price'!W503-'ETF price'!W502</f>
        <v>-0.11999999999999744</v>
      </c>
      <c r="W501" s="3">
        <f ca="1">'ETF price'!X503-'ETF price'!X502</f>
        <v>-0.40999999999999659</v>
      </c>
      <c r="X501" s="3">
        <f ca="1">'ETF price'!Y503-'ETF price'!Y502</f>
        <v>-0.59999999999999432</v>
      </c>
      <c r="Y501" s="3">
        <f ca="1">'ETF price'!Z503-'ETF price'!Z502</f>
        <v>-0.27000000000001023</v>
      </c>
      <c r="Z501" s="3">
        <f ca="1">'ETF price'!AA503-'ETF price'!AA502</f>
        <v>-0.43999999999999773</v>
      </c>
      <c r="AA501" s="3">
        <f ca="1">'ETF price'!AB503-'ETF price'!AB502</f>
        <v>-0.82999999999999829</v>
      </c>
      <c r="AB501" s="3">
        <f ca="1">'ETF price'!AC503-'ETF price'!AC502</f>
        <v>0.23000000000000398</v>
      </c>
      <c r="AC501" s="3">
        <f ca="1">'ETF price'!AD503-'ETF price'!AD502</f>
        <v>-0.29999999999999893</v>
      </c>
      <c r="AD501" s="3">
        <f ca="1">'ETF price'!AE503-'ETF price'!AE502</f>
        <v>-0.33000000000000185</v>
      </c>
      <c r="AE501" s="3">
        <f ca="1">'ETF price'!AF503-'ETF price'!AF502</f>
        <v>0.47999999999999954</v>
      </c>
      <c r="AF501" s="3">
        <f ca="1">'ETF price'!AG503-'ETF price'!AG502</f>
        <v>-6.3699999999999974</v>
      </c>
    </row>
    <row r="502" spans="1:32" ht="12.75" x14ac:dyDescent="0.2">
      <c r="A502" s="3">
        <f ca="1">'ETF price'!B504-'ETF price'!B503</f>
        <v>-5.039999999999992</v>
      </c>
      <c r="B502" s="3">
        <f ca="1">'ETF price'!C504-'ETF price'!C503</f>
        <v>-12.70999999999998</v>
      </c>
      <c r="C502" s="3">
        <f ca="1">'ETF price'!D504-'ETF price'!D503</f>
        <v>0.12000000000000455</v>
      </c>
      <c r="D502" s="3">
        <f ca="1">'ETF price'!E504-'ETF price'!E503</f>
        <v>-6.9099999999999966</v>
      </c>
      <c r="E502" s="3">
        <f ca="1">'ETF price'!F504-'ETF price'!F503</f>
        <v>-1.019999999999996</v>
      </c>
      <c r="F502" s="3">
        <f ca="1">'ETF price'!G504-'ETF price'!G503</f>
        <v>-0.78999999999999915</v>
      </c>
      <c r="G502" s="3">
        <f ca="1">'ETF price'!H504-'ETF price'!H503</f>
        <v>-0.34999999999999787</v>
      </c>
      <c r="H502" s="3">
        <f ca="1">'ETF price'!I504-'ETF price'!I503</f>
        <v>2.4000000000000057</v>
      </c>
      <c r="I502" s="3">
        <f ca="1">'ETF price'!J504-'ETF price'!J503</f>
        <v>3.8800000000000239</v>
      </c>
      <c r="J502" s="3">
        <f ca="1">'ETF price'!K504-'ETF price'!K503</f>
        <v>2.2199999999999989</v>
      </c>
      <c r="K502" s="3">
        <f ca="1">'ETF price'!L504-'ETF price'!L503</f>
        <v>0.93999999999999773</v>
      </c>
      <c r="L502" s="3">
        <f ca="1">'ETF price'!M504-'ETF price'!M503</f>
        <v>0.75999999999999091</v>
      </c>
      <c r="M502" s="3">
        <f ca="1">'ETF price'!N504-'ETF price'!N503</f>
        <v>0.98000000000000398</v>
      </c>
      <c r="N502" s="3">
        <f ca="1">'ETF price'!O504-'ETF price'!O503</f>
        <v>0.49000000000000199</v>
      </c>
      <c r="O502" s="3">
        <f ca="1">'ETF price'!P504-'ETF price'!P503</f>
        <v>0.89999999999999147</v>
      </c>
      <c r="P502" s="3">
        <f ca="1">'ETF price'!Q504-'ETF price'!Q503</f>
        <v>1.1700000000000017</v>
      </c>
      <c r="Q502" s="3">
        <f ca="1">'ETF price'!R504-'ETF price'!R503</f>
        <v>-0.15000000000000568</v>
      </c>
      <c r="R502" s="3">
        <f ca="1">'ETF price'!S504-'ETF price'!S503</f>
        <v>-0.50999999999999801</v>
      </c>
      <c r="S502" s="3">
        <f ca="1">'ETF price'!T504-'ETF price'!T503</f>
        <v>-0.17999999999999972</v>
      </c>
      <c r="T502" s="3">
        <f ca="1">'ETF price'!U504-'ETF price'!U503</f>
        <v>-0.88000000000000966</v>
      </c>
      <c r="U502" s="3">
        <f ca="1">'ETF price'!V504-'ETF price'!V503</f>
        <v>-1.2800000000000011</v>
      </c>
      <c r="V502" s="3">
        <f ca="1">'ETF price'!W504-'ETF price'!W503</f>
        <v>0.15999999999999659</v>
      </c>
      <c r="W502" s="3">
        <f ca="1">'ETF price'!X504-'ETF price'!X503</f>
        <v>5.9999999999988063E-2</v>
      </c>
      <c r="X502" s="3">
        <f ca="1">'ETF price'!Y504-'ETF price'!Y503</f>
        <v>0.17999999999999972</v>
      </c>
      <c r="Y502" s="3">
        <f ca="1">'ETF price'!Z504-'ETF price'!Z503</f>
        <v>0.23000000000000398</v>
      </c>
      <c r="Z502" s="3">
        <f ca="1">'ETF price'!AA504-'ETF price'!AA503</f>
        <v>0.36999999999999744</v>
      </c>
      <c r="AA502" s="3">
        <f ca="1">'ETF price'!AB504-'ETF price'!AB503</f>
        <v>0.17000000000000171</v>
      </c>
      <c r="AB502" s="3">
        <f ca="1">'ETF price'!AC504-'ETF price'!AC503</f>
        <v>0.29999999999999716</v>
      </c>
      <c r="AC502" s="3">
        <f ca="1">'ETF price'!AD504-'ETF price'!AD503</f>
        <v>0.64999999999999858</v>
      </c>
      <c r="AD502" s="3">
        <f ca="1">'ETF price'!AE504-'ETF price'!AE503</f>
        <v>1.4000000000000021</v>
      </c>
      <c r="AE502" s="3">
        <f ca="1">'ETF price'!AF504-'ETF price'!AF503</f>
        <v>-0.26999999999999957</v>
      </c>
      <c r="AF502" s="3">
        <f ca="1">'ETF price'!AG504-'ETF price'!AG503</f>
        <v>-1.4299999999999997</v>
      </c>
    </row>
    <row r="503" spans="1:32" ht="12.75" x14ac:dyDescent="0.2">
      <c r="A503" s="3">
        <f ca="1">'ETF price'!B505-'ETF price'!B504</f>
        <v>-1.9099999999999966</v>
      </c>
      <c r="B503" s="3">
        <f ca="1">'ETF price'!C505-'ETF price'!C504</f>
        <v>-6.3100000000000023</v>
      </c>
      <c r="C503" s="3">
        <f ca="1">'ETF price'!D505-'ETF price'!D504</f>
        <v>3.1199999999999903</v>
      </c>
      <c r="D503" s="3">
        <f ca="1">'ETF price'!E505-'ETF price'!E504</f>
        <v>-3.9800000000000182</v>
      </c>
      <c r="E503" s="3">
        <f ca="1">'ETF price'!F505-'ETF price'!F504</f>
        <v>-0.67000000000000171</v>
      </c>
      <c r="F503" s="3">
        <f ca="1">'ETF price'!G505-'ETF price'!G504</f>
        <v>-0.78000000000000114</v>
      </c>
      <c r="G503" s="3">
        <f ca="1">'ETF price'!H505-'ETF price'!H504</f>
        <v>-0.48000000000000043</v>
      </c>
      <c r="H503" s="3">
        <f ca="1">'ETF price'!I505-'ETF price'!I504</f>
        <v>-0.22999999999998977</v>
      </c>
      <c r="I503" s="3">
        <f ca="1">'ETF price'!J505-'ETF price'!J504</f>
        <v>-0.95000000000001705</v>
      </c>
      <c r="J503" s="3">
        <f ca="1">'ETF price'!K505-'ETF price'!K504</f>
        <v>-2.1500000000000057</v>
      </c>
      <c r="K503" s="3">
        <f ca="1">'ETF price'!L505-'ETF price'!L504</f>
        <v>-2.0300000000000011</v>
      </c>
      <c r="L503" s="3">
        <f ca="1">'ETF price'!M505-'ETF price'!M504</f>
        <v>-0.8399999999999892</v>
      </c>
      <c r="M503" s="3">
        <f ca="1">'ETF price'!N505-'ETF price'!N504</f>
        <v>-0.28000000000000114</v>
      </c>
      <c r="N503" s="3">
        <f ca="1">'ETF price'!O505-'ETF price'!O504</f>
        <v>-1.5799999999999983</v>
      </c>
      <c r="O503" s="3">
        <f ca="1">'ETF price'!P505-'ETF price'!P504</f>
        <v>1.3800000000000097</v>
      </c>
      <c r="P503" s="3">
        <f ca="1">'ETF price'!Q505-'ETF price'!Q504</f>
        <v>1.5499999999999972</v>
      </c>
      <c r="Q503" s="3">
        <f ca="1">'ETF price'!R505-'ETF price'!R504</f>
        <v>-0.92000000000000171</v>
      </c>
      <c r="R503" s="3">
        <f ca="1">'ETF price'!S505-'ETF price'!S504</f>
        <v>-1.1499999999999986</v>
      </c>
      <c r="S503" s="3">
        <f ca="1">'ETF price'!T505-'ETF price'!T504</f>
        <v>0.28000000000000114</v>
      </c>
      <c r="T503" s="3">
        <f ca="1">'ETF price'!U505-'ETF price'!U504</f>
        <v>2.4200000000000017</v>
      </c>
      <c r="U503" s="3">
        <f ca="1">'ETF price'!V505-'ETF price'!V504</f>
        <v>-1.990000000000002</v>
      </c>
      <c r="V503" s="3">
        <f ca="1">'ETF price'!W505-'ETF price'!W504</f>
        <v>-0.32000000000000028</v>
      </c>
      <c r="W503" s="3">
        <f ca="1">'ETF price'!X505-'ETF price'!X504</f>
        <v>-1.0299999999999869</v>
      </c>
      <c r="X503" s="3">
        <f ca="1">'ETF price'!Y505-'ETF price'!Y504</f>
        <v>-1.2600000000000051</v>
      </c>
      <c r="Y503" s="3">
        <f ca="1">'ETF price'!Z505-'ETF price'!Z504</f>
        <v>-0.76999999999999602</v>
      </c>
      <c r="Z503" s="3">
        <f ca="1">'ETF price'!AA505-'ETF price'!AA504</f>
        <v>-0.96000000000000085</v>
      </c>
      <c r="AA503" s="3">
        <f ca="1">'ETF price'!AB505-'ETF price'!AB504</f>
        <v>-1.730000000000004</v>
      </c>
      <c r="AB503" s="3">
        <f ca="1">'ETF price'!AC505-'ETF price'!AC504</f>
        <v>0.35999999999999943</v>
      </c>
      <c r="AC503" s="3">
        <f ca="1">'ETF price'!AD505-'ETF price'!AD504</f>
        <v>-0.77999999999999936</v>
      </c>
      <c r="AD503" s="3">
        <f ca="1">'ETF price'!AE505-'ETF price'!AE504</f>
        <v>-1.0899999999999999</v>
      </c>
      <c r="AE503" s="3">
        <f ca="1">'ETF price'!AF505-'ETF price'!AF504</f>
        <v>-0.16999999999999993</v>
      </c>
      <c r="AF503" s="3">
        <f ca="1">'ETF price'!AG505-'ETF price'!AG504</f>
        <v>-1.3300000000000054</v>
      </c>
    </row>
    <row r="504" spans="1:32" ht="12.75" x14ac:dyDescent="0.2">
      <c r="A504" s="3">
        <f ca="1">'ETF price'!B506-'ETF price'!B505</f>
        <v>-1.3600000000000136</v>
      </c>
      <c r="B504" s="3">
        <f ca="1">'ETF price'!C506-'ETF price'!C505</f>
        <v>-2.8000000000000114</v>
      </c>
      <c r="C504" s="3">
        <f ca="1">'ETF price'!D506-'ETF price'!D505</f>
        <v>0.38000000000000966</v>
      </c>
      <c r="D504" s="3">
        <f ca="1">'ETF price'!E506-'ETF price'!E505</f>
        <v>-1.5199999999999818</v>
      </c>
      <c r="E504" s="3">
        <f ca="1">'ETF price'!F506-'ETF price'!F505</f>
        <v>-0.17999999999999972</v>
      </c>
      <c r="F504" s="3">
        <f ca="1">'ETF price'!G506-'ETF price'!G505</f>
        <v>-5.9999999999998721E-2</v>
      </c>
      <c r="G504" s="3">
        <f ca="1">'ETF price'!H506-'ETF price'!H505</f>
        <v>-8.0000000000001847E-2</v>
      </c>
      <c r="H504" s="3">
        <f ca="1">'ETF price'!I506-'ETF price'!I505</f>
        <v>0.68999999999999773</v>
      </c>
      <c r="I504" s="3">
        <f ca="1">'ETF price'!J506-'ETF price'!J505</f>
        <v>1.210000000000008</v>
      </c>
      <c r="J504" s="3">
        <f ca="1">'ETF price'!K506-'ETF price'!K505</f>
        <v>0.60000000000002274</v>
      </c>
      <c r="K504" s="3">
        <f ca="1">'ETF price'!L506-'ETF price'!L505</f>
        <v>1.25</v>
      </c>
      <c r="L504" s="3">
        <f ca="1">'ETF price'!M506-'ETF price'!M505</f>
        <v>-0.15000000000000568</v>
      </c>
      <c r="M504" s="3">
        <f ca="1">'ETF price'!N506-'ETF price'!N505</f>
        <v>0.31999999999999318</v>
      </c>
      <c r="N504" s="3">
        <f ca="1">'ETF price'!O506-'ETF price'!O505</f>
        <v>0.17999999999999972</v>
      </c>
      <c r="O504" s="3">
        <f ca="1">'ETF price'!P506-'ETF price'!P505</f>
        <v>-1.5100000000000051</v>
      </c>
      <c r="P504" s="3">
        <f ca="1">'ETF price'!Q506-'ETF price'!Q505</f>
        <v>-1.9099999999999966</v>
      </c>
      <c r="Q504" s="3">
        <f ca="1">'ETF price'!R506-'ETF price'!R505</f>
        <v>-0.26999999999999602</v>
      </c>
      <c r="R504" s="3">
        <f ca="1">'ETF price'!S506-'ETF price'!S505</f>
        <v>0.11999999999999744</v>
      </c>
      <c r="S504" s="3">
        <f ca="1">'ETF price'!T506-'ETF price'!T505</f>
        <v>-0.12000000000000099</v>
      </c>
      <c r="T504" s="3">
        <f ca="1">'ETF price'!U506-'ETF price'!U505</f>
        <v>-0.62000000000000455</v>
      </c>
      <c r="U504" s="3">
        <f ca="1">'ETF price'!V506-'ETF price'!V505</f>
        <v>-1.3099999999999952</v>
      </c>
      <c r="V504" s="3">
        <f ca="1">'ETF price'!W506-'ETF price'!W505</f>
        <v>0.15000000000000568</v>
      </c>
      <c r="W504" s="3">
        <f ca="1">'ETF price'!X506-'ETF price'!X505</f>
        <v>0.32999999999999829</v>
      </c>
      <c r="X504" s="3">
        <f ca="1">'ETF price'!Y506-'ETF price'!Y505</f>
        <v>0.27000000000000313</v>
      </c>
      <c r="Y504" s="3">
        <f ca="1">'ETF price'!Z506-'ETF price'!Z505</f>
        <v>0.28999999999999204</v>
      </c>
      <c r="Z504" s="3">
        <f ca="1">'ETF price'!AA506-'ETF price'!AA505</f>
        <v>-0.10000000000000142</v>
      </c>
      <c r="AA504" s="3">
        <f ca="1">'ETF price'!AB506-'ETF price'!AB505</f>
        <v>0.25</v>
      </c>
      <c r="AB504" s="3">
        <f ca="1">'ETF price'!AC506-'ETF price'!AC505</f>
        <v>-0.44999999999999574</v>
      </c>
      <c r="AC504" s="3">
        <f ca="1">'ETF price'!AD506-'ETF price'!AD505</f>
        <v>0.39000000000000057</v>
      </c>
      <c r="AD504" s="3">
        <f ca="1">'ETF price'!AE506-'ETF price'!AE505</f>
        <v>0.71999999999999886</v>
      </c>
      <c r="AE504" s="3">
        <f ca="1">'ETF price'!AF506-'ETF price'!AF505</f>
        <v>-0.33000000000000007</v>
      </c>
      <c r="AF504" s="3">
        <f ca="1">'ETF price'!AG506-'ETF price'!AG505</f>
        <v>2.1300000000000026</v>
      </c>
    </row>
    <row r="505" spans="1:32" ht="12.75" x14ac:dyDescent="0.2">
      <c r="A505" s="3">
        <f ca="1">'ETF price'!B507-'ETF price'!B506</f>
        <v>-4.9999999999982947E-2</v>
      </c>
      <c r="B505" s="3">
        <f ca="1">'ETF price'!C507-'ETF price'!C506</f>
        <v>0.11000000000001364</v>
      </c>
      <c r="C505" s="3">
        <f ca="1">'ETF price'!D507-'ETF price'!D506</f>
        <v>1.1599999999999966</v>
      </c>
      <c r="D505" s="3">
        <f ca="1">'ETF price'!E507-'ETF price'!E506</f>
        <v>0.99000000000000909</v>
      </c>
      <c r="E505" s="3">
        <f ca="1">'ETF price'!F507-'ETF price'!F506</f>
        <v>-0.11999999999999744</v>
      </c>
      <c r="F505" s="3">
        <f ca="1">'ETF price'!G507-'ETF price'!G506</f>
        <v>-3.0000000000001137E-2</v>
      </c>
      <c r="G505" s="3">
        <f ca="1">'ETF price'!H507-'ETF price'!H506</f>
        <v>2.0000000000003126E-2</v>
      </c>
      <c r="H505" s="3">
        <f ca="1">'ETF price'!I507-'ETF price'!I506</f>
        <v>-0.12000000000000455</v>
      </c>
      <c r="I505" s="3">
        <f ca="1">'ETF price'!J507-'ETF price'!J506</f>
        <v>-0.18999999999999773</v>
      </c>
      <c r="J505" s="3">
        <f ca="1">'ETF price'!K507-'ETF price'!K506</f>
        <v>-0.40000000000000568</v>
      </c>
      <c r="K505" s="3">
        <f ca="1">'ETF price'!L507-'ETF price'!L506</f>
        <v>-0.15000000000000568</v>
      </c>
      <c r="L505" s="3">
        <f ca="1">'ETF price'!M507-'ETF price'!M506</f>
        <v>-0.5</v>
      </c>
      <c r="M505" s="3">
        <f ca="1">'ETF price'!N507-'ETF price'!N506</f>
        <v>-3.9999999999992042E-2</v>
      </c>
      <c r="N505" s="3">
        <f ca="1">'ETF price'!O507-'ETF price'!O506</f>
        <v>-3.9999999999999147E-2</v>
      </c>
      <c r="O505" s="3">
        <f ca="1">'ETF price'!P507-'ETF price'!P506</f>
        <v>7.000000000000739E-2</v>
      </c>
      <c r="P505" s="3">
        <f ca="1">'ETF price'!Q507-'ETF price'!Q506</f>
        <v>0.14000000000000057</v>
      </c>
      <c r="Q505" s="3">
        <f ca="1">'ETF price'!R507-'ETF price'!R506</f>
        <v>0.14000000000000057</v>
      </c>
      <c r="R505" s="3">
        <f ca="1">'ETF price'!S507-'ETF price'!S506</f>
        <v>-0.11999999999999744</v>
      </c>
      <c r="S505" s="3">
        <f ca="1">'ETF price'!T507-'ETF price'!T506</f>
        <v>0.10999999999999943</v>
      </c>
      <c r="T505" s="3">
        <f ca="1">'ETF price'!U507-'ETF price'!U506</f>
        <v>1.460000000000008</v>
      </c>
      <c r="U505" s="3">
        <f ca="1">'ETF price'!V507-'ETF price'!V506</f>
        <v>-0.48000000000000398</v>
      </c>
      <c r="V505" s="3">
        <f ca="1">'ETF price'!W507-'ETF price'!W506</f>
        <v>0.15999999999999659</v>
      </c>
      <c r="W505" s="3">
        <f ca="1">'ETF price'!X507-'ETF price'!X506</f>
        <v>0.5</v>
      </c>
      <c r="X505" s="3">
        <f ca="1">'ETF price'!Y507-'ETF price'!Y506</f>
        <v>0.46000000000000085</v>
      </c>
      <c r="Y505" s="3">
        <f ca="1">'ETF price'!Z507-'ETF price'!Z506</f>
        <v>0.5</v>
      </c>
      <c r="Z505" s="3">
        <f ca="1">'ETF price'!AA507-'ETF price'!AA506</f>
        <v>-7.9999999999998295E-2</v>
      </c>
      <c r="AA505" s="3">
        <f ca="1">'ETF price'!AB507-'ETF price'!AB506</f>
        <v>0.60999999999999943</v>
      </c>
      <c r="AB505" s="3">
        <f ca="1">'ETF price'!AC507-'ETF price'!AC506</f>
        <v>3.9999999999999147E-2</v>
      </c>
      <c r="AC505" s="3">
        <f ca="1">'ETF price'!AD507-'ETF price'!AD506</f>
        <v>-0.14000000000000057</v>
      </c>
      <c r="AD505" s="3">
        <f ca="1">'ETF price'!AE507-'ETF price'!AE506</f>
        <v>-0.10999999999999943</v>
      </c>
      <c r="AE505" s="3">
        <f ca="1">'ETF price'!AF507-'ETF price'!AF506</f>
        <v>-0.16000000000000014</v>
      </c>
      <c r="AF505" s="3">
        <f ca="1">'ETF price'!AG507-'ETF price'!AG506</f>
        <v>-2.1799999999999997</v>
      </c>
    </row>
    <row r="506" spans="1:32" ht="12.75" x14ac:dyDescent="0.2">
      <c r="A506" s="3">
        <f ca="1">'ETF price'!B508-'ETF price'!B507</f>
        <v>4.6200000000000045</v>
      </c>
      <c r="B506" s="3">
        <f ca="1">'ETF price'!C508-'ETF price'!C507</f>
        <v>11.769999999999982</v>
      </c>
      <c r="C506" s="3">
        <f ca="1">'ETF price'!D508-'ETF price'!D507</f>
        <v>0.53999999999999204</v>
      </c>
      <c r="D506" s="3">
        <f ca="1">'ETF price'!E508-'ETF price'!E507</f>
        <v>5.8899999999999864</v>
      </c>
      <c r="E506" s="3">
        <f ca="1">'ETF price'!F508-'ETF price'!F507</f>
        <v>1.1599999999999966</v>
      </c>
      <c r="F506" s="3">
        <f ca="1">'ETF price'!G508-'ETF price'!G507</f>
        <v>0.85999999999999943</v>
      </c>
      <c r="G506" s="3">
        <f ca="1">'ETF price'!H508-'ETF price'!H507</f>
        <v>0.41999999999999815</v>
      </c>
      <c r="H506" s="3">
        <f ca="1">'ETF price'!I508-'ETF price'!I507</f>
        <v>1.2299999999999898</v>
      </c>
      <c r="I506" s="3">
        <f ca="1">'ETF price'!J508-'ETF price'!J507</f>
        <v>2.8099999999999739</v>
      </c>
      <c r="J506" s="3">
        <f ca="1">'ETF price'!K508-'ETF price'!K507</f>
        <v>3.2699999999999818</v>
      </c>
      <c r="K506" s="3">
        <f ca="1">'ETF price'!L508-'ETF price'!L507</f>
        <v>4.1200000000000045</v>
      </c>
      <c r="L506" s="3">
        <f ca="1">'ETF price'!M508-'ETF price'!M507</f>
        <v>1.5300000000000011</v>
      </c>
      <c r="M506" s="3">
        <f ca="1">'ETF price'!N508-'ETF price'!N507</f>
        <v>0.76999999999999602</v>
      </c>
      <c r="N506" s="3">
        <f ca="1">'ETF price'!O508-'ETF price'!O507</f>
        <v>1.4799999999999969</v>
      </c>
      <c r="O506" s="3">
        <f ca="1">'ETF price'!P508-'ETF price'!P507</f>
        <v>-0.98000000000000398</v>
      </c>
      <c r="P506" s="3">
        <f ca="1">'ETF price'!Q508-'ETF price'!Q507</f>
        <v>-1.3500000000000085</v>
      </c>
      <c r="Q506" s="3">
        <f ca="1">'ETF price'!R508-'ETF price'!R507</f>
        <v>0.35999999999999943</v>
      </c>
      <c r="R506" s="3">
        <f ca="1">'ETF price'!S508-'ETF price'!S507</f>
        <v>0.33999999999999631</v>
      </c>
      <c r="S506" s="3">
        <f ca="1">'ETF price'!T508-'ETF price'!T507</f>
        <v>-0.32000000000000028</v>
      </c>
      <c r="T506" s="3">
        <f ca="1">'ETF price'!U508-'ETF price'!U507</f>
        <v>-2.6299999999999955</v>
      </c>
      <c r="U506" s="3">
        <f ca="1">'ETF price'!V508-'ETF price'!V507</f>
        <v>0</v>
      </c>
      <c r="V506" s="3">
        <f ca="1">'ETF price'!W508-'ETF price'!W507</f>
        <v>0.24000000000000199</v>
      </c>
      <c r="W506" s="3">
        <f ca="1">'ETF price'!X508-'ETF price'!X507</f>
        <v>0.60999999999999943</v>
      </c>
      <c r="X506" s="3">
        <f ca="1">'ETF price'!Y508-'ETF price'!Y507</f>
        <v>0.42000000000000171</v>
      </c>
      <c r="Y506" s="3">
        <f ca="1">'ETF price'!Z508-'ETF price'!Z507</f>
        <v>0.42000000000000171</v>
      </c>
      <c r="Z506" s="3">
        <f ca="1">'ETF price'!AA508-'ETF price'!AA507</f>
        <v>0.53999999999999915</v>
      </c>
      <c r="AA506" s="3">
        <f ca="1">'ETF price'!AB508-'ETF price'!AB507</f>
        <v>0.48000000000000398</v>
      </c>
      <c r="AB506" s="3">
        <f ca="1">'ETF price'!AC508-'ETF price'!AC507</f>
        <v>-0.34000000000000341</v>
      </c>
      <c r="AC506" s="3">
        <f ca="1">'ETF price'!AD508-'ETF price'!AD507</f>
        <v>0.76999999999999957</v>
      </c>
      <c r="AD506" s="3">
        <f ca="1">'ETF price'!AE508-'ETF price'!AE507</f>
        <v>1.4400000000000013</v>
      </c>
      <c r="AE506" s="3">
        <f ca="1">'ETF price'!AF508-'ETF price'!AF507</f>
        <v>0.12999999999999989</v>
      </c>
      <c r="AF506" s="3">
        <f ca="1">'ETF price'!AG508-'ETF price'!AG507</f>
        <v>2.2299999999999969</v>
      </c>
    </row>
    <row r="507" spans="1:32" ht="12.75" x14ac:dyDescent="0.2">
      <c r="A507" s="3">
        <f ca="1">'ETF price'!B509-'ETF price'!B508</f>
        <v>0.29999999999998295</v>
      </c>
      <c r="B507" s="3">
        <f ca="1">'ETF price'!C509-'ETF price'!C508</f>
        <v>0.83999999999997499</v>
      </c>
      <c r="C507" s="3">
        <f ca="1">'ETF price'!D509-'ETF price'!D508</f>
        <v>0.32000000000000739</v>
      </c>
      <c r="D507" s="3">
        <f ca="1">'ETF price'!E509-'ETF price'!E508</f>
        <v>6.0000000000002274E-2</v>
      </c>
      <c r="E507" s="3">
        <f ca="1">'ETF price'!F509-'ETF price'!F508</f>
        <v>0.85000000000000142</v>
      </c>
      <c r="F507" s="3">
        <f ca="1">'ETF price'!G509-'ETF price'!G508</f>
        <v>3.0000000000001137E-2</v>
      </c>
      <c r="G507" s="3">
        <f ca="1">'ETF price'!H509-'ETF price'!H508</f>
        <v>-0.10999999999999943</v>
      </c>
      <c r="H507" s="3">
        <f ca="1">'ETF price'!I509-'ETF price'!I508</f>
        <v>-1.999999999998181E-2</v>
      </c>
      <c r="I507" s="3">
        <f ca="1">'ETF price'!J509-'ETF price'!J508</f>
        <v>9.0000000000031832E-2</v>
      </c>
      <c r="J507" s="3">
        <f ca="1">'ETF price'!K509-'ETF price'!K508</f>
        <v>-0.44999999999998863</v>
      </c>
      <c r="K507" s="3">
        <f ca="1">'ETF price'!L509-'ETF price'!L508</f>
        <v>0.17999999999999261</v>
      </c>
      <c r="L507" s="3">
        <f ca="1">'ETF price'!M509-'ETF price'!M508</f>
        <v>-0.21999999999999886</v>
      </c>
      <c r="M507" s="3">
        <f ca="1">'ETF price'!N509-'ETF price'!N508</f>
        <v>-3.9999999999992042E-2</v>
      </c>
      <c r="N507" s="3">
        <f ca="1">'ETF price'!O509-'ETF price'!O508</f>
        <v>-0.19999999999999574</v>
      </c>
      <c r="O507" s="3">
        <f ca="1">'ETF price'!P509-'ETF price'!P508</f>
        <v>-1.3400000000000034</v>
      </c>
      <c r="P507" s="3">
        <f ca="1">'ETF price'!Q509-'ETF price'!Q508</f>
        <v>-1.8100000000000023</v>
      </c>
      <c r="Q507" s="3">
        <f ca="1">'ETF price'!R509-'ETF price'!R508</f>
        <v>-0.96999999999999886</v>
      </c>
      <c r="R507" s="3">
        <f ca="1">'ETF price'!S509-'ETF price'!S508</f>
        <v>-0.85000000000000142</v>
      </c>
      <c r="S507" s="3">
        <f ca="1">'ETF price'!T509-'ETF price'!T508</f>
        <v>0.16000000000000014</v>
      </c>
      <c r="T507" s="3">
        <f ca="1">'ETF price'!U509-'ETF price'!U508</f>
        <v>0.98999999999999488</v>
      </c>
      <c r="U507" s="3">
        <f ca="1">'ETF price'!V509-'ETF price'!V508</f>
        <v>-0.38000000000000256</v>
      </c>
      <c r="V507" s="3">
        <f ca="1">'ETF price'!W509-'ETF price'!W508</f>
        <v>-0.24000000000000199</v>
      </c>
      <c r="W507" s="3">
        <f ca="1">'ETF price'!X509-'ETF price'!X508</f>
        <v>-0.71000000000000796</v>
      </c>
      <c r="X507" s="3">
        <f ca="1">'ETF price'!Y509-'ETF price'!Y508</f>
        <v>-0.54000000000000625</v>
      </c>
      <c r="Y507" s="3">
        <f ca="1">'ETF price'!Z509-'ETF price'!Z508</f>
        <v>-0.71999999999999886</v>
      </c>
      <c r="Z507" s="3">
        <f ca="1">'ETF price'!AA509-'ETF price'!AA508</f>
        <v>-0.28000000000000114</v>
      </c>
      <c r="AA507" s="3">
        <f ca="1">'ETF price'!AB509-'ETF price'!AB508</f>
        <v>-0.59000000000000341</v>
      </c>
      <c r="AB507" s="3">
        <f ca="1">'ETF price'!AC509-'ETF price'!AC508</f>
        <v>-0.26999999999999602</v>
      </c>
      <c r="AC507" s="3">
        <f ca="1">'ETF price'!AD509-'ETF price'!AD508</f>
        <v>-0.33999999999999986</v>
      </c>
      <c r="AD507" s="3">
        <f ca="1">'ETF price'!AE509-'ETF price'!AE508</f>
        <v>-0.13000000000000256</v>
      </c>
      <c r="AE507" s="3">
        <f ca="1">'ETF price'!AF509-'ETF price'!AF508</f>
        <v>-0.16999999999999993</v>
      </c>
      <c r="AF507" s="3">
        <f ca="1">'ETF price'!AG509-'ETF price'!AG508</f>
        <v>-0.98999999999999488</v>
      </c>
    </row>
    <row r="508" spans="1:32" ht="12.75" x14ac:dyDescent="0.2">
      <c r="A508" s="3">
        <f ca="1">'ETF price'!B510-'ETF price'!B509</f>
        <v>1.6100000000000136</v>
      </c>
      <c r="B508" s="3">
        <f ca="1">'ETF price'!C510-'ETF price'!C509</f>
        <v>4.0300000000000296</v>
      </c>
      <c r="C508" s="3">
        <f ca="1">'ETF price'!D510-'ETF price'!D509</f>
        <v>0.21999999999999886</v>
      </c>
      <c r="D508" s="3">
        <f ca="1">'ETF price'!E510-'ETF price'!E509</f>
        <v>-0.62999999999999545</v>
      </c>
      <c r="E508" s="3">
        <f ca="1">'ETF price'!F510-'ETF price'!F509</f>
        <v>0.88000000000000256</v>
      </c>
      <c r="F508" s="3">
        <f ca="1">'ETF price'!G510-'ETF price'!G509</f>
        <v>0.67999999999999972</v>
      </c>
      <c r="G508" s="3">
        <f ca="1">'ETF price'!H510-'ETF price'!H509</f>
        <v>0</v>
      </c>
      <c r="H508" s="3">
        <f ca="1">'ETF price'!I510-'ETF price'!I509</f>
        <v>0.63999999999998636</v>
      </c>
      <c r="I508" s="3">
        <f ca="1">'ETF price'!J510-'ETF price'!J509</f>
        <v>0.81000000000000227</v>
      </c>
      <c r="J508" s="3">
        <f ca="1">'ETF price'!K510-'ETF price'!K509</f>
        <v>-0.97999999999998977</v>
      </c>
      <c r="K508" s="3">
        <f ca="1">'ETF price'!L510-'ETF price'!L509</f>
        <v>-1.0699999999999932</v>
      </c>
      <c r="L508" s="3">
        <f ca="1">'ETF price'!M510-'ETF price'!M509</f>
        <v>-0.84000000000000341</v>
      </c>
      <c r="M508" s="3">
        <f ca="1">'ETF price'!N510-'ETF price'!N509</f>
        <v>0.23999999999999488</v>
      </c>
      <c r="N508" s="3">
        <f ca="1">'ETF price'!O510-'ETF price'!O509</f>
        <v>-8.00000000000054E-2</v>
      </c>
      <c r="O508" s="3">
        <f ca="1">'ETF price'!P510-'ETF price'!P509</f>
        <v>-0.81000000000000227</v>
      </c>
      <c r="P508" s="3">
        <f ca="1">'ETF price'!Q510-'ETF price'!Q509</f>
        <v>-1.1699999999999875</v>
      </c>
      <c r="Q508" s="3">
        <f ca="1">'ETF price'!R510-'ETF price'!R509</f>
        <v>-0.10999999999999943</v>
      </c>
      <c r="R508" s="3">
        <f ca="1">'ETF price'!S510-'ETF price'!S509</f>
        <v>-0.50999999999999801</v>
      </c>
      <c r="S508" s="3">
        <f ca="1">'ETF price'!T510-'ETF price'!T509</f>
        <v>-0.14999999999999858</v>
      </c>
      <c r="T508" s="3">
        <f ca="1">'ETF price'!U510-'ETF price'!U509</f>
        <v>-0.82999999999999829</v>
      </c>
      <c r="U508" s="3">
        <f ca="1">'ETF price'!V510-'ETF price'!V509</f>
        <v>0.35000000000000142</v>
      </c>
      <c r="V508" s="3">
        <f ca="1">'ETF price'!W510-'ETF price'!W509</f>
        <v>6.0000000000002274E-2</v>
      </c>
      <c r="W508" s="3">
        <f ca="1">'ETF price'!X510-'ETF price'!X509</f>
        <v>0.21000000000000796</v>
      </c>
      <c r="X508" s="3">
        <f ca="1">'ETF price'!Y510-'ETF price'!Y509</f>
        <v>0.10999999999999943</v>
      </c>
      <c r="Y508" s="3">
        <f ca="1">'ETF price'!Z510-'ETF price'!Z509</f>
        <v>0.18999999999999773</v>
      </c>
      <c r="Z508" s="3">
        <f ca="1">'ETF price'!AA510-'ETF price'!AA509</f>
        <v>6.0000000000002274E-2</v>
      </c>
      <c r="AA508" s="3">
        <f ca="1">'ETF price'!AB510-'ETF price'!AB509</f>
        <v>0.12000000000000455</v>
      </c>
      <c r="AB508" s="3">
        <f ca="1">'ETF price'!AC510-'ETF price'!AC509</f>
        <v>-0.45000000000000284</v>
      </c>
      <c r="AC508" s="3">
        <f ca="1">'ETF price'!AD510-'ETF price'!AD509</f>
        <v>0.58999999999999986</v>
      </c>
      <c r="AD508" s="3">
        <f ca="1">'ETF price'!AE510-'ETF price'!AE509</f>
        <v>-0.35999999999999943</v>
      </c>
      <c r="AE508" s="3">
        <f ca="1">'ETF price'!AF510-'ETF price'!AF509</f>
        <v>0.22999999999999954</v>
      </c>
      <c r="AF508" s="3">
        <f ca="1">'ETF price'!AG510-'ETF price'!AG509</f>
        <v>-0.17999999999999972</v>
      </c>
    </row>
    <row r="509" spans="1:32" ht="12.75" x14ac:dyDescent="0.2">
      <c r="A509" s="3">
        <f ca="1">'ETF price'!B511-'ETF price'!B510</f>
        <v>0.96999999999999886</v>
      </c>
      <c r="B509" s="3">
        <f ca="1">'ETF price'!C511-'ETF price'!C510</f>
        <v>1.6800000000000068</v>
      </c>
      <c r="C509" s="3">
        <f ca="1">'ETF price'!D511-'ETF price'!D510</f>
        <v>-0.65999999999999659</v>
      </c>
      <c r="D509" s="3">
        <f ca="1">'ETF price'!E511-'ETF price'!E510</f>
        <v>0.68999999999999773</v>
      </c>
      <c r="E509" s="3">
        <f ca="1">'ETF price'!F511-'ETF price'!F510</f>
        <v>0.32999999999999829</v>
      </c>
      <c r="F509" s="3">
        <f ca="1">'ETF price'!G511-'ETF price'!G510</f>
        <v>0.26999999999999957</v>
      </c>
      <c r="G509" s="3">
        <f ca="1">'ETF price'!H511-'ETF price'!H510</f>
        <v>-5.0000000000000711E-2</v>
      </c>
      <c r="H509" s="3">
        <f ca="1">'ETF price'!I511-'ETF price'!I510</f>
        <v>-9.9999999999994316E-2</v>
      </c>
      <c r="I509" s="3">
        <f ca="1">'ETF price'!J511-'ETF price'!J510</f>
        <v>-0.52000000000003865</v>
      </c>
      <c r="J509" s="3">
        <f ca="1">'ETF price'!K511-'ETF price'!K510</f>
        <v>-1.0800000000000125</v>
      </c>
      <c r="K509" s="3">
        <f ca="1">'ETF price'!L511-'ETF price'!L510</f>
        <v>-2.0600000000000023</v>
      </c>
      <c r="L509" s="3">
        <f ca="1">'ETF price'!M511-'ETF price'!M510</f>
        <v>-0.25</v>
      </c>
      <c r="M509" s="3">
        <f ca="1">'ETF price'!N511-'ETF price'!N510</f>
        <v>-9.9999999999994316E-2</v>
      </c>
      <c r="N509" s="3">
        <f ca="1">'ETF price'!O511-'ETF price'!O510</f>
        <v>-0.59999999999999432</v>
      </c>
      <c r="O509" s="3">
        <f ca="1">'ETF price'!P511-'ETF price'!P510</f>
        <v>0.21000000000000796</v>
      </c>
      <c r="P509" s="3">
        <f ca="1">'ETF price'!Q511-'ETF price'!Q510</f>
        <v>0.11999999999999034</v>
      </c>
      <c r="Q509" s="3">
        <f ca="1">'ETF price'!R511-'ETF price'!R510</f>
        <v>-0.25</v>
      </c>
      <c r="R509" s="3">
        <f ca="1">'ETF price'!S511-'ETF price'!S510</f>
        <v>-0.19999999999999574</v>
      </c>
      <c r="S509" s="3">
        <f ca="1">'ETF price'!T511-'ETF price'!T510</f>
        <v>0.16000000000000014</v>
      </c>
      <c r="T509" s="3">
        <f ca="1">'ETF price'!U511-'ETF price'!U510</f>
        <v>1.0900000000000034</v>
      </c>
      <c r="U509" s="3">
        <f ca="1">'ETF price'!V511-'ETF price'!V510</f>
        <v>-1.25</v>
      </c>
      <c r="V509" s="3">
        <f ca="1">'ETF price'!W511-'ETF price'!W510</f>
        <v>-0.14000000000000057</v>
      </c>
      <c r="W509" s="3">
        <f ca="1">'ETF price'!X511-'ETF price'!X510</f>
        <v>-0.46000000000000796</v>
      </c>
      <c r="X509" s="3">
        <f ca="1">'ETF price'!Y511-'ETF price'!Y510</f>
        <v>-0.47999999999999687</v>
      </c>
      <c r="Y509" s="3">
        <f ca="1">'ETF price'!Z511-'ETF price'!Z510</f>
        <v>-0.48999999999999488</v>
      </c>
      <c r="Z509" s="3">
        <f ca="1">'ETF price'!AA511-'ETF price'!AA510</f>
        <v>-0.36999999999999744</v>
      </c>
      <c r="AA509" s="3">
        <f ca="1">'ETF price'!AB511-'ETF price'!AB510</f>
        <v>-0.67999999999999972</v>
      </c>
      <c r="AB509" s="3">
        <f ca="1">'ETF price'!AC511-'ETF price'!AC510</f>
        <v>-0.19999999999999574</v>
      </c>
      <c r="AC509" s="3">
        <f ca="1">'ETF price'!AD511-'ETF price'!AD510</f>
        <v>0.41999999999999993</v>
      </c>
      <c r="AD509" s="3">
        <f ca="1">'ETF price'!AE511-'ETF price'!AE510</f>
        <v>-3.0000000000001137E-2</v>
      </c>
      <c r="AE509" s="3">
        <f ca="1">'ETF price'!AF511-'ETF price'!AF510</f>
        <v>-0.10999999999999943</v>
      </c>
      <c r="AF509" s="3">
        <f ca="1">'ETF price'!AG511-'ETF price'!AG510</f>
        <v>-3.8100000000000023</v>
      </c>
    </row>
    <row r="510" spans="1:32" ht="12.75" x14ac:dyDescent="0.2">
      <c r="A510" s="3">
        <f ca="1">'ETF price'!B512-'ETF price'!B511</f>
        <v>0.62000000000000455</v>
      </c>
      <c r="B510" s="3">
        <f ca="1">'ETF price'!C512-'ETF price'!C511</f>
        <v>1.0699999999999932</v>
      </c>
      <c r="C510" s="3">
        <f ca="1">'ETF price'!D512-'ETF price'!D511</f>
        <v>2.3599999999999994</v>
      </c>
      <c r="D510" s="3">
        <f ca="1">'ETF price'!E512-'ETF price'!E511</f>
        <v>-0.81999999999999318</v>
      </c>
      <c r="E510" s="3">
        <f ca="1">'ETF price'!F512-'ETF price'!F511</f>
        <v>0.43999999999999773</v>
      </c>
      <c r="F510" s="3">
        <f ca="1">'ETF price'!G512-'ETF price'!G511</f>
        <v>0.10999999999999943</v>
      </c>
      <c r="G510" s="3">
        <f ca="1">'ETF price'!H512-'ETF price'!H511</f>
        <v>-0.12000000000000099</v>
      </c>
      <c r="H510" s="3">
        <f ca="1">'ETF price'!I512-'ETF price'!I511</f>
        <v>-0.34999999999999432</v>
      </c>
      <c r="I510" s="3">
        <f ca="1">'ETF price'!J512-'ETF price'!J511</f>
        <v>-0.63999999999998636</v>
      </c>
      <c r="J510" s="3">
        <f ca="1">'ETF price'!K512-'ETF price'!K511</f>
        <v>0.25</v>
      </c>
      <c r="K510" s="3">
        <f ca="1">'ETF price'!L512-'ETF price'!L511</f>
        <v>-4.9999999999997158E-2</v>
      </c>
      <c r="L510" s="3">
        <f ca="1">'ETF price'!M512-'ETF price'!M511</f>
        <v>-0.32999999999999829</v>
      </c>
      <c r="M510" s="3">
        <f ca="1">'ETF price'!N512-'ETF price'!N511</f>
        <v>-0.21000000000000796</v>
      </c>
      <c r="N510" s="3">
        <f ca="1">'ETF price'!O512-'ETF price'!O511</f>
        <v>-0.52000000000000313</v>
      </c>
      <c r="O510" s="3">
        <f ca="1">'ETF price'!P512-'ETF price'!P511</f>
        <v>0.92000000000000171</v>
      </c>
      <c r="P510" s="3">
        <f ca="1">'ETF price'!Q512-'ETF price'!Q511</f>
        <v>1.5100000000000051</v>
      </c>
      <c r="Q510" s="3">
        <f ca="1">'ETF price'!R512-'ETF price'!R511</f>
        <v>7.9999999999998295E-2</v>
      </c>
      <c r="R510" s="3">
        <f ca="1">'ETF price'!S512-'ETF price'!S511</f>
        <v>0.57999999999999829</v>
      </c>
      <c r="S510" s="3">
        <f ca="1">'ETF price'!T512-'ETF price'!T511</f>
        <v>7.9999999999998295E-2</v>
      </c>
      <c r="T510" s="3">
        <f ca="1">'ETF price'!U512-'ETF price'!U511</f>
        <v>0.36999999999999034</v>
      </c>
      <c r="U510" s="3">
        <f ca="1">'ETF price'!V512-'ETF price'!V511</f>
        <v>-0.55999999999999517</v>
      </c>
      <c r="V510" s="3">
        <f ca="1">'ETF price'!W512-'ETF price'!W511</f>
        <v>-7.0000000000000284E-2</v>
      </c>
      <c r="W510" s="3">
        <f ca="1">'ETF price'!X512-'ETF price'!X511</f>
        <v>-0.23999999999999488</v>
      </c>
      <c r="X510" s="3">
        <f ca="1">'ETF price'!Y512-'ETF price'!Y511</f>
        <v>-0.38000000000000256</v>
      </c>
      <c r="Y510" s="3">
        <f ca="1">'ETF price'!Z512-'ETF price'!Z511</f>
        <v>-0.23000000000000398</v>
      </c>
      <c r="Z510" s="3">
        <f ca="1">'ETF price'!AA512-'ETF price'!AA511</f>
        <v>0.29999999999999716</v>
      </c>
      <c r="AA510" s="3">
        <f ca="1">'ETF price'!AB512-'ETF price'!AB511</f>
        <v>-0.67000000000000171</v>
      </c>
      <c r="AB510" s="3">
        <f ca="1">'ETF price'!AC512-'ETF price'!AC511</f>
        <v>0.10999999999999943</v>
      </c>
      <c r="AC510" s="3">
        <f ca="1">'ETF price'!AD512-'ETF price'!AD511</f>
        <v>-0.55999999999999872</v>
      </c>
      <c r="AD510" s="3">
        <f ca="1">'ETF price'!AE512-'ETF price'!AE511</f>
        <v>-1.2699999999999996</v>
      </c>
      <c r="AE510" s="3">
        <f ca="1">'ETF price'!AF512-'ETF price'!AF511</f>
        <v>0.25999999999999979</v>
      </c>
      <c r="AF510" s="3">
        <f ca="1">'ETF price'!AG512-'ETF price'!AG511</f>
        <v>-3.7700000000000031</v>
      </c>
    </row>
    <row r="511" spans="1:32" ht="12.75" x14ac:dyDescent="0.2">
      <c r="A511" s="3">
        <f ca="1">'ETF price'!B513-'ETF price'!B512</f>
        <v>0.47999999999998977</v>
      </c>
      <c r="B511" s="3">
        <f ca="1">'ETF price'!C513-'ETF price'!C512</f>
        <v>0.70999999999997954</v>
      </c>
      <c r="C511" s="3">
        <f ca="1">'ETF price'!D513-'ETF price'!D512</f>
        <v>2.9699999999999989</v>
      </c>
      <c r="D511" s="3">
        <f ca="1">'ETF price'!E513-'ETF price'!E512</f>
        <v>2.6299999999999955</v>
      </c>
      <c r="E511" s="3">
        <f ca="1">'ETF price'!F513-'ETF price'!F512</f>
        <v>-0.26999999999999602</v>
      </c>
      <c r="F511" s="3">
        <f ca="1">'ETF price'!G513-'ETF price'!G512</f>
        <v>-0.19999999999999929</v>
      </c>
      <c r="G511" s="3">
        <f ca="1">'ETF price'!H513-'ETF price'!H512</f>
        <v>-0.25</v>
      </c>
      <c r="H511" s="3">
        <f ca="1">'ETF price'!I513-'ETF price'!I512</f>
        <v>-0.84000000000000341</v>
      </c>
      <c r="I511" s="3">
        <f ca="1">'ETF price'!J513-'ETF price'!J512</f>
        <v>-1.4299999999999784</v>
      </c>
      <c r="J511" s="3">
        <f ca="1">'ETF price'!K513-'ETF price'!K512</f>
        <v>-1.1999999999999886</v>
      </c>
      <c r="K511" s="3">
        <f ca="1">'ETF price'!L513-'ETF price'!L512</f>
        <v>-1.3599999999999994</v>
      </c>
      <c r="L511" s="3">
        <f ca="1">'ETF price'!M513-'ETF price'!M512</f>
        <v>-0.10999999999999943</v>
      </c>
      <c r="M511" s="3">
        <f ca="1">'ETF price'!N513-'ETF price'!N512</f>
        <v>-0.34000000000000341</v>
      </c>
      <c r="N511" s="3">
        <f ca="1">'ETF price'!O513-'ETF price'!O512</f>
        <v>-0.79999999999999716</v>
      </c>
      <c r="O511" s="3">
        <f ca="1">'ETF price'!P513-'ETF price'!P512</f>
        <v>-1.9700000000000131</v>
      </c>
      <c r="P511" s="3">
        <f ca="1">'ETF price'!Q513-'ETF price'!Q512</f>
        <v>-2.730000000000004</v>
      </c>
      <c r="Q511" s="3">
        <f ca="1">'ETF price'!R513-'ETF price'!R512</f>
        <v>-0.96000000000000796</v>
      </c>
      <c r="R511" s="3">
        <f ca="1">'ETF price'!S513-'ETF price'!S512</f>
        <v>-1.5</v>
      </c>
      <c r="S511" s="3">
        <f ca="1">'ETF price'!T513-'ETF price'!T512</f>
        <v>-0.18999999999999773</v>
      </c>
      <c r="T511" s="3">
        <f ca="1">'ETF price'!U513-'ETF price'!U512</f>
        <v>-0.76999999999999602</v>
      </c>
      <c r="U511" s="3">
        <f ca="1">'ETF price'!V513-'ETF price'!V512</f>
        <v>-2.1799999999999997</v>
      </c>
      <c r="V511" s="3">
        <f ca="1">'ETF price'!W513-'ETF price'!W512</f>
        <v>-0.25999999999999801</v>
      </c>
      <c r="W511" s="3">
        <f ca="1">'ETF price'!X513-'ETF price'!X512</f>
        <v>-0.64000000000000057</v>
      </c>
      <c r="X511" s="3">
        <f ca="1">'ETF price'!Y513-'ETF price'!Y512</f>
        <v>-0.65999999999999659</v>
      </c>
      <c r="Y511" s="3">
        <f ca="1">'ETF price'!Z513-'ETF price'!Z512</f>
        <v>-0.62000000000000455</v>
      </c>
      <c r="Z511" s="3">
        <f ca="1">'ETF price'!AA513-'ETF price'!AA512</f>
        <v>-0.24000000000000199</v>
      </c>
      <c r="AA511" s="3">
        <f ca="1">'ETF price'!AB513-'ETF price'!AB512</f>
        <v>-0.85000000000000142</v>
      </c>
      <c r="AB511" s="3">
        <f ca="1">'ETF price'!AC513-'ETF price'!AC512</f>
        <v>0.9199999999999946</v>
      </c>
      <c r="AC511" s="3">
        <f ca="1">'ETF price'!AD513-'ETF price'!AD512</f>
        <v>-5.0000000000000711E-2</v>
      </c>
      <c r="AD511" s="3">
        <f ca="1">'ETF price'!AE513-'ETF price'!AE512</f>
        <v>-0.14999999999999858</v>
      </c>
      <c r="AE511" s="3">
        <f ca="1">'ETF price'!AF513-'ETF price'!AF512</f>
        <v>-0.55999999999999961</v>
      </c>
      <c r="AF511" s="3">
        <f ca="1">'ETF price'!AG513-'ETF price'!AG512</f>
        <v>-1.7399999999999949</v>
      </c>
    </row>
    <row r="512" spans="1:32" ht="12.75" x14ac:dyDescent="0.2">
      <c r="A512" s="3">
        <f ca="1">'ETF price'!B514-'ETF price'!B513</f>
        <v>-0.94999999999998863</v>
      </c>
      <c r="B512" s="3">
        <f ca="1">'ETF price'!C514-'ETF price'!C513</f>
        <v>-2.6399999999999864</v>
      </c>
      <c r="C512" s="3">
        <f ca="1">'ETF price'!D514-'ETF price'!D513</f>
        <v>0.53999999999999204</v>
      </c>
      <c r="D512" s="3">
        <f ca="1">'ETF price'!E514-'ETF price'!E513</f>
        <v>-1.7300000000000182</v>
      </c>
      <c r="E512" s="3">
        <f ca="1">'ETF price'!F514-'ETF price'!F513</f>
        <v>-0.41000000000000369</v>
      </c>
      <c r="F512" s="3">
        <f ca="1">'ETF price'!G514-'ETF price'!G513</f>
        <v>-0.44999999999999929</v>
      </c>
      <c r="G512" s="3">
        <f ca="1">'ETF price'!H514-'ETF price'!H513</f>
        <v>-0.18999999999999773</v>
      </c>
      <c r="H512" s="3">
        <f ca="1">'ETF price'!I514-'ETF price'!I513</f>
        <v>-0.28000000000000114</v>
      </c>
      <c r="I512" s="3">
        <f ca="1">'ETF price'!J514-'ETF price'!J513</f>
        <v>-0.88000000000002387</v>
      </c>
      <c r="J512" s="3">
        <f ca="1">'ETF price'!K514-'ETF price'!K513</f>
        <v>-0.90999999999999659</v>
      </c>
      <c r="K512" s="3">
        <f ca="1">'ETF price'!L514-'ETF price'!L513</f>
        <v>-0.71999999999999886</v>
      </c>
      <c r="L512" s="3">
        <f ca="1">'ETF price'!M514-'ETF price'!M513</f>
        <v>-0.48000000000000398</v>
      </c>
      <c r="M512" s="3">
        <f ca="1">'ETF price'!N514-'ETF price'!N513</f>
        <v>-0.19999999999998863</v>
      </c>
      <c r="N512" s="3">
        <f ca="1">'ETF price'!O514-'ETF price'!O513</f>
        <v>-0.78999999999999915</v>
      </c>
      <c r="O512" s="3">
        <f ca="1">'ETF price'!P514-'ETF price'!P513</f>
        <v>-0.66999999999998749</v>
      </c>
      <c r="P512" s="3">
        <f ca="1">'ETF price'!Q514-'ETF price'!Q513</f>
        <v>-0.92000000000000171</v>
      </c>
      <c r="Q512" s="3">
        <f ca="1">'ETF price'!R514-'ETF price'!R513</f>
        <v>-0.59999999999999432</v>
      </c>
      <c r="R512" s="3">
        <f ca="1">'ETF price'!S514-'ETF price'!S513</f>
        <v>-0.42999999999999972</v>
      </c>
      <c r="S512" s="3">
        <f ca="1">'ETF price'!T514-'ETF price'!T513</f>
        <v>-3.0000000000001137E-2</v>
      </c>
      <c r="T512" s="3">
        <f ca="1">'ETF price'!U514-'ETF price'!U513</f>
        <v>0.68999999999999773</v>
      </c>
      <c r="U512" s="3">
        <f ca="1">'ETF price'!V514-'ETF price'!V513</f>
        <v>-1.3800000000000026</v>
      </c>
      <c r="V512" s="3">
        <f ca="1">'ETF price'!W514-'ETF price'!W513</f>
        <v>-7.0000000000000284E-2</v>
      </c>
      <c r="W512" s="3">
        <f ca="1">'ETF price'!X514-'ETF price'!X513</f>
        <v>-0.26999999999999602</v>
      </c>
      <c r="X512" s="3">
        <f ca="1">'ETF price'!Y514-'ETF price'!Y513</f>
        <v>-0.18999999999999773</v>
      </c>
      <c r="Y512" s="3">
        <f ca="1">'ETF price'!Z514-'ETF price'!Z513</f>
        <v>-0.29999999999999716</v>
      </c>
      <c r="Z512" s="3">
        <f ca="1">'ETF price'!AA514-'ETF price'!AA513</f>
        <v>-0.71999999999999886</v>
      </c>
      <c r="AA512" s="3">
        <f ca="1">'ETF price'!AB514-'ETF price'!AB513</f>
        <v>-0.21000000000000085</v>
      </c>
      <c r="AB512" s="3">
        <f ca="1">'ETF price'!AC514-'ETF price'!AC513</f>
        <v>0.3300000000000054</v>
      </c>
      <c r="AC512" s="3">
        <f ca="1">'ETF price'!AD514-'ETF price'!AD513</f>
        <v>-0.19999999999999929</v>
      </c>
      <c r="AD512" s="3">
        <f ca="1">'ETF price'!AE514-'ETF price'!AE513</f>
        <v>-0.23000000000000043</v>
      </c>
      <c r="AE512" s="3">
        <f ca="1">'ETF price'!AF514-'ETF price'!AF513</f>
        <v>-0.38000000000000034</v>
      </c>
      <c r="AF512" s="3">
        <f ca="1">'ETF price'!AG514-'ETF price'!AG513</f>
        <v>-1.2600000000000051</v>
      </c>
    </row>
    <row r="513" spans="1:32" ht="12.75" x14ac:dyDescent="0.2">
      <c r="A513" s="3">
        <f ca="1">'ETF price'!B515-'ETF price'!B514</f>
        <v>3.8899999999999864</v>
      </c>
      <c r="B513" s="3">
        <f ca="1">'ETF price'!C515-'ETF price'!C514</f>
        <v>9.3299999999999841</v>
      </c>
      <c r="C513" s="3">
        <f ca="1">'ETF price'!D515-'ETF price'!D514</f>
        <v>0.53000000000000114</v>
      </c>
      <c r="D513" s="3">
        <f ca="1">'ETF price'!E515-'ETF price'!E514</f>
        <v>6.1700000000000159</v>
      </c>
      <c r="E513" s="3">
        <f ca="1">'ETF price'!F515-'ETF price'!F514</f>
        <v>0.57000000000000028</v>
      </c>
      <c r="F513" s="3">
        <f ca="1">'ETF price'!G515-'ETF price'!G514</f>
        <v>0.30999999999999872</v>
      </c>
      <c r="G513" s="3">
        <f ca="1">'ETF price'!H515-'ETF price'!H514</f>
        <v>0.25</v>
      </c>
      <c r="H513" s="3">
        <f ca="1">'ETF price'!I515-'ETF price'!I514</f>
        <v>-2.0000000000010232E-2</v>
      </c>
      <c r="I513" s="3">
        <f ca="1">'ETF price'!J515-'ETF price'!J514</f>
        <v>0.10000000000002274</v>
      </c>
      <c r="J513" s="3">
        <f ca="1">'ETF price'!K515-'ETF price'!K514</f>
        <v>-0.46999999999999886</v>
      </c>
      <c r="K513" s="3">
        <f ca="1">'ETF price'!L515-'ETF price'!L514</f>
        <v>-1.2800000000000011</v>
      </c>
      <c r="L513" s="3">
        <f ca="1">'ETF price'!M515-'ETF price'!M514</f>
        <v>-0.12999999999999545</v>
      </c>
      <c r="M513" s="3">
        <f ca="1">'ETF price'!N515-'ETF price'!N514</f>
        <v>-6.0000000000002274E-2</v>
      </c>
      <c r="N513" s="3">
        <f ca="1">'ETF price'!O515-'ETF price'!O514</f>
        <v>-0.29000000000000625</v>
      </c>
      <c r="O513" s="3">
        <f ca="1">'ETF price'!P515-'ETF price'!P514</f>
        <v>-0.13000000000000966</v>
      </c>
      <c r="P513" s="3">
        <f ca="1">'ETF price'!Q515-'ETF price'!Q514</f>
        <v>-0.10999999999999943</v>
      </c>
      <c r="Q513" s="3">
        <f ca="1">'ETF price'!R515-'ETF price'!R514</f>
        <v>0.26000000000000512</v>
      </c>
      <c r="R513" s="3">
        <f ca="1">'ETF price'!S515-'ETF price'!S514</f>
        <v>0.61999999999999744</v>
      </c>
      <c r="S513" s="3">
        <f ca="1">'ETF price'!T515-'ETF price'!T514</f>
        <v>0.14000000000000057</v>
      </c>
      <c r="T513" s="3">
        <f ca="1">'ETF price'!U515-'ETF price'!U514</f>
        <v>1.1200000000000045</v>
      </c>
      <c r="U513" s="3">
        <f ca="1">'ETF price'!V515-'ETF price'!V514</f>
        <v>0.38000000000000256</v>
      </c>
      <c r="V513" s="3">
        <f ca="1">'ETF price'!W515-'ETF price'!W514</f>
        <v>5.9999999999995168E-2</v>
      </c>
      <c r="W513" s="3">
        <f ca="1">'ETF price'!X515-'ETF price'!X514</f>
        <v>0.22999999999998977</v>
      </c>
      <c r="X513" s="3">
        <f ca="1">'ETF price'!Y515-'ETF price'!Y514</f>
        <v>0.22999999999999687</v>
      </c>
      <c r="Y513" s="3">
        <f ca="1">'ETF price'!Z515-'ETF price'!Z514</f>
        <v>0.15000000000000568</v>
      </c>
      <c r="Z513" s="3">
        <f ca="1">'ETF price'!AA515-'ETF price'!AA514</f>
        <v>-0.25</v>
      </c>
      <c r="AA513" s="3">
        <f ca="1">'ETF price'!AB515-'ETF price'!AB514</f>
        <v>0.44000000000000483</v>
      </c>
      <c r="AB513" s="3">
        <f ca="1">'ETF price'!AC515-'ETF price'!AC514</f>
        <v>5.9999999999995168E-2</v>
      </c>
      <c r="AC513" s="3">
        <f ca="1">'ETF price'!AD515-'ETF price'!AD514</f>
        <v>-0.5600000000000005</v>
      </c>
      <c r="AD513" s="3">
        <f ca="1">'ETF price'!AE515-'ETF price'!AE514</f>
        <v>-0.96000000000000085</v>
      </c>
      <c r="AE513" s="3">
        <f ca="1">'ETF price'!AF515-'ETF price'!AF514</f>
        <v>1.0000000000000231E-2</v>
      </c>
      <c r="AF513" s="3">
        <f ca="1">'ETF price'!AG515-'ETF price'!AG514</f>
        <v>-1.8999999999999986</v>
      </c>
    </row>
    <row r="514" spans="1:32" ht="12.75" x14ac:dyDescent="0.2">
      <c r="A514" s="3">
        <f ca="1">'ETF price'!B516-'ETF price'!B515</f>
        <v>4.5099999999999909</v>
      </c>
      <c r="B514" s="3">
        <f ca="1">'ETF price'!C516-'ETF price'!C515</f>
        <v>10.620000000000005</v>
      </c>
      <c r="C514" s="3">
        <f ca="1">'ETF price'!D516-'ETF price'!D515</f>
        <v>0.93000000000000682</v>
      </c>
      <c r="D514" s="3">
        <f ca="1">'ETF price'!E516-'ETF price'!E515</f>
        <v>7.539999999999992</v>
      </c>
      <c r="E514" s="3">
        <f ca="1">'ETF price'!F516-'ETF price'!F515</f>
        <v>0.31000000000000227</v>
      </c>
      <c r="F514" s="3">
        <f ca="1">'ETF price'!G516-'ETF price'!G515</f>
        <v>0.26000000000000156</v>
      </c>
      <c r="G514" s="3">
        <f ca="1">'ETF price'!H516-'ETF price'!H515</f>
        <v>0.27999999999999758</v>
      </c>
      <c r="H514" s="3">
        <f ca="1">'ETF price'!I516-'ETF price'!I515</f>
        <v>8.0000000000012506E-2</v>
      </c>
      <c r="I514" s="3">
        <f ca="1">'ETF price'!J516-'ETF price'!J515</f>
        <v>0.28000000000000114</v>
      </c>
      <c r="J514" s="3">
        <f ca="1">'ETF price'!K516-'ETF price'!K515</f>
        <v>0.62999999999999545</v>
      </c>
      <c r="K514" s="3">
        <f ca="1">'ETF price'!L516-'ETF price'!L515</f>
        <v>-1.0000000000005116E-2</v>
      </c>
      <c r="L514" s="3">
        <f ca="1">'ETF price'!M516-'ETF price'!M515</f>
        <v>0.20999999999999375</v>
      </c>
      <c r="M514" s="3">
        <f ca="1">'ETF price'!N516-'ETF price'!N515</f>
        <v>6.0000000000002274E-2</v>
      </c>
      <c r="N514" s="3">
        <f ca="1">'ETF price'!O516-'ETF price'!O515</f>
        <v>-7.9999999999998295E-2</v>
      </c>
      <c r="O514" s="3">
        <f ca="1">'ETF price'!P516-'ETF price'!P515</f>
        <v>0.26000000000000512</v>
      </c>
      <c r="P514" s="3">
        <f ca="1">'ETF price'!Q516-'ETF price'!Q515</f>
        <v>0.28000000000000114</v>
      </c>
      <c r="Q514" s="3">
        <f ca="1">'ETF price'!R516-'ETF price'!R515</f>
        <v>7.9999999999998295E-2</v>
      </c>
      <c r="R514" s="3">
        <f ca="1">'ETF price'!S516-'ETF price'!S515</f>
        <v>0.18999999999999773</v>
      </c>
      <c r="S514" s="3">
        <f ca="1">'ETF price'!T516-'ETF price'!T515</f>
        <v>-3.9999999999999147E-2</v>
      </c>
      <c r="T514" s="3">
        <f ca="1">'ETF price'!U516-'ETF price'!U515</f>
        <v>-0.24000000000000909</v>
      </c>
      <c r="U514" s="3">
        <f ca="1">'ETF price'!V516-'ETF price'!V515</f>
        <v>-0.37000000000000455</v>
      </c>
      <c r="V514" s="3">
        <f ca="1">'ETF price'!W516-'ETF price'!W515</f>
        <v>0.60000000000000142</v>
      </c>
      <c r="W514" s="3">
        <f ca="1">'ETF price'!X516-'ETF price'!X515</f>
        <v>1.5500000000000114</v>
      </c>
      <c r="X514" s="3">
        <f ca="1">'ETF price'!Y516-'ETF price'!Y515</f>
        <v>1.0799999999999983</v>
      </c>
      <c r="Y514" s="3">
        <f ca="1">'ETF price'!Z516-'ETF price'!Z515</f>
        <v>1.4699999999999989</v>
      </c>
      <c r="Z514" s="3">
        <f ca="1">'ETF price'!AA516-'ETF price'!AA515</f>
        <v>0.37000000000000455</v>
      </c>
      <c r="AA514" s="3">
        <f ca="1">'ETF price'!AB516-'ETF price'!AB515</f>
        <v>1.259999999999998</v>
      </c>
      <c r="AB514" s="3">
        <f ca="1">'ETF price'!AC516-'ETF price'!AC515</f>
        <v>0.27000000000000313</v>
      </c>
      <c r="AC514" s="3">
        <f ca="1">'ETF price'!AD516-'ETF price'!AD515</f>
        <v>0.1899999999999995</v>
      </c>
      <c r="AD514" s="3">
        <f ca="1">'ETF price'!AE516-'ETF price'!AE515</f>
        <v>0.37000000000000099</v>
      </c>
      <c r="AE514" s="3">
        <f ca="1">'ETF price'!AF516-'ETF price'!AF515</f>
        <v>-4.0000000000000036E-2</v>
      </c>
      <c r="AF514" s="3">
        <f ca="1">'ETF price'!AG516-'ETF price'!AG515</f>
        <v>-4.9999999999997158E-2</v>
      </c>
    </row>
    <row r="515" spans="1:32" ht="12.75" x14ac:dyDescent="0.2">
      <c r="A515" s="3">
        <f ca="1">'ETF price'!B517-'ETF price'!B516</f>
        <v>0.88000000000002387</v>
      </c>
      <c r="B515" s="3">
        <f ca="1">'ETF price'!C517-'ETF price'!C516</f>
        <v>3.2599999999999909</v>
      </c>
      <c r="C515" s="3">
        <f ca="1">'ETF price'!D517-'ETF price'!D516</f>
        <v>0.58000000000001251</v>
      </c>
      <c r="D515" s="3">
        <f ca="1">'ETF price'!E517-'ETF price'!E516</f>
        <v>0.65999999999999659</v>
      </c>
      <c r="E515" s="3">
        <f ca="1">'ETF price'!F517-'ETF price'!F516</f>
        <v>1.1099999999999994</v>
      </c>
      <c r="F515" s="3">
        <f ca="1">'ETF price'!G517-'ETF price'!G516</f>
        <v>0.35999999999999943</v>
      </c>
      <c r="G515" s="3">
        <f ca="1">'ETF price'!H517-'ETF price'!H516</f>
        <v>0.2900000000000027</v>
      </c>
      <c r="H515" s="3">
        <f ca="1">'ETF price'!I517-'ETF price'!I516</f>
        <v>0.60999999999998522</v>
      </c>
      <c r="I515" s="3">
        <f ca="1">'ETF price'!J517-'ETF price'!J516</f>
        <v>1.3099999999999739</v>
      </c>
      <c r="J515" s="3">
        <f ca="1">'ETF price'!K517-'ETF price'!K516</f>
        <v>0.43999999999999773</v>
      </c>
      <c r="K515" s="3">
        <f ca="1">'ETF price'!L517-'ETF price'!L516</f>
        <v>1.960000000000008</v>
      </c>
      <c r="L515" s="3">
        <f ca="1">'ETF price'!M517-'ETF price'!M516</f>
        <v>1.0799999999999983</v>
      </c>
      <c r="M515" s="3">
        <f ca="1">'ETF price'!N517-'ETF price'!N516</f>
        <v>0.35999999999999943</v>
      </c>
      <c r="N515" s="3">
        <f ca="1">'ETF price'!O517-'ETF price'!O516</f>
        <v>0.80000000000000426</v>
      </c>
      <c r="O515" s="3">
        <f ca="1">'ETF price'!P517-'ETF price'!P516</f>
        <v>0.29999999999999716</v>
      </c>
      <c r="P515" s="3">
        <f ca="1">'ETF price'!Q517-'ETF price'!Q516</f>
        <v>0.45000000000000284</v>
      </c>
      <c r="Q515" s="3">
        <f ca="1">'ETF price'!R517-'ETF price'!R516</f>
        <v>0.23999999999999488</v>
      </c>
      <c r="R515" s="3">
        <f ca="1">'ETF price'!S517-'ETF price'!S516</f>
        <v>0.42000000000000171</v>
      </c>
      <c r="S515" s="3">
        <f ca="1">'ETF price'!T517-'ETF price'!T516</f>
        <v>8.9999999999999858E-2</v>
      </c>
      <c r="T515" s="3">
        <f ca="1">'ETF price'!U517-'ETF price'!U516</f>
        <v>0.87000000000000455</v>
      </c>
      <c r="U515" s="3">
        <f ca="1">'ETF price'!V517-'ETF price'!V516</f>
        <v>0.66000000000000369</v>
      </c>
      <c r="V515" s="3">
        <f ca="1">'ETF price'!W517-'ETF price'!W516</f>
        <v>0.17999999999999972</v>
      </c>
      <c r="W515" s="3">
        <f ca="1">'ETF price'!X517-'ETF price'!X516</f>
        <v>0.57999999999999829</v>
      </c>
      <c r="X515" s="3">
        <f ca="1">'ETF price'!Y517-'ETF price'!Y516</f>
        <v>0.71999999999999886</v>
      </c>
      <c r="Y515" s="3">
        <f ca="1">'ETF price'!Z517-'ETF price'!Z516</f>
        <v>0.39000000000000057</v>
      </c>
      <c r="Z515" s="3">
        <f ca="1">'ETF price'!AA517-'ETF price'!AA516</f>
        <v>0.17999999999999972</v>
      </c>
      <c r="AA515" s="3">
        <f ca="1">'ETF price'!AB517-'ETF price'!AB516</f>
        <v>1.1299999999999955</v>
      </c>
      <c r="AB515" s="3">
        <f ca="1">'ETF price'!AC517-'ETF price'!AC516</f>
        <v>0.46999999999999886</v>
      </c>
      <c r="AC515" s="3">
        <f ca="1">'ETF price'!AD517-'ETF price'!AD516</f>
        <v>-0.62999999999999901</v>
      </c>
      <c r="AD515" s="3">
        <f ca="1">'ETF price'!AE517-'ETF price'!AE516</f>
        <v>-0.69999999999999929</v>
      </c>
      <c r="AE515" s="3">
        <f ca="1">'ETF price'!AF517-'ETF price'!AF516</f>
        <v>-7.0000000000000284E-2</v>
      </c>
      <c r="AF515" s="3">
        <f ca="1">'ETF price'!AG517-'ETF price'!AG516</f>
        <v>0.54999999999999716</v>
      </c>
    </row>
    <row r="516" spans="1:32" ht="12.75" x14ac:dyDescent="0.2">
      <c r="A516" s="3">
        <f ca="1">'ETF price'!B518-'ETF price'!B517</f>
        <v>0.81000000000000227</v>
      </c>
      <c r="B516" s="3">
        <f ca="1">'ETF price'!C518-'ETF price'!C517</f>
        <v>2.0900000000000318</v>
      </c>
      <c r="C516" s="3">
        <f ca="1">'ETF price'!D518-'ETF price'!D517</f>
        <v>-1.210000000000008</v>
      </c>
      <c r="D516" s="3">
        <f ca="1">'ETF price'!E518-'ETF price'!E517</f>
        <v>1.3300000000000125</v>
      </c>
      <c r="E516" s="3">
        <f ca="1">'ETF price'!F518-'ETF price'!F517</f>
        <v>-3.0000000000001137E-2</v>
      </c>
      <c r="F516" s="3">
        <f ca="1">'ETF price'!G518-'ETF price'!G517</f>
        <v>-1.9999999999999574E-2</v>
      </c>
      <c r="G516" s="3">
        <f ca="1">'ETF price'!H518-'ETF price'!H517</f>
        <v>0.16000000000000014</v>
      </c>
      <c r="H516" s="3">
        <f ca="1">'ETF price'!I518-'ETF price'!I517</f>
        <v>-9.9999999999994316E-2</v>
      </c>
      <c r="I516" s="3">
        <f ca="1">'ETF price'!J518-'ETF price'!J517</f>
        <v>-0.20999999999997954</v>
      </c>
      <c r="J516" s="3">
        <f ca="1">'ETF price'!K518-'ETF price'!K517</f>
        <v>0.74000000000000909</v>
      </c>
      <c r="K516" s="3">
        <f ca="1">'ETF price'!L518-'ETF price'!L517</f>
        <v>0.21999999999999886</v>
      </c>
      <c r="L516" s="3">
        <f ca="1">'ETF price'!M518-'ETF price'!M517</f>
        <v>0.14000000000000057</v>
      </c>
      <c r="M516" s="3">
        <f ca="1">'ETF price'!N518-'ETF price'!N517</f>
        <v>-3.0000000000001137E-2</v>
      </c>
      <c r="N516" s="3">
        <f ca="1">'ETF price'!O518-'ETF price'!O517</f>
        <v>0.23999999999999488</v>
      </c>
      <c r="O516" s="3">
        <f ca="1">'ETF price'!P518-'ETF price'!P517</f>
        <v>0.17000000000000171</v>
      </c>
      <c r="P516" s="3">
        <f ca="1">'ETF price'!Q518-'ETF price'!Q517</f>
        <v>0.34000000000000341</v>
      </c>
      <c r="Q516" s="3">
        <f ca="1">'ETF price'!R518-'ETF price'!R517</f>
        <v>0.26999999999999602</v>
      </c>
      <c r="R516" s="3">
        <f ca="1">'ETF price'!S518-'ETF price'!S517</f>
        <v>0.60000000000000142</v>
      </c>
      <c r="S516" s="3">
        <f ca="1">'ETF price'!T518-'ETF price'!T517</f>
        <v>0.11999999999999744</v>
      </c>
      <c r="T516" s="3">
        <f ca="1">'ETF price'!U518-'ETF price'!U517</f>
        <v>-3.0000000000001137E-2</v>
      </c>
      <c r="U516" s="3">
        <f ca="1">'ETF price'!V518-'ETF price'!V517</f>
        <v>1.3299999999999983</v>
      </c>
      <c r="V516" s="3">
        <f ca="1">'ETF price'!W518-'ETF price'!W517</f>
        <v>6.0000000000002274E-2</v>
      </c>
      <c r="W516" s="3">
        <f ca="1">'ETF price'!X518-'ETF price'!X517</f>
        <v>-6.0000000000002274E-2</v>
      </c>
      <c r="X516" s="3">
        <f ca="1">'ETF price'!Y518-'ETF price'!Y517</f>
        <v>-0.37999999999999545</v>
      </c>
      <c r="Y516" s="3">
        <f ca="1">'ETF price'!Z518-'ETF price'!Z517</f>
        <v>6.9999999999993179E-2</v>
      </c>
      <c r="Z516" s="3">
        <f ca="1">'ETF price'!AA518-'ETF price'!AA517</f>
        <v>-0.21000000000000085</v>
      </c>
      <c r="AA516" s="3">
        <f ca="1">'ETF price'!AB518-'ETF price'!AB517</f>
        <v>-0.5</v>
      </c>
      <c r="AB516" s="3">
        <f ca="1">'ETF price'!AC518-'ETF price'!AC517</f>
        <v>0.17999999999999972</v>
      </c>
      <c r="AC516" s="3">
        <f ca="1">'ETF price'!AD518-'ETF price'!AD517</f>
        <v>-0.57000000000000028</v>
      </c>
      <c r="AD516" s="3">
        <f ca="1">'ETF price'!AE518-'ETF price'!AE517</f>
        <v>-0.46999999999999886</v>
      </c>
      <c r="AE516" s="3">
        <f ca="1">'ETF price'!AF518-'ETF price'!AF517</f>
        <v>-0.1599999999999997</v>
      </c>
      <c r="AF516" s="3">
        <f ca="1">'ETF price'!AG518-'ETF price'!AG517</f>
        <v>-0.74999999999999645</v>
      </c>
    </row>
    <row r="517" spans="1:32" ht="12.75" x14ac:dyDescent="0.2">
      <c r="A517" s="3">
        <f ca="1">'ETF price'!B519-'ETF price'!B518</f>
        <v>1.3899999999999864</v>
      </c>
      <c r="B517" s="3">
        <f ca="1">'ETF price'!C519-'ETF price'!C518</f>
        <v>2.4200000000000159</v>
      </c>
      <c r="C517" s="3">
        <f ca="1">'ETF price'!D519-'ETF price'!D518</f>
        <v>1.4099999999999966</v>
      </c>
      <c r="D517" s="3">
        <f ca="1">'ETF price'!E519-'ETF price'!E518</f>
        <v>2.9499999999999886</v>
      </c>
      <c r="E517" s="3">
        <f ca="1">'ETF price'!F519-'ETF price'!F518</f>
        <v>-0.20000000000000284</v>
      </c>
      <c r="F517" s="3">
        <f ca="1">'ETF price'!G519-'ETF price'!G518</f>
        <v>-0.19000000000000128</v>
      </c>
      <c r="G517" s="3">
        <f ca="1">'ETF price'!H519-'ETF price'!H518</f>
        <v>-0.16000000000000014</v>
      </c>
      <c r="H517" s="3">
        <f ca="1">'ETF price'!I519-'ETF price'!I518</f>
        <v>-1.2800000000000011</v>
      </c>
      <c r="I517" s="3">
        <f ca="1">'ETF price'!J519-'ETF price'!J518</f>
        <v>-2.3100000000000023</v>
      </c>
      <c r="J517" s="3">
        <f ca="1">'ETF price'!K519-'ETF price'!K518</f>
        <v>-1.5600000000000023</v>
      </c>
      <c r="K517" s="3">
        <f ca="1">'ETF price'!L519-'ETF price'!L518</f>
        <v>-1.5100000000000051</v>
      </c>
      <c r="L517" s="3">
        <f ca="1">'ETF price'!M519-'ETF price'!M518</f>
        <v>-0.85999999999999943</v>
      </c>
      <c r="M517" s="3">
        <f ca="1">'ETF price'!N519-'ETF price'!N518</f>
        <v>-0.56000000000000227</v>
      </c>
      <c r="N517" s="3">
        <f ca="1">'ETF price'!O519-'ETF price'!O518</f>
        <v>-0.67999999999999972</v>
      </c>
      <c r="O517" s="3">
        <f ca="1">'ETF price'!P519-'ETF price'!P518</f>
        <v>1.1500000000000057</v>
      </c>
      <c r="P517" s="3">
        <f ca="1">'ETF price'!Q519-'ETF price'!Q518</f>
        <v>1.6299999999999955</v>
      </c>
      <c r="Q517" s="3">
        <f ca="1">'ETF price'!R519-'ETF price'!R518</f>
        <v>-1.1199999999999903</v>
      </c>
      <c r="R517" s="3">
        <f ca="1">'ETF price'!S519-'ETF price'!S518</f>
        <v>-0.28000000000000114</v>
      </c>
      <c r="S517" s="3">
        <f ca="1">'ETF price'!T519-'ETF price'!T518</f>
        <v>0.19000000000000128</v>
      </c>
      <c r="T517" s="3">
        <f ca="1">'ETF price'!U519-'ETF price'!U518</f>
        <v>0.88000000000000966</v>
      </c>
      <c r="U517" s="3">
        <f ca="1">'ETF price'!V519-'ETF price'!V518</f>
        <v>-0.85999999999999943</v>
      </c>
      <c r="V517" s="3">
        <f ca="1">'ETF price'!W519-'ETF price'!W518</f>
        <v>0.14999999999999858</v>
      </c>
      <c r="W517" s="3">
        <f ca="1">'ETF price'!X519-'ETF price'!X518</f>
        <v>0.37000000000000455</v>
      </c>
      <c r="X517" s="3">
        <f ca="1">'ETF price'!Y519-'ETF price'!Y518</f>
        <v>0.44999999999999574</v>
      </c>
      <c r="Y517" s="3">
        <f ca="1">'ETF price'!Z519-'ETF price'!Z518</f>
        <v>0.49000000000000909</v>
      </c>
      <c r="Z517" s="3">
        <f ca="1">'ETF price'!AA519-'ETF price'!AA518</f>
        <v>-0.53000000000000114</v>
      </c>
      <c r="AA517" s="3">
        <f ca="1">'ETF price'!AB519-'ETF price'!AB518</f>
        <v>0.60000000000000142</v>
      </c>
      <c r="AB517" s="3">
        <f ca="1">'ETF price'!AC519-'ETF price'!AC518</f>
        <v>0.34000000000000341</v>
      </c>
      <c r="AC517" s="3">
        <f ca="1">'ETF price'!AD519-'ETF price'!AD518</f>
        <v>8.9999999999999858E-2</v>
      </c>
      <c r="AD517" s="3">
        <f ca="1">'ETF price'!AE519-'ETF price'!AE518</f>
        <v>0.18999999999999773</v>
      </c>
      <c r="AE517" s="3">
        <f ca="1">'ETF price'!AF519-'ETF price'!AF518</f>
        <v>-3.0000000000000249E-2</v>
      </c>
      <c r="AF517" s="3">
        <f ca="1">'ETF price'!AG519-'ETF price'!AG518</f>
        <v>-0.52000000000000313</v>
      </c>
    </row>
    <row r="518" spans="1:32" ht="12.75" x14ac:dyDescent="0.2">
      <c r="A518" s="3">
        <f ca="1">'ETF price'!B520-'ETF price'!B519</f>
        <v>0.84999999999999432</v>
      </c>
      <c r="B518" s="3">
        <f ca="1">'ETF price'!C520-'ETF price'!C519</f>
        <v>1.2099999999999795</v>
      </c>
      <c r="C518" s="3">
        <f ca="1">'ETF price'!D520-'ETF price'!D519</f>
        <v>-1.1100000000000136</v>
      </c>
      <c r="D518" s="3">
        <f ca="1">'ETF price'!E520-'ETF price'!E519</f>
        <v>-0.56999999999999318</v>
      </c>
      <c r="E518" s="3">
        <f ca="1">'ETF price'!F520-'ETF price'!F519</f>
        <v>-2.9999999999994031E-2</v>
      </c>
      <c r="F518" s="3">
        <f ca="1">'ETF price'!G520-'ETF price'!G519</f>
        <v>0.14000000000000057</v>
      </c>
      <c r="G518" s="3">
        <f ca="1">'ETF price'!H520-'ETF price'!H519</f>
        <v>0.16999999999999815</v>
      </c>
      <c r="H518" s="3">
        <f ca="1">'ETF price'!I520-'ETF price'!I519</f>
        <v>-0.21000000000000796</v>
      </c>
      <c r="I518" s="3">
        <f ca="1">'ETF price'!J520-'ETF price'!J519</f>
        <v>-0.25999999999999091</v>
      </c>
      <c r="J518" s="3">
        <f ca="1">'ETF price'!K520-'ETF price'!K519</f>
        <v>0.88999999999998636</v>
      </c>
      <c r="K518" s="3">
        <f ca="1">'ETF price'!L520-'ETF price'!L519</f>
        <v>0.78000000000000114</v>
      </c>
      <c r="L518" s="3">
        <f ca="1">'ETF price'!M520-'ETF price'!M519</f>
        <v>0.21000000000000796</v>
      </c>
      <c r="M518" s="3">
        <f ca="1">'ETF price'!N520-'ETF price'!N519</f>
        <v>-0.12999999999999545</v>
      </c>
      <c r="N518" s="3">
        <f ca="1">'ETF price'!O520-'ETF price'!O519</f>
        <v>0.32000000000000028</v>
      </c>
      <c r="O518" s="3">
        <f ca="1">'ETF price'!P520-'ETF price'!P519</f>
        <v>1.8399999999999892</v>
      </c>
      <c r="P518" s="3">
        <f ca="1">'ETF price'!Q520-'ETF price'!Q519</f>
        <v>2.2900000000000063</v>
      </c>
      <c r="Q518" s="3">
        <f ca="1">'ETF price'!R520-'ETF price'!R519</f>
        <v>0.85999999999999943</v>
      </c>
      <c r="R518" s="3">
        <f ca="1">'ETF price'!S520-'ETF price'!S519</f>
        <v>-0.46000000000000085</v>
      </c>
      <c r="S518" s="3">
        <f ca="1">'ETF price'!T520-'ETF price'!T519</f>
        <v>0.17000000000000171</v>
      </c>
      <c r="T518" s="3">
        <f ca="1">'ETF price'!U520-'ETF price'!U519</f>
        <v>1.6899999999999977</v>
      </c>
      <c r="U518" s="3">
        <f ca="1">'ETF price'!V520-'ETF price'!V519</f>
        <v>-0.14999999999999858</v>
      </c>
      <c r="V518" s="3">
        <f ca="1">'ETF price'!W520-'ETF price'!W519</f>
        <v>0.18999999999999773</v>
      </c>
      <c r="W518" s="3">
        <f ca="1">'ETF price'!X520-'ETF price'!X519</f>
        <v>0.40999999999999659</v>
      </c>
      <c r="X518" s="3">
        <f ca="1">'ETF price'!Y520-'ETF price'!Y519</f>
        <v>-0.11999999999999744</v>
      </c>
      <c r="Y518" s="3">
        <f ca="1">'ETF price'!Z520-'ETF price'!Z519</f>
        <v>0.54999999999999716</v>
      </c>
      <c r="Z518" s="3">
        <f ca="1">'ETF price'!AA520-'ETF price'!AA519</f>
        <v>0.51999999999999602</v>
      </c>
      <c r="AA518" s="3">
        <f ca="1">'ETF price'!AB520-'ETF price'!AB519</f>
        <v>-0.32000000000000028</v>
      </c>
      <c r="AB518" s="3">
        <f ca="1">'ETF price'!AC520-'ETF price'!AC519</f>
        <v>0.72999999999999687</v>
      </c>
      <c r="AC518" s="3">
        <f ca="1">'ETF price'!AD520-'ETF price'!AD519</f>
        <v>7.0000000000000284E-2</v>
      </c>
      <c r="AD518" s="3">
        <f ca="1">'ETF price'!AE520-'ETF price'!AE519</f>
        <v>0.10999999999999943</v>
      </c>
      <c r="AE518" s="3">
        <f ca="1">'ETF price'!AF520-'ETF price'!AF519</f>
        <v>1.0000000000000231E-2</v>
      </c>
      <c r="AF518" s="3">
        <f ca="1">'ETF price'!AG520-'ETF price'!AG519</f>
        <v>0.87999999999999901</v>
      </c>
    </row>
    <row r="519" spans="1:32" ht="12.75" x14ac:dyDescent="0.2">
      <c r="A519" s="3">
        <f ca="1">'ETF price'!B521-'ETF price'!B520</f>
        <v>-2.3499999999999943</v>
      </c>
      <c r="B519" s="3">
        <f ca="1">'ETF price'!C521-'ETF price'!C520</f>
        <v>-5.2800000000000296</v>
      </c>
      <c r="C519" s="3">
        <f ca="1">'ETF price'!D521-'ETF price'!D520</f>
        <v>-3.3499999999999943</v>
      </c>
      <c r="D519" s="3">
        <f ca="1">'ETF price'!E521-'ETF price'!E520</f>
        <v>-5.5200000000000102</v>
      </c>
      <c r="E519" s="3">
        <f ca="1">'ETF price'!F521-'ETF price'!F520</f>
        <v>0.25999999999999801</v>
      </c>
      <c r="F519" s="3">
        <f ca="1">'ETF price'!G521-'ETF price'!G520</f>
        <v>0.19999999999999929</v>
      </c>
      <c r="G519" s="3">
        <f ca="1">'ETF price'!H521-'ETF price'!H520</f>
        <v>-0.10999999999999943</v>
      </c>
      <c r="H519" s="3">
        <f ca="1">'ETF price'!I521-'ETF price'!I520</f>
        <v>0.79000000000002046</v>
      </c>
      <c r="I519" s="3">
        <f ca="1">'ETF price'!J521-'ETF price'!J520</f>
        <v>1.1999999999999886</v>
      </c>
      <c r="J519" s="3">
        <f ca="1">'ETF price'!K521-'ETF price'!K520</f>
        <v>-0.34000000000000341</v>
      </c>
      <c r="K519" s="3">
        <f ca="1">'ETF price'!L521-'ETF price'!L520</f>
        <v>-0.26000000000000512</v>
      </c>
      <c r="L519" s="3">
        <f ca="1">'ETF price'!M521-'ETF price'!M520</f>
        <v>-0.26000000000000512</v>
      </c>
      <c r="M519" s="3">
        <f ca="1">'ETF price'!N521-'ETF price'!N520</f>
        <v>0.32999999999999829</v>
      </c>
      <c r="N519" s="3">
        <f ca="1">'ETF price'!O521-'ETF price'!O520</f>
        <v>-0.51999999999999602</v>
      </c>
      <c r="O519" s="3">
        <f ca="1">'ETF price'!P521-'ETF price'!P520</f>
        <v>0.62000000000000455</v>
      </c>
      <c r="P519" s="3">
        <f ca="1">'ETF price'!Q521-'ETF price'!Q520</f>
        <v>0.90999999999999659</v>
      </c>
      <c r="Q519" s="3">
        <f ca="1">'ETF price'!R521-'ETF price'!R520</f>
        <v>3.0000000000001137E-2</v>
      </c>
      <c r="R519" s="3">
        <f ca="1">'ETF price'!S521-'ETF price'!S520</f>
        <v>0.37000000000000455</v>
      </c>
      <c r="S519" s="3">
        <f ca="1">'ETF price'!T521-'ETF price'!T520</f>
        <v>9.9999999999997868E-2</v>
      </c>
      <c r="T519" s="3">
        <f ca="1">'ETF price'!U521-'ETF price'!U520</f>
        <v>0.86999999999999034</v>
      </c>
      <c r="U519" s="3">
        <f ca="1">'ETF price'!V521-'ETF price'!V520</f>
        <v>-0.69000000000000483</v>
      </c>
      <c r="V519" s="3">
        <f ca="1">'ETF price'!W521-'ETF price'!W520</f>
        <v>0.14000000000000057</v>
      </c>
      <c r="W519" s="3">
        <f ca="1">'ETF price'!X521-'ETF price'!X520</f>
        <v>0.31999999999999318</v>
      </c>
      <c r="X519" s="3">
        <f ca="1">'ETF price'!Y521-'ETF price'!Y520</f>
        <v>0.22999999999999687</v>
      </c>
      <c r="Y519" s="3">
        <f ca="1">'ETF price'!Z521-'ETF price'!Z520</f>
        <v>0.17999999999999261</v>
      </c>
      <c r="Z519" s="3">
        <f ca="1">'ETF price'!AA521-'ETF price'!AA520</f>
        <v>-0.1699999999999946</v>
      </c>
      <c r="AA519" s="3">
        <f ca="1">'ETF price'!AB521-'ETF price'!AB520</f>
        <v>0.19000000000000483</v>
      </c>
      <c r="AB519" s="3">
        <f ca="1">'ETF price'!AC521-'ETF price'!AC520</f>
        <v>-0.90999999999999659</v>
      </c>
      <c r="AC519" s="3">
        <f ca="1">'ETF price'!AD521-'ETF price'!AD520</f>
        <v>0.50999999999999979</v>
      </c>
      <c r="AD519" s="3">
        <f ca="1">'ETF price'!AE521-'ETF price'!AE520</f>
        <v>1.0800000000000018</v>
      </c>
      <c r="AE519" s="3">
        <f ca="1">'ETF price'!AF521-'ETF price'!AF520</f>
        <v>-1.0000000000000231E-2</v>
      </c>
      <c r="AF519" s="3">
        <f ca="1">'ETF price'!AG521-'ETF price'!AG520</f>
        <v>2.4299999999999997</v>
      </c>
    </row>
    <row r="520" spans="1:32" ht="12.75" x14ac:dyDescent="0.2">
      <c r="A520" s="3">
        <f ca="1">'ETF price'!B522-'ETF price'!B521</f>
        <v>1.8499999999999943</v>
      </c>
      <c r="B520" s="3">
        <f ca="1">'ETF price'!C522-'ETF price'!C521</f>
        <v>5.8799999999999955</v>
      </c>
      <c r="C520" s="3">
        <f ca="1">'ETF price'!D522-'ETF price'!D521</f>
        <v>1.5300000000000011</v>
      </c>
      <c r="D520" s="3">
        <f ca="1">'ETF price'!E522-'ETF price'!E521</f>
        <v>2.0700000000000216</v>
      </c>
      <c r="E520" s="3">
        <f ca="1">'ETF price'!F522-'ETF price'!F521</f>
        <v>0.82999999999999829</v>
      </c>
      <c r="F520" s="3">
        <f ca="1">'ETF price'!G522-'ETF price'!G521</f>
        <v>0.35999999999999943</v>
      </c>
      <c r="G520" s="3">
        <f ca="1">'ETF price'!H522-'ETF price'!H521</f>
        <v>0.35000000000000142</v>
      </c>
      <c r="H520" s="3">
        <f ca="1">'ETF price'!I522-'ETF price'!I521</f>
        <v>0.97999999999998977</v>
      </c>
      <c r="I520" s="3">
        <f ca="1">'ETF price'!J522-'ETF price'!J521</f>
        <v>2.1499999999999773</v>
      </c>
      <c r="J520" s="3">
        <f ca="1">'ETF price'!K522-'ETF price'!K521</f>
        <v>2.1400000000000148</v>
      </c>
      <c r="K520" s="3">
        <f ca="1">'ETF price'!L522-'ETF price'!L521</f>
        <v>2.5600000000000023</v>
      </c>
      <c r="L520" s="3">
        <f ca="1">'ETF price'!M522-'ETF price'!M521</f>
        <v>1.0799999999999983</v>
      </c>
      <c r="M520" s="3">
        <f ca="1">'ETF price'!N522-'ETF price'!N521</f>
        <v>0.60999999999999943</v>
      </c>
      <c r="N520" s="3">
        <f ca="1">'ETF price'!O522-'ETF price'!O521</f>
        <v>1.3599999999999994</v>
      </c>
      <c r="O520" s="3">
        <f ca="1">'ETF price'!P522-'ETF price'!P521</f>
        <v>-0.12000000000000455</v>
      </c>
      <c r="P520" s="3">
        <f ca="1">'ETF price'!Q522-'ETF price'!Q521</f>
        <v>-6.0000000000002274E-2</v>
      </c>
      <c r="Q520" s="3">
        <f ca="1">'ETF price'!R522-'ETF price'!R521</f>
        <v>0.40999999999999659</v>
      </c>
      <c r="R520" s="3">
        <f ca="1">'ETF price'!S522-'ETF price'!S521</f>
        <v>0.73999999999999488</v>
      </c>
      <c r="S520" s="3">
        <f ca="1">'ETF price'!T522-'ETF price'!T521</f>
        <v>-0.18999999999999773</v>
      </c>
      <c r="T520" s="3">
        <f ca="1">'ETF price'!U522-'ETF price'!U521</f>
        <v>-1.0499999999999972</v>
      </c>
      <c r="U520" s="3">
        <f ca="1">'ETF price'!V522-'ETF price'!V521</f>
        <v>0.85999999999999943</v>
      </c>
      <c r="V520" s="3">
        <f ca="1">'ETF price'!W522-'ETF price'!W521</f>
        <v>0.10000000000000142</v>
      </c>
      <c r="W520" s="3">
        <f ca="1">'ETF price'!X522-'ETF price'!X521</f>
        <v>0.52000000000001023</v>
      </c>
      <c r="X520" s="3">
        <f ca="1">'ETF price'!Y522-'ETF price'!Y521</f>
        <v>0.59000000000000341</v>
      </c>
      <c r="Y520" s="3">
        <f ca="1">'ETF price'!Z522-'ETF price'!Z521</f>
        <v>0.19000000000001194</v>
      </c>
      <c r="Z520" s="3">
        <f ca="1">'ETF price'!AA522-'ETF price'!AA521</f>
        <v>0.28000000000000114</v>
      </c>
      <c r="AA520" s="3">
        <f ca="1">'ETF price'!AB522-'ETF price'!AB521</f>
        <v>0.86999999999999744</v>
      </c>
      <c r="AB520" s="3">
        <f ca="1">'ETF price'!AC522-'ETF price'!AC521</f>
        <v>7.9999999999998295E-2</v>
      </c>
      <c r="AC520" s="3">
        <f ca="1">'ETF price'!AD522-'ETF price'!AD521</f>
        <v>0.28999999999999915</v>
      </c>
      <c r="AD520" s="3">
        <f ca="1">'ETF price'!AE522-'ETF price'!AE521</f>
        <v>0.53999999999999915</v>
      </c>
      <c r="AE520" s="3">
        <f ca="1">'ETF price'!AF522-'ETF price'!AF521</f>
        <v>-0.10000000000000009</v>
      </c>
      <c r="AF520" s="3">
        <f ca="1">'ETF price'!AG522-'ETF price'!AG521</f>
        <v>1.7000000000000028</v>
      </c>
    </row>
    <row r="521" spans="1:32" ht="12.75" x14ac:dyDescent="0.2">
      <c r="A521" s="3">
        <f ca="1">'ETF price'!B523-'ETF price'!B522</f>
        <v>-1.6800000000000068</v>
      </c>
      <c r="B521" s="3">
        <f ca="1">'ETF price'!C523-'ETF price'!C522</f>
        <v>-4.8999999999999773</v>
      </c>
      <c r="C521" s="3">
        <f ca="1">'ETF price'!D523-'ETF price'!D522</f>
        <v>2.3900000000000148</v>
      </c>
      <c r="D521" s="3">
        <f ca="1">'ETF price'!E523-'ETF price'!E522</f>
        <v>-3.1100000000000136</v>
      </c>
      <c r="E521" s="3">
        <f ca="1">'ETF price'!F523-'ETF price'!F522</f>
        <v>1.9999999999996021E-2</v>
      </c>
      <c r="F521" s="3">
        <f ca="1">'ETF price'!G523-'ETF price'!G522</f>
        <v>-0.32999999999999829</v>
      </c>
      <c r="G521" s="3">
        <f ca="1">'ETF price'!H523-'ETF price'!H522</f>
        <v>-0.20000000000000284</v>
      </c>
      <c r="H521" s="3">
        <f ca="1">'ETF price'!I523-'ETF price'!I522</f>
        <v>0.31999999999999318</v>
      </c>
      <c r="I521" s="3">
        <f ca="1">'ETF price'!J523-'ETF price'!J522</f>
        <v>9.0000000000031832E-2</v>
      </c>
      <c r="J521" s="3">
        <f ca="1">'ETF price'!K523-'ETF price'!K522</f>
        <v>-0.90999999999999659</v>
      </c>
      <c r="K521" s="3">
        <f ca="1">'ETF price'!L523-'ETF price'!L522</f>
        <v>-2.0300000000000011</v>
      </c>
      <c r="L521" s="3">
        <f ca="1">'ETF price'!M523-'ETF price'!M522</f>
        <v>-0.56000000000000227</v>
      </c>
      <c r="M521" s="3">
        <f ca="1">'ETF price'!N523-'ETF price'!N522</f>
        <v>9.9999999999909051E-3</v>
      </c>
      <c r="N521" s="3">
        <f ca="1">'ETF price'!O523-'ETF price'!O522</f>
        <v>-1</v>
      </c>
      <c r="O521" s="3">
        <f ca="1">'ETF price'!P523-'ETF price'!P522</f>
        <v>0.87000000000000455</v>
      </c>
      <c r="P521" s="3">
        <f ca="1">'ETF price'!Q523-'ETF price'!Q522</f>
        <v>1.0999999999999943</v>
      </c>
      <c r="Q521" s="3">
        <f ca="1">'ETF price'!R523-'ETF price'!R522</f>
        <v>0.37999999999999545</v>
      </c>
      <c r="R521" s="3">
        <f ca="1">'ETF price'!S523-'ETF price'!S522</f>
        <v>0.31000000000000227</v>
      </c>
      <c r="S521" s="3">
        <f ca="1">'ETF price'!T523-'ETF price'!T522</f>
        <v>0.14999999999999858</v>
      </c>
      <c r="T521" s="3">
        <f ca="1">'ETF price'!U523-'ETF price'!U522</f>
        <v>0.76000000000000512</v>
      </c>
      <c r="U521" s="3">
        <f ca="1">'ETF price'!V523-'ETF price'!V522</f>
        <v>-0.82999999999999829</v>
      </c>
      <c r="V521" s="3">
        <f ca="1">'ETF price'!W523-'ETF price'!W522</f>
        <v>0.49000000000000199</v>
      </c>
      <c r="W521" s="3">
        <f ca="1">'ETF price'!X523-'ETF price'!X522</f>
        <v>0.92999999999999261</v>
      </c>
      <c r="X521" s="3">
        <f ca="1">'ETF price'!Y523-'ETF price'!Y522</f>
        <v>2.0000000000003126E-2</v>
      </c>
      <c r="Y521" s="3">
        <f ca="1">'ETF price'!Z523-'ETF price'!Z522</f>
        <v>0.95999999999999375</v>
      </c>
      <c r="Z521" s="3">
        <f ca="1">'ETF price'!AA523-'ETF price'!AA522</f>
        <v>-0.36000000000000654</v>
      </c>
      <c r="AA521" s="3">
        <f ca="1">'ETF price'!AB523-'ETF price'!AB522</f>
        <v>-0.21000000000000085</v>
      </c>
      <c r="AB521" s="3">
        <f ca="1">'ETF price'!AC523-'ETF price'!AC522</f>
        <v>0.42999999999999972</v>
      </c>
      <c r="AC521" s="3">
        <f ca="1">'ETF price'!AD523-'ETF price'!AD522</f>
        <v>0.30000000000000071</v>
      </c>
      <c r="AD521" s="3">
        <f ca="1">'ETF price'!AE523-'ETF price'!AE522</f>
        <v>0.17999999999999972</v>
      </c>
      <c r="AE521" s="3">
        <f ca="1">'ETF price'!AF523-'ETF price'!AF522</f>
        <v>0.3400000000000003</v>
      </c>
      <c r="AF521" s="3">
        <f ca="1">'ETF price'!AG523-'ETF price'!AG522</f>
        <v>-0.74000000000000199</v>
      </c>
    </row>
    <row r="522" spans="1:32" ht="12.75" x14ac:dyDescent="0.2">
      <c r="A522" s="3">
        <f ca="1">'ETF price'!B524-'ETF price'!B523</f>
        <v>-4.2399999999999807</v>
      </c>
      <c r="B522" s="3">
        <f ca="1">'ETF price'!C524-'ETF price'!C523</f>
        <v>-10.46999999999997</v>
      </c>
      <c r="C522" s="3">
        <f ca="1">'ETF price'!D524-'ETF price'!D523</f>
        <v>0.11999999999997613</v>
      </c>
      <c r="D522" s="3">
        <f ca="1">'ETF price'!E524-'ETF price'!E523</f>
        <v>-2.8700000000000045</v>
      </c>
      <c r="E522" s="3">
        <f ca="1">'ETF price'!F524-'ETF price'!F523</f>
        <v>-1.759999999999998</v>
      </c>
      <c r="F522" s="3">
        <f ca="1">'ETF price'!G524-'ETF price'!G523</f>
        <v>-0.65000000000000213</v>
      </c>
      <c r="G522" s="3">
        <f ca="1">'ETF price'!H524-'ETF price'!H523</f>
        <v>-0.36999999999999744</v>
      </c>
      <c r="H522" s="3">
        <f ca="1">'ETF price'!I524-'ETF price'!I523</f>
        <v>-0.18999999999999773</v>
      </c>
      <c r="I522" s="3">
        <f ca="1">'ETF price'!J524-'ETF price'!J523</f>
        <v>-0.60000000000002274</v>
      </c>
      <c r="J522" s="3">
        <f ca="1">'ETF price'!K524-'ETF price'!K523</f>
        <v>-2.2000000000000171</v>
      </c>
      <c r="K522" s="3">
        <f ca="1">'ETF price'!L524-'ETF price'!L523</f>
        <v>-1.3399999999999892</v>
      </c>
      <c r="L522" s="3">
        <f ca="1">'ETF price'!M524-'ETF price'!M523</f>
        <v>-1.0099999999999909</v>
      </c>
      <c r="M522" s="3">
        <f ca="1">'ETF price'!N524-'ETF price'!N523</f>
        <v>-0.17999999999999261</v>
      </c>
      <c r="N522" s="3">
        <f ca="1">'ETF price'!O524-'ETF price'!O523</f>
        <v>-0.92000000000000171</v>
      </c>
      <c r="O522" s="3">
        <f ca="1">'ETF price'!P524-'ETF price'!P523</f>
        <v>-1.5900000000000034</v>
      </c>
      <c r="P522" s="3">
        <f ca="1">'ETF price'!Q524-'ETF price'!Q523</f>
        <v>-2.3499999999999943</v>
      </c>
      <c r="Q522" s="3">
        <f ca="1">'ETF price'!R524-'ETF price'!R523</f>
        <v>-1.0900000000000034</v>
      </c>
      <c r="R522" s="3">
        <f ca="1">'ETF price'!S524-'ETF price'!S523</f>
        <v>-0.92999999999999972</v>
      </c>
      <c r="S522" s="3">
        <f ca="1">'ETF price'!T524-'ETF price'!T523</f>
        <v>-0.24000000000000199</v>
      </c>
      <c r="T522" s="3">
        <f ca="1">'ETF price'!U524-'ETF price'!U523</f>
        <v>-1.8900000000000006</v>
      </c>
      <c r="U522" s="3">
        <f ca="1">'ETF price'!V524-'ETF price'!V523</f>
        <v>-0.85000000000000142</v>
      </c>
      <c r="V522" s="3">
        <f ca="1">'ETF price'!W524-'ETF price'!W523</f>
        <v>-0.48000000000000398</v>
      </c>
      <c r="W522" s="3">
        <f ca="1">'ETF price'!X524-'ETF price'!X523</f>
        <v>-1.4899999999999949</v>
      </c>
      <c r="X522" s="3">
        <f ca="1">'ETF price'!Y524-'ETF price'!Y523</f>
        <v>-1.990000000000002</v>
      </c>
      <c r="Y522" s="3">
        <f ca="1">'ETF price'!Z524-'ETF price'!Z523</f>
        <v>-1.3100000000000023</v>
      </c>
      <c r="Z522" s="3">
        <f ca="1">'ETF price'!AA524-'ETF price'!AA523</f>
        <v>-0.27999999999999403</v>
      </c>
      <c r="AA522" s="3">
        <f ca="1">'ETF price'!AB524-'ETF price'!AB523</f>
        <v>-3.0899999999999963</v>
      </c>
      <c r="AB522" s="3">
        <f ca="1">'ETF price'!AC524-'ETF price'!AC523</f>
        <v>-0.55000000000000426</v>
      </c>
      <c r="AC522" s="3">
        <f ca="1">'ETF price'!AD524-'ETF price'!AD523</f>
        <v>-0.4399999999999995</v>
      </c>
      <c r="AD522" s="3">
        <f ca="1">'ETF price'!AE524-'ETF price'!AE523</f>
        <v>-0.5</v>
      </c>
      <c r="AE522" s="3">
        <f ca="1">'ETF price'!AF524-'ETF price'!AF523</f>
        <v>0.14999999999999991</v>
      </c>
      <c r="AF522" s="3">
        <f ca="1">'ETF price'!AG524-'ETF price'!AG523</f>
        <v>-1.4499999999999957</v>
      </c>
    </row>
    <row r="523" spans="1:32" ht="12.75" x14ac:dyDescent="0.2">
      <c r="A523" s="3">
        <f ca="1">'ETF price'!B525-'ETF price'!B524</f>
        <v>2.4899999999999807</v>
      </c>
      <c r="B523" s="3">
        <f ca="1">'ETF price'!C525-'ETF price'!C524</f>
        <v>6.3699999999999477</v>
      </c>
      <c r="C523" s="3">
        <f ca="1">'ETF price'!D525-'ETF price'!D524</f>
        <v>-0.47999999999998977</v>
      </c>
      <c r="D523" s="3">
        <f ca="1">'ETF price'!E525-'ETF price'!E524</f>
        <v>0.96999999999999886</v>
      </c>
      <c r="E523" s="3">
        <f ca="1">'ETF price'!F525-'ETF price'!F524</f>
        <v>0.85000000000000142</v>
      </c>
      <c r="F523" s="3">
        <f ca="1">'ETF price'!G525-'ETF price'!G524</f>
        <v>0.55000000000000071</v>
      </c>
      <c r="G523" s="3">
        <f ca="1">'ETF price'!H525-'ETF price'!H524</f>
        <v>0.34999999999999787</v>
      </c>
      <c r="H523" s="3">
        <f ca="1">'ETF price'!I525-'ETF price'!I524</f>
        <v>1.8199999999999932</v>
      </c>
      <c r="I523" s="3">
        <f ca="1">'ETF price'!J525-'ETF price'!J524</f>
        <v>3.3600000000000136</v>
      </c>
      <c r="J523" s="3">
        <f ca="1">'ETF price'!K525-'ETF price'!K524</f>
        <v>1.8700000000000045</v>
      </c>
      <c r="K523" s="3">
        <f ca="1">'ETF price'!L525-'ETF price'!L524</f>
        <v>1.539999999999992</v>
      </c>
      <c r="L523" s="3">
        <f ca="1">'ETF price'!M525-'ETF price'!M524</f>
        <v>0.53999999999999204</v>
      </c>
      <c r="M523" s="3">
        <f ca="1">'ETF price'!N525-'ETF price'!N524</f>
        <v>0.85999999999999943</v>
      </c>
      <c r="N523" s="3">
        <f ca="1">'ETF price'!O525-'ETF price'!O524</f>
        <v>0.79999999999999716</v>
      </c>
      <c r="O523" s="3">
        <f ca="1">'ETF price'!P525-'ETF price'!P524</f>
        <v>-9.9999999999909051E-3</v>
      </c>
      <c r="P523" s="3">
        <f ca="1">'ETF price'!Q525-'ETF price'!Q524</f>
        <v>-0.12000000000000455</v>
      </c>
      <c r="Q523" s="3">
        <f ca="1">'ETF price'!R525-'ETF price'!R524</f>
        <v>1.3700000000000045</v>
      </c>
      <c r="R523" s="3">
        <f ca="1">'ETF price'!S525-'ETF price'!S524</f>
        <v>0.60999999999999943</v>
      </c>
      <c r="S523" s="3">
        <f ca="1">'ETF price'!T525-'ETF price'!T524</f>
        <v>-0.26999999999999957</v>
      </c>
      <c r="T523" s="3">
        <f ca="1">'ETF price'!U525-'ETF price'!U524</f>
        <v>-1.8500000000000085</v>
      </c>
      <c r="U523" s="3">
        <f ca="1">'ETF price'!V525-'ETF price'!V524</f>
        <v>1.0500000000000043</v>
      </c>
      <c r="V523" s="3">
        <f ca="1">'ETF price'!W525-'ETF price'!W524</f>
        <v>6.0000000000002274E-2</v>
      </c>
      <c r="W523" s="3">
        <f ca="1">'ETF price'!X525-'ETF price'!X524</f>
        <v>4.9999999999997158E-2</v>
      </c>
      <c r="X523" s="3">
        <f ca="1">'ETF price'!Y525-'ETF price'!Y524</f>
        <v>-0.96000000000000085</v>
      </c>
      <c r="Y523" s="3">
        <f ca="1">'ETF price'!Z525-'ETF price'!Z524</f>
        <v>-0.32999999999999829</v>
      </c>
      <c r="Z523" s="3">
        <f ca="1">'ETF price'!AA525-'ETF price'!AA524</f>
        <v>0.6699999999999946</v>
      </c>
      <c r="AA523" s="3">
        <f ca="1">'ETF price'!AB525-'ETF price'!AB524</f>
        <v>-1.5500000000000043</v>
      </c>
      <c r="AB523" s="3">
        <f ca="1">'ETF price'!AC525-'ETF price'!AC524</f>
        <v>0.14000000000000057</v>
      </c>
      <c r="AC523" s="3">
        <f ca="1">'ETF price'!AD525-'ETF price'!AD524</f>
        <v>6.9999999999998508E-2</v>
      </c>
      <c r="AD523" s="3">
        <f ca="1">'ETF price'!AE525-'ETF price'!AE524</f>
        <v>-0.12999999999999901</v>
      </c>
      <c r="AE523" s="3">
        <f ca="1">'ETF price'!AF525-'ETF price'!AF524</f>
        <v>-0.10000000000000009</v>
      </c>
      <c r="AF523" s="3">
        <f ca="1">'ETF price'!AG525-'ETF price'!AG524</f>
        <v>0.75</v>
      </c>
    </row>
    <row r="524" spans="1:32" ht="12.75" x14ac:dyDescent="0.2">
      <c r="A524" s="3">
        <f ca="1">'ETF price'!B526-'ETF price'!B525</f>
        <v>2.0700000000000216</v>
      </c>
      <c r="B524" s="3">
        <f ca="1">'ETF price'!C526-'ETF price'!C525</f>
        <v>4.8800000000000523</v>
      </c>
      <c r="C524" s="3">
        <f ca="1">'ETF price'!D526-'ETF price'!D525</f>
        <v>1.9699999999999989</v>
      </c>
      <c r="D524" s="3">
        <f ca="1">'ETF price'!E526-'ETF price'!E525</f>
        <v>2.5</v>
      </c>
      <c r="E524" s="3">
        <f ca="1">'ETF price'!F526-'ETF price'!F525</f>
        <v>0.21999999999999886</v>
      </c>
      <c r="F524" s="3">
        <f ca="1">'ETF price'!G526-'ETF price'!G525</f>
        <v>0.26000000000000156</v>
      </c>
      <c r="G524" s="3">
        <f ca="1">'ETF price'!H526-'ETF price'!H525</f>
        <v>-0.12999999999999901</v>
      </c>
      <c r="H524" s="3">
        <f ca="1">'ETF price'!I526-'ETF price'!I525</f>
        <v>-0.20999999999997954</v>
      </c>
      <c r="I524" s="3">
        <f ca="1">'ETF price'!J526-'ETF price'!J525</f>
        <v>-0.50999999999999091</v>
      </c>
      <c r="J524" s="3">
        <f ca="1">'ETF price'!K526-'ETF price'!K525</f>
        <v>-1.6500000000000057</v>
      </c>
      <c r="K524" s="3">
        <f ca="1">'ETF price'!L526-'ETF price'!L525</f>
        <v>-1</v>
      </c>
      <c r="L524" s="3">
        <f ca="1">'ETF price'!M526-'ETF price'!M525</f>
        <v>-0.71999999999999886</v>
      </c>
      <c r="M524" s="3">
        <f ca="1">'ETF price'!N526-'ETF price'!N525</f>
        <v>-0.15999999999999659</v>
      </c>
      <c r="N524" s="3">
        <f ca="1">'ETF price'!O526-'ETF price'!O525</f>
        <v>-0.64000000000000057</v>
      </c>
      <c r="O524" s="3">
        <f ca="1">'ETF price'!P526-'ETF price'!P525</f>
        <v>0.11999999999999034</v>
      </c>
      <c r="P524" s="3">
        <f ca="1">'ETF price'!Q526-'ETF price'!Q525</f>
        <v>-0.20999999999999375</v>
      </c>
      <c r="Q524" s="3">
        <f ca="1">'ETF price'!R526-'ETF price'!R525</f>
        <v>-0.48999999999999488</v>
      </c>
      <c r="R524" s="3">
        <f ca="1">'ETF price'!S526-'ETF price'!S525</f>
        <v>-0.46000000000000085</v>
      </c>
      <c r="S524" s="3">
        <f ca="1">'ETF price'!T526-'ETF price'!T525</f>
        <v>-0.25</v>
      </c>
      <c r="T524" s="3">
        <f ca="1">'ETF price'!U526-'ETF price'!U525</f>
        <v>-1.5599999999999881</v>
      </c>
      <c r="U524" s="3">
        <f ca="1">'ETF price'!V526-'ETF price'!V525</f>
        <v>-1.1400000000000006</v>
      </c>
      <c r="V524" s="3">
        <f ca="1">'ETF price'!W526-'ETF price'!W525</f>
        <v>0.15999999999999659</v>
      </c>
      <c r="W524" s="3">
        <f ca="1">'ETF price'!X526-'ETF price'!X525</f>
        <v>0.42999999999999261</v>
      </c>
      <c r="X524" s="3">
        <f ca="1">'ETF price'!Y526-'ETF price'!Y525</f>
        <v>0.18999999999999773</v>
      </c>
      <c r="Y524" s="3">
        <f ca="1">'ETF price'!Z526-'ETF price'!Z525</f>
        <v>0.51000000000000512</v>
      </c>
      <c r="Z524" s="3">
        <f ca="1">'ETF price'!AA526-'ETF price'!AA525</f>
        <v>-0.48999999999999488</v>
      </c>
      <c r="AA524" s="3">
        <f ca="1">'ETF price'!AB526-'ETF price'!AB525</f>
        <v>0.21999999999999886</v>
      </c>
      <c r="AB524" s="3">
        <f ca="1">'ETF price'!AC526-'ETF price'!AC525</f>
        <v>0.42000000000000171</v>
      </c>
      <c r="AC524" s="3">
        <f ca="1">'ETF price'!AD526-'ETF price'!AD525</f>
        <v>2.000000000000135E-2</v>
      </c>
      <c r="AD524" s="3">
        <f ca="1">'ETF price'!AE526-'ETF price'!AE525</f>
        <v>-3.9999999999999147E-2</v>
      </c>
      <c r="AE524" s="3">
        <f ca="1">'ETF price'!AF526-'ETF price'!AF525</f>
        <v>-8.0000000000000071E-2</v>
      </c>
      <c r="AF524" s="3">
        <f ca="1">'ETF price'!AG526-'ETF price'!AG525</f>
        <v>-0.5</v>
      </c>
    </row>
    <row r="525" spans="1:32" ht="12.75" x14ac:dyDescent="0.2">
      <c r="A525" s="3">
        <f ca="1">'ETF price'!B527-'ETF price'!B526</f>
        <v>0.45999999999997954</v>
      </c>
      <c r="B525" s="3">
        <f ca="1">'ETF price'!C527-'ETF price'!C526</f>
        <v>0.23999999999995225</v>
      </c>
      <c r="C525" s="3">
        <f ca="1">'ETF price'!D527-'ETF price'!D526</f>
        <v>0.58000000000001251</v>
      </c>
      <c r="D525" s="3">
        <f ca="1">'ETF price'!E527-'ETF price'!E526</f>
        <v>2.7199999999999989</v>
      </c>
      <c r="E525" s="3">
        <f ca="1">'ETF price'!F527-'ETF price'!F526</f>
        <v>-0.64999999999999858</v>
      </c>
      <c r="F525" s="3">
        <f ca="1">'ETF price'!G527-'ETF price'!G526</f>
        <v>-8.9999999999999858E-2</v>
      </c>
      <c r="G525" s="3">
        <f ca="1">'ETF price'!H527-'ETF price'!H526</f>
        <v>-7.9999999999998295E-2</v>
      </c>
      <c r="H525" s="3">
        <f ca="1">'ETF price'!I527-'ETF price'!I526</f>
        <v>0.43999999999999773</v>
      </c>
      <c r="I525" s="3">
        <f ca="1">'ETF price'!J527-'ETF price'!J526</f>
        <v>0.56999999999999318</v>
      </c>
      <c r="J525" s="3">
        <f ca="1">'ETF price'!K527-'ETF price'!K526</f>
        <v>0.25</v>
      </c>
      <c r="K525" s="3">
        <f ca="1">'ETF price'!L527-'ETF price'!L526</f>
        <v>0.43999999999999773</v>
      </c>
      <c r="L525" s="3">
        <f ca="1">'ETF price'!M527-'ETF price'!M526</f>
        <v>-0.38999999999999346</v>
      </c>
      <c r="M525" s="3">
        <f ca="1">'ETF price'!N527-'ETF price'!N526</f>
        <v>0.19999999999998863</v>
      </c>
      <c r="N525" s="3">
        <f ca="1">'ETF price'!O527-'ETF price'!O526</f>
        <v>4.0000000000006253E-2</v>
      </c>
      <c r="O525" s="3">
        <f ca="1">'ETF price'!P527-'ETF price'!P526</f>
        <v>-0.20999999999999375</v>
      </c>
      <c r="P525" s="3">
        <f ca="1">'ETF price'!Q527-'ETF price'!Q526</f>
        <v>-0.43000000000000682</v>
      </c>
      <c r="Q525" s="3">
        <f ca="1">'ETF price'!R527-'ETF price'!R526</f>
        <v>-2.1099999999999994</v>
      </c>
      <c r="R525" s="3">
        <f ca="1">'ETF price'!S527-'ETF price'!S526</f>
        <v>-1.6199999999999974</v>
      </c>
      <c r="S525" s="3">
        <f ca="1">'ETF price'!T527-'ETF price'!T526</f>
        <v>8.9999999999999858E-2</v>
      </c>
      <c r="T525" s="3">
        <f ca="1">'ETF price'!U527-'ETF price'!U526</f>
        <v>0.67000000000000171</v>
      </c>
      <c r="U525" s="3">
        <f ca="1">'ETF price'!V527-'ETF price'!V526</f>
        <v>-1.1799999999999997</v>
      </c>
      <c r="V525" s="3">
        <f ca="1">'ETF price'!W527-'ETF price'!W526</f>
        <v>-0.22999999999999687</v>
      </c>
      <c r="W525" s="3">
        <f ca="1">'ETF price'!X527-'ETF price'!X526</f>
        <v>-0.76999999999999602</v>
      </c>
      <c r="X525" s="3">
        <f ca="1">'ETF price'!Y527-'ETF price'!Y526</f>
        <v>-0.6699999999999946</v>
      </c>
      <c r="Y525" s="3">
        <f ca="1">'ETF price'!Z527-'ETF price'!Z526</f>
        <v>-0.54000000000000625</v>
      </c>
      <c r="Z525" s="3">
        <f ca="1">'ETF price'!AA527-'ETF price'!AA526</f>
        <v>-0.76000000000000512</v>
      </c>
      <c r="AA525" s="3">
        <f ca="1">'ETF price'!AB527-'ETF price'!AB526</f>
        <v>-0.79999999999999716</v>
      </c>
      <c r="AB525" s="3">
        <f ca="1">'ETF price'!AC527-'ETF price'!AC526</f>
        <v>-0.13000000000000256</v>
      </c>
      <c r="AC525" s="3">
        <f ca="1">'ETF price'!AD527-'ETF price'!AD526</f>
        <v>-0.13000000000000078</v>
      </c>
      <c r="AD525" s="3">
        <f ca="1">'ETF price'!AE527-'ETF price'!AE526</f>
        <v>-0.30000000000000071</v>
      </c>
      <c r="AE525" s="3">
        <f ca="1">'ETF price'!AF527-'ETF price'!AF526</f>
        <v>9.0000000000000302E-2</v>
      </c>
      <c r="AF525" s="3">
        <f ca="1">'ETF price'!AG527-'ETF price'!AG526</f>
        <v>-2.490000000000002</v>
      </c>
    </row>
    <row r="526" spans="1:32" ht="12.75" x14ac:dyDescent="0.2">
      <c r="A526" s="3">
        <f ca="1">'ETF price'!B528-'ETF price'!B527</f>
        <v>-0.9299999999999784</v>
      </c>
      <c r="B526" s="3">
        <f ca="1">'ETF price'!C528-'ETF price'!C527</f>
        <v>-0.8599999999999568</v>
      </c>
      <c r="C526" s="3">
        <f ca="1">'ETF price'!D528-'ETF price'!D527</f>
        <v>1.9899999999999807</v>
      </c>
      <c r="D526" s="3">
        <f ca="1">'ETF price'!E528-'ETF price'!E527</f>
        <v>-2.3499999999999943</v>
      </c>
      <c r="E526" s="3">
        <f ca="1">'ETF price'!F528-'ETF price'!F527</f>
        <v>0.32999999999999829</v>
      </c>
      <c r="F526" s="3">
        <f ca="1">'ETF price'!G528-'ETF price'!G527</f>
        <v>-0.23000000000000043</v>
      </c>
      <c r="G526" s="3">
        <f ca="1">'ETF price'!H528-'ETF price'!H527</f>
        <v>0.32999999999999829</v>
      </c>
      <c r="H526" s="3">
        <f ca="1">'ETF price'!I528-'ETF price'!I527</f>
        <v>1.5499999999999829</v>
      </c>
      <c r="I526" s="3">
        <f ca="1">'ETF price'!J528-'ETF price'!J527</f>
        <v>3.089999999999975</v>
      </c>
      <c r="J526" s="3">
        <f ca="1">'ETF price'!K528-'ETF price'!K527</f>
        <v>1.289999999999992</v>
      </c>
      <c r="K526" s="3">
        <f ca="1">'ETF price'!L528-'ETF price'!L527</f>
        <v>1.3500000000000085</v>
      </c>
      <c r="L526" s="3">
        <f ca="1">'ETF price'!M528-'ETF price'!M527</f>
        <v>0.96000000000000085</v>
      </c>
      <c r="M526" s="3">
        <f ca="1">'ETF price'!N528-'ETF price'!N527</f>
        <v>0.80000000000001137</v>
      </c>
      <c r="N526" s="3">
        <f ca="1">'ETF price'!O528-'ETF price'!O527</f>
        <v>1.519999999999996</v>
      </c>
      <c r="O526" s="3">
        <f ca="1">'ETF price'!P528-'ETF price'!P527</f>
        <v>0.26999999999999602</v>
      </c>
      <c r="P526" s="3">
        <f ca="1">'ETF price'!Q528-'ETF price'!Q527</f>
        <v>0.63000000000000966</v>
      </c>
      <c r="Q526" s="3">
        <f ca="1">'ETF price'!R528-'ETF price'!R527</f>
        <v>1.4299999999999926</v>
      </c>
      <c r="R526" s="3">
        <f ca="1">'ETF price'!S528-'ETF price'!S527</f>
        <v>7.9999999999998295E-2</v>
      </c>
      <c r="S526" s="3">
        <f ca="1">'ETF price'!T528-'ETF price'!T527</f>
        <v>8.0000000000001847E-2</v>
      </c>
      <c r="T526" s="3">
        <f ca="1">'ETF price'!U528-'ETF price'!U527</f>
        <v>0.62999999999999545</v>
      </c>
      <c r="U526" s="3">
        <f ca="1">'ETF price'!V528-'ETF price'!V527</f>
        <v>1.1799999999999997</v>
      </c>
      <c r="V526" s="3">
        <f ca="1">'ETF price'!W528-'ETF price'!W527</f>
        <v>7.9999999999998295E-2</v>
      </c>
      <c r="W526" s="3">
        <f ca="1">'ETF price'!X528-'ETF price'!X527</f>
        <v>0.28000000000000114</v>
      </c>
      <c r="X526" s="3">
        <f ca="1">'ETF price'!Y528-'ETF price'!Y527</f>
        <v>-0.30000000000000426</v>
      </c>
      <c r="Y526" s="3">
        <f ca="1">'ETF price'!Z528-'ETF price'!Z527</f>
        <v>0.24000000000000909</v>
      </c>
      <c r="Z526" s="3">
        <f ca="1">'ETF price'!AA528-'ETF price'!AA527</f>
        <v>0.57000000000000028</v>
      </c>
      <c r="AA526" s="3">
        <f ca="1">'ETF price'!AB528-'ETF price'!AB527</f>
        <v>-0.60000000000000142</v>
      </c>
      <c r="AB526" s="3">
        <f ca="1">'ETF price'!AC528-'ETF price'!AC527</f>
        <v>0.24000000000000199</v>
      </c>
      <c r="AC526" s="3">
        <f ca="1">'ETF price'!AD528-'ETF price'!AD527</f>
        <v>0.39000000000000057</v>
      </c>
      <c r="AD526" s="3">
        <f ca="1">'ETF price'!AE528-'ETF price'!AE527</f>
        <v>0.37000000000000099</v>
      </c>
      <c r="AE526" s="3">
        <f ca="1">'ETF price'!AF528-'ETF price'!AF527</f>
        <v>-8.0000000000000071E-2</v>
      </c>
      <c r="AF526" s="3">
        <f ca="1">'ETF price'!AG528-'ETF price'!AG527</f>
        <v>1.4500000000000028</v>
      </c>
    </row>
    <row r="527" spans="1:32" ht="12.75" x14ac:dyDescent="0.2">
      <c r="A527" s="3">
        <f ca="1">'ETF price'!B529-'ETF price'!B528</f>
        <v>2.6699999999999875</v>
      </c>
      <c r="B527" s="3">
        <f ca="1">'ETF price'!C529-'ETF price'!C528</f>
        <v>6.5199999999999818</v>
      </c>
      <c r="C527" s="3">
        <f ca="1">'ETF price'!D529-'ETF price'!D528</f>
        <v>-1.0499999999999829</v>
      </c>
      <c r="D527" s="3">
        <f ca="1">'ETF price'!E529-'ETF price'!E528</f>
        <v>3.0500000000000114</v>
      </c>
      <c r="E527" s="3">
        <f ca="1">'ETF price'!F529-'ETF price'!F528</f>
        <v>1.4500000000000099</v>
      </c>
      <c r="F527" s="3">
        <f ca="1">'ETF price'!G529-'ETF price'!G528</f>
        <v>0.25</v>
      </c>
      <c r="G527" s="3">
        <f ca="1">'ETF price'!H529-'ETF price'!H528</f>
        <v>3.9999999999999147E-2</v>
      </c>
      <c r="H527" s="3">
        <f ca="1">'ETF price'!I529-'ETF price'!I528</f>
        <v>0.39000000000001478</v>
      </c>
      <c r="I527" s="3">
        <f ca="1">'ETF price'!J529-'ETF price'!J528</f>
        <v>0.36000000000001364</v>
      </c>
      <c r="J527" s="3">
        <f ca="1">'ETF price'!K529-'ETF price'!K528</f>
        <v>-2.4199999999999875</v>
      </c>
      <c r="K527" s="3">
        <f ca="1">'ETF price'!L529-'ETF price'!L528</f>
        <v>-1.6900000000000119</v>
      </c>
      <c r="L527" s="3">
        <f ca="1">'ETF price'!M529-'ETF price'!M528</f>
        <v>-1.1500000000000057</v>
      </c>
      <c r="M527" s="3">
        <f ca="1">'ETF price'!N529-'ETF price'!N528</f>
        <v>4.9999999999997158E-2</v>
      </c>
      <c r="N527" s="3">
        <f ca="1">'ETF price'!O529-'ETF price'!O528</f>
        <v>-0.75999999999999801</v>
      </c>
      <c r="O527" s="3">
        <f ca="1">'ETF price'!P529-'ETF price'!P528</f>
        <v>0.17000000000000171</v>
      </c>
      <c r="P527" s="3">
        <f ca="1">'ETF price'!Q529-'ETF price'!Q528</f>
        <v>0.20000000000000284</v>
      </c>
      <c r="Q527" s="3">
        <f ca="1">'ETF price'!R529-'ETF price'!R528</f>
        <v>0.65999999999999659</v>
      </c>
      <c r="R527" s="3">
        <f ca="1">'ETF price'!S529-'ETF price'!S528</f>
        <v>0.28999999999999915</v>
      </c>
      <c r="S527" s="3">
        <f ca="1">'ETF price'!T529-'ETF price'!T528</f>
        <v>9.9999999999997868E-2</v>
      </c>
      <c r="T527" s="3">
        <f ca="1">'ETF price'!U529-'ETF price'!U528</f>
        <v>0.60999999999999943</v>
      </c>
      <c r="U527" s="3">
        <f ca="1">'ETF price'!V529-'ETF price'!V528</f>
        <v>1.8799999999999955</v>
      </c>
      <c r="V527" s="3">
        <f ca="1">'ETF price'!W529-'ETF price'!W528</f>
        <v>0.28999999999999915</v>
      </c>
      <c r="W527" s="3">
        <f ca="1">'ETF price'!X529-'ETF price'!X528</f>
        <v>0.56000000000000227</v>
      </c>
      <c r="X527" s="3">
        <f ca="1">'ETF price'!Y529-'ETF price'!Y528</f>
        <v>-1.9999999999996021E-2</v>
      </c>
      <c r="Y527" s="3">
        <f ca="1">'ETF price'!Z529-'ETF price'!Z528</f>
        <v>0.59999999999999432</v>
      </c>
      <c r="Z527" s="3">
        <f ca="1">'ETF price'!AA529-'ETF price'!AA528</f>
        <v>-1.9999999999996021E-2</v>
      </c>
      <c r="AA527" s="3">
        <f ca="1">'ETF price'!AB529-'ETF price'!AB528</f>
        <v>-0.11999999999999744</v>
      </c>
      <c r="AB527" s="3">
        <f ca="1">'ETF price'!AC529-'ETF price'!AC528</f>
        <v>0.34000000000000341</v>
      </c>
      <c r="AC527" s="3">
        <f ca="1">'ETF price'!AD529-'ETF price'!AD528</f>
        <v>0.33000000000000007</v>
      </c>
      <c r="AD527" s="3">
        <f ca="1">'ETF price'!AE529-'ETF price'!AE528</f>
        <v>0.52999999999999758</v>
      </c>
      <c r="AE527" s="3">
        <f ca="1">'ETF price'!AF529-'ETF price'!AF528</f>
        <v>-0.16000000000000014</v>
      </c>
      <c r="AF527" s="3">
        <f ca="1">'ETF price'!AG529-'ETF price'!AG528</f>
        <v>1.1399999999999935</v>
      </c>
    </row>
    <row r="528" spans="1:32" ht="12.75" x14ac:dyDescent="0.2">
      <c r="A528" s="3">
        <f ca="1">'ETF price'!B530-'ETF price'!B529</f>
        <v>0.64000000000001478</v>
      </c>
      <c r="B528" s="3">
        <f ca="1">'ETF price'!C530-'ETF price'!C529</f>
        <v>2.589999999999975</v>
      </c>
      <c r="C528" s="3">
        <f ca="1">'ETF price'!D530-'ETF price'!D529</f>
        <v>0</v>
      </c>
      <c r="D528" s="3">
        <f ca="1">'ETF price'!E530-'ETF price'!E529</f>
        <v>3.4699999999999989</v>
      </c>
      <c r="E528" s="3">
        <f ca="1">'ETF price'!F530-'ETF price'!F529</f>
        <v>0.76999999999999602</v>
      </c>
      <c r="F528" s="3">
        <f ca="1">'ETF price'!G530-'ETF price'!G529</f>
        <v>5.0000000000000711E-2</v>
      </c>
      <c r="G528" s="3">
        <f ca="1">'ETF price'!H530-'ETF price'!H529</f>
        <v>0.31000000000000227</v>
      </c>
      <c r="H528" s="3">
        <f ca="1">'ETF price'!I530-'ETF price'!I529</f>
        <v>-0.25</v>
      </c>
      <c r="I528" s="3">
        <f ca="1">'ETF price'!J530-'ETF price'!J529</f>
        <v>-6.0000000000002274E-2</v>
      </c>
      <c r="J528" s="3">
        <f ca="1">'ETF price'!K530-'ETF price'!K529</f>
        <v>0.53000000000000114</v>
      </c>
      <c r="K528" s="3">
        <f ca="1">'ETF price'!L530-'ETF price'!L529</f>
        <v>1.1500000000000057</v>
      </c>
      <c r="L528" s="3">
        <f ca="1">'ETF price'!M530-'ETF price'!M529</f>
        <v>0.3300000000000054</v>
      </c>
      <c r="M528" s="3">
        <f ca="1">'ETF price'!N530-'ETF price'!N529</f>
        <v>0</v>
      </c>
      <c r="N528" s="3">
        <f ca="1">'ETF price'!O530-'ETF price'!O529</f>
        <v>0.43999999999999773</v>
      </c>
      <c r="O528" s="3">
        <f ca="1">'ETF price'!P530-'ETF price'!P529</f>
        <v>0.85999999999999943</v>
      </c>
      <c r="P528" s="3">
        <f ca="1">'ETF price'!Q530-'ETF price'!Q529</f>
        <v>1.25</v>
      </c>
      <c r="Q528" s="3">
        <f ca="1">'ETF price'!R530-'ETF price'!R529</f>
        <v>-0.10999999999999943</v>
      </c>
      <c r="R528" s="3">
        <f ca="1">'ETF price'!S530-'ETF price'!S529</f>
        <v>0.14999999999999858</v>
      </c>
      <c r="S528" s="3">
        <f ca="1">'ETF price'!T530-'ETF price'!T529</f>
        <v>0.12000000000000099</v>
      </c>
      <c r="T528" s="3">
        <f ca="1">'ETF price'!U530-'ETF price'!U529</f>
        <v>2.0999999999999943</v>
      </c>
      <c r="U528" s="3">
        <f ca="1">'ETF price'!V530-'ETF price'!V529</f>
        <v>-5.9999999999995168E-2</v>
      </c>
      <c r="V528" s="3">
        <f ca="1">'ETF price'!W530-'ETF price'!W529</f>
        <v>-0.14999999999999858</v>
      </c>
      <c r="W528" s="3">
        <f ca="1">'ETF price'!X530-'ETF price'!X529</f>
        <v>-0.20000000000000284</v>
      </c>
      <c r="X528" s="3">
        <f ca="1">'ETF price'!Y530-'ETF price'!Y529</f>
        <v>0.12999999999999545</v>
      </c>
      <c r="Y528" s="3">
        <f ca="1">'ETF price'!Z530-'ETF price'!Z529</f>
        <v>-0.10999999999999943</v>
      </c>
      <c r="Z528" s="3">
        <f ca="1">'ETF price'!AA530-'ETF price'!AA529</f>
        <v>0.21000000000000085</v>
      </c>
      <c r="AA528" s="3">
        <f ca="1">'ETF price'!AB530-'ETF price'!AB529</f>
        <v>0.18999999999999773</v>
      </c>
      <c r="AB528" s="3">
        <f ca="1">'ETF price'!AC530-'ETF price'!AC529</f>
        <v>0</v>
      </c>
      <c r="AC528" s="3">
        <f ca="1">'ETF price'!AD530-'ETF price'!AD529</f>
        <v>0.21999999999999886</v>
      </c>
      <c r="AD528" s="3">
        <f ca="1">'ETF price'!AE530-'ETF price'!AE529</f>
        <v>0.62999999999999901</v>
      </c>
      <c r="AE528" s="3">
        <f ca="1">'ETF price'!AF530-'ETF price'!AF529</f>
        <v>4.9999999999999822E-2</v>
      </c>
      <c r="AF528" s="3">
        <f ca="1">'ETF price'!AG530-'ETF price'!AG529</f>
        <v>3.9300000000000068</v>
      </c>
    </row>
    <row r="529" spans="1:32" ht="12.75" x14ac:dyDescent="0.2">
      <c r="A529" s="3">
        <f ca="1">'ETF price'!B531-'ETF price'!B530</f>
        <v>2.7599999999999909</v>
      </c>
      <c r="B529" s="3">
        <f ca="1">'ETF price'!C531-'ETF price'!C530</f>
        <v>7.7900000000000773</v>
      </c>
      <c r="C529" s="3">
        <f ca="1">'ETF price'!D531-'ETF price'!D530</f>
        <v>-0.68999999999999773</v>
      </c>
      <c r="D529" s="3">
        <f ca="1">'ETF price'!E531-'ETF price'!E530</f>
        <v>4.0999999999999943</v>
      </c>
      <c r="E529" s="3">
        <f ca="1">'ETF price'!F531-'ETF price'!F530</f>
        <v>1.7399999999999949</v>
      </c>
      <c r="F529" s="3">
        <f ca="1">'ETF price'!G531-'ETF price'!G530</f>
        <v>0.53999999999999915</v>
      </c>
      <c r="G529" s="3">
        <f ca="1">'ETF price'!H531-'ETF price'!H530</f>
        <v>0.23999999999999844</v>
      </c>
      <c r="H529" s="3">
        <f ca="1">'ETF price'!I531-'ETF price'!I530</f>
        <v>-0.11000000000001364</v>
      </c>
      <c r="I529" s="3">
        <f ca="1">'ETF price'!J531-'ETF price'!J530</f>
        <v>0</v>
      </c>
      <c r="J529" s="3">
        <f ca="1">'ETF price'!K531-'ETF price'!K530</f>
        <v>0.34000000000000341</v>
      </c>
      <c r="K529" s="3">
        <f ca="1">'ETF price'!L531-'ETF price'!L530</f>
        <v>1.8200000000000074</v>
      </c>
      <c r="L529" s="3">
        <f ca="1">'ETF price'!M531-'ETF price'!M530</f>
        <v>0.27000000000000313</v>
      </c>
      <c r="M529" s="3">
        <f ca="1">'ETF price'!N531-'ETF price'!N530</f>
        <v>-1.9999999999996021E-2</v>
      </c>
      <c r="N529" s="3">
        <f ca="1">'ETF price'!O531-'ETF price'!O530</f>
        <v>0.44000000000000483</v>
      </c>
      <c r="O529" s="3">
        <f ca="1">'ETF price'!P531-'ETF price'!P530</f>
        <v>-1.2999999999999972</v>
      </c>
      <c r="P529" s="3">
        <f ca="1">'ETF price'!Q531-'ETF price'!Q530</f>
        <v>-1.6700000000000017</v>
      </c>
      <c r="Q529" s="3">
        <f ca="1">'ETF price'!R531-'ETF price'!R530</f>
        <v>0.18000000000000682</v>
      </c>
      <c r="R529" s="3">
        <f ca="1">'ETF price'!S531-'ETF price'!S530</f>
        <v>-3.9999999999999147E-2</v>
      </c>
      <c r="S529" s="3">
        <f ca="1">'ETF price'!T531-'ETF price'!T530</f>
        <v>6.0000000000002274E-2</v>
      </c>
      <c r="T529" s="3">
        <f ca="1">'ETF price'!U531-'ETF price'!U530</f>
        <v>0.15000000000000568</v>
      </c>
      <c r="U529" s="3">
        <f ca="1">'ETF price'!V531-'ETF price'!V530</f>
        <v>1.3900000000000006</v>
      </c>
      <c r="V529" s="3">
        <f ca="1">'ETF price'!W531-'ETF price'!W530</f>
        <v>0.10999999999999943</v>
      </c>
      <c r="W529" s="3">
        <f ca="1">'ETF price'!X531-'ETF price'!X530</f>
        <v>0.42000000000000171</v>
      </c>
      <c r="X529" s="3">
        <f ca="1">'ETF price'!Y531-'ETF price'!Y530</f>
        <v>0.56000000000000227</v>
      </c>
      <c r="Y529" s="3">
        <f ca="1">'ETF price'!Z531-'ETF price'!Z530</f>
        <v>0.39000000000000057</v>
      </c>
      <c r="Z529" s="3">
        <f ca="1">'ETF price'!AA531-'ETF price'!AA530</f>
        <v>9.9999999999994316E-2</v>
      </c>
      <c r="AA529" s="3">
        <f ca="1">'ETF price'!AB531-'ETF price'!AB530</f>
        <v>0.82999999999999829</v>
      </c>
      <c r="AB529" s="3">
        <f ca="1">'ETF price'!AC531-'ETF price'!AC530</f>
        <v>-0.35999999999999943</v>
      </c>
      <c r="AC529" s="3">
        <f ca="1">'ETF price'!AD531-'ETF price'!AD530</f>
        <v>0.5</v>
      </c>
      <c r="AD529" s="3">
        <f ca="1">'ETF price'!AE531-'ETF price'!AE530</f>
        <v>0.96000000000000085</v>
      </c>
      <c r="AE529" s="3">
        <f ca="1">'ETF price'!AF531-'ETF price'!AF530</f>
        <v>0.13000000000000034</v>
      </c>
      <c r="AF529" s="3">
        <f ca="1">'ETF price'!AG531-'ETF price'!AG530</f>
        <v>4.5599999999999952</v>
      </c>
    </row>
    <row r="530" spans="1:32" ht="12.75" x14ac:dyDescent="0.2">
      <c r="A530" s="3">
        <f ca="1">'ETF price'!B532-'ETF price'!B531</f>
        <v>-1.5800000000000125</v>
      </c>
      <c r="B530" s="3">
        <f ca="1">'ETF price'!C532-'ETF price'!C531</f>
        <v>-3.25</v>
      </c>
      <c r="C530" s="3">
        <f ca="1">'ETF price'!D532-'ETF price'!D531</f>
        <v>-0.29000000000002046</v>
      </c>
      <c r="D530" s="3">
        <f ca="1">'ETF price'!E532-'ETF price'!E531</f>
        <v>-0.37999999999999545</v>
      </c>
      <c r="E530" s="3">
        <f ca="1">'ETF price'!F532-'ETF price'!F531</f>
        <v>-0.53000000000000114</v>
      </c>
      <c r="F530" s="3">
        <f ca="1">'ETF price'!G532-'ETF price'!G531</f>
        <v>7.9999999999998295E-2</v>
      </c>
      <c r="G530" s="3">
        <f ca="1">'ETF price'!H532-'ETF price'!H531</f>
        <v>0.14000000000000057</v>
      </c>
      <c r="H530" s="3">
        <f ca="1">'ETF price'!I532-'ETF price'!I531</f>
        <v>0.18999999999999773</v>
      </c>
      <c r="I530" s="3">
        <f ca="1">'ETF price'!J532-'ETF price'!J531</f>
        <v>0.80000000000001137</v>
      </c>
      <c r="J530" s="3">
        <f ca="1">'ETF price'!K532-'ETF price'!K531</f>
        <v>1.1699999999999875</v>
      </c>
      <c r="K530" s="3">
        <f ca="1">'ETF price'!L532-'ETF price'!L531</f>
        <v>2.0599999999999881</v>
      </c>
      <c r="L530" s="3">
        <f ca="1">'ETF price'!M532-'ETF price'!M531</f>
        <v>0.55999999999998806</v>
      </c>
      <c r="M530" s="3">
        <f ca="1">'ETF price'!N532-'ETF price'!N531</f>
        <v>0.25</v>
      </c>
      <c r="N530" s="3">
        <f ca="1">'ETF price'!O532-'ETF price'!O531</f>
        <v>1.1999999999999957</v>
      </c>
      <c r="O530" s="3">
        <f ca="1">'ETF price'!P532-'ETF price'!P531</f>
        <v>0.92000000000000171</v>
      </c>
      <c r="P530" s="3">
        <f ca="1">'ETF price'!Q532-'ETF price'!Q531</f>
        <v>1.3199999999999932</v>
      </c>
      <c r="Q530" s="3">
        <f ca="1">'ETF price'!R532-'ETF price'!R531</f>
        <v>0.65999999999999659</v>
      </c>
      <c r="R530" s="3">
        <f ca="1">'ETF price'!S532-'ETF price'!S531</f>
        <v>0.62000000000000455</v>
      </c>
      <c r="S530" s="3">
        <f ca="1">'ETF price'!T532-'ETF price'!T531</f>
        <v>9.9999999999980105E-3</v>
      </c>
      <c r="T530" s="3">
        <f ca="1">'ETF price'!U532-'ETF price'!U531</f>
        <v>0.43999999999999773</v>
      </c>
      <c r="U530" s="3">
        <f ca="1">'ETF price'!V532-'ETF price'!V531</f>
        <v>1.8099999999999952</v>
      </c>
      <c r="V530" s="3">
        <f ca="1">'ETF price'!W532-'ETF price'!W531</f>
        <v>0.17999999999999972</v>
      </c>
      <c r="W530" s="3">
        <f ca="1">'ETF price'!X532-'ETF price'!X531</f>
        <v>0.62999999999999545</v>
      </c>
      <c r="X530" s="3">
        <f ca="1">'ETF price'!Y532-'ETF price'!Y531</f>
        <v>0.72999999999999687</v>
      </c>
      <c r="Y530" s="3">
        <f ca="1">'ETF price'!Z532-'ETF price'!Z531</f>
        <v>0.59999999999999432</v>
      </c>
      <c r="Z530" s="3">
        <f ca="1">'ETF price'!AA532-'ETF price'!AA531</f>
        <v>-0.11999999999999744</v>
      </c>
      <c r="AA530" s="3">
        <f ca="1">'ETF price'!AB532-'ETF price'!AB531</f>
        <v>1.0300000000000011</v>
      </c>
      <c r="AB530" s="3">
        <f ca="1">'ETF price'!AC532-'ETF price'!AC531</f>
        <v>1.0799999999999983</v>
      </c>
      <c r="AC530" s="3">
        <f ca="1">'ETF price'!AD532-'ETF price'!AD531</f>
        <v>0.83000000000000007</v>
      </c>
      <c r="AD530" s="3">
        <f ca="1">'ETF price'!AE532-'ETF price'!AE531</f>
        <v>1.2800000000000011</v>
      </c>
      <c r="AE530" s="3">
        <f ca="1">'ETF price'!AF532-'ETF price'!AF531</f>
        <v>0.41999999999999948</v>
      </c>
      <c r="AF530" s="3">
        <f ca="1">'ETF price'!AG532-'ETF price'!AG531</f>
        <v>4.3299999999999983</v>
      </c>
    </row>
    <row r="531" spans="1:32" ht="12.75" x14ac:dyDescent="0.2">
      <c r="A531" s="3">
        <f ca="1">'ETF price'!B533-'ETF price'!B532</f>
        <v>-3.5</v>
      </c>
      <c r="B531" s="3">
        <f ca="1">'ETF price'!C533-'ETF price'!C532</f>
        <v>-10.130000000000052</v>
      </c>
      <c r="C531" s="3">
        <f ca="1">'ETF price'!D533-'ETF price'!D532</f>
        <v>-1.4699999999999989</v>
      </c>
      <c r="D531" s="3">
        <f ca="1">'ETF price'!E533-'ETF price'!E532</f>
        <v>-4.3000000000000114</v>
      </c>
      <c r="E531" s="3">
        <f ca="1">'ETF price'!F533-'ETF price'!F532</f>
        <v>-1.039999999999992</v>
      </c>
      <c r="F531" s="3">
        <f ca="1">'ETF price'!G533-'ETF price'!G532</f>
        <v>-0.7099999999999973</v>
      </c>
      <c r="G531" s="3">
        <f ca="1">'ETF price'!H533-'ETF price'!H532</f>
        <v>-0.5</v>
      </c>
      <c r="H531" s="3">
        <f ca="1">'ETF price'!I533-'ETF price'!I532</f>
        <v>-1.339999999999975</v>
      </c>
      <c r="I531" s="3">
        <f ca="1">'ETF price'!J533-'ETF price'!J532</f>
        <v>-2.8999999999999773</v>
      </c>
      <c r="J531" s="3">
        <f ca="1">'ETF price'!K533-'ETF price'!K532</f>
        <v>-3.4599999999999795</v>
      </c>
      <c r="K531" s="3">
        <f ca="1">'ETF price'!L533-'ETF price'!L532</f>
        <v>-4.3799999999999955</v>
      </c>
      <c r="L531" s="3">
        <f ca="1">'ETF price'!M533-'ETF price'!M532</f>
        <v>-2.3199999999999932</v>
      </c>
      <c r="M531" s="3">
        <f ca="1">'ETF price'!N533-'ETF price'!N532</f>
        <v>-0.81000000000000227</v>
      </c>
      <c r="N531" s="3">
        <f ca="1">'ETF price'!O533-'ETF price'!O532</f>
        <v>-2.4799999999999969</v>
      </c>
      <c r="O531" s="3">
        <f ca="1">'ETF price'!P533-'ETF price'!P532</f>
        <v>-0.85000000000000853</v>
      </c>
      <c r="P531" s="3">
        <f ca="1">'ETF price'!Q533-'ETF price'!Q532</f>
        <v>-1.2600000000000051</v>
      </c>
      <c r="Q531" s="3">
        <f ca="1">'ETF price'!R533-'ETF price'!R532</f>
        <v>-1.1799999999999926</v>
      </c>
      <c r="R531" s="3">
        <f ca="1">'ETF price'!S533-'ETF price'!S532</f>
        <v>-2.2000000000000028</v>
      </c>
      <c r="S531" s="3">
        <f ca="1">'ETF price'!T533-'ETF price'!T532</f>
        <v>-0.12999999999999901</v>
      </c>
      <c r="T531" s="3">
        <f ca="1">'ETF price'!U533-'ETF price'!U532</f>
        <v>0.54000000000000625</v>
      </c>
      <c r="U531" s="3">
        <f ca="1">'ETF price'!V533-'ETF price'!V532</f>
        <v>-2.8099999999999952</v>
      </c>
      <c r="V531" s="3">
        <f ca="1">'ETF price'!W533-'ETF price'!W532</f>
        <v>-0.53000000000000114</v>
      </c>
      <c r="W531" s="3">
        <f ca="1">'ETF price'!X533-'ETF price'!X532</f>
        <v>-1.5</v>
      </c>
      <c r="X531" s="3">
        <f ca="1">'ETF price'!Y533-'ETF price'!Y532</f>
        <v>-1.5899999999999963</v>
      </c>
      <c r="Y531" s="3">
        <f ca="1">'ETF price'!Z533-'ETF price'!Z532</f>
        <v>-1.4699999999999989</v>
      </c>
      <c r="Z531" s="3">
        <f ca="1">'ETF price'!AA533-'ETF price'!AA532</f>
        <v>-0.69999999999999574</v>
      </c>
      <c r="AA531" s="3">
        <f ca="1">'ETF price'!AB533-'ETF price'!AB532</f>
        <v>-2.0700000000000003</v>
      </c>
      <c r="AB531" s="3">
        <f ca="1">'ETF price'!AC533-'ETF price'!AC532</f>
        <v>-0.12000000000000455</v>
      </c>
      <c r="AC531" s="3">
        <f ca="1">'ETF price'!AD533-'ETF price'!AD532</f>
        <v>-0.14999999999999858</v>
      </c>
      <c r="AD531" s="3">
        <f ca="1">'ETF price'!AE533-'ETF price'!AE532</f>
        <v>-0.39000000000000057</v>
      </c>
      <c r="AE531" s="3">
        <f ca="1">'ETF price'!AF533-'ETF price'!AF532</f>
        <v>0.23000000000000043</v>
      </c>
      <c r="AF531" s="3">
        <f ca="1">'ETF price'!AG533-'ETF price'!AG532</f>
        <v>-2</v>
      </c>
    </row>
    <row r="532" spans="1:32" ht="12.75" x14ac:dyDescent="0.2">
      <c r="A532" s="3">
        <f ca="1">'ETF price'!B534-'ETF price'!B533</f>
        <v>2.1200000000000045</v>
      </c>
      <c r="B532" s="3">
        <f ca="1">'ETF price'!C534-'ETF price'!C533</f>
        <v>6.7900000000000205</v>
      </c>
      <c r="C532" s="3">
        <f ca="1">'ETF price'!D534-'ETF price'!D533</f>
        <v>-1.3100000000000023</v>
      </c>
      <c r="D532" s="3">
        <f ca="1">'ETF price'!E534-'ETF price'!E533</f>
        <v>4.6299999999999955</v>
      </c>
      <c r="E532" s="3">
        <f ca="1">'ETF price'!F534-'ETF price'!F533</f>
        <v>1.0799999999999983</v>
      </c>
      <c r="F532" s="3">
        <f ca="1">'ETF price'!G534-'ETF price'!G533</f>
        <v>0.60999999999999943</v>
      </c>
      <c r="G532" s="3">
        <f ca="1">'ETF price'!H534-'ETF price'!H533</f>
        <v>0.53000000000000114</v>
      </c>
      <c r="H532" s="3">
        <f ca="1">'ETF price'!I534-'ETF price'!I533</f>
        <v>1.2399999999999807</v>
      </c>
      <c r="I532" s="3">
        <f ca="1">'ETF price'!J534-'ETF price'!J533</f>
        <v>2.5099999999999909</v>
      </c>
      <c r="J532" s="3">
        <f ca="1">'ETF price'!K534-'ETF price'!K533</f>
        <v>2.5</v>
      </c>
      <c r="K532" s="3">
        <f ca="1">'ETF price'!L534-'ETF price'!L533</f>
        <v>2.4200000000000017</v>
      </c>
      <c r="L532" s="3">
        <f ca="1">'ETF price'!M534-'ETF price'!M533</f>
        <v>1.1300000000000026</v>
      </c>
      <c r="M532" s="3">
        <f ca="1">'ETF price'!N534-'ETF price'!N533</f>
        <v>0.67999999999999261</v>
      </c>
      <c r="N532" s="3">
        <f ca="1">'ETF price'!O534-'ETF price'!O533</f>
        <v>1.4399999999999977</v>
      </c>
      <c r="O532" s="3">
        <f ca="1">'ETF price'!P534-'ETF price'!P533</f>
        <v>-7.9999999999998295E-2</v>
      </c>
      <c r="P532" s="3">
        <f ca="1">'ETF price'!Q534-'ETF price'!Q533</f>
        <v>-0.10999999999999943</v>
      </c>
      <c r="Q532" s="3">
        <f ca="1">'ETF price'!R534-'ETF price'!R533</f>
        <v>0.53000000000000114</v>
      </c>
      <c r="R532" s="3">
        <f ca="1">'ETF price'!S534-'ETF price'!S533</f>
        <v>1.0300000000000011</v>
      </c>
      <c r="S532" s="3">
        <f ca="1">'ETF price'!T534-'ETF price'!T533</f>
        <v>-0.21000000000000085</v>
      </c>
      <c r="T532" s="3">
        <f ca="1">'ETF price'!U534-'ETF price'!U533</f>
        <v>-1.1000000000000085</v>
      </c>
      <c r="U532" s="3">
        <f ca="1">'ETF price'!V534-'ETF price'!V533</f>
        <v>2.1400000000000006</v>
      </c>
      <c r="V532" s="3">
        <f ca="1">'ETF price'!W534-'ETF price'!W533</f>
        <v>0.37000000000000455</v>
      </c>
      <c r="W532" s="3">
        <f ca="1">'ETF price'!X534-'ETF price'!X533</f>
        <v>1.0500000000000114</v>
      </c>
      <c r="X532" s="3">
        <f ca="1">'ETF price'!Y534-'ETF price'!Y533</f>
        <v>0.82000000000000028</v>
      </c>
      <c r="Y532" s="3">
        <f ca="1">'ETF price'!Z534-'ETF price'!Z533</f>
        <v>0.95000000000000284</v>
      </c>
      <c r="Z532" s="3">
        <f ca="1">'ETF price'!AA534-'ETF price'!AA533</f>
        <v>0.25</v>
      </c>
      <c r="AA532" s="3">
        <f ca="1">'ETF price'!AB534-'ETF price'!AB533</f>
        <v>0.87000000000000455</v>
      </c>
      <c r="AB532" s="3">
        <f ca="1">'ETF price'!AC534-'ETF price'!AC533</f>
        <v>-0.25</v>
      </c>
      <c r="AC532" s="3">
        <f ca="1">'ETF price'!AD534-'ETF price'!AD533</f>
        <v>0.76999999999999957</v>
      </c>
      <c r="AD532" s="3">
        <f ca="1">'ETF price'!AE534-'ETF price'!AE533</f>
        <v>1.129999999999999</v>
      </c>
      <c r="AE532" s="3">
        <f ca="1">'ETF price'!AF534-'ETF price'!AF533</f>
        <v>0.33999999999999986</v>
      </c>
      <c r="AF532" s="3">
        <f ca="1">'ETF price'!AG534-'ETF price'!AG533</f>
        <v>5.6500000000000057</v>
      </c>
    </row>
    <row r="533" spans="1:32" ht="12.75" x14ac:dyDescent="0.2">
      <c r="A533" s="3">
        <f ca="1">'ETF price'!B535-'ETF price'!B534</f>
        <v>-0.43000000000000682</v>
      </c>
      <c r="B533" s="3">
        <f ca="1">'ETF price'!C535-'ETF price'!C534</f>
        <v>-0.39999999999997726</v>
      </c>
      <c r="C533" s="3">
        <f ca="1">'ETF price'!D535-'ETF price'!D534</f>
        <v>-1</v>
      </c>
      <c r="D533" s="3">
        <f ca="1">'ETF price'!E535-'ETF price'!E534</f>
        <v>-0.19999999999998863</v>
      </c>
      <c r="E533" s="3">
        <f ca="1">'ETF price'!F535-'ETF price'!F534</f>
        <v>-0.68999999999999773</v>
      </c>
      <c r="F533" s="3">
        <f ca="1">'ETF price'!G535-'ETF price'!G534</f>
        <v>0.25</v>
      </c>
      <c r="G533" s="3">
        <f ca="1">'ETF price'!H535-'ETF price'!H534</f>
        <v>0.51999999999999957</v>
      </c>
      <c r="H533" s="3">
        <f ca="1">'ETF price'!I535-'ETF price'!I534</f>
        <v>1.0500000000000114</v>
      </c>
      <c r="I533" s="3">
        <f ca="1">'ETF price'!J535-'ETF price'!J534</f>
        <v>2.1299999999999955</v>
      </c>
      <c r="J533" s="3">
        <f ca="1">'ETF price'!K535-'ETF price'!K534</f>
        <v>1.7199999999999989</v>
      </c>
      <c r="K533" s="3">
        <f ca="1">'ETF price'!L535-'ETF price'!L534</f>
        <v>2.1299999999999955</v>
      </c>
      <c r="L533" s="3">
        <f ca="1">'ETF price'!M535-'ETF price'!M534</f>
        <v>1.4499999999999957</v>
      </c>
      <c r="M533" s="3">
        <f ca="1">'ETF price'!N535-'ETF price'!N534</f>
        <v>0.5</v>
      </c>
      <c r="N533" s="3">
        <f ca="1">'ETF price'!O535-'ETF price'!O534</f>
        <v>0.75999999999999801</v>
      </c>
      <c r="O533" s="3">
        <f ca="1">'ETF price'!P535-'ETF price'!P534</f>
        <v>2.3200000000000074</v>
      </c>
      <c r="P533" s="3">
        <f ca="1">'ETF price'!Q535-'ETF price'!Q534</f>
        <v>3.2700000000000102</v>
      </c>
      <c r="Q533" s="3">
        <f ca="1">'ETF price'!R535-'ETF price'!R534</f>
        <v>1.5699999999999932</v>
      </c>
      <c r="R533" s="3">
        <f ca="1">'ETF price'!S535-'ETF price'!S534</f>
        <v>1.4600000000000009</v>
      </c>
      <c r="S533" s="3">
        <f ca="1">'ETF price'!T535-'ETF price'!T534</f>
        <v>5.0000000000000711E-2</v>
      </c>
      <c r="T533" s="3">
        <f ca="1">'ETF price'!U535-'ETF price'!U534</f>
        <v>1.2900000000000063</v>
      </c>
      <c r="U533" s="3">
        <f ca="1">'ETF price'!V535-'ETF price'!V534</f>
        <v>0.76999999999999602</v>
      </c>
      <c r="V533" s="3">
        <f ca="1">'ETF price'!W535-'ETF price'!W534</f>
        <v>0.67000000000000171</v>
      </c>
      <c r="W533" s="3">
        <f ca="1">'ETF price'!X535-'ETF price'!X534</f>
        <v>1.6699999999999875</v>
      </c>
      <c r="X533" s="3">
        <f ca="1">'ETF price'!Y535-'ETF price'!Y534</f>
        <v>1.1700000000000017</v>
      </c>
      <c r="Y533" s="3">
        <f ca="1">'ETF price'!Z535-'ETF price'!Z534</f>
        <v>1.5900000000000034</v>
      </c>
      <c r="Z533" s="3">
        <f ca="1">'ETF price'!AA535-'ETF price'!AA534</f>
        <v>0.90999999999999659</v>
      </c>
      <c r="AA533" s="3">
        <f ca="1">'ETF price'!AB535-'ETF price'!AB534</f>
        <v>1.519999999999996</v>
      </c>
      <c r="AB533" s="3">
        <f ca="1">'ETF price'!AC535-'ETF price'!AC534</f>
        <v>0.15000000000000568</v>
      </c>
      <c r="AC533" s="3">
        <f ca="1">'ETF price'!AD535-'ETF price'!AD534</f>
        <v>0.19000000000000128</v>
      </c>
      <c r="AD533" s="3">
        <f ca="1">'ETF price'!AE535-'ETF price'!AE534</f>
        <v>0</v>
      </c>
      <c r="AE533" s="3">
        <f ca="1">'ETF price'!AF535-'ETF price'!AF534</f>
        <v>-0.16000000000000014</v>
      </c>
      <c r="AF533" s="3">
        <f ca="1">'ETF price'!AG535-'ETF price'!AG534</f>
        <v>-1.0500000000000043</v>
      </c>
    </row>
    <row r="534" spans="1:32" ht="12.75" x14ac:dyDescent="0.2">
      <c r="A534" s="3">
        <f ca="1">'ETF price'!B536-'ETF price'!B535</f>
        <v>-1.8799999999999955</v>
      </c>
      <c r="B534" s="3">
        <f ca="1">'ETF price'!C536-'ETF price'!C535</f>
        <v>-5.4500000000000455</v>
      </c>
      <c r="C534" s="3">
        <f ca="1">'ETF price'!D536-'ETF price'!D535</f>
        <v>4.3100000000000023</v>
      </c>
      <c r="D534" s="3">
        <f ca="1">'ETF price'!E536-'ETF price'!E535</f>
        <v>-1.1899999999999977</v>
      </c>
      <c r="E534" s="3">
        <f ca="1">'ETF price'!F536-'ETF price'!F535</f>
        <v>-0.92000000000000171</v>
      </c>
      <c r="F534" s="3">
        <f ca="1">'ETF price'!G536-'ETF price'!G535</f>
        <v>-0.17000000000000171</v>
      </c>
      <c r="G534" s="3">
        <f ca="1">'ETF price'!H536-'ETF price'!H535</f>
        <v>-0.42999999999999972</v>
      </c>
      <c r="H534" s="3">
        <f ca="1">'ETF price'!I536-'ETF price'!I535</f>
        <v>0.46999999999999886</v>
      </c>
      <c r="I534" s="3">
        <f ca="1">'ETF price'!J536-'ETF price'!J535</f>
        <v>0.67000000000001592</v>
      </c>
      <c r="J534" s="3">
        <f ca="1">'ETF price'!K536-'ETF price'!K535</f>
        <v>-0.79000000000002046</v>
      </c>
      <c r="K534" s="3">
        <f ca="1">'ETF price'!L536-'ETF price'!L535</f>
        <v>-0.11999999999999034</v>
      </c>
      <c r="L534" s="3">
        <f ca="1">'ETF price'!M536-'ETF price'!M535</f>
        <v>-0.32999999999999829</v>
      </c>
      <c r="M534" s="3">
        <f ca="1">'ETF price'!N536-'ETF price'!N535</f>
        <v>0.23000000000000398</v>
      </c>
      <c r="N534" s="3">
        <f ca="1">'ETF price'!O536-'ETF price'!O535</f>
        <v>-3.9999999999999147E-2</v>
      </c>
      <c r="O534" s="3">
        <f ca="1">'ETF price'!P536-'ETF price'!P535</f>
        <v>-5.0000000000011369E-2</v>
      </c>
      <c r="P534" s="3">
        <f ca="1">'ETF price'!Q536-'ETF price'!Q535</f>
        <v>4.9999999999997158E-2</v>
      </c>
      <c r="Q534" s="3">
        <f ca="1">'ETF price'!R536-'ETF price'!R535</f>
        <v>0.45000000000000284</v>
      </c>
      <c r="R534" s="3">
        <f ca="1">'ETF price'!S536-'ETF price'!S535</f>
        <v>-0.44000000000000483</v>
      </c>
      <c r="S534" s="3">
        <f ca="1">'ETF price'!T536-'ETF price'!T535</f>
        <v>5.0000000000000711E-2</v>
      </c>
      <c r="T534" s="3">
        <f ca="1">'ETF price'!U536-'ETF price'!U535</f>
        <v>0.56999999999999318</v>
      </c>
      <c r="U534" s="3">
        <f ca="1">'ETF price'!V536-'ETF price'!V535</f>
        <v>-0.53999999999999915</v>
      </c>
      <c r="V534" s="3">
        <f ca="1">'ETF price'!W536-'ETF price'!W535</f>
        <v>-0.14000000000000057</v>
      </c>
      <c r="W534" s="3">
        <f ca="1">'ETF price'!X536-'ETF price'!X535</f>
        <v>-0.32999999999999829</v>
      </c>
      <c r="X534" s="3">
        <f ca="1">'ETF price'!Y536-'ETF price'!Y535</f>
        <v>-0.40000000000000568</v>
      </c>
      <c r="Y534" s="3">
        <f ca="1">'ETF price'!Z536-'ETF price'!Z535</f>
        <v>-0.18000000000000682</v>
      </c>
      <c r="Z534" s="3">
        <f ca="1">'ETF price'!AA536-'ETF price'!AA535</f>
        <v>-0.39999999999999858</v>
      </c>
      <c r="AA534" s="3">
        <f ca="1">'ETF price'!AB536-'ETF price'!AB535</f>
        <v>-0.50999999999999801</v>
      </c>
      <c r="AB534" s="3">
        <f ca="1">'ETF price'!AC536-'ETF price'!AC535</f>
        <v>0.87999999999999545</v>
      </c>
      <c r="AC534" s="3">
        <f ca="1">'ETF price'!AD536-'ETF price'!AD535</f>
        <v>-0.15000000000000213</v>
      </c>
      <c r="AD534" s="3">
        <f ca="1">'ETF price'!AE536-'ETF price'!AE535</f>
        <v>5.0000000000000711E-2</v>
      </c>
      <c r="AE534" s="3">
        <f ca="1">'ETF price'!AF536-'ETF price'!AF535</f>
        <v>0.61000000000000032</v>
      </c>
      <c r="AF534" s="3">
        <f ca="1">'ETF price'!AG536-'ETF price'!AG535</f>
        <v>0.60000000000000142</v>
      </c>
    </row>
    <row r="535" spans="1:32" ht="12.75" x14ac:dyDescent="0.2">
      <c r="A535" s="3">
        <f ca="1">'ETF price'!B537-'ETF price'!B536</f>
        <v>-2.0600000000000023</v>
      </c>
      <c r="B535" s="3">
        <f ca="1">'ETF price'!C537-'ETF price'!C536</f>
        <v>-6.0099999999999909</v>
      </c>
      <c r="C535" s="3">
        <f ca="1">'ETF price'!D537-'ETF price'!D536</f>
        <v>-0.26999999999998181</v>
      </c>
      <c r="D535" s="3">
        <f ca="1">'ETF price'!E537-'ETF price'!E536</f>
        <v>-3.5</v>
      </c>
      <c r="E535" s="3">
        <f ca="1">'ETF price'!F537-'ETF price'!F536</f>
        <v>-0.65000000000000568</v>
      </c>
      <c r="F535" s="3">
        <f ca="1">'ETF price'!G537-'ETF price'!G536</f>
        <v>-0.14999999999999858</v>
      </c>
      <c r="G535" s="3">
        <f ca="1">'ETF price'!H537-'ETF price'!H536</f>
        <v>-0.20000000000000284</v>
      </c>
      <c r="H535" s="3">
        <f ca="1">'ETF price'!I537-'ETF price'!I536</f>
        <v>-0.49000000000000909</v>
      </c>
      <c r="I535" s="3">
        <f ca="1">'ETF price'!J537-'ETF price'!J536</f>
        <v>-1.1899999999999977</v>
      </c>
      <c r="J535" s="3">
        <f ca="1">'ETF price'!K537-'ETF price'!K536</f>
        <v>-0.85999999999998522</v>
      </c>
      <c r="K535" s="3">
        <f ca="1">'ETF price'!L537-'ETF price'!L536</f>
        <v>-0.77000000000001023</v>
      </c>
      <c r="L535" s="3">
        <f ca="1">'ETF price'!M537-'ETF price'!M536</f>
        <v>-0.59999999999999432</v>
      </c>
      <c r="M535" s="3">
        <f ca="1">'ETF price'!N537-'ETF price'!N536</f>
        <v>-0.32999999999999829</v>
      </c>
      <c r="N535" s="3">
        <f ca="1">'ETF price'!O537-'ETF price'!O536</f>
        <v>-0.67999999999999972</v>
      </c>
      <c r="O535" s="3">
        <f ca="1">'ETF price'!P537-'ETF price'!P536</f>
        <v>-0.77999999999998693</v>
      </c>
      <c r="P535" s="3">
        <f ca="1">'ETF price'!Q537-'ETF price'!Q536</f>
        <v>-1.1099999999999994</v>
      </c>
      <c r="Q535" s="3">
        <f ca="1">'ETF price'!R537-'ETF price'!R536</f>
        <v>-0.18000000000000682</v>
      </c>
      <c r="R535" s="3">
        <f ca="1">'ETF price'!S537-'ETF price'!S536</f>
        <v>-1.1399999999999935</v>
      </c>
      <c r="S535" s="3">
        <f ca="1">'ETF price'!T537-'ETF price'!T536</f>
        <v>-0.12000000000000099</v>
      </c>
      <c r="T535" s="3">
        <f ca="1">'ETF price'!U537-'ETF price'!U536</f>
        <v>-0.98999999999999488</v>
      </c>
      <c r="U535" s="3">
        <f ca="1">'ETF price'!V537-'ETF price'!V536</f>
        <v>-1.0499999999999972</v>
      </c>
      <c r="V535" s="3">
        <f ca="1">'ETF price'!W537-'ETF price'!W536</f>
        <v>-0.10999999999999943</v>
      </c>
      <c r="W535" s="3">
        <f ca="1">'ETF price'!X537-'ETF price'!X536</f>
        <v>-0.39000000000000057</v>
      </c>
      <c r="X535" s="3">
        <f ca="1">'ETF price'!Y537-'ETF price'!Y536</f>
        <v>-0.28999999999999915</v>
      </c>
      <c r="Y535" s="3">
        <f ca="1">'ETF price'!Z537-'ETF price'!Z536</f>
        <v>-9.9999999999994316E-2</v>
      </c>
      <c r="Z535" s="3">
        <f ca="1">'ETF price'!AA537-'ETF price'!AA536</f>
        <v>-6.0000000000002274E-2</v>
      </c>
      <c r="AA535" s="3">
        <f ca="1">'ETF price'!AB537-'ETF price'!AB536</f>
        <v>-0.38000000000000256</v>
      </c>
      <c r="AB535" s="3">
        <f ca="1">'ETF price'!AC537-'ETF price'!AC536</f>
        <v>0.17000000000000171</v>
      </c>
      <c r="AC535" s="3">
        <f ca="1">'ETF price'!AD537-'ETF price'!AD536</f>
        <v>0.58999999999999986</v>
      </c>
      <c r="AD535" s="3">
        <f ca="1">'ETF price'!AE537-'ETF price'!AE536</f>
        <v>5.0000000000000711E-2</v>
      </c>
      <c r="AE535" s="3">
        <f ca="1">'ETF price'!AF537-'ETF price'!AF536</f>
        <v>-0.11000000000000032</v>
      </c>
      <c r="AF535" s="3">
        <f ca="1">'ETF price'!AG537-'ETF price'!AG536</f>
        <v>-2.8299999999999983</v>
      </c>
    </row>
    <row r="536" spans="1:32" ht="12.75" x14ac:dyDescent="0.2">
      <c r="A536" s="3">
        <f ca="1">'ETF price'!B538-'ETF price'!B537</f>
        <v>-1.2599999999999909</v>
      </c>
      <c r="B536" s="3">
        <f ca="1">'ETF price'!C538-'ETF price'!C537</f>
        <v>-4.2900000000000205</v>
      </c>
      <c r="C536" s="3">
        <f ca="1">'ETF price'!D538-'ETF price'!D537</f>
        <v>-0.31999999999999318</v>
      </c>
      <c r="D536" s="3">
        <f ca="1">'ETF price'!E538-'ETF price'!E537</f>
        <v>-0.46999999999999886</v>
      </c>
      <c r="E536" s="3">
        <f ca="1">'ETF price'!F538-'ETF price'!F537</f>
        <v>-3.2100000000000009</v>
      </c>
      <c r="F536" s="3">
        <f ca="1">'ETF price'!G538-'ETF price'!G537</f>
        <v>-0.35999999999999943</v>
      </c>
      <c r="G536" s="3">
        <f ca="1">'ETF price'!H538-'ETF price'!H537</f>
        <v>-0.12999999999999901</v>
      </c>
      <c r="H536" s="3">
        <f ca="1">'ETF price'!I538-'ETF price'!I537</f>
        <v>0.31999999999999318</v>
      </c>
      <c r="I536" s="3">
        <f ca="1">'ETF price'!J538-'ETF price'!J537</f>
        <v>0.58999999999997499</v>
      </c>
      <c r="J536" s="3">
        <f ca="1">'ETF price'!K538-'ETF price'!K537</f>
        <v>0.38999999999998636</v>
      </c>
      <c r="K536" s="3">
        <f ca="1">'ETF price'!L538-'ETF price'!L537</f>
        <v>9.0000000000003411E-2</v>
      </c>
      <c r="L536" s="3">
        <f ca="1">'ETF price'!M538-'ETF price'!M537</f>
        <v>-0.45000000000000284</v>
      </c>
      <c r="M536" s="3">
        <f ca="1">'ETF price'!N538-'ETF price'!N537</f>
        <v>0.15999999999999659</v>
      </c>
      <c r="N536" s="3">
        <f ca="1">'ETF price'!O538-'ETF price'!O537</f>
        <v>3.9999999999999147E-2</v>
      </c>
      <c r="O536" s="3">
        <f ca="1">'ETF price'!P538-'ETF price'!P537</f>
        <v>1.5899999999999892</v>
      </c>
      <c r="P536" s="3">
        <f ca="1">'ETF price'!Q538-'ETF price'!Q537</f>
        <v>2.3599999999999994</v>
      </c>
      <c r="Q536" s="3">
        <f ca="1">'ETF price'!R538-'ETF price'!R537</f>
        <v>0.46999999999999886</v>
      </c>
      <c r="R536" s="3">
        <f ca="1">'ETF price'!S538-'ETF price'!S537</f>
        <v>0.46999999999999886</v>
      </c>
      <c r="S536" s="3">
        <f ca="1">'ETF price'!T538-'ETF price'!T537</f>
        <v>8.9999999999999858E-2</v>
      </c>
      <c r="T536" s="3">
        <f ca="1">'ETF price'!U538-'ETF price'!U537</f>
        <v>0.78000000000000114</v>
      </c>
      <c r="U536" s="3">
        <f ca="1">'ETF price'!V538-'ETF price'!V537</f>
        <v>-1.0500000000000043</v>
      </c>
      <c r="V536" s="3">
        <f ca="1">'ETF price'!W538-'ETF price'!W537</f>
        <v>0.11999999999999744</v>
      </c>
      <c r="W536" s="3">
        <f ca="1">'ETF price'!X538-'ETF price'!X537</f>
        <v>0.10999999999999943</v>
      </c>
      <c r="X536" s="3">
        <f ca="1">'ETF price'!Y538-'ETF price'!Y537</f>
        <v>-0.18999999999999773</v>
      </c>
      <c r="Y536" s="3">
        <f ca="1">'ETF price'!Z538-'ETF price'!Z537</f>
        <v>0.10999999999999943</v>
      </c>
      <c r="Z536" s="3">
        <f ca="1">'ETF price'!AA538-'ETF price'!AA537</f>
        <v>0.28000000000000114</v>
      </c>
      <c r="AA536" s="3">
        <f ca="1">'ETF price'!AB538-'ETF price'!AB537</f>
        <v>-0.32000000000000028</v>
      </c>
      <c r="AB536" s="3">
        <f ca="1">'ETF price'!AC538-'ETF price'!AC537</f>
        <v>-0.25999999999999801</v>
      </c>
      <c r="AC536" s="3">
        <f ca="1">'ETF price'!AD538-'ETF price'!AD537</f>
        <v>-0.46000000000000085</v>
      </c>
      <c r="AD536" s="3">
        <f ca="1">'ETF price'!AE538-'ETF price'!AE537</f>
        <v>-0.55999999999999872</v>
      </c>
      <c r="AE536" s="3">
        <f ca="1">'ETF price'!AF538-'ETF price'!AF537</f>
        <v>-0.16000000000000014</v>
      </c>
      <c r="AF536" s="3">
        <f ca="1">'ETF price'!AG538-'ETF price'!AG537</f>
        <v>-2.740000000000002</v>
      </c>
    </row>
    <row r="537" spans="1:32" ht="12.75" x14ac:dyDescent="0.2">
      <c r="A537" s="3">
        <f ca="1">'ETF price'!B539-'ETF price'!B538</f>
        <v>6.5200000000000102</v>
      </c>
      <c r="B537" s="3">
        <f ca="1">'ETF price'!C539-'ETF price'!C538</f>
        <v>16.21999999999997</v>
      </c>
      <c r="C537" s="3">
        <f ca="1">'ETF price'!D539-'ETF price'!D538</f>
        <v>0.32999999999998408</v>
      </c>
      <c r="D537" s="3">
        <f ca="1">'ETF price'!E539-'ETF price'!E538</f>
        <v>10.069999999999993</v>
      </c>
      <c r="E537" s="3">
        <f ca="1">'ETF price'!F539-'ETF price'!F538</f>
        <v>1.6000000000000014</v>
      </c>
      <c r="F537" s="3">
        <f ca="1">'ETF price'!G539-'ETF price'!G538</f>
        <v>1.3000000000000007</v>
      </c>
      <c r="G537" s="3">
        <f ca="1">'ETF price'!H539-'ETF price'!H538</f>
        <v>0.60999999999999943</v>
      </c>
      <c r="H537" s="3">
        <f ca="1">'ETF price'!I539-'ETF price'!I538</f>
        <v>1.710000000000008</v>
      </c>
      <c r="I537" s="3">
        <f ca="1">'ETF price'!J539-'ETF price'!J538</f>
        <v>3.0799999999999841</v>
      </c>
      <c r="J537" s="3">
        <f ca="1">'ETF price'!K539-'ETF price'!K538</f>
        <v>1.9099999999999966</v>
      </c>
      <c r="K537" s="3">
        <f ca="1">'ETF price'!L539-'ETF price'!L538</f>
        <v>1.6800000000000068</v>
      </c>
      <c r="L537" s="3">
        <f ca="1">'ETF price'!M539-'ETF price'!M538</f>
        <v>0.39999999999999858</v>
      </c>
      <c r="M537" s="3">
        <f ca="1">'ETF price'!N539-'ETF price'!N538</f>
        <v>0.78000000000000114</v>
      </c>
      <c r="N537" s="3">
        <f ca="1">'ETF price'!O539-'ETF price'!O538</f>
        <v>0.76000000000000512</v>
      </c>
      <c r="O537" s="3">
        <f ca="1">'ETF price'!P539-'ETF price'!P538</f>
        <v>0.15000000000000568</v>
      </c>
      <c r="P537" s="3">
        <f ca="1">'ETF price'!Q539-'ETF price'!Q538</f>
        <v>0.10999999999999943</v>
      </c>
      <c r="Q537" s="3">
        <f ca="1">'ETF price'!R539-'ETF price'!R538</f>
        <v>0.85999999999999943</v>
      </c>
      <c r="R537" s="3">
        <f ca="1">'ETF price'!S539-'ETF price'!S538</f>
        <v>7.0000000000000284E-2</v>
      </c>
      <c r="S537" s="3">
        <f ca="1">'ETF price'!T539-'ETF price'!T538</f>
        <v>5.9999999999998721E-2</v>
      </c>
      <c r="T537" s="3">
        <f ca="1">'ETF price'!U539-'ETF price'!U538</f>
        <v>0.39999999999999147</v>
      </c>
      <c r="U537" s="3">
        <f ca="1">'ETF price'!V539-'ETF price'!V538</f>
        <v>-2.1099999999999994</v>
      </c>
      <c r="V537" s="3">
        <f ca="1">'ETF price'!W539-'ETF price'!W538</f>
        <v>0.46000000000000085</v>
      </c>
      <c r="W537" s="3">
        <f ca="1">'ETF price'!X539-'ETF price'!X538</f>
        <v>1.1800000000000068</v>
      </c>
      <c r="X537" s="3">
        <f ca="1">'ETF price'!Y539-'ETF price'!Y538</f>
        <v>0.10000000000000142</v>
      </c>
      <c r="Y537" s="3">
        <f ca="1">'ETF price'!Z539-'ETF price'!Z538</f>
        <v>0.96999999999999886</v>
      </c>
      <c r="Z537" s="3">
        <f ca="1">'ETF price'!AA539-'ETF price'!AA538</f>
        <v>0.10000000000000142</v>
      </c>
      <c r="AA537" s="3">
        <f ca="1">'ETF price'!AB539-'ETF price'!AB538</f>
        <v>-3.9999999999999147E-2</v>
      </c>
      <c r="AB537" s="3">
        <f ca="1">'ETF price'!AC539-'ETF price'!AC538</f>
        <v>0.17999999999999972</v>
      </c>
      <c r="AC537" s="3">
        <f ca="1">'ETF price'!AD539-'ETF price'!AD538</f>
        <v>0.52000000000000313</v>
      </c>
      <c r="AD537" s="3">
        <f ca="1">'ETF price'!AE539-'ETF price'!AE538</f>
        <v>0.5</v>
      </c>
      <c r="AE537" s="3">
        <f ca="1">'ETF price'!AF539-'ETF price'!AF538</f>
        <v>-1.9999999999999574E-2</v>
      </c>
      <c r="AF537" s="3">
        <f ca="1">'ETF price'!AG539-'ETF price'!AG538</f>
        <v>2.1300000000000026</v>
      </c>
    </row>
    <row r="538" spans="1:32" ht="12.75" x14ac:dyDescent="0.2">
      <c r="A538" s="3">
        <f ca="1">'ETF price'!B540-'ETF price'!B539</f>
        <v>-0.48000000000001819</v>
      </c>
      <c r="B538" s="3">
        <f ca="1">'ETF price'!C540-'ETF price'!C539</f>
        <v>-1.7400000000000091</v>
      </c>
      <c r="C538" s="3">
        <f ca="1">'ETF price'!D540-'ETF price'!D539</f>
        <v>-0.88999999999998636</v>
      </c>
      <c r="D538" s="3">
        <f ca="1">'ETF price'!E540-'ETF price'!E539</f>
        <v>-2.3100000000000023</v>
      </c>
      <c r="E538" s="3">
        <f ca="1">'ETF price'!F540-'ETF price'!F539</f>
        <v>0.59000000000000341</v>
      </c>
      <c r="F538" s="3">
        <f ca="1">'ETF price'!G540-'ETF price'!G539</f>
        <v>-3.0000000000001137E-2</v>
      </c>
      <c r="G538" s="3">
        <f ca="1">'ETF price'!H540-'ETF price'!H539</f>
        <v>-0.10999999999999943</v>
      </c>
      <c r="H538" s="3">
        <f ca="1">'ETF price'!I540-'ETF price'!I539</f>
        <v>0.70000000000001705</v>
      </c>
      <c r="I538" s="3">
        <f ca="1">'ETF price'!J540-'ETF price'!J539</f>
        <v>1.2900000000000205</v>
      </c>
      <c r="J538" s="3">
        <f ca="1">'ETF price'!K540-'ETF price'!K539</f>
        <v>1.0200000000000102</v>
      </c>
      <c r="K538" s="3">
        <f ca="1">'ETF price'!L540-'ETF price'!L539</f>
        <v>0.59999999999999432</v>
      </c>
      <c r="L538" s="3">
        <f ca="1">'ETF price'!M540-'ETF price'!M539</f>
        <v>0.60999999999999233</v>
      </c>
      <c r="M538" s="3">
        <f ca="1">'ETF price'!N540-'ETF price'!N539</f>
        <v>0.26999999999999602</v>
      </c>
      <c r="N538" s="3">
        <f ca="1">'ETF price'!O540-'ETF price'!O539</f>
        <v>0</v>
      </c>
      <c r="O538" s="3">
        <f ca="1">'ETF price'!P540-'ETF price'!P539</f>
        <v>-0.57000000000000739</v>
      </c>
      <c r="P538" s="3">
        <f ca="1">'ETF price'!Q540-'ETF price'!Q539</f>
        <v>-0.76999999999999602</v>
      </c>
      <c r="Q538" s="3">
        <f ca="1">'ETF price'!R540-'ETF price'!R539</f>
        <v>0.51000000000000512</v>
      </c>
      <c r="R538" s="3">
        <f ca="1">'ETF price'!S540-'ETF price'!S539</f>
        <v>5.9999999999995168E-2</v>
      </c>
      <c r="S538" s="3">
        <f ca="1">'ETF price'!T540-'ETF price'!T539</f>
        <v>-0.32000000000000028</v>
      </c>
      <c r="T538" s="3">
        <f ca="1">'ETF price'!U540-'ETF price'!U539</f>
        <v>-1.6799999999999926</v>
      </c>
      <c r="U538" s="3">
        <f ca="1">'ETF price'!V540-'ETF price'!V539</f>
        <v>-0.65999999999999659</v>
      </c>
      <c r="V538" s="3">
        <f ca="1">'ETF price'!W540-'ETF price'!W539</f>
        <v>0.19999999999999574</v>
      </c>
      <c r="W538" s="3">
        <f ca="1">'ETF price'!X540-'ETF price'!X539</f>
        <v>0.35999999999999943</v>
      </c>
      <c r="X538" s="3">
        <f ca="1">'ETF price'!Y540-'ETF price'!Y539</f>
        <v>3.0000000000001137E-2</v>
      </c>
      <c r="Y538" s="3">
        <f ca="1">'ETF price'!Z540-'ETF price'!Z539</f>
        <v>0.28000000000000114</v>
      </c>
      <c r="Z538" s="3">
        <f ca="1">'ETF price'!AA540-'ETF price'!AA539</f>
        <v>4.9999999999997158E-2</v>
      </c>
      <c r="AA538" s="3">
        <f ca="1">'ETF price'!AB540-'ETF price'!AB539</f>
        <v>-0.10000000000000142</v>
      </c>
      <c r="AB538" s="3">
        <f ca="1">'ETF price'!AC540-'ETF price'!AC539</f>
        <v>0.25</v>
      </c>
      <c r="AC538" s="3">
        <f ca="1">'ETF price'!AD540-'ETF price'!AD539</f>
        <v>-0.32000000000000028</v>
      </c>
      <c r="AD538" s="3">
        <f ca="1">'ETF price'!AE540-'ETF price'!AE539</f>
        <v>-0.45000000000000284</v>
      </c>
      <c r="AE538" s="3">
        <f ca="1">'ETF price'!AF540-'ETF price'!AF539</f>
        <v>-0.17999999999999972</v>
      </c>
      <c r="AF538" s="3">
        <f ca="1">'ETF price'!AG540-'ETF price'!AG539</f>
        <v>-1.6400000000000006</v>
      </c>
    </row>
    <row r="539" spans="1:32" ht="12.75" x14ac:dyDescent="0.2">
      <c r="A539" s="3">
        <f ca="1">'ETF price'!B541-'ETF price'!B540</f>
        <v>0.20000000000001705</v>
      </c>
      <c r="B539" s="3">
        <f ca="1">'ETF price'!C541-'ETF price'!C540</f>
        <v>1.3400000000000318</v>
      </c>
      <c r="C539" s="3">
        <f ca="1">'ETF price'!D541-'ETF price'!D540</f>
        <v>1.4899999999999807</v>
      </c>
      <c r="D539" s="3">
        <f ca="1">'ETF price'!E541-'ETF price'!E540</f>
        <v>2.0900000000000034</v>
      </c>
      <c r="E539" s="3">
        <f ca="1">'ETF price'!F541-'ETF price'!F540</f>
        <v>0.67000000000000171</v>
      </c>
      <c r="F539" s="3">
        <f ca="1">'ETF price'!G541-'ETF price'!G540</f>
        <v>0.28000000000000114</v>
      </c>
      <c r="G539" s="3">
        <f ca="1">'ETF price'!H541-'ETF price'!H540</f>
        <v>-2.9999999999997584E-2</v>
      </c>
      <c r="H539" s="3">
        <f ca="1">'ETF price'!I541-'ETF price'!I540</f>
        <v>-0.76000000000001933</v>
      </c>
      <c r="I539" s="3">
        <f ca="1">'ETF price'!J541-'ETF price'!J540</f>
        <v>-1.1399999999999864</v>
      </c>
      <c r="J539" s="3">
        <f ca="1">'ETF price'!K541-'ETF price'!K540</f>
        <v>0.96999999999999886</v>
      </c>
      <c r="K539" s="3">
        <f ca="1">'ETF price'!L541-'ETF price'!L540</f>
        <v>2.5900000000000034</v>
      </c>
      <c r="L539" s="3">
        <f ca="1">'ETF price'!M541-'ETF price'!M540</f>
        <v>1.2900000000000063</v>
      </c>
      <c r="M539" s="3">
        <f ca="1">'ETF price'!N541-'ETF price'!N540</f>
        <v>-0.17000000000000171</v>
      </c>
      <c r="N539" s="3">
        <f ca="1">'ETF price'!O541-'ETF price'!O540</f>
        <v>0.95999999999999375</v>
      </c>
      <c r="O539" s="3">
        <f ca="1">'ETF price'!P541-'ETF price'!P540</f>
        <v>0.30000000000001137</v>
      </c>
      <c r="P539" s="3">
        <f ca="1">'ETF price'!Q541-'ETF price'!Q540</f>
        <v>0.39000000000000057</v>
      </c>
      <c r="Q539" s="3">
        <f ca="1">'ETF price'!R541-'ETF price'!R540</f>
        <v>-0.51999999999999602</v>
      </c>
      <c r="R539" s="3">
        <f ca="1">'ETF price'!S541-'ETF price'!S540</f>
        <v>0.30000000000000426</v>
      </c>
      <c r="S539" s="3">
        <f ca="1">'ETF price'!T541-'ETF price'!T540</f>
        <v>0.20000000000000284</v>
      </c>
      <c r="T539" s="3">
        <f ca="1">'ETF price'!U541-'ETF price'!U540</f>
        <v>0.87000000000000455</v>
      </c>
      <c r="U539" s="3">
        <f ca="1">'ETF price'!V541-'ETF price'!V540</f>
        <v>-1.0000000000005116E-2</v>
      </c>
      <c r="V539" s="3">
        <f ca="1">'ETF price'!W541-'ETF price'!W540</f>
        <v>-0.19999999999999574</v>
      </c>
      <c r="W539" s="3">
        <f ca="1">'ETF price'!X541-'ETF price'!X540</f>
        <v>-0.29000000000000625</v>
      </c>
      <c r="X539" s="3">
        <f ca="1">'ETF price'!Y541-'ETF price'!Y540</f>
        <v>-0.38000000000000256</v>
      </c>
      <c r="Y539" s="3">
        <f ca="1">'ETF price'!Z541-'ETF price'!Z540</f>
        <v>-0.37999999999999545</v>
      </c>
      <c r="Z539" s="3">
        <f ca="1">'ETF price'!AA541-'ETF price'!AA540</f>
        <v>-0.43999999999999773</v>
      </c>
      <c r="AA539" s="3">
        <f ca="1">'ETF price'!AB541-'ETF price'!AB540</f>
        <v>-0.44999999999999574</v>
      </c>
      <c r="AB539" s="3">
        <f ca="1">'ETF price'!AC541-'ETF price'!AC540</f>
        <v>0.14000000000000057</v>
      </c>
      <c r="AC539" s="3">
        <f ca="1">'ETF price'!AD541-'ETF price'!AD540</f>
        <v>1.25</v>
      </c>
      <c r="AD539" s="3">
        <f ca="1">'ETF price'!AE541-'ETF price'!AE540</f>
        <v>1.6500000000000021</v>
      </c>
      <c r="AE539" s="3">
        <f ca="1">'ETF price'!AF541-'ETF price'!AF540</f>
        <v>-9.0000000000000746E-2</v>
      </c>
      <c r="AF539" s="3">
        <f ca="1">'ETF price'!AG541-'ETF price'!AG540</f>
        <v>7.6299999999999955</v>
      </c>
    </row>
    <row r="540" spans="1:32" ht="12.75" x14ac:dyDescent="0.2">
      <c r="A540" s="3">
        <f ca="1">'ETF price'!B542-'ETF price'!B541</f>
        <v>0.1799999999999784</v>
      </c>
      <c r="B540" s="3">
        <f ca="1">'ETF price'!C542-'ETF price'!C541</f>
        <v>0.75</v>
      </c>
      <c r="C540" s="3">
        <f ca="1">'ETF price'!D542-'ETF price'!D541</f>
        <v>2.1200000000000045</v>
      </c>
      <c r="D540" s="3">
        <f ca="1">'ETF price'!E542-'ETF price'!E541</f>
        <v>-0.21000000000000796</v>
      </c>
      <c r="E540" s="3">
        <f ca="1">'ETF price'!F542-'ETF price'!F541</f>
        <v>0.23999999999999488</v>
      </c>
      <c r="F540" s="3">
        <f ca="1">'ETF price'!G542-'ETF price'!G541</f>
        <v>0.12999999999999901</v>
      </c>
      <c r="G540" s="3">
        <f ca="1">'ETF price'!H542-'ETF price'!H541</f>
        <v>0.13999999999999702</v>
      </c>
      <c r="H540" s="3">
        <f ca="1">'ETF price'!I542-'ETF price'!I541</f>
        <v>-0.35999999999998522</v>
      </c>
      <c r="I540" s="3">
        <f ca="1">'ETF price'!J542-'ETF price'!J541</f>
        <v>0.32999999999998408</v>
      </c>
      <c r="J540" s="3">
        <f ca="1">'ETF price'!K542-'ETF price'!K541</f>
        <v>1.7299999999999898</v>
      </c>
      <c r="K540" s="3">
        <f ca="1">'ETF price'!L542-'ETF price'!L541</f>
        <v>5.5499999999999972</v>
      </c>
      <c r="L540" s="3">
        <f ca="1">'ETF price'!M542-'ETF price'!M541</f>
        <v>0.78000000000000114</v>
      </c>
      <c r="M540" s="3">
        <f ca="1">'ETF price'!N542-'ETF price'!N541</f>
        <v>-3.0000000000001137E-2</v>
      </c>
      <c r="N540" s="3">
        <f ca="1">'ETF price'!O542-'ETF price'!O541</f>
        <v>2.1200000000000045</v>
      </c>
      <c r="O540" s="3">
        <f ca="1">'ETF price'!P542-'ETF price'!P541</f>
        <v>-0.37000000000000455</v>
      </c>
      <c r="P540" s="3">
        <f ca="1">'ETF price'!Q542-'ETF price'!Q541</f>
        <v>-0.44000000000001194</v>
      </c>
      <c r="Q540" s="3">
        <f ca="1">'ETF price'!R542-'ETF price'!R541</f>
        <v>0.31999999999999318</v>
      </c>
      <c r="R540" s="3">
        <f ca="1">'ETF price'!S542-'ETF price'!S541</f>
        <v>0.60999999999999943</v>
      </c>
      <c r="S540" s="3">
        <f ca="1">'ETF price'!T542-'ETF price'!T541</f>
        <v>0.16999999999999815</v>
      </c>
      <c r="T540" s="3">
        <f ca="1">'ETF price'!U542-'ETF price'!U541</f>
        <v>1.0599999999999881</v>
      </c>
      <c r="U540" s="3">
        <f ca="1">'ETF price'!V542-'ETF price'!V541</f>
        <v>0.5800000000000054</v>
      </c>
      <c r="V540" s="3">
        <f ca="1">'ETF price'!W542-'ETF price'!W541</f>
        <v>0.10999999999999943</v>
      </c>
      <c r="W540" s="3">
        <f ca="1">'ETF price'!X542-'ETF price'!X541</f>
        <v>0.34000000000000341</v>
      </c>
      <c r="X540" s="3">
        <f ca="1">'ETF price'!Y542-'ETF price'!Y541</f>
        <v>0.47999999999999687</v>
      </c>
      <c r="Y540" s="3">
        <f ca="1">'ETF price'!Z542-'ETF price'!Z541</f>
        <v>0.32999999999999829</v>
      </c>
      <c r="Z540" s="3">
        <f ca="1">'ETF price'!AA542-'ETF price'!AA541</f>
        <v>3.0000000000001137E-2</v>
      </c>
      <c r="AA540" s="3">
        <f ca="1">'ETF price'!AB542-'ETF price'!AB541</f>
        <v>0.58999999999999631</v>
      </c>
      <c r="AB540" s="3">
        <f ca="1">'ETF price'!AC542-'ETF price'!AC541</f>
        <v>-0.10999999999999943</v>
      </c>
      <c r="AC540" s="3">
        <f ca="1">'ETF price'!AD542-'ETF price'!AD541</f>
        <v>0.48999999999999844</v>
      </c>
      <c r="AD540" s="3">
        <f ca="1">'ETF price'!AE542-'ETF price'!AE541</f>
        <v>1.129999999999999</v>
      </c>
      <c r="AE540" s="3">
        <f ca="1">'ETF price'!AF542-'ETF price'!AF541</f>
        <v>-5.9999999999999609E-2</v>
      </c>
      <c r="AF540" s="3">
        <f ca="1">'ETF price'!AG542-'ETF price'!AG541</f>
        <v>0.75</v>
      </c>
    </row>
    <row r="541" spans="1:32" ht="12.75" x14ac:dyDescent="0.2">
      <c r="A541" s="3">
        <f ca="1">'ETF price'!B543-'ETF price'!B542</f>
        <v>-0.96999999999999886</v>
      </c>
      <c r="B541" s="3">
        <f ca="1">'ETF price'!C543-'ETF price'!C542</f>
        <v>-2.3899999999999864</v>
      </c>
      <c r="C541" s="3">
        <f ca="1">'ETF price'!D543-'ETF price'!D542</f>
        <v>-0.37000000000000455</v>
      </c>
      <c r="D541" s="3">
        <f ca="1">'ETF price'!E543-'ETF price'!E542</f>
        <v>-2.4099999999999966</v>
      </c>
      <c r="E541" s="3">
        <f ca="1">'ETF price'!F543-'ETF price'!F542</f>
        <v>-4.9999999999997158E-2</v>
      </c>
      <c r="F541" s="3">
        <f ca="1">'ETF price'!G543-'ETF price'!G542</f>
        <v>-0.33000000000000185</v>
      </c>
      <c r="G541" s="3">
        <f ca="1">'ETF price'!H543-'ETF price'!H542</f>
        <v>-9.9999999999997868E-2</v>
      </c>
      <c r="H541" s="3">
        <f ca="1">'ETF price'!I543-'ETF price'!I542</f>
        <v>-0.73000000000001819</v>
      </c>
      <c r="I541" s="3">
        <f ca="1">'ETF price'!J543-'ETF price'!J542</f>
        <v>-1.6499999999999773</v>
      </c>
      <c r="J541" s="3">
        <f ca="1">'ETF price'!K543-'ETF price'!K542</f>
        <v>-1.4699999999999989</v>
      </c>
      <c r="K541" s="3">
        <f ca="1">'ETF price'!L543-'ETF price'!L542</f>
        <v>-1.3599999999999994</v>
      </c>
      <c r="L541" s="3">
        <f ca="1">'ETF price'!M543-'ETF price'!M542</f>
        <v>-0.28000000000000114</v>
      </c>
      <c r="M541" s="3">
        <f ca="1">'ETF price'!N543-'ETF price'!N542</f>
        <v>-0.41999999999998749</v>
      </c>
      <c r="N541" s="3">
        <f ca="1">'ETF price'!O543-'ETF price'!O542</f>
        <v>-3.9999999999999147E-2</v>
      </c>
      <c r="O541" s="3">
        <f ca="1">'ETF price'!P543-'ETF price'!P542</f>
        <v>-0.17000000000000171</v>
      </c>
      <c r="P541" s="3">
        <f ca="1">'ETF price'!Q543-'ETF price'!Q542</f>
        <v>-0.25</v>
      </c>
      <c r="Q541" s="3">
        <f ca="1">'ETF price'!R543-'ETF price'!R542</f>
        <v>0.27000000000001023</v>
      </c>
      <c r="R541" s="3">
        <f ca="1">'ETF price'!S543-'ETF price'!S542</f>
        <v>-1.4699999999999989</v>
      </c>
      <c r="S541" s="3">
        <f ca="1">'ETF price'!T543-'ETF price'!T542</f>
        <v>-8.9999999999999858E-2</v>
      </c>
      <c r="T541" s="3">
        <f ca="1">'ETF price'!U543-'ETF price'!U542</f>
        <v>-0.22999999999998977</v>
      </c>
      <c r="U541" s="3">
        <f ca="1">'ETF price'!V543-'ETF price'!V542</f>
        <v>-0.55000000000000426</v>
      </c>
      <c r="V541" s="3">
        <f ca="1">'ETF price'!W543-'ETF price'!W542</f>
        <v>0.14999999999999858</v>
      </c>
      <c r="W541" s="3">
        <f ca="1">'ETF price'!X543-'ETF price'!X542</f>
        <v>0.26999999999999602</v>
      </c>
      <c r="X541" s="3">
        <f ca="1">'ETF price'!Y543-'ETF price'!Y542</f>
        <v>-0.30999999999999517</v>
      </c>
      <c r="Y541" s="3">
        <f ca="1">'ETF price'!Z543-'ETF price'!Z542</f>
        <v>0.28000000000000114</v>
      </c>
      <c r="Z541" s="3">
        <f ca="1">'ETF price'!AA543-'ETF price'!AA542</f>
        <v>0.48999999999999488</v>
      </c>
      <c r="AA541" s="3">
        <f ca="1">'ETF price'!AB543-'ETF price'!AB542</f>
        <v>-0.51999999999999602</v>
      </c>
      <c r="AB541" s="3">
        <f ca="1">'ETF price'!AC543-'ETF price'!AC542</f>
        <v>0.17999999999999972</v>
      </c>
      <c r="AC541" s="3">
        <f ca="1">'ETF price'!AD543-'ETF price'!AD542</f>
        <v>0.64000000000000057</v>
      </c>
      <c r="AD541" s="3">
        <f ca="1">'ETF price'!AE543-'ETF price'!AE542</f>
        <v>1.5199999999999996</v>
      </c>
      <c r="AE541" s="3">
        <f ca="1">'ETF price'!AF543-'ETF price'!AF542</f>
        <v>-5.9999999999999609E-2</v>
      </c>
      <c r="AF541" s="3">
        <f ca="1">'ETF price'!AG543-'ETF price'!AG542</f>
        <v>-2.4899999999999949</v>
      </c>
    </row>
    <row r="542" spans="1:32" ht="12.75" x14ac:dyDescent="0.2">
      <c r="A542" s="3">
        <f ca="1">'ETF price'!B544-'ETF price'!B543</f>
        <v>2.2800000000000011</v>
      </c>
      <c r="B542" s="3">
        <f ca="1">'ETF price'!C544-'ETF price'!C543</f>
        <v>4.9099999999999682</v>
      </c>
      <c r="C542" s="3">
        <f ca="1">'ETF price'!D544-'ETF price'!D543</f>
        <v>-3.1699999999999875</v>
      </c>
      <c r="D542" s="3">
        <f ca="1">'ETF price'!E544-'ETF price'!E543</f>
        <v>5.7300000000000182</v>
      </c>
      <c r="E542" s="3">
        <f ca="1">'ETF price'!F544-'ETF price'!F543</f>
        <v>0.93999999999999773</v>
      </c>
      <c r="F542" s="3">
        <f ca="1">'ETF price'!G544-'ETF price'!G543</f>
        <v>0.37000000000000099</v>
      </c>
      <c r="G542" s="3">
        <f ca="1">'ETF price'!H544-'ETF price'!H543</f>
        <v>0.23999999999999844</v>
      </c>
      <c r="H542" s="3">
        <f ca="1">'ETF price'!I544-'ETF price'!I543</f>
        <v>-1.1899999999999977</v>
      </c>
      <c r="I542" s="3">
        <f ca="1">'ETF price'!J544-'ETF price'!J543</f>
        <v>-2.5600000000000023</v>
      </c>
      <c r="J542" s="3">
        <f ca="1">'ETF price'!K544-'ETF price'!K543</f>
        <v>-2.5799999999999841</v>
      </c>
      <c r="K542" s="3">
        <f ca="1">'ETF price'!L544-'ETF price'!L543</f>
        <v>-3.1099999999999994</v>
      </c>
      <c r="L542" s="3">
        <f ca="1">'ETF price'!M544-'ETF price'!M543</f>
        <v>-0.82999999999999829</v>
      </c>
      <c r="M542" s="3">
        <f ca="1">'ETF price'!N544-'ETF price'!N543</f>
        <v>-0.64000000000000057</v>
      </c>
      <c r="N542" s="3">
        <f ca="1">'ETF price'!O544-'ETF price'!O543</f>
        <v>-0.96000000000000085</v>
      </c>
      <c r="O542" s="3">
        <f ca="1">'ETF price'!P544-'ETF price'!P543</f>
        <v>0.42000000000000171</v>
      </c>
      <c r="P542" s="3">
        <f ca="1">'ETF price'!Q544-'ETF price'!Q543</f>
        <v>0.51000000000000512</v>
      </c>
      <c r="Q542" s="3">
        <f ca="1">'ETF price'!R544-'ETF price'!R543</f>
        <v>0.65999999999999659</v>
      </c>
      <c r="R542" s="3">
        <f ca="1">'ETF price'!S544-'ETF price'!S543</f>
        <v>0.92999999999999972</v>
      </c>
      <c r="S542" s="3">
        <f ca="1">'ETF price'!T544-'ETF price'!T543</f>
        <v>-3.0000000000001137E-2</v>
      </c>
      <c r="T542" s="3">
        <f ca="1">'ETF price'!U544-'ETF price'!U543</f>
        <v>-0.26000000000000512</v>
      </c>
      <c r="U542" s="3">
        <f ca="1">'ETF price'!V544-'ETF price'!V543</f>
        <v>1.1400000000000006</v>
      </c>
      <c r="V542" s="3">
        <f ca="1">'ETF price'!W544-'ETF price'!W543</f>
        <v>-1.9999999999996021E-2</v>
      </c>
      <c r="W542" s="3">
        <f ca="1">'ETF price'!X544-'ETF price'!X543</f>
        <v>8.0000000000012506E-2</v>
      </c>
      <c r="X542" s="3">
        <f ca="1">'ETF price'!Y544-'ETF price'!Y543</f>
        <v>0.53999999999999915</v>
      </c>
      <c r="Y542" s="3">
        <f ca="1">'ETF price'!Z544-'ETF price'!Z543</f>
        <v>0.20999999999999375</v>
      </c>
      <c r="Z542" s="3">
        <f ca="1">'ETF price'!AA544-'ETF price'!AA543</f>
        <v>0.31000000000000227</v>
      </c>
      <c r="AA542" s="3">
        <f ca="1">'ETF price'!AB544-'ETF price'!AB543</f>
        <v>0.64999999999999858</v>
      </c>
      <c r="AB542" s="3">
        <f ca="1">'ETF price'!AC544-'ETF price'!AC543</f>
        <v>1.9999999999996021E-2</v>
      </c>
      <c r="AC542" s="3">
        <f ca="1">'ETF price'!AD544-'ETF price'!AD543</f>
        <v>0.59999999999999787</v>
      </c>
      <c r="AD542" s="3">
        <f ca="1">'ETF price'!AE544-'ETF price'!AE543</f>
        <v>0.78000000000000114</v>
      </c>
      <c r="AE542" s="3">
        <f ca="1">'ETF price'!AF544-'ETF price'!AF543</f>
        <v>0.69999999999999929</v>
      </c>
      <c r="AF542" s="3">
        <f ca="1">'ETF price'!AG544-'ETF price'!AG543</f>
        <v>-4.230000000000004</v>
      </c>
    </row>
    <row r="543" spans="1:32" ht="12.75" x14ac:dyDescent="0.2">
      <c r="A543" s="3">
        <f ca="1">'ETF price'!B545-'ETF price'!B544</f>
        <v>3.7800000000000011</v>
      </c>
      <c r="B543" s="3">
        <f ca="1">'ETF price'!C545-'ETF price'!C544</f>
        <v>9.6000000000000227</v>
      </c>
      <c r="C543" s="3">
        <f ca="1">'ETF price'!D545-'ETF price'!D544</f>
        <v>1.1800000000000068</v>
      </c>
      <c r="D543" s="3">
        <f ca="1">'ETF price'!E545-'ETF price'!E544</f>
        <v>9.25</v>
      </c>
      <c r="E543" s="3">
        <f ca="1">'ETF price'!F545-'ETF price'!F544</f>
        <v>0.10999999999999943</v>
      </c>
      <c r="F543" s="3">
        <f ca="1">'ETF price'!G545-'ETF price'!G544</f>
        <v>0.55999999999999872</v>
      </c>
      <c r="G543" s="3">
        <f ca="1">'ETF price'!H545-'ETF price'!H544</f>
        <v>0.40000000000000213</v>
      </c>
      <c r="H543" s="3">
        <f ca="1">'ETF price'!I545-'ETF price'!I544</f>
        <v>1.5200000000000102</v>
      </c>
      <c r="I543" s="3">
        <f ca="1">'ETF price'!J545-'ETF price'!J544</f>
        <v>3.089999999999975</v>
      </c>
      <c r="J543" s="3">
        <f ca="1">'ETF price'!K545-'ETF price'!K544</f>
        <v>2.9699999999999989</v>
      </c>
      <c r="K543" s="3">
        <f ca="1">'ETF price'!L545-'ETF price'!L544</f>
        <v>3.1099999999999994</v>
      </c>
      <c r="L543" s="3">
        <f ca="1">'ETF price'!M545-'ETF price'!M544</f>
        <v>1.730000000000004</v>
      </c>
      <c r="M543" s="3">
        <f ca="1">'ETF price'!N545-'ETF price'!N544</f>
        <v>0.82999999999999829</v>
      </c>
      <c r="N543" s="3">
        <f ca="1">'ETF price'!O545-'ETF price'!O544</f>
        <v>1.2399999999999949</v>
      </c>
      <c r="O543" s="3">
        <f ca="1">'ETF price'!P545-'ETF price'!P544</f>
        <v>1</v>
      </c>
      <c r="P543" s="3">
        <f ca="1">'ETF price'!Q545-'ETF price'!Q544</f>
        <v>1.6000000000000085</v>
      </c>
      <c r="Q543" s="3">
        <f ca="1">'ETF price'!R545-'ETF price'!R544</f>
        <v>0.39999999999999147</v>
      </c>
      <c r="R543" s="3">
        <f ca="1">'ETF price'!S545-'ETF price'!S544</f>
        <v>0.87999999999999545</v>
      </c>
      <c r="S543" s="3">
        <f ca="1">'ETF price'!T545-'ETF price'!T544</f>
        <v>0.11000000000000298</v>
      </c>
      <c r="T543" s="3">
        <f ca="1">'ETF price'!U545-'ETF price'!U544</f>
        <v>1.5999999999999943</v>
      </c>
      <c r="U543" s="3">
        <f ca="1">'ETF price'!V545-'ETF price'!V544</f>
        <v>1.0300000000000011</v>
      </c>
      <c r="V543" s="3">
        <f ca="1">'ETF price'!W545-'ETF price'!W544</f>
        <v>-5.0000000000004263E-2</v>
      </c>
      <c r="W543" s="3">
        <f ca="1">'ETF price'!X545-'ETF price'!X544</f>
        <v>-2.0000000000010232E-2</v>
      </c>
      <c r="X543" s="3">
        <f ca="1">'ETF price'!Y545-'ETF price'!Y544</f>
        <v>-0.32999999999999829</v>
      </c>
      <c r="Y543" s="3">
        <f ca="1">'ETF price'!Z545-'ETF price'!Z544</f>
        <v>-0.20999999999999375</v>
      </c>
      <c r="Z543" s="3">
        <f ca="1">'ETF price'!AA545-'ETF price'!AA544</f>
        <v>0.42999999999999972</v>
      </c>
      <c r="AA543" s="3">
        <f ca="1">'ETF price'!AB545-'ETF price'!AB544</f>
        <v>-0.53000000000000114</v>
      </c>
      <c r="AB543" s="3">
        <f ca="1">'ETF price'!AC545-'ETF price'!AC544</f>
        <v>0.21000000000000085</v>
      </c>
      <c r="AC543" s="3">
        <f ca="1">'ETF price'!AD545-'ETF price'!AD544</f>
        <v>0.32000000000000028</v>
      </c>
      <c r="AD543" s="3">
        <f ca="1">'ETF price'!AE545-'ETF price'!AE544</f>
        <v>-0.23000000000000043</v>
      </c>
      <c r="AE543" s="3">
        <f ca="1">'ETF price'!AF545-'ETF price'!AF544</f>
        <v>6.0000000000000497E-2</v>
      </c>
      <c r="AF543" s="3">
        <f ca="1">'ETF price'!AG545-'ETF price'!AG544</f>
        <v>1.5900000000000034</v>
      </c>
    </row>
    <row r="544" spans="1:32" ht="12.75" x14ac:dyDescent="0.2">
      <c r="A544" s="3">
        <f ca="1">'ETF price'!B546-'ETF price'!B545</f>
        <v>0</v>
      </c>
      <c r="B544" s="3">
        <f ca="1">'ETF price'!C546-'ETF price'!C545</f>
        <v>0.98000000000001819</v>
      </c>
      <c r="C544" s="3">
        <f ca="1">'ETF price'!D546-'ETF price'!D545</f>
        <v>2.3699999999999761</v>
      </c>
      <c r="D544" s="3">
        <f ca="1">'ETF price'!E546-'ETF price'!E545</f>
        <v>2.2299999999999898</v>
      </c>
      <c r="E544" s="3">
        <f ca="1">'ETF price'!F546-'ETF price'!F545</f>
        <v>4.0000000000006253E-2</v>
      </c>
      <c r="F544" s="3">
        <f ca="1">'ETF price'!G546-'ETF price'!G545</f>
        <v>0.23000000000000043</v>
      </c>
      <c r="G544" s="3">
        <f ca="1">'ETF price'!H546-'ETF price'!H545</f>
        <v>9.9999999999997868E-2</v>
      </c>
      <c r="H544" s="3">
        <f ca="1">'ETF price'!I546-'ETF price'!I545</f>
        <v>-0.21999999999999886</v>
      </c>
      <c r="I544" s="3">
        <f ca="1">'ETF price'!J546-'ETF price'!J545</f>
        <v>-0.57999999999998408</v>
      </c>
      <c r="J544" s="3">
        <f ca="1">'ETF price'!K546-'ETF price'!K545</f>
        <v>-1.3000000000000114</v>
      </c>
      <c r="K544" s="3">
        <f ca="1">'ETF price'!L546-'ETF price'!L545</f>
        <v>-0.79999999999999716</v>
      </c>
      <c r="L544" s="3">
        <f ca="1">'ETF price'!M546-'ETF price'!M545</f>
        <v>-0.55000000000001137</v>
      </c>
      <c r="M544" s="3">
        <f ca="1">'ETF price'!N546-'ETF price'!N545</f>
        <v>-0.13000000000000966</v>
      </c>
      <c r="N544" s="3">
        <f ca="1">'ETF price'!O546-'ETF price'!O545</f>
        <v>-0.87999999999999545</v>
      </c>
      <c r="O544" s="3">
        <f ca="1">'ETF price'!P546-'ETF price'!P545</f>
        <v>-0.93000000000000682</v>
      </c>
      <c r="P544" s="3">
        <f ca="1">'ETF price'!Q546-'ETF price'!Q545</f>
        <v>-1.3700000000000045</v>
      </c>
      <c r="Q544" s="3">
        <f ca="1">'ETF price'!R546-'ETF price'!R545</f>
        <v>0.64000000000000057</v>
      </c>
      <c r="R544" s="3">
        <f ca="1">'ETF price'!S546-'ETF price'!S545</f>
        <v>0.14000000000000057</v>
      </c>
      <c r="S544" s="3">
        <f ca="1">'ETF price'!T546-'ETF price'!T545</f>
        <v>7.0000000000000284E-2</v>
      </c>
      <c r="T544" s="3">
        <f ca="1">'ETF price'!U546-'ETF price'!U545</f>
        <v>-0.94999999999998863</v>
      </c>
      <c r="U544" s="3">
        <f ca="1">'ETF price'!V546-'ETF price'!V545</f>
        <v>-0.78999999999999915</v>
      </c>
      <c r="V544" s="3">
        <f ca="1">'ETF price'!W546-'ETF price'!W545</f>
        <v>0.10000000000000142</v>
      </c>
      <c r="W544" s="3">
        <f ca="1">'ETF price'!X546-'ETF price'!X545</f>
        <v>0.17000000000000171</v>
      </c>
      <c r="X544" s="3">
        <f ca="1">'ETF price'!Y546-'ETF price'!Y545</f>
        <v>3.9999999999999147E-2</v>
      </c>
      <c r="Y544" s="3">
        <f ca="1">'ETF price'!Z546-'ETF price'!Z545</f>
        <v>0.56999999999999318</v>
      </c>
      <c r="Z544" s="3">
        <f ca="1">'ETF price'!AA546-'ETF price'!AA545</f>
        <v>0.45000000000000284</v>
      </c>
      <c r="AA544" s="3">
        <f ca="1">'ETF price'!AB546-'ETF price'!AB545</f>
        <v>-9.9999999999980105E-3</v>
      </c>
      <c r="AB544" s="3">
        <f ca="1">'ETF price'!AC546-'ETF price'!AC545</f>
        <v>-6.0000000000002274E-2</v>
      </c>
      <c r="AC544" s="3">
        <f ca="1">'ETF price'!AD546-'ETF price'!AD545</f>
        <v>1.110000000000003</v>
      </c>
      <c r="AD544" s="3">
        <f ca="1">'ETF price'!AE546-'ETF price'!AE545</f>
        <v>2.1400000000000006</v>
      </c>
      <c r="AE544" s="3">
        <f ca="1">'ETF price'!AF546-'ETF price'!AF545</f>
        <v>4.9999999999999822E-2</v>
      </c>
      <c r="AF544" s="3">
        <f ca="1">'ETF price'!AG546-'ETF price'!AG545</f>
        <v>-1.1600000000000037</v>
      </c>
    </row>
    <row r="545" spans="1:32" ht="12.75" x14ac:dyDescent="0.2">
      <c r="A545" s="3">
        <f ca="1">'ETF price'!B547-'ETF price'!B546</f>
        <v>-5.1799999999999784</v>
      </c>
      <c r="B545" s="3">
        <f ca="1">'ETF price'!C547-'ETF price'!C546</f>
        <v>-12.690000000000055</v>
      </c>
      <c r="C545" s="3">
        <f ca="1">'ETF price'!D547-'ETF price'!D546</f>
        <v>-1.9099999999999966</v>
      </c>
      <c r="D545" s="3">
        <f ca="1">'ETF price'!E547-'ETF price'!E546</f>
        <v>-4.4900000000000091</v>
      </c>
      <c r="E545" s="3">
        <f ca="1">'ETF price'!F547-'ETF price'!F546</f>
        <v>-1.7500000000000071</v>
      </c>
      <c r="F545" s="3">
        <f ca="1">'ETF price'!G547-'ETF price'!G546</f>
        <v>-0.26999999999999957</v>
      </c>
      <c r="G545" s="3">
        <f ca="1">'ETF price'!H547-'ETF price'!H546</f>
        <v>-0.37000000000000099</v>
      </c>
      <c r="H545" s="3">
        <f ca="1">'ETF price'!I547-'ETF price'!I546</f>
        <v>-1.0900000000000034</v>
      </c>
      <c r="I545" s="3">
        <f ca="1">'ETF price'!J547-'ETF price'!J546</f>
        <v>-2.160000000000025</v>
      </c>
      <c r="J545" s="3">
        <f ca="1">'ETF price'!K547-'ETF price'!K546</f>
        <v>-1.1699999999999875</v>
      </c>
      <c r="K545" s="3">
        <f ca="1">'ETF price'!L547-'ETF price'!L546</f>
        <v>-1.2700000000000102</v>
      </c>
      <c r="L545" s="3">
        <f ca="1">'ETF price'!M547-'ETF price'!M546</f>
        <v>-0.42000000000000171</v>
      </c>
      <c r="M545" s="3">
        <f ca="1">'ETF price'!N547-'ETF price'!N546</f>
        <v>-0.53000000000000114</v>
      </c>
      <c r="N545" s="3">
        <f ca="1">'ETF price'!O547-'ETF price'!O546</f>
        <v>-0.71999999999999886</v>
      </c>
      <c r="O545" s="3">
        <f ca="1">'ETF price'!P547-'ETF price'!P546</f>
        <v>0.64000000000000057</v>
      </c>
      <c r="P545" s="3">
        <f ca="1">'ETF price'!Q547-'ETF price'!Q546</f>
        <v>0.81000000000000227</v>
      </c>
      <c r="Q545" s="3">
        <f ca="1">'ETF price'!R547-'ETF price'!R546</f>
        <v>-0.46999999999999886</v>
      </c>
      <c r="R545" s="3">
        <f ca="1">'ETF price'!S547-'ETF price'!S546</f>
        <v>-0.79999999999999716</v>
      </c>
      <c r="S545" s="3">
        <f ca="1">'ETF price'!T547-'ETF price'!T546</f>
        <v>-0.17000000000000171</v>
      </c>
      <c r="T545" s="3">
        <f ca="1">'ETF price'!U547-'ETF price'!U546</f>
        <v>-0.56000000000000227</v>
      </c>
      <c r="U545" s="3">
        <f ca="1">'ETF price'!V547-'ETF price'!V546</f>
        <v>-0.39000000000000057</v>
      </c>
      <c r="V545" s="3">
        <f ca="1">'ETF price'!W547-'ETF price'!W546</f>
        <v>9.9999999999980105E-3</v>
      </c>
      <c r="W545" s="3">
        <f ca="1">'ETF price'!X547-'ETF price'!X546</f>
        <v>0.18999999999999773</v>
      </c>
      <c r="X545" s="3">
        <f ca="1">'ETF price'!Y547-'ETF price'!Y546</f>
        <v>1.3299999999999983</v>
      </c>
      <c r="Y545" s="3">
        <f ca="1">'ETF price'!Z547-'ETF price'!Z546</f>
        <v>0.10999999999999943</v>
      </c>
      <c r="Z545" s="3">
        <f ca="1">'ETF price'!AA547-'ETF price'!AA546</f>
        <v>-0.51000000000000512</v>
      </c>
      <c r="AA545" s="3">
        <f ca="1">'ETF price'!AB547-'ETF price'!AB546</f>
        <v>1.9200000000000017</v>
      </c>
      <c r="AB545" s="3">
        <f ca="1">'ETF price'!AC547-'ETF price'!AC546</f>
        <v>0.13000000000000966</v>
      </c>
      <c r="AC545" s="3">
        <f ca="1">'ETF price'!AD547-'ETF price'!AD546</f>
        <v>-1.490000000000002</v>
      </c>
      <c r="AD545" s="3">
        <f ca="1">'ETF price'!AE547-'ETF price'!AE546</f>
        <v>-2.6799999999999997</v>
      </c>
      <c r="AE545" s="3">
        <f ca="1">'ETF price'!AF547-'ETF price'!AF546</f>
        <v>-0.37000000000000011</v>
      </c>
      <c r="AF545" s="3">
        <f ca="1">'ETF price'!AG547-'ETF price'!AG546</f>
        <v>-3.3200000000000003</v>
      </c>
    </row>
    <row r="546" spans="1:32" ht="12.75" x14ac:dyDescent="0.2">
      <c r="A546" s="3">
        <f ca="1">'ETF price'!B548-'ETF price'!B547</f>
        <v>1.6299999999999955</v>
      </c>
      <c r="B546" s="3">
        <f ca="1">'ETF price'!C548-'ETF price'!C547</f>
        <v>5.7200000000000273</v>
      </c>
      <c r="C546" s="3">
        <f ca="1">'ETF price'!D548-'ETF price'!D547</f>
        <v>-0.56000000000000227</v>
      </c>
      <c r="D546" s="3">
        <f ca="1">'ETF price'!E548-'ETF price'!E547</f>
        <v>5.5200000000000102</v>
      </c>
      <c r="E546" s="3">
        <f ca="1">'ETF price'!F548-'ETF price'!F547</f>
        <v>0.74000000000000199</v>
      </c>
      <c r="F546" s="3">
        <f ca="1">'ETF price'!G548-'ETF price'!G547</f>
        <v>0.65000000000000213</v>
      </c>
      <c r="G546" s="3">
        <f ca="1">'ETF price'!H548-'ETF price'!H547</f>
        <v>0.2900000000000027</v>
      </c>
      <c r="H546" s="3">
        <f ca="1">'ETF price'!I548-'ETF price'!I547</f>
        <v>0.99000000000000909</v>
      </c>
      <c r="I546" s="3">
        <f ca="1">'ETF price'!J548-'ETF price'!J547</f>
        <v>1.8299999999999841</v>
      </c>
      <c r="J546" s="3">
        <f ca="1">'ETF price'!K548-'ETF price'!K547</f>
        <v>0.53000000000000114</v>
      </c>
      <c r="K546" s="3">
        <f ca="1">'ETF price'!L548-'ETF price'!L547</f>
        <v>0.6600000000000108</v>
      </c>
      <c r="L546" s="3">
        <f ca="1">'ETF price'!M548-'ETF price'!M547</f>
        <v>-8.99999999999892E-2</v>
      </c>
      <c r="M546" s="3">
        <f ca="1">'ETF price'!N548-'ETF price'!N547</f>
        <v>0.49000000000000909</v>
      </c>
      <c r="N546" s="3">
        <f ca="1">'ETF price'!O548-'ETF price'!O547</f>
        <v>0.23999999999999488</v>
      </c>
      <c r="O546" s="3">
        <f ca="1">'ETF price'!P548-'ETF price'!P547</f>
        <v>0.27000000000001023</v>
      </c>
      <c r="P546" s="3">
        <f ca="1">'ETF price'!Q548-'ETF price'!Q547</f>
        <v>0.35999999999999943</v>
      </c>
      <c r="Q546" s="3">
        <f ca="1">'ETF price'!R548-'ETF price'!R547</f>
        <v>0.65000000000000568</v>
      </c>
      <c r="R546" s="3">
        <f ca="1">'ETF price'!S548-'ETF price'!S547</f>
        <v>0.78999999999999915</v>
      </c>
      <c r="S546" s="3">
        <f ca="1">'ETF price'!T548-'ETF price'!T547</f>
        <v>0.17999999999999972</v>
      </c>
      <c r="T546" s="3">
        <f ca="1">'ETF price'!U548-'ETF price'!U547</f>
        <v>0.89000000000000057</v>
      </c>
      <c r="U546" s="3">
        <f ca="1">'ETF price'!V548-'ETF price'!V547</f>
        <v>0.93999999999999773</v>
      </c>
      <c r="V546" s="3">
        <f ca="1">'ETF price'!W548-'ETF price'!W547</f>
        <v>0.21000000000000085</v>
      </c>
      <c r="W546" s="3">
        <f ca="1">'ETF price'!X548-'ETF price'!X547</f>
        <v>0.51000000000000512</v>
      </c>
      <c r="X546" s="3">
        <f ca="1">'ETF price'!Y548-'ETF price'!Y547</f>
        <v>-0.10999999999999943</v>
      </c>
      <c r="Y546" s="3">
        <f ca="1">'ETF price'!Z548-'ETF price'!Z547</f>
        <v>0.51999999999999602</v>
      </c>
      <c r="Z546" s="3">
        <f ca="1">'ETF price'!AA548-'ETF price'!AA547</f>
        <v>0.22000000000000597</v>
      </c>
      <c r="AA546" s="3">
        <f ca="1">'ETF price'!AB548-'ETF price'!AB547</f>
        <v>-6.0000000000002274E-2</v>
      </c>
      <c r="AB546" s="3">
        <f ca="1">'ETF price'!AC548-'ETF price'!AC547</f>
        <v>3.9999999999992042E-2</v>
      </c>
      <c r="AC546" s="3">
        <f ca="1">'ETF price'!AD548-'ETF price'!AD547</f>
        <v>2.16</v>
      </c>
      <c r="AD546" s="3">
        <f ca="1">'ETF price'!AE548-'ETF price'!AE547</f>
        <v>2.3699999999999974</v>
      </c>
      <c r="AE546" s="3">
        <f ca="1">'ETF price'!AF548-'ETF price'!AF547</f>
        <v>0.20000000000000018</v>
      </c>
      <c r="AF546" s="3">
        <f ca="1">'ETF price'!AG548-'ETF price'!AG547</f>
        <v>2.1300000000000026</v>
      </c>
    </row>
    <row r="547" spans="1:32" ht="12.75" x14ac:dyDescent="0.2">
      <c r="A547" s="3">
        <f ca="1">'ETF price'!B549-'ETF price'!B548</f>
        <v>3.2699999999999818</v>
      </c>
      <c r="B547" s="3">
        <f ca="1">'ETF price'!C549-'ETF price'!C548</f>
        <v>8.7599999999999909</v>
      </c>
      <c r="C547" s="3">
        <f ca="1">'ETF price'!D549-'ETF price'!D548</f>
        <v>2.6500000000000057</v>
      </c>
      <c r="D547" s="3">
        <f ca="1">'ETF price'!E549-'ETF price'!E548</f>
        <v>7.8799999999999955</v>
      </c>
      <c r="E547" s="3">
        <f ca="1">'ETF price'!F549-'ETF price'!F548</f>
        <v>0.87000000000000455</v>
      </c>
      <c r="F547" s="3">
        <f ca="1">'ETF price'!G549-'ETF price'!G548</f>
        <v>0.53999999999999915</v>
      </c>
      <c r="G547" s="3">
        <f ca="1">'ETF price'!H549-'ETF price'!H548</f>
        <v>0.33999999999999986</v>
      </c>
      <c r="H547" s="3">
        <f ca="1">'ETF price'!I549-'ETF price'!I548</f>
        <v>0.6799999999999784</v>
      </c>
      <c r="I547" s="3">
        <f ca="1">'ETF price'!J549-'ETF price'!J548</f>
        <v>1.4200000000000159</v>
      </c>
      <c r="J547" s="3">
        <f ca="1">'ETF price'!K549-'ETF price'!K548</f>
        <v>0.44999999999998863</v>
      </c>
      <c r="K547" s="3">
        <f ca="1">'ETF price'!L549-'ETF price'!L548</f>
        <v>-1.3299999999999983</v>
      </c>
      <c r="L547" s="3">
        <f ca="1">'ETF price'!M549-'ETF price'!M548</f>
        <v>0.45000000000000284</v>
      </c>
      <c r="M547" s="3">
        <f ca="1">'ETF price'!N549-'ETF price'!N548</f>
        <v>0.31999999999999318</v>
      </c>
      <c r="N547" s="3">
        <f ca="1">'ETF price'!O549-'ETF price'!O548</f>
        <v>-0.11999999999999744</v>
      </c>
      <c r="O547" s="3">
        <f ca="1">'ETF price'!P549-'ETF price'!P548</f>
        <v>0.73999999999999488</v>
      </c>
      <c r="P547" s="3">
        <f ca="1">'ETF price'!Q549-'ETF price'!Q548</f>
        <v>1.0300000000000011</v>
      </c>
      <c r="Q547" s="3">
        <f ca="1">'ETF price'!R549-'ETF price'!R548</f>
        <v>1.0900000000000034</v>
      </c>
      <c r="R547" s="3">
        <f ca="1">'ETF price'!S549-'ETF price'!S548</f>
        <v>1.490000000000002</v>
      </c>
      <c r="S547" s="3">
        <f ca="1">'ETF price'!T549-'ETF price'!T548</f>
        <v>5.9999999999998721E-2</v>
      </c>
      <c r="T547" s="3">
        <f ca="1">'ETF price'!U549-'ETF price'!U548</f>
        <v>-0.10999999999999943</v>
      </c>
      <c r="U547" s="3">
        <f ca="1">'ETF price'!V549-'ETF price'!V548</f>
        <v>1.0300000000000011</v>
      </c>
      <c r="V547" s="3">
        <f ca="1">'ETF price'!W549-'ETF price'!W548</f>
        <v>-6.0000000000002274E-2</v>
      </c>
      <c r="W547" s="3">
        <f ca="1">'ETF price'!X549-'ETF price'!X548</f>
        <v>-9.0000000000003411E-2</v>
      </c>
      <c r="X547" s="3">
        <f ca="1">'ETF price'!Y549-'ETF price'!Y548</f>
        <v>7.0000000000000284E-2</v>
      </c>
      <c r="Y547" s="3">
        <f ca="1">'ETF price'!Z549-'ETF price'!Z548</f>
        <v>-3.9999999999992042E-2</v>
      </c>
      <c r="Z547" s="3">
        <f ca="1">'ETF price'!AA549-'ETF price'!AA548</f>
        <v>0</v>
      </c>
      <c r="AA547" s="3">
        <f ca="1">'ETF price'!AB549-'ETF price'!AB548</f>
        <v>7.0000000000000284E-2</v>
      </c>
      <c r="AB547" s="3">
        <f ca="1">'ETF price'!AC549-'ETF price'!AC548</f>
        <v>0.26999999999999602</v>
      </c>
      <c r="AC547" s="3">
        <f ca="1">'ETF price'!AD549-'ETF price'!AD548</f>
        <v>0.33000000000000185</v>
      </c>
      <c r="AD547" s="3">
        <f ca="1">'ETF price'!AE549-'ETF price'!AE548</f>
        <v>0.28000000000000114</v>
      </c>
      <c r="AE547" s="3">
        <f ca="1">'ETF price'!AF549-'ETF price'!AF548</f>
        <v>9.9999999999997868E-3</v>
      </c>
      <c r="AF547" s="3">
        <f ca="1">'ETF price'!AG549-'ETF price'!AG548</f>
        <v>0.24000000000000199</v>
      </c>
    </row>
    <row r="548" spans="1:32" ht="12.75" x14ac:dyDescent="0.2">
      <c r="A548" s="3">
        <f ca="1">'ETF price'!B550-'ETF price'!B549</f>
        <v>-3.1299999999999955</v>
      </c>
      <c r="B548" s="3">
        <f ca="1">'ETF price'!C550-'ETF price'!C549</f>
        <v>-8.6699999999999591</v>
      </c>
      <c r="C548" s="3">
        <f ca="1">'ETF price'!D550-'ETF price'!D549</f>
        <v>-1.1899999999999977</v>
      </c>
      <c r="D548" s="3">
        <f ca="1">'ETF price'!E550-'ETF price'!E549</f>
        <v>-9.6200000000000045</v>
      </c>
      <c r="E548" s="3">
        <f ca="1">'ETF price'!F550-'ETF price'!F549</f>
        <v>-0.71000000000000796</v>
      </c>
      <c r="F548" s="3">
        <f ca="1">'ETF price'!G550-'ETF price'!G549</f>
        <v>-0.50999999999999801</v>
      </c>
      <c r="G548" s="3">
        <f ca="1">'ETF price'!H550-'ETF price'!H549</f>
        <v>-0.14000000000000057</v>
      </c>
      <c r="H548" s="3">
        <f ca="1">'ETF price'!I550-'ETF price'!I549</f>
        <v>-0.26999999999998181</v>
      </c>
      <c r="I548" s="3">
        <f ca="1">'ETF price'!J550-'ETF price'!J549</f>
        <v>-0.48000000000001819</v>
      </c>
      <c r="J548" s="3">
        <f ca="1">'ETF price'!K550-'ETF price'!K549</f>
        <v>0.33000000000001251</v>
      </c>
      <c r="K548" s="3">
        <f ca="1">'ETF price'!L550-'ETF price'!L549</f>
        <v>0.15999999999999659</v>
      </c>
      <c r="L548" s="3">
        <f ca="1">'ETF price'!M550-'ETF price'!M549</f>
        <v>0.19999999999998863</v>
      </c>
      <c r="M548" s="3">
        <f ca="1">'ETF price'!N550-'ETF price'!N549</f>
        <v>-0.12999999999999545</v>
      </c>
      <c r="N548" s="3">
        <f ca="1">'ETF price'!O550-'ETF price'!O549</f>
        <v>-3.9999999999999147E-2</v>
      </c>
      <c r="O548" s="3">
        <f ca="1">'ETF price'!P550-'ETF price'!P549</f>
        <v>0.31000000000000227</v>
      </c>
      <c r="P548" s="3">
        <f ca="1">'ETF price'!Q550-'ETF price'!Q549</f>
        <v>0.39999999999999147</v>
      </c>
      <c r="Q548" s="3">
        <f ca="1">'ETF price'!R550-'ETF price'!R549</f>
        <v>-0.52000000000001023</v>
      </c>
      <c r="R548" s="3">
        <f ca="1">'ETF price'!S550-'ETF price'!S549</f>
        <v>-0.42000000000000171</v>
      </c>
      <c r="S548" s="3">
        <f ca="1">'ETF price'!T550-'ETF price'!T549</f>
        <v>-6.9999999999996732E-2</v>
      </c>
      <c r="T548" s="3">
        <f ca="1">'ETF price'!U550-'ETF price'!U549</f>
        <v>-0.87000000000000455</v>
      </c>
      <c r="U548" s="3">
        <f ca="1">'ETF price'!V550-'ETF price'!V549</f>
        <v>0.80000000000000426</v>
      </c>
      <c r="V548" s="3">
        <f ca="1">'ETF price'!W550-'ETF price'!W549</f>
        <v>7.0000000000000284E-2</v>
      </c>
      <c r="W548" s="3">
        <f ca="1">'ETF price'!X550-'ETF price'!X549</f>
        <v>0.23000000000000398</v>
      </c>
      <c r="X548" s="3">
        <f ca="1">'ETF price'!Y550-'ETF price'!Y549</f>
        <v>-2.0000000000003126E-2</v>
      </c>
      <c r="Y548" s="3">
        <f ca="1">'ETF price'!Z550-'ETF price'!Z549</f>
        <v>1.9999999999996021E-2</v>
      </c>
      <c r="Z548" s="3">
        <f ca="1">'ETF price'!AA550-'ETF price'!AA549</f>
        <v>0.46999999999999886</v>
      </c>
      <c r="AA548" s="3">
        <f ca="1">'ETF price'!AB550-'ETF price'!AB549</f>
        <v>3.9999999999999147E-2</v>
      </c>
      <c r="AB548" s="3">
        <f ca="1">'ETF price'!AC550-'ETF price'!AC549</f>
        <v>0.33000000000001251</v>
      </c>
      <c r="AC548" s="3">
        <f ca="1">'ETF price'!AD550-'ETF price'!AD549</f>
        <v>0.28999999999999915</v>
      </c>
      <c r="AD548" s="3">
        <f ca="1">'ETF price'!AE550-'ETF price'!AE549</f>
        <v>0.69000000000000128</v>
      </c>
      <c r="AE548" s="3">
        <f ca="1">'ETF price'!AF550-'ETF price'!AF549</f>
        <v>-0.28000000000000025</v>
      </c>
      <c r="AF548" s="3">
        <f ca="1">'ETF price'!AG550-'ETF price'!AG549</f>
        <v>3.1499999999999986</v>
      </c>
    </row>
    <row r="549" spans="1:32" ht="12.75" x14ac:dyDescent="0.2">
      <c r="A549" s="3">
        <f ca="1">'ETF price'!B551-'ETF price'!B550</f>
        <v>-0.56999999999999318</v>
      </c>
      <c r="B549" s="3">
        <f ca="1">'ETF price'!C551-'ETF price'!C550</f>
        <v>-2.2300000000000182</v>
      </c>
      <c r="C549" s="3">
        <f ca="1">'ETF price'!D551-'ETF price'!D550</f>
        <v>0.11000000000001364</v>
      </c>
      <c r="D549" s="3">
        <f ca="1">'ETF price'!E551-'ETF price'!E550</f>
        <v>-3.0300000000000011</v>
      </c>
      <c r="E549" s="3">
        <f ca="1">'ETF price'!F551-'ETF price'!F550</f>
        <v>6.0000000000002274E-2</v>
      </c>
      <c r="F549" s="3">
        <f ca="1">'ETF price'!G551-'ETF price'!G550</f>
        <v>-0.5400000000000027</v>
      </c>
      <c r="G549" s="3">
        <f ca="1">'ETF price'!H551-'ETF price'!H550</f>
        <v>-5.0000000000000711E-2</v>
      </c>
      <c r="H549" s="3">
        <f ca="1">'ETF price'!I551-'ETF price'!I550</f>
        <v>-8.0000000000012506E-2</v>
      </c>
      <c r="I549" s="3">
        <f ca="1">'ETF price'!J551-'ETF price'!J550</f>
        <v>-0.55999999999994543</v>
      </c>
      <c r="J549" s="3">
        <f ca="1">'ETF price'!K551-'ETF price'!K550</f>
        <v>4.9999999999982947E-2</v>
      </c>
      <c r="K549" s="3">
        <f ca="1">'ETF price'!L551-'ETF price'!L550</f>
        <v>-2.1200000000000045</v>
      </c>
      <c r="L549" s="3">
        <f ca="1">'ETF price'!M551-'ETF price'!M550</f>
        <v>-0.78000000000000114</v>
      </c>
      <c r="M549" s="3">
        <f ca="1">'ETF price'!N551-'ETF price'!N550</f>
        <v>-0.18999999999999773</v>
      </c>
      <c r="N549" s="3">
        <f ca="1">'ETF price'!O551-'ETF price'!O550</f>
        <v>-0.28000000000000114</v>
      </c>
      <c r="O549" s="3">
        <f ca="1">'ETF price'!P551-'ETF price'!P550</f>
        <v>0.90999999999999659</v>
      </c>
      <c r="P549" s="3">
        <f ca="1">'ETF price'!Q551-'ETF price'!Q550</f>
        <v>1.25</v>
      </c>
      <c r="Q549" s="3">
        <f ca="1">'ETF price'!R551-'ETF price'!R550</f>
        <v>1.0100000000000051</v>
      </c>
      <c r="R549" s="3">
        <f ca="1">'ETF price'!S551-'ETF price'!S550</f>
        <v>-0.50999999999999801</v>
      </c>
      <c r="S549" s="3">
        <f ca="1">'ETF price'!T551-'ETF price'!T550</f>
        <v>0.18999999999999773</v>
      </c>
      <c r="T549" s="3">
        <f ca="1">'ETF price'!U551-'ETF price'!U550</f>
        <v>0.26000000000000512</v>
      </c>
      <c r="U549" s="3">
        <f ca="1">'ETF price'!V551-'ETF price'!V550</f>
        <v>0.60999999999999943</v>
      </c>
      <c r="V549" s="3">
        <f ca="1">'ETF price'!W551-'ETF price'!W550</f>
        <v>7.0000000000000284E-2</v>
      </c>
      <c r="W549" s="3">
        <f ca="1">'ETF price'!X551-'ETF price'!X550</f>
        <v>0.12000000000000455</v>
      </c>
      <c r="X549" s="3">
        <f ca="1">'ETF price'!Y551-'ETF price'!Y550</f>
        <v>3.0000000000001137E-2</v>
      </c>
      <c r="Y549" s="3">
        <f ca="1">'ETF price'!Z551-'ETF price'!Z550</f>
        <v>0.25</v>
      </c>
      <c r="Z549" s="3">
        <f ca="1">'ETF price'!AA551-'ETF price'!AA550</f>
        <v>-0.20000000000000284</v>
      </c>
      <c r="AA549" s="3">
        <f ca="1">'ETF price'!AB551-'ETF price'!AB550</f>
        <v>-0.25</v>
      </c>
      <c r="AB549" s="3">
        <f ca="1">'ETF price'!AC551-'ETF price'!AC550</f>
        <v>-0.65000000000000568</v>
      </c>
      <c r="AC549" s="3">
        <f ca="1">'ETF price'!AD551-'ETF price'!AD550</f>
        <v>0.67999999999999972</v>
      </c>
      <c r="AD549" s="3">
        <f ca="1">'ETF price'!AE551-'ETF price'!AE550</f>
        <v>1.370000000000001</v>
      </c>
      <c r="AE549" s="3">
        <f ca="1">'ETF price'!AF551-'ETF price'!AF550</f>
        <v>-1.9999999999999574E-2</v>
      </c>
      <c r="AF549" s="3">
        <f ca="1">'ETF price'!AG551-'ETF price'!AG550</f>
        <v>-3.8599999999999994</v>
      </c>
    </row>
    <row r="550" spans="1:32" ht="12.75" x14ac:dyDescent="0.2">
      <c r="A550" s="3">
        <f ca="1">'ETF price'!B552-'ETF price'!B551</f>
        <v>4.2400000000000091</v>
      </c>
      <c r="B550" s="3">
        <f ca="1">'ETF price'!C552-'ETF price'!C551</f>
        <v>10.740000000000009</v>
      </c>
      <c r="C550" s="3">
        <f ca="1">'ETF price'!D552-'ETF price'!D551</f>
        <v>-2.0900000000000034</v>
      </c>
      <c r="D550" s="3">
        <f ca="1">'ETF price'!E552-'ETF price'!E551</f>
        <v>4.6700000000000159</v>
      </c>
      <c r="E550" s="3">
        <f ca="1">'ETF price'!F552-'ETF price'!F551</f>
        <v>0.32000000000000739</v>
      </c>
      <c r="F550" s="3">
        <f ca="1">'ETF price'!G552-'ETF price'!G551</f>
        <v>0.51000000000000156</v>
      </c>
      <c r="G550" s="3">
        <f ca="1">'ETF price'!H552-'ETF price'!H551</f>
        <v>0.16000000000000014</v>
      </c>
      <c r="H550" s="3">
        <f ca="1">'ETF price'!I552-'ETF price'!I551</f>
        <v>0.68000000000000682</v>
      </c>
      <c r="I550" s="3">
        <f ca="1">'ETF price'!J552-'ETF price'!J551</f>
        <v>1.0299999999999727</v>
      </c>
      <c r="J550" s="3">
        <f ca="1">'ETF price'!K552-'ETF price'!K551</f>
        <v>-0.65999999999999659</v>
      </c>
      <c r="K550" s="3">
        <f ca="1">'ETF price'!L552-'ETF price'!L551</f>
        <v>-0.62999999999999545</v>
      </c>
      <c r="L550" s="3">
        <f ca="1">'ETF price'!M552-'ETF price'!M551</f>
        <v>-0.64000000000000057</v>
      </c>
      <c r="M550" s="3">
        <f ca="1">'ETF price'!N552-'ETF price'!N551</f>
        <v>0.26999999999999602</v>
      </c>
      <c r="N550" s="3">
        <f ca="1">'ETF price'!O552-'ETF price'!O551</f>
        <v>-0.88000000000000256</v>
      </c>
      <c r="O550" s="3">
        <f ca="1">'ETF price'!P552-'ETF price'!P551</f>
        <v>-0.14000000000000057</v>
      </c>
      <c r="P550" s="3">
        <f ca="1">'ETF price'!Q552-'ETF price'!Q551</f>
        <v>-0.17000000000000171</v>
      </c>
      <c r="Q550" s="3">
        <f ca="1">'ETF price'!R552-'ETF price'!R551</f>
        <v>-1.0000000000005116E-2</v>
      </c>
      <c r="R550" s="3">
        <f ca="1">'ETF price'!S552-'ETF price'!S551</f>
        <v>-1.0100000000000051</v>
      </c>
      <c r="S550" s="3">
        <f ca="1">'ETF price'!T552-'ETF price'!T551</f>
        <v>-5.9999999999998721E-2</v>
      </c>
      <c r="T550" s="3">
        <f ca="1">'ETF price'!U552-'ETF price'!U551</f>
        <v>-0.27000000000001023</v>
      </c>
      <c r="U550" s="3">
        <f ca="1">'ETF price'!V552-'ETF price'!V551</f>
        <v>-1.7600000000000051</v>
      </c>
      <c r="V550" s="3">
        <f ca="1">'ETF price'!W552-'ETF price'!W551</f>
        <v>0.17000000000000171</v>
      </c>
      <c r="W550" s="3">
        <f ca="1">'ETF price'!X552-'ETF price'!X551</f>
        <v>0.35999999999999943</v>
      </c>
      <c r="X550" s="3">
        <f ca="1">'ETF price'!Y552-'ETF price'!Y551</f>
        <v>-0.22999999999999687</v>
      </c>
      <c r="Y550" s="3">
        <f ca="1">'ETF price'!Z552-'ETF price'!Z551</f>
        <v>0.23000000000000398</v>
      </c>
      <c r="Z550" s="3">
        <f ca="1">'ETF price'!AA552-'ETF price'!AA551</f>
        <v>-0.10000000000000142</v>
      </c>
      <c r="AA550" s="3">
        <f ca="1">'ETF price'!AB552-'ETF price'!AB551</f>
        <v>-0.49000000000000199</v>
      </c>
      <c r="AB550" s="3">
        <f ca="1">'ETF price'!AC552-'ETF price'!AC551</f>
        <v>1.0000000000005116E-2</v>
      </c>
      <c r="AC550" s="3">
        <f ca="1">'ETF price'!AD552-'ETF price'!AD551</f>
        <v>-0.32000000000000028</v>
      </c>
      <c r="AD550" s="3">
        <f ca="1">'ETF price'!AE552-'ETF price'!AE551</f>
        <v>-0.38000000000000256</v>
      </c>
      <c r="AE550" s="3">
        <f ca="1">'ETF price'!AF552-'ETF price'!AF551</f>
        <v>1.9999999999999574E-2</v>
      </c>
      <c r="AF550" s="3">
        <f ca="1">'ETF price'!AG552-'ETF price'!AG551</f>
        <v>-0.82000000000000028</v>
      </c>
    </row>
    <row r="551" spans="1:32" ht="12.75" x14ac:dyDescent="0.2">
      <c r="A551" s="3">
        <f ca="1">'ETF price'!B553-'ETF price'!B552</f>
        <v>-2.2800000000000011</v>
      </c>
      <c r="B551" s="3">
        <f ca="1">'ETF price'!C553-'ETF price'!C552</f>
        <v>-5.6100000000000136</v>
      </c>
      <c r="C551" s="3">
        <f ca="1">'ETF price'!D553-'ETF price'!D552</f>
        <v>1.0999999999999943</v>
      </c>
      <c r="D551" s="3">
        <f ca="1">'ETF price'!E553-'ETF price'!E552</f>
        <v>-5.6000000000000227</v>
      </c>
      <c r="E551" s="3">
        <f ca="1">'ETF price'!F553-'ETF price'!F552</f>
        <v>-0.1600000000000108</v>
      </c>
      <c r="F551" s="3">
        <f ca="1">'ETF price'!G553-'ETF price'!G552</f>
        <v>-0.27000000000000313</v>
      </c>
      <c r="G551" s="3">
        <f ca="1">'ETF price'!H553-'ETF price'!H552</f>
        <v>0</v>
      </c>
      <c r="H551" s="3">
        <f ca="1">'ETF price'!I553-'ETF price'!I552</f>
        <v>-0.56999999999999318</v>
      </c>
      <c r="I551" s="3">
        <f ca="1">'ETF price'!J553-'ETF price'!J552</f>
        <v>-0.97000000000002728</v>
      </c>
      <c r="J551" s="3">
        <f ca="1">'ETF price'!K553-'ETF price'!K552</f>
        <v>0.21999999999999886</v>
      </c>
      <c r="K551" s="3">
        <f ca="1">'ETF price'!L553-'ETF price'!L552</f>
        <v>0.89999999999999147</v>
      </c>
      <c r="L551" s="3">
        <f ca="1">'ETF price'!M553-'ETF price'!M552</f>
        <v>-4.9999999999997158E-2</v>
      </c>
      <c r="M551" s="3">
        <f ca="1">'ETF price'!N553-'ETF price'!N552</f>
        <v>-0.14999999999999147</v>
      </c>
      <c r="N551" s="3">
        <f ca="1">'ETF price'!O553-'ETF price'!O552</f>
        <v>0.56000000000000227</v>
      </c>
      <c r="O551" s="3">
        <f ca="1">'ETF price'!P553-'ETF price'!P552</f>
        <v>1.4200000000000017</v>
      </c>
      <c r="P551" s="3">
        <f ca="1">'ETF price'!Q553-'ETF price'!Q552</f>
        <v>1.9000000000000057</v>
      </c>
      <c r="Q551" s="3">
        <f ca="1">'ETF price'!R553-'ETF price'!R552</f>
        <v>0.89000000000000057</v>
      </c>
      <c r="R551" s="3">
        <f ca="1">'ETF price'!S553-'ETF price'!S552</f>
        <v>3.0000000000001137E-2</v>
      </c>
      <c r="S551" s="3">
        <f ca="1">'ETF price'!T553-'ETF price'!T552</f>
        <v>0.30999999999999872</v>
      </c>
      <c r="T551" s="3">
        <f ca="1">'ETF price'!U553-'ETF price'!U552</f>
        <v>1.7400000000000091</v>
      </c>
      <c r="U551" s="3">
        <f ca="1">'ETF price'!V553-'ETF price'!V552</f>
        <v>-0.75</v>
      </c>
      <c r="V551" s="3">
        <f ca="1">'ETF price'!W553-'ETF price'!W552</f>
        <v>0.29999999999999716</v>
      </c>
      <c r="W551" s="3">
        <f ca="1">'ETF price'!X553-'ETF price'!X552</f>
        <v>0.50999999999999091</v>
      </c>
      <c r="X551" s="3">
        <f ca="1">'ETF price'!Y553-'ETF price'!Y552</f>
        <v>9.9999999999994316E-2</v>
      </c>
      <c r="Y551" s="3">
        <f ca="1">'ETF price'!Z553-'ETF price'!Z552</f>
        <v>0.48999999999999488</v>
      </c>
      <c r="Z551" s="3">
        <f ca="1">'ETF price'!AA553-'ETF price'!AA552</f>
        <v>-0.25</v>
      </c>
      <c r="AA551" s="3">
        <f ca="1">'ETF price'!AB553-'ETF price'!AB552</f>
        <v>5.0000000000004263E-2</v>
      </c>
      <c r="AB551" s="3">
        <f ca="1">'ETF price'!AC553-'ETF price'!AC552</f>
        <v>0.26999999999999602</v>
      </c>
      <c r="AC551" s="3">
        <f ca="1">'ETF price'!AD553-'ETF price'!AD552</f>
        <v>0.41000000000000014</v>
      </c>
      <c r="AD551" s="3">
        <f ca="1">'ETF price'!AE553-'ETF price'!AE552</f>
        <v>0.85999999999999943</v>
      </c>
      <c r="AE551" s="3">
        <f ca="1">'ETF price'!AF553-'ETF price'!AF552</f>
        <v>0.26000000000000068</v>
      </c>
      <c r="AF551" s="3">
        <f ca="1">'ETF price'!AG553-'ETF price'!AG552</f>
        <v>0.35999999999999943</v>
      </c>
    </row>
    <row r="552" spans="1:32" ht="12.75" x14ac:dyDescent="0.2">
      <c r="A552" s="3">
        <f ca="1">'ETF price'!B554-'ETF price'!B553</f>
        <v>3.9999999999992042E-2</v>
      </c>
      <c r="B552" s="3">
        <f ca="1">'ETF price'!C554-'ETF price'!C553</f>
        <v>-1.9700000000000273</v>
      </c>
      <c r="C552" s="3">
        <f ca="1">'ETF price'!D554-'ETF price'!D553</f>
        <v>0.60999999999998522</v>
      </c>
      <c r="D552" s="3">
        <f ca="1">'ETF price'!E554-'ETF price'!E553</f>
        <v>-3.8299999999999841</v>
      </c>
      <c r="E552" s="3">
        <f ca="1">'ETF price'!F554-'ETF price'!F553</f>
        <v>-0.87999999999999545</v>
      </c>
      <c r="F552" s="3">
        <f ca="1">'ETF price'!G554-'ETF price'!G553</f>
        <v>-0.51999999999999957</v>
      </c>
      <c r="G552" s="3">
        <f ca="1">'ETF price'!H554-'ETF price'!H553</f>
        <v>-0.41000000000000014</v>
      </c>
      <c r="H552" s="3">
        <f ca="1">'ETF price'!I554-'ETF price'!I553</f>
        <v>-0.52000000000001023</v>
      </c>
      <c r="I552" s="3">
        <f ca="1">'ETF price'!J554-'ETF price'!J553</f>
        <v>-1.3299999999999841</v>
      </c>
      <c r="J552" s="3">
        <f ca="1">'ETF price'!K554-'ETF price'!K553</f>
        <v>-2.5499999999999829</v>
      </c>
      <c r="K552" s="3">
        <f ca="1">'ETF price'!L554-'ETF price'!L553</f>
        <v>-2.6499999999999915</v>
      </c>
      <c r="L552" s="3">
        <f ca="1">'ETF price'!M554-'ETF price'!M553</f>
        <v>-1.3699999999999903</v>
      </c>
      <c r="M552" s="3">
        <f ca="1">'ETF price'!N554-'ETF price'!N553</f>
        <v>-0.4100000000000108</v>
      </c>
      <c r="N552" s="3">
        <f ca="1">'ETF price'!O554-'ETF price'!O553</f>
        <v>-1.5600000000000023</v>
      </c>
      <c r="O552" s="3">
        <f ca="1">'ETF price'!P554-'ETF price'!P553</f>
        <v>0.93000000000000682</v>
      </c>
      <c r="P552" s="3">
        <f ca="1">'ETF price'!Q554-'ETF price'!Q553</f>
        <v>1.2900000000000063</v>
      </c>
      <c r="Q552" s="3">
        <f ca="1">'ETF price'!R554-'ETF price'!R553</f>
        <v>-0.47999999999998977</v>
      </c>
      <c r="R552" s="3">
        <f ca="1">'ETF price'!S554-'ETF price'!S553</f>
        <v>-1.0899999999999963</v>
      </c>
      <c r="S552" s="3">
        <f ca="1">'ETF price'!T554-'ETF price'!T553</f>
        <v>7.0000000000000284E-2</v>
      </c>
      <c r="T552" s="3">
        <f ca="1">'ETF price'!U554-'ETF price'!U553</f>
        <v>1.2099999999999937</v>
      </c>
      <c r="U552" s="3">
        <f ca="1">'ETF price'!V554-'ETF price'!V553</f>
        <v>-1.1799999999999997</v>
      </c>
      <c r="V552" s="3">
        <f ca="1">'ETF price'!W554-'ETF price'!W553</f>
        <v>-0.32999999999999829</v>
      </c>
      <c r="W552" s="3">
        <f ca="1">'ETF price'!X554-'ETF price'!X553</f>
        <v>-0.81999999999999318</v>
      </c>
      <c r="X552" s="3">
        <f ca="1">'ETF price'!Y554-'ETF price'!Y553</f>
        <v>-0.89000000000000057</v>
      </c>
      <c r="Y552" s="3">
        <f ca="1">'ETF price'!Z554-'ETF price'!Z553</f>
        <v>-0.92999999999999261</v>
      </c>
      <c r="Z552" s="3">
        <f ca="1">'ETF price'!AA554-'ETF price'!AA553</f>
        <v>-0.55999999999999517</v>
      </c>
      <c r="AA552" s="3">
        <f ca="1">'ETF price'!AB554-'ETF price'!AB553</f>
        <v>-1.2700000000000031</v>
      </c>
      <c r="AB552" s="3">
        <f ca="1">'ETF price'!AC554-'ETF price'!AC553</f>
        <v>0.31000000000000227</v>
      </c>
      <c r="AC552" s="3">
        <f ca="1">'ETF price'!AD554-'ETF price'!AD553</f>
        <v>-1.3399999999999999</v>
      </c>
      <c r="AD552" s="3">
        <f ca="1">'ETF price'!AE554-'ETF price'!AE553</f>
        <v>-1.879999999999999</v>
      </c>
      <c r="AE552" s="3">
        <f ca="1">'ETF price'!AF554-'ETF price'!AF553</f>
        <v>-5.0000000000000711E-2</v>
      </c>
      <c r="AF552" s="3">
        <f ca="1">'ETF price'!AG554-'ETF price'!AG553</f>
        <v>-2.8800000000000026</v>
      </c>
    </row>
    <row r="553" spans="1:32" ht="12.75" x14ac:dyDescent="0.2">
      <c r="A553" s="3">
        <f ca="1">'ETF price'!B555-'ETF price'!B554</f>
        <v>-3.1500000000000057</v>
      </c>
      <c r="B553" s="3">
        <f ca="1">'ETF price'!C555-'ETF price'!C554</f>
        <v>-6.8600000000000136</v>
      </c>
      <c r="C553" s="3">
        <f ca="1">'ETF price'!D555-'ETF price'!D554</f>
        <v>1.710000000000008</v>
      </c>
      <c r="D553" s="3">
        <f ca="1">'ETF price'!E555-'ETF price'!E554</f>
        <v>-1.5800000000000125</v>
      </c>
      <c r="E553" s="3">
        <f ca="1">'ETF price'!F555-'ETF price'!F554</f>
        <v>-1</v>
      </c>
      <c r="F553" s="3">
        <f ca="1">'ETF price'!G555-'ETF price'!G554</f>
        <v>8.9999999999999858E-2</v>
      </c>
      <c r="G553" s="3">
        <f ca="1">'ETF price'!H555-'ETF price'!H554</f>
        <v>-0.21999999999999886</v>
      </c>
      <c r="H553" s="3">
        <f ca="1">'ETF price'!I555-'ETF price'!I554</f>
        <v>-0.57999999999998408</v>
      </c>
      <c r="I553" s="3">
        <f ca="1">'ETF price'!J555-'ETF price'!J554</f>
        <v>-0.86000000000001364</v>
      </c>
      <c r="J553" s="3">
        <f ca="1">'ETF price'!K555-'ETF price'!K554</f>
        <v>0.20999999999997954</v>
      </c>
      <c r="K553" s="3">
        <f ca="1">'ETF price'!L555-'ETF price'!L554</f>
        <v>0.25999999999999091</v>
      </c>
      <c r="L553" s="3">
        <f ca="1">'ETF price'!M555-'ETF price'!M554</f>
        <v>2.9999999999986926E-2</v>
      </c>
      <c r="M553" s="3">
        <f ca="1">'ETF price'!N555-'ETF price'!N554</f>
        <v>-0.45999999999999375</v>
      </c>
      <c r="N553" s="3">
        <f ca="1">'ETF price'!O555-'ETF price'!O554</f>
        <v>0.40000000000000568</v>
      </c>
      <c r="O553" s="3">
        <f ca="1">'ETF price'!P555-'ETF price'!P554</f>
        <v>0.26999999999999602</v>
      </c>
      <c r="P553" s="3">
        <f ca="1">'ETF price'!Q555-'ETF price'!Q554</f>
        <v>0.40999999999999659</v>
      </c>
      <c r="Q553" s="3">
        <f ca="1">'ETF price'!R555-'ETF price'!R554</f>
        <v>3.9999999999992042E-2</v>
      </c>
      <c r="R553" s="3">
        <f ca="1">'ETF price'!S555-'ETF price'!S554</f>
        <v>0.53000000000000114</v>
      </c>
      <c r="S553" s="3">
        <f ca="1">'ETF price'!T555-'ETF price'!T554</f>
        <v>8.0000000000001847E-2</v>
      </c>
      <c r="T553" s="3">
        <f ca="1">'ETF price'!U555-'ETF price'!U554</f>
        <v>3.0000000000001137E-2</v>
      </c>
      <c r="U553" s="3">
        <f ca="1">'ETF price'!V555-'ETF price'!V554</f>
        <v>-0.14000000000000057</v>
      </c>
      <c r="V553" s="3">
        <f ca="1">'ETF price'!W555-'ETF price'!W554</f>
        <v>-3.9999999999999147E-2</v>
      </c>
      <c r="W553" s="3">
        <f ca="1">'ETF price'!X555-'ETF price'!X554</f>
        <v>-4.0000000000006253E-2</v>
      </c>
      <c r="X553" s="3">
        <f ca="1">'ETF price'!Y555-'ETF price'!Y554</f>
        <v>0.16000000000000369</v>
      </c>
      <c r="Y553" s="3">
        <f ca="1">'ETF price'!Z555-'ETF price'!Z554</f>
        <v>0.21999999999999886</v>
      </c>
      <c r="Z553" s="3">
        <f ca="1">'ETF price'!AA555-'ETF price'!AA554</f>
        <v>-2.0000000000003126E-2</v>
      </c>
      <c r="AA553" s="3">
        <f ca="1">'ETF price'!AB555-'ETF price'!AB554</f>
        <v>0.25</v>
      </c>
      <c r="AB553" s="3">
        <f ca="1">'ETF price'!AC555-'ETF price'!AC554</f>
        <v>0.98999999999999488</v>
      </c>
      <c r="AC553" s="3">
        <f ca="1">'ETF price'!AD555-'ETF price'!AD554</f>
        <v>-0.32000000000000028</v>
      </c>
      <c r="AD553" s="3">
        <f ca="1">'ETF price'!AE555-'ETF price'!AE554</f>
        <v>-8.9999999999999858E-2</v>
      </c>
      <c r="AE553" s="3">
        <f ca="1">'ETF price'!AF555-'ETF price'!AF554</f>
        <v>-1.9999999999999574E-2</v>
      </c>
      <c r="AF553" s="3">
        <f ca="1">'ETF price'!AG555-'ETF price'!AG554</f>
        <v>2.2700000000000031</v>
      </c>
    </row>
    <row r="554" spans="1:32" ht="12.75" x14ac:dyDescent="0.2">
      <c r="A554" s="3">
        <f ca="1">'ETF price'!B556-'ETF price'!B555</f>
        <v>0.67000000000001592</v>
      </c>
      <c r="B554" s="3">
        <f ca="1">'ETF price'!C556-'ETF price'!C555</f>
        <v>2.4200000000000728</v>
      </c>
      <c r="C554" s="3">
        <f ca="1">'ETF price'!D556-'ETF price'!D555</f>
        <v>0.28999999999999204</v>
      </c>
      <c r="D554" s="3">
        <f ca="1">'ETF price'!E556-'ETF price'!E555</f>
        <v>-0.16999999999998749</v>
      </c>
      <c r="E554" s="3">
        <f ca="1">'ETF price'!F556-'ETF price'!F555</f>
        <v>0.48000000000000398</v>
      </c>
      <c r="F554" s="3">
        <f ca="1">'ETF price'!G556-'ETF price'!G555</f>
        <v>0.22000000000000242</v>
      </c>
      <c r="G554" s="3">
        <f ca="1">'ETF price'!H556-'ETF price'!H555</f>
        <v>-0.10000000000000142</v>
      </c>
      <c r="H554" s="3">
        <f ca="1">'ETF price'!I556-'ETF price'!I555</f>
        <v>-0.54000000000002046</v>
      </c>
      <c r="I554" s="3">
        <f ca="1">'ETF price'!J556-'ETF price'!J555</f>
        <v>-0.20999999999997954</v>
      </c>
      <c r="J554" s="3">
        <f ca="1">'ETF price'!K556-'ETF price'!K555</f>
        <v>-0.65999999999999659</v>
      </c>
      <c r="K554" s="3">
        <f ca="1">'ETF price'!L556-'ETF price'!L555</f>
        <v>-1.7599999999999909</v>
      </c>
      <c r="L554" s="3">
        <f ca="1">'ETF price'!M556-'ETF price'!M555</f>
        <v>-4.9999999999997158E-2</v>
      </c>
      <c r="M554" s="3">
        <f ca="1">'ETF price'!N556-'ETF price'!N555</f>
        <v>1.9999999999996021E-2</v>
      </c>
      <c r="N554" s="3">
        <f ca="1">'ETF price'!O556-'ETF price'!O555</f>
        <v>-0.48000000000000398</v>
      </c>
      <c r="O554" s="3">
        <f ca="1">'ETF price'!P556-'ETF price'!P555</f>
        <v>-0.42000000000000171</v>
      </c>
      <c r="P554" s="3">
        <f ca="1">'ETF price'!Q556-'ETF price'!Q555</f>
        <v>0.41999999999998749</v>
      </c>
      <c r="Q554" s="3">
        <f ca="1">'ETF price'!R556-'ETF price'!R555</f>
        <v>-0.15999999999999659</v>
      </c>
      <c r="R554" s="3">
        <f ca="1">'ETF price'!S556-'ETF price'!S555</f>
        <v>-0.32000000000000028</v>
      </c>
      <c r="S554" s="3">
        <f ca="1">'ETF price'!T556-'ETF price'!T555</f>
        <v>0.2099999999999973</v>
      </c>
      <c r="T554" s="3">
        <f ca="1">'ETF price'!U556-'ETF price'!U555</f>
        <v>1.6500000000000057</v>
      </c>
      <c r="U554" s="3">
        <f ca="1">'ETF price'!V556-'ETF price'!V555</f>
        <v>0.25</v>
      </c>
      <c r="V554" s="3">
        <f ca="1">'ETF price'!W556-'ETF price'!W555</f>
        <v>7.9999999999998295E-2</v>
      </c>
      <c r="W554" s="3">
        <f ca="1">'ETF price'!X556-'ETF price'!X555</f>
        <v>0.29000000000000625</v>
      </c>
      <c r="X554" s="3">
        <f ca="1">'ETF price'!Y556-'ETF price'!Y555</f>
        <v>-0.42999999999999972</v>
      </c>
      <c r="Y554" s="3">
        <f ca="1">'ETF price'!Z556-'ETF price'!Z555</f>
        <v>0.20000000000000284</v>
      </c>
      <c r="Z554" s="3">
        <f ca="1">'ETF price'!AA556-'ETF price'!AA555</f>
        <v>-0.26999999999999602</v>
      </c>
      <c r="AA554" s="3">
        <f ca="1">'ETF price'!AB556-'ETF price'!AB555</f>
        <v>-0.67999999999999972</v>
      </c>
      <c r="AB554" s="3">
        <f ca="1">'ETF price'!AC556-'ETF price'!AC555</f>
        <v>0.57999999999999829</v>
      </c>
      <c r="AC554" s="3">
        <f ca="1">'ETF price'!AD556-'ETF price'!AD555</f>
        <v>-0.94000000000000128</v>
      </c>
      <c r="AD554" s="3">
        <f ca="1">'ETF price'!AE556-'ETF price'!AE555</f>
        <v>-1.0599999999999987</v>
      </c>
      <c r="AE554" s="3">
        <f ca="1">'ETF price'!AF556-'ETF price'!AF555</f>
        <v>0.12000000000000011</v>
      </c>
      <c r="AF554" s="3">
        <f ca="1">'ETF price'!AG556-'ETF price'!AG555</f>
        <v>-0.17999999999999972</v>
      </c>
    </row>
    <row r="555" spans="1:32" ht="12.75" x14ac:dyDescent="0.2">
      <c r="A555" s="3">
        <f ca="1">'ETF price'!B557-'ETF price'!B556</f>
        <v>1.0699999999999932</v>
      </c>
      <c r="B555" s="3">
        <f ca="1">'ETF price'!C557-'ETF price'!C556</f>
        <v>2.1899999999999409</v>
      </c>
      <c r="C555" s="3">
        <f ca="1">'ETF price'!D557-'ETF price'!D556</f>
        <v>0.45000000000001705</v>
      </c>
      <c r="D555" s="3">
        <f ca="1">'ETF price'!E557-'ETF price'!E556</f>
        <v>-1.8300000000000125</v>
      </c>
      <c r="E555" s="3">
        <f ca="1">'ETF price'!F557-'ETF price'!F556</f>
        <v>1.9999999999996021E-2</v>
      </c>
      <c r="F555" s="3">
        <f ca="1">'ETF price'!G557-'ETF price'!G556</f>
        <v>1.9999999999999574E-2</v>
      </c>
      <c r="G555" s="3">
        <f ca="1">'ETF price'!H557-'ETF price'!H556</f>
        <v>1.0000000000001563E-2</v>
      </c>
      <c r="H555" s="3">
        <f ca="1">'ETF price'!I557-'ETF price'!I556</f>
        <v>0.96000000000000796</v>
      </c>
      <c r="I555" s="3">
        <f ca="1">'ETF price'!J557-'ETF price'!J556</f>
        <v>1.9399999999999977</v>
      </c>
      <c r="J555" s="3">
        <f ca="1">'ETF price'!K557-'ETF price'!K556</f>
        <v>0.87999999999999545</v>
      </c>
      <c r="K555" s="3">
        <f ca="1">'ETF price'!L557-'ETF price'!L556</f>
        <v>0.89999999999999147</v>
      </c>
      <c r="L555" s="3">
        <f ca="1">'ETF price'!M557-'ETF price'!M556</f>
        <v>0.57000000000000739</v>
      </c>
      <c r="M555" s="3">
        <f ca="1">'ETF price'!N557-'ETF price'!N556</f>
        <v>0.48999999999999488</v>
      </c>
      <c r="N555" s="3">
        <f ca="1">'ETF price'!O557-'ETF price'!O556</f>
        <v>0.16000000000000369</v>
      </c>
      <c r="O555" s="3">
        <f ca="1">'ETF price'!P557-'ETF price'!P556</f>
        <v>1.0400000000000063</v>
      </c>
      <c r="P555" s="3">
        <f ca="1">'ETF price'!Q557-'ETF price'!Q556</f>
        <v>1.5</v>
      </c>
      <c r="Q555" s="3">
        <f ca="1">'ETF price'!R557-'ETF price'!R556</f>
        <v>1.0000000000005116E-2</v>
      </c>
      <c r="R555" s="3">
        <f ca="1">'ETF price'!S557-'ETF price'!S556</f>
        <v>0.20999999999999375</v>
      </c>
      <c r="S555" s="3">
        <f ca="1">'ETF price'!T557-'ETF price'!T556</f>
        <v>-9.9999999999980105E-3</v>
      </c>
      <c r="T555" s="3">
        <f ca="1">'ETF price'!U557-'ETF price'!U556</f>
        <v>0.45000000000000284</v>
      </c>
      <c r="U555" s="3">
        <f ca="1">'ETF price'!V557-'ETF price'!V556</f>
        <v>0.25</v>
      </c>
      <c r="V555" s="3">
        <f ca="1">'ETF price'!W557-'ETF price'!W556</f>
        <v>0.20000000000000284</v>
      </c>
      <c r="W555" s="3">
        <f ca="1">'ETF price'!X557-'ETF price'!X556</f>
        <v>0.50999999999999091</v>
      </c>
      <c r="X555" s="3">
        <f ca="1">'ETF price'!Y557-'ETF price'!Y556</f>
        <v>0.20000000000000284</v>
      </c>
      <c r="Y555" s="3">
        <f ca="1">'ETF price'!Z557-'ETF price'!Z556</f>
        <v>0.34999999999999432</v>
      </c>
      <c r="Z555" s="3">
        <f ca="1">'ETF price'!AA557-'ETF price'!AA556</f>
        <v>0</v>
      </c>
      <c r="AA555" s="3">
        <f ca="1">'ETF price'!AB557-'ETF price'!AB556</f>
        <v>0.16000000000000369</v>
      </c>
      <c r="AB555" s="3">
        <f ca="1">'ETF price'!AC557-'ETF price'!AC556</f>
        <v>-0.96999999999999886</v>
      </c>
      <c r="AC555" s="3">
        <f ca="1">'ETF price'!AD557-'ETF price'!AD556</f>
        <v>-0.82000000000000028</v>
      </c>
      <c r="AD555" s="3">
        <f ca="1">'ETF price'!AE557-'ETF price'!AE556</f>
        <v>-1.1999999999999993</v>
      </c>
      <c r="AE555" s="3">
        <f ca="1">'ETF price'!AF557-'ETF price'!AF556</f>
        <v>-0.33000000000000007</v>
      </c>
      <c r="AF555" s="3">
        <f ca="1">'ETF price'!AG557-'ETF price'!AG556</f>
        <v>-1.1700000000000017</v>
      </c>
    </row>
    <row r="556" spans="1:32" ht="12.75" x14ac:dyDescent="0.2">
      <c r="A556" s="3">
        <f ca="1">'ETF price'!B558-'ETF price'!B557</f>
        <v>2.3199999999999932</v>
      </c>
      <c r="B556" s="3">
        <f ca="1">'ETF price'!C558-'ETF price'!C557</f>
        <v>7.0500000000000682</v>
      </c>
      <c r="C556" s="3">
        <f ca="1">'ETF price'!D558-'ETF price'!D557</f>
        <v>-0.68999999999999773</v>
      </c>
      <c r="D556" s="3">
        <f ca="1">'ETF price'!E558-'ETF price'!E557</f>
        <v>3.6899999999999977</v>
      </c>
      <c r="E556" s="3">
        <f ca="1">'ETF price'!F558-'ETF price'!F557</f>
        <v>0.81000000000000227</v>
      </c>
      <c r="F556" s="3">
        <f ca="1">'ETF price'!G558-'ETF price'!G557</f>
        <v>0.38000000000000256</v>
      </c>
      <c r="G556" s="3">
        <f ca="1">'ETF price'!H558-'ETF price'!H557</f>
        <v>0.27999999999999758</v>
      </c>
      <c r="H556" s="3">
        <f ca="1">'ETF price'!I558-'ETF price'!I557</f>
        <v>-0.33000000000001251</v>
      </c>
      <c r="I556" s="3">
        <f ca="1">'ETF price'!J558-'ETF price'!J557</f>
        <v>-0.31000000000000227</v>
      </c>
      <c r="J556" s="3">
        <f ca="1">'ETF price'!K558-'ETF price'!K557</f>
        <v>0.35000000000002274</v>
      </c>
      <c r="K556" s="3">
        <f ca="1">'ETF price'!L558-'ETF price'!L557</f>
        <v>1.3100000000000023</v>
      </c>
      <c r="L556" s="3">
        <f ca="1">'ETF price'!M558-'ETF price'!M557</f>
        <v>0.34999999999999432</v>
      </c>
      <c r="M556" s="3">
        <f ca="1">'ETF price'!N558-'ETF price'!N557</f>
        <v>-5.9999999999988063E-2</v>
      </c>
      <c r="N556" s="3">
        <f ca="1">'ETF price'!O558-'ETF price'!O557</f>
        <v>0.23999999999999488</v>
      </c>
      <c r="O556" s="3">
        <f ca="1">'ETF price'!P558-'ETF price'!P557</f>
        <v>-0.13000000000000966</v>
      </c>
      <c r="P556" s="3">
        <f ca="1">'ETF price'!Q558-'ETF price'!Q557</f>
        <v>-3.0000000000001137E-2</v>
      </c>
      <c r="Q556" s="3">
        <f ca="1">'ETF price'!R558-'ETF price'!R557</f>
        <v>0.90999999999999659</v>
      </c>
      <c r="R556" s="3">
        <f ca="1">'ETF price'!S558-'ETF price'!S557</f>
        <v>1.3600000000000065</v>
      </c>
      <c r="S556" s="3">
        <f ca="1">'ETF price'!T558-'ETF price'!T557</f>
        <v>-6.0000000000002274E-2</v>
      </c>
      <c r="T556" s="3">
        <f ca="1">'ETF price'!U558-'ETF price'!U557</f>
        <v>-1.1800000000000068</v>
      </c>
      <c r="U556" s="3">
        <f ca="1">'ETF price'!V558-'ETF price'!V557</f>
        <v>1.0400000000000063</v>
      </c>
      <c r="V556" s="3">
        <f ca="1">'ETF price'!W558-'ETF price'!W557</f>
        <v>0.49000000000000199</v>
      </c>
      <c r="W556" s="3">
        <f ca="1">'ETF price'!X558-'ETF price'!X557</f>
        <v>1.4000000000000057</v>
      </c>
      <c r="X556" s="3">
        <f ca="1">'ETF price'!Y558-'ETF price'!Y557</f>
        <v>1.3099999999999952</v>
      </c>
      <c r="Y556" s="3">
        <f ca="1">'ETF price'!Z558-'ETF price'!Z557</f>
        <v>1.3100000000000023</v>
      </c>
      <c r="Z556" s="3">
        <f ca="1">'ETF price'!AA558-'ETF price'!AA557</f>
        <v>0.15999999999999659</v>
      </c>
      <c r="AA556" s="3">
        <f ca="1">'ETF price'!AB558-'ETF price'!AB557</f>
        <v>1.4799999999999969</v>
      </c>
      <c r="AB556" s="3">
        <f ca="1">'ETF price'!AC558-'ETF price'!AC557</f>
        <v>-0.17999999999999261</v>
      </c>
      <c r="AC556" s="3">
        <f ca="1">'ETF price'!AD558-'ETF price'!AD557</f>
        <v>0.27000000000000313</v>
      </c>
      <c r="AD556" s="3">
        <f ca="1">'ETF price'!AE558-'ETF price'!AE557</f>
        <v>0.68999999999999773</v>
      </c>
      <c r="AE556" s="3">
        <f ca="1">'ETF price'!AF558-'ETF price'!AF557</f>
        <v>0.28000000000000025</v>
      </c>
      <c r="AF556" s="3">
        <f ca="1">'ETF price'!AG558-'ETF price'!AG557</f>
        <v>6.25</v>
      </c>
    </row>
    <row r="557" spans="1:32" ht="12.75" x14ac:dyDescent="0.2">
      <c r="A557" s="3">
        <f ca="1">'ETF price'!B559-'ETF price'!B558</f>
        <v>0.15000000000000568</v>
      </c>
      <c r="B557" s="3">
        <f ca="1">'ETF price'!C559-'ETF price'!C558</f>
        <v>1.4800000000000182</v>
      </c>
      <c r="C557" s="3">
        <f ca="1">'ETF price'!D559-'ETF price'!D558</f>
        <v>-0.68999999999999773</v>
      </c>
      <c r="D557" s="3">
        <f ca="1">'ETF price'!E559-'ETF price'!E558</f>
        <v>4.7300000000000182</v>
      </c>
      <c r="E557" s="3">
        <f ca="1">'ETF price'!F559-'ETF price'!F558</f>
        <v>0.34000000000000341</v>
      </c>
      <c r="F557" s="3">
        <f ca="1">'ETF price'!G559-'ETF price'!G558</f>
        <v>-3.0000000000001137E-2</v>
      </c>
      <c r="G557" s="3">
        <f ca="1">'ETF price'!H559-'ETF price'!H558</f>
        <v>0.26000000000000156</v>
      </c>
      <c r="H557" s="3">
        <f ca="1">'ETF price'!I559-'ETF price'!I558</f>
        <v>0.18999999999999773</v>
      </c>
      <c r="I557" s="3">
        <f ca="1">'ETF price'!J559-'ETF price'!J558</f>
        <v>0.35000000000002274</v>
      </c>
      <c r="J557" s="3">
        <f ca="1">'ETF price'!K559-'ETF price'!K558</f>
        <v>0.73999999999998067</v>
      </c>
      <c r="K557" s="3">
        <f ca="1">'ETF price'!L559-'ETF price'!L558</f>
        <v>4.0000000000006253E-2</v>
      </c>
      <c r="L557" s="3">
        <f ca="1">'ETF price'!M559-'ETF price'!M558</f>
        <v>0.24000000000000909</v>
      </c>
      <c r="M557" s="3">
        <f ca="1">'ETF price'!N559-'ETF price'!N558</f>
        <v>1.9999999999996021E-2</v>
      </c>
      <c r="N557" s="3">
        <f ca="1">'ETF price'!O559-'ETF price'!O558</f>
        <v>4.0000000000006253E-2</v>
      </c>
      <c r="O557" s="3">
        <f ca="1">'ETF price'!P559-'ETF price'!P558</f>
        <v>0.54999999999999716</v>
      </c>
      <c r="P557" s="3">
        <f ca="1">'ETF price'!Q559-'ETF price'!Q558</f>
        <v>0.64000000000001478</v>
      </c>
      <c r="Q557" s="3">
        <f ca="1">'ETF price'!R559-'ETF price'!R558</f>
        <v>0.37999999999999545</v>
      </c>
      <c r="R557" s="3">
        <f ca="1">'ETF price'!S559-'ETF price'!S558</f>
        <v>0.69999999999999574</v>
      </c>
      <c r="S557" s="3">
        <f ca="1">'ETF price'!T559-'ETF price'!T558</f>
        <v>-2.9999999999997584E-2</v>
      </c>
      <c r="T557" s="3">
        <f ca="1">'ETF price'!U559-'ETF price'!U558</f>
        <v>-0.43000000000000682</v>
      </c>
      <c r="U557" s="3">
        <f ca="1">'ETF price'!V559-'ETF price'!V558</f>
        <v>0.29999999999999716</v>
      </c>
      <c r="V557" s="3">
        <f ca="1">'ETF price'!W559-'ETF price'!W558</f>
        <v>0.33999999999999631</v>
      </c>
      <c r="W557" s="3">
        <f ca="1">'ETF price'!X559-'ETF price'!X558</f>
        <v>1.0100000000000051</v>
      </c>
      <c r="X557" s="3">
        <f ca="1">'ETF price'!Y559-'ETF price'!Y558</f>
        <v>0.66000000000000369</v>
      </c>
      <c r="Y557" s="3">
        <f ca="1">'ETF price'!Z559-'ETF price'!Z558</f>
        <v>0.71999999999999886</v>
      </c>
      <c r="Z557" s="3">
        <f ca="1">'ETF price'!AA559-'ETF price'!AA558</f>
        <v>0.14999999999999858</v>
      </c>
      <c r="AA557" s="3">
        <f ca="1">'ETF price'!AB559-'ETF price'!AB558</f>
        <v>0.71999999999999886</v>
      </c>
      <c r="AB557" s="3">
        <f ca="1">'ETF price'!AC559-'ETF price'!AC558</f>
        <v>9.9999999999994316E-2</v>
      </c>
      <c r="AC557" s="3">
        <f ca="1">'ETF price'!AD559-'ETF price'!AD558</f>
        <v>4.9999999999997158E-2</v>
      </c>
      <c r="AD557" s="3">
        <f ca="1">'ETF price'!AE559-'ETF price'!AE558</f>
        <v>-0.30999999999999872</v>
      </c>
      <c r="AE557" s="3">
        <f ca="1">'ETF price'!AF559-'ETF price'!AF558</f>
        <v>-0.23000000000000043</v>
      </c>
      <c r="AF557" s="3">
        <f ca="1">'ETF price'!AG559-'ETF price'!AG558</f>
        <v>0.52000000000000313</v>
      </c>
    </row>
    <row r="558" spans="1:32" ht="12.75" x14ac:dyDescent="0.2">
      <c r="A558" s="3">
        <f ca="1">'ETF price'!B560-'ETF price'!B559</f>
        <v>6.9999999999993179E-2</v>
      </c>
      <c r="B558" s="3">
        <f ca="1">'ETF price'!C560-'ETF price'!C559</f>
        <v>-0.42000000000007276</v>
      </c>
      <c r="C558" s="3">
        <f ca="1">'ETF price'!D560-'ETF price'!D559</f>
        <v>0.12999999999999545</v>
      </c>
      <c r="D558" s="3">
        <f ca="1">'ETF price'!E560-'ETF price'!E559</f>
        <v>0.26999999999998181</v>
      </c>
      <c r="E558" s="3">
        <f ca="1">'ETF price'!F560-'ETF price'!F559</f>
        <v>-0.27000000000001023</v>
      </c>
      <c r="F558" s="3">
        <f ca="1">'ETF price'!G560-'ETF price'!G559</f>
        <v>-0.10000000000000142</v>
      </c>
      <c r="G558" s="3">
        <f ca="1">'ETF price'!H560-'ETF price'!H559</f>
        <v>-0.14000000000000057</v>
      </c>
      <c r="H558" s="3">
        <f ca="1">'ETF price'!I560-'ETF price'!I559</f>
        <v>-0.19999999999998863</v>
      </c>
      <c r="I558" s="3">
        <f ca="1">'ETF price'!J560-'ETF price'!J559</f>
        <v>-1.4499999999999886</v>
      </c>
      <c r="J558" s="3">
        <f ca="1">'ETF price'!K560-'ETF price'!K559</f>
        <v>-0.97999999999998977</v>
      </c>
      <c r="K558" s="3">
        <f ca="1">'ETF price'!L560-'ETF price'!L559</f>
        <v>-1.6400000000000006</v>
      </c>
      <c r="L558" s="3">
        <f ca="1">'ETF price'!M560-'ETF price'!M559</f>
        <v>-0.30000000000001137</v>
      </c>
      <c r="M558" s="3">
        <f ca="1">'ETF price'!N560-'ETF price'!N559</f>
        <v>-0.10999999999999943</v>
      </c>
      <c r="N558" s="3">
        <f ca="1">'ETF price'!O560-'ETF price'!O559</f>
        <v>-0.56000000000000227</v>
      </c>
      <c r="O558" s="3">
        <f ca="1">'ETF price'!P560-'ETF price'!P559</f>
        <v>-0.19999999999998863</v>
      </c>
      <c r="P558" s="3">
        <f ca="1">'ETF price'!Q560-'ETF price'!Q559</f>
        <v>-1.2199999999999989</v>
      </c>
      <c r="Q558" s="3">
        <f ca="1">'ETF price'!R560-'ETF price'!R559</f>
        <v>-0.56999999999999318</v>
      </c>
      <c r="R558" s="3">
        <f ca="1">'ETF price'!S560-'ETF price'!S559</f>
        <v>-0.53000000000000114</v>
      </c>
      <c r="S558" s="3">
        <f ca="1">'ETF price'!T560-'ETF price'!T559</f>
        <v>-0.16000000000000014</v>
      </c>
      <c r="T558" s="3">
        <f ca="1">'ETF price'!U560-'ETF price'!U559</f>
        <v>-0.13999999999998636</v>
      </c>
      <c r="U558" s="3">
        <f ca="1">'ETF price'!V560-'ETF price'!V559</f>
        <v>-0.35999999999999943</v>
      </c>
      <c r="V558" s="3">
        <f ca="1">'ETF price'!W560-'ETF price'!W559</f>
        <v>-0.47999999999999687</v>
      </c>
      <c r="W558" s="3">
        <f ca="1">'ETF price'!X560-'ETF price'!X559</f>
        <v>-1.7700000000000102</v>
      </c>
      <c r="X558" s="3">
        <f ca="1">'ETF price'!Y560-'ETF price'!Y559</f>
        <v>-0.90000000000000568</v>
      </c>
      <c r="Y558" s="3">
        <f ca="1">'ETF price'!Z560-'ETF price'!Z559</f>
        <v>-1.0300000000000011</v>
      </c>
      <c r="Z558" s="3">
        <f ca="1">'ETF price'!AA560-'ETF price'!AA559</f>
        <v>-0.46000000000000085</v>
      </c>
      <c r="AA558" s="3">
        <f ca="1">'ETF price'!AB560-'ETF price'!AB559</f>
        <v>-1.0700000000000003</v>
      </c>
      <c r="AB558" s="3">
        <f ca="1">'ETF price'!AC560-'ETF price'!AC559</f>
        <v>0.82999999999999829</v>
      </c>
      <c r="AC558" s="3">
        <f ca="1">'ETF price'!AD560-'ETF price'!AD559</f>
        <v>-0.51999999999999957</v>
      </c>
      <c r="AD558" s="3">
        <f ca="1">'ETF price'!AE560-'ETF price'!AE559</f>
        <v>-0.64000000000000057</v>
      </c>
      <c r="AE558" s="3">
        <f ca="1">'ETF price'!AF560-'ETF price'!AF559</f>
        <v>-0.22999999999999954</v>
      </c>
      <c r="AF558" s="3">
        <f ca="1">'ETF price'!AG560-'ETF price'!AG559</f>
        <v>-2.2899999999999991</v>
      </c>
    </row>
    <row r="559" spans="1:32" ht="12.75" x14ac:dyDescent="0.2">
      <c r="A559" s="3">
        <f ca="1">'ETF price'!B561-'ETF price'!B560</f>
        <v>-1.3899999999999864</v>
      </c>
      <c r="B559" s="3">
        <f ca="1">'ETF price'!C561-'ETF price'!C560</f>
        <v>-2.1299999999999955</v>
      </c>
      <c r="C559" s="3">
        <f ca="1">'ETF price'!D561-'ETF price'!D560</f>
        <v>-0.28000000000000114</v>
      </c>
      <c r="D559" s="3">
        <f ca="1">'ETF price'!E561-'ETF price'!E560</f>
        <v>-0.87999999999999545</v>
      </c>
      <c r="E559" s="3">
        <f ca="1">'ETF price'!F561-'ETF price'!F560</f>
        <v>-0.37999999999999545</v>
      </c>
      <c r="F559" s="3">
        <f ca="1">'ETF price'!G561-'ETF price'!G560</f>
        <v>-0.19999999999999929</v>
      </c>
      <c r="G559" s="3">
        <f ca="1">'ETF price'!H561-'ETF price'!H560</f>
        <v>3.0000000000001137E-2</v>
      </c>
      <c r="H559" s="3">
        <f ca="1">'ETF price'!I561-'ETF price'!I560</f>
        <v>-0.19999999999998863</v>
      </c>
      <c r="I559" s="3">
        <f ca="1">'ETF price'!J561-'ETF price'!J560</f>
        <v>-0.47000000000002728</v>
      </c>
      <c r="J559" s="3">
        <f ca="1">'ETF price'!K561-'ETF price'!K560</f>
        <v>-0.24000000000000909</v>
      </c>
      <c r="K559" s="3">
        <f ca="1">'ETF price'!L561-'ETF price'!L560</f>
        <v>-0.89000000000000057</v>
      </c>
      <c r="L559" s="3">
        <f ca="1">'ETF price'!M561-'ETF price'!M560</f>
        <v>-0.19999999999998863</v>
      </c>
      <c r="M559" s="3">
        <f ca="1">'ETF price'!N561-'ETF price'!N560</f>
        <v>-0.15999999999999659</v>
      </c>
      <c r="N559" s="3">
        <f ca="1">'ETF price'!O561-'ETF price'!O560</f>
        <v>-0.12000000000000455</v>
      </c>
      <c r="O559" s="3">
        <f ca="1">'ETF price'!P561-'ETF price'!P560</f>
        <v>0.85999999999999943</v>
      </c>
      <c r="P559" s="3">
        <f ca="1">'ETF price'!Q561-'ETF price'!Q560</f>
        <v>1.0999999999999943</v>
      </c>
      <c r="Q559" s="3">
        <f ca="1">'ETF price'!R561-'ETF price'!R560</f>
        <v>3.0000000000001137E-2</v>
      </c>
      <c r="R559" s="3">
        <f ca="1">'ETF price'!S561-'ETF price'!S560</f>
        <v>0.20000000000000284</v>
      </c>
      <c r="S559" s="3">
        <f ca="1">'ETF price'!T561-'ETF price'!T560</f>
        <v>0.18999999999999773</v>
      </c>
      <c r="T559" s="3">
        <f ca="1">'ETF price'!U561-'ETF price'!U560</f>
        <v>1.0799999999999983</v>
      </c>
      <c r="U559" s="3">
        <f ca="1">'ETF price'!V561-'ETF price'!V560</f>
        <v>-0.57999999999999829</v>
      </c>
      <c r="V559" s="3">
        <f ca="1">'ETF price'!W561-'ETF price'!W560</f>
        <v>-0.16000000000000369</v>
      </c>
      <c r="W559" s="3">
        <f ca="1">'ETF price'!X561-'ETF price'!X560</f>
        <v>0</v>
      </c>
      <c r="X559" s="3">
        <f ca="1">'ETF price'!Y561-'ETF price'!Y560</f>
        <v>0.10000000000000142</v>
      </c>
      <c r="Y559" s="3">
        <f ca="1">'ETF price'!Z561-'ETF price'!Z560</f>
        <v>1.0000000000005116E-2</v>
      </c>
      <c r="Z559" s="3">
        <f ca="1">'ETF price'!AA561-'ETF price'!AA560</f>
        <v>-0.14999999999999858</v>
      </c>
      <c r="AA559" s="3">
        <f ca="1">'ETF price'!AB561-'ETF price'!AB560</f>
        <v>7.0000000000000284E-2</v>
      </c>
      <c r="AB559" s="3">
        <f ca="1">'ETF price'!AC561-'ETF price'!AC560</f>
        <v>0.32999999999999829</v>
      </c>
      <c r="AC559" s="3">
        <f ca="1">'ETF price'!AD561-'ETF price'!AD560</f>
        <v>1.9700000000000024</v>
      </c>
      <c r="AD559" s="3">
        <f ca="1">'ETF price'!AE561-'ETF price'!AE560</f>
        <v>3.3199999999999967</v>
      </c>
      <c r="AE559" s="3">
        <f ca="1">'ETF price'!AF561-'ETF price'!AF560</f>
        <v>0.71</v>
      </c>
      <c r="AF559" s="3">
        <f ca="1">'ETF price'!AG561-'ETF price'!AG560</f>
        <v>3.75</v>
      </c>
    </row>
    <row r="560" spans="1:32" ht="12.75" x14ac:dyDescent="0.2">
      <c r="A560" s="3">
        <f ca="1">'ETF price'!B562-'ETF price'!B561</f>
        <v>-0.86000000000001364</v>
      </c>
      <c r="B560" s="3">
        <f ca="1">'ETF price'!C562-'ETF price'!C561</f>
        <v>-2.3099999999999454</v>
      </c>
      <c r="C560" s="3">
        <f ca="1">'ETF price'!D562-'ETF price'!D561</f>
        <v>0.49000000000000909</v>
      </c>
      <c r="D560" s="3">
        <f ca="1">'ETF price'!E562-'ETF price'!E561</f>
        <v>-1.6899999999999977</v>
      </c>
      <c r="E560" s="3">
        <f ca="1">'ETF price'!F562-'ETF price'!F561</f>
        <v>0</v>
      </c>
      <c r="F560" s="3">
        <f ca="1">'ETF price'!G562-'ETF price'!G561</f>
        <v>-1.9999999999999574E-2</v>
      </c>
      <c r="G560" s="3">
        <f ca="1">'ETF price'!H562-'ETF price'!H561</f>
        <v>3.0000000000001137E-2</v>
      </c>
      <c r="H560" s="3">
        <f ca="1">'ETF price'!I562-'ETF price'!I561</f>
        <v>0.53000000000000114</v>
      </c>
      <c r="I560" s="3">
        <f ca="1">'ETF price'!J562-'ETF price'!J561</f>
        <v>1.2099999999999795</v>
      </c>
      <c r="J560" s="3">
        <f ca="1">'ETF price'!K562-'ETF price'!K561</f>
        <v>-0.13999999999998636</v>
      </c>
      <c r="K560" s="3">
        <f ca="1">'ETF price'!L562-'ETF price'!L561</f>
        <v>1.9999999999996021E-2</v>
      </c>
      <c r="L560" s="3">
        <f ca="1">'ETF price'!M562-'ETF price'!M561</f>
        <v>-0.17000000000000171</v>
      </c>
      <c r="M560" s="3">
        <f ca="1">'ETF price'!N562-'ETF price'!N561</f>
        <v>0.25</v>
      </c>
      <c r="N560" s="3">
        <f ca="1">'ETF price'!O562-'ETF price'!O561</f>
        <v>-0.35999999999999943</v>
      </c>
      <c r="O560" s="3">
        <f ca="1">'ETF price'!P562-'ETF price'!P561</f>
        <v>-0.71999999999999886</v>
      </c>
      <c r="P560" s="3">
        <f ca="1">'ETF price'!Q562-'ETF price'!Q561</f>
        <v>-0.97999999999998977</v>
      </c>
      <c r="Q560" s="3">
        <f ca="1">'ETF price'!R562-'ETF price'!R561</f>
        <v>-7.000000000000739E-2</v>
      </c>
      <c r="R560" s="3">
        <f ca="1">'ETF price'!S562-'ETF price'!S561</f>
        <v>-0.43999999999999773</v>
      </c>
      <c r="S560" s="3">
        <f ca="1">'ETF price'!T562-'ETF price'!T561</f>
        <v>-0.17999999999999972</v>
      </c>
      <c r="T560" s="3">
        <f ca="1">'ETF price'!U562-'ETF price'!U561</f>
        <v>-0.46999999999999886</v>
      </c>
      <c r="U560" s="3">
        <f ca="1">'ETF price'!V562-'ETF price'!V561</f>
        <v>-0.42999999999999972</v>
      </c>
      <c r="V560" s="3">
        <f ca="1">'ETF price'!W562-'ETF price'!W561</f>
        <v>0.14000000000000057</v>
      </c>
      <c r="W560" s="3">
        <f ca="1">'ETF price'!X562-'ETF price'!X561</f>
        <v>9.0000000000003411E-2</v>
      </c>
      <c r="X560" s="3">
        <f ca="1">'ETF price'!Y562-'ETF price'!Y561</f>
        <v>-0.11999999999999744</v>
      </c>
      <c r="Y560" s="3">
        <f ca="1">'ETF price'!Z562-'ETF price'!Z561</f>
        <v>0.14000000000000057</v>
      </c>
      <c r="Z560" s="3">
        <f ca="1">'ETF price'!AA562-'ETF price'!AA561</f>
        <v>-0.15999999999999659</v>
      </c>
      <c r="AA560" s="3">
        <f ca="1">'ETF price'!AB562-'ETF price'!AB561</f>
        <v>-0.29999999999999716</v>
      </c>
      <c r="AB560" s="3">
        <f ca="1">'ETF price'!AC562-'ETF price'!AC561</f>
        <v>-0.40999999999999659</v>
      </c>
      <c r="AC560" s="3">
        <f ca="1">'ETF price'!AD562-'ETF price'!AD561</f>
        <v>-0.48000000000000043</v>
      </c>
      <c r="AD560" s="3">
        <f ca="1">'ETF price'!AE562-'ETF price'!AE561</f>
        <v>-0.76999999999999602</v>
      </c>
      <c r="AE560" s="3">
        <f ca="1">'ETF price'!AF562-'ETF price'!AF561</f>
        <v>8.9999999999999858E-2</v>
      </c>
      <c r="AF560" s="3">
        <f ca="1">'ETF price'!AG562-'ETF price'!AG561</f>
        <v>-0.91000000000000369</v>
      </c>
    </row>
    <row r="561" spans="1:32" ht="12.75" x14ac:dyDescent="0.2">
      <c r="A561" s="3">
        <f ca="1">'ETF price'!B563-'ETF price'!B562</f>
        <v>1.0600000000000023</v>
      </c>
      <c r="B561" s="3">
        <f ca="1">'ETF price'!C563-'ETF price'!C562</f>
        <v>1.2400000000000091</v>
      </c>
      <c r="C561" s="3">
        <f ca="1">'ETF price'!D563-'ETF price'!D562</f>
        <v>-1.0600000000000023</v>
      </c>
      <c r="D561" s="3">
        <f ca="1">'ETF price'!E563-'ETF price'!E562</f>
        <v>2.8000000000000114</v>
      </c>
      <c r="E561" s="3">
        <f ca="1">'ETF price'!F563-'ETF price'!F562</f>
        <v>-0.10000000000000142</v>
      </c>
      <c r="F561" s="3">
        <f ca="1">'ETF price'!G563-'ETF price'!G562</f>
        <v>-0.10000000000000142</v>
      </c>
      <c r="G561" s="3">
        <f ca="1">'ETF price'!H563-'ETF price'!H562</f>
        <v>0.25</v>
      </c>
      <c r="H561" s="3">
        <f ca="1">'ETF price'!I563-'ETF price'!I562</f>
        <v>1.9399999999999977</v>
      </c>
      <c r="I561" s="3">
        <f ca="1">'ETF price'!J563-'ETF price'!J562</f>
        <v>3.6400000000000432</v>
      </c>
      <c r="J561" s="3">
        <f ca="1">'ETF price'!K563-'ETF price'!K562</f>
        <v>1.9199999999999875</v>
      </c>
      <c r="K561" s="3">
        <f ca="1">'ETF price'!L563-'ETF price'!L562</f>
        <v>2.2199999999999989</v>
      </c>
      <c r="L561" s="3">
        <f ca="1">'ETF price'!M563-'ETF price'!M562</f>
        <v>0.62999999999999545</v>
      </c>
      <c r="M561" s="3">
        <f ca="1">'ETF price'!N563-'ETF price'!N562</f>
        <v>0.94999999999998863</v>
      </c>
      <c r="N561" s="3">
        <f ca="1">'ETF price'!O563-'ETF price'!O562</f>
        <v>0.92000000000000171</v>
      </c>
      <c r="O561" s="3">
        <f ca="1">'ETF price'!P563-'ETF price'!P562</f>
        <v>0.85999999999999943</v>
      </c>
      <c r="P561" s="3">
        <f ca="1">'ETF price'!Q563-'ETF price'!Q562</f>
        <v>1.2599999999999909</v>
      </c>
      <c r="Q561" s="3">
        <f ca="1">'ETF price'!R563-'ETF price'!R562</f>
        <v>1.3100000000000023</v>
      </c>
      <c r="R561" s="3">
        <f ca="1">'ETF price'!S563-'ETF price'!S562</f>
        <v>1.8599999999999994</v>
      </c>
      <c r="S561" s="3">
        <f ca="1">'ETF price'!T563-'ETF price'!T562</f>
        <v>-1.9999999999999574E-2</v>
      </c>
      <c r="T561" s="3">
        <f ca="1">'ETF price'!U563-'ETF price'!U562</f>
        <v>0.21999999999999886</v>
      </c>
      <c r="U561" s="3">
        <f ca="1">'ETF price'!V563-'ETF price'!V562</f>
        <v>2.3699999999999974</v>
      </c>
      <c r="V561" s="3">
        <f ca="1">'ETF price'!W563-'ETF price'!W562</f>
        <v>0.49000000000000199</v>
      </c>
      <c r="W561" s="3">
        <f ca="1">'ETF price'!X563-'ETF price'!X562</f>
        <v>1.3500000000000085</v>
      </c>
      <c r="X561" s="3">
        <f ca="1">'ETF price'!Y563-'ETF price'!Y562</f>
        <v>1.4600000000000009</v>
      </c>
      <c r="Y561" s="3">
        <f ca="1">'ETF price'!Z563-'ETF price'!Z562</f>
        <v>1.269999999999996</v>
      </c>
      <c r="Z561" s="3">
        <f ca="1">'ETF price'!AA563-'ETF price'!AA562</f>
        <v>0.96999999999999886</v>
      </c>
      <c r="AA561" s="3">
        <f ca="1">'ETF price'!AB563-'ETF price'!AB562</f>
        <v>1.7800000000000011</v>
      </c>
      <c r="AB561" s="3">
        <f ca="1">'ETF price'!AC563-'ETF price'!AC562</f>
        <v>-0.35999999999999943</v>
      </c>
      <c r="AC561" s="3">
        <f ca="1">'ETF price'!AD563-'ETF price'!AD562</f>
        <v>-0.37000000000000099</v>
      </c>
      <c r="AD561" s="3">
        <f ca="1">'ETF price'!AE563-'ETF price'!AE562</f>
        <v>-0.44999999999999929</v>
      </c>
      <c r="AE561" s="3">
        <f ca="1">'ETF price'!AF563-'ETF price'!AF562</f>
        <v>-4.9999999999999822E-2</v>
      </c>
      <c r="AF561" s="3">
        <f ca="1">'ETF price'!AG563-'ETF price'!AG562</f>
        <v>-4.9999999999997158E-2</v>
      </c>
    </row>
    <row r="562" spans="1:32" ht="12.75" x14ac:dyDescent="0.2">
      <c r="A562" s="3">
        <f ca="1">'ETF price'!B564-'ETF price'!B563</f>
        <v>-0.44999999999998863</v>
      </c>
      <c r="B562" s="3">
        <f ca="1">'ETF price'!C564-'ETF price'!C563</f>
        <v>-0.74000000000000909</v>
      </c>
      <c r="C562" s="3">
        <f ca="1">'ETF price'!D564-'ETF price'!D563</f>
        <v>0.28000000000000114</v>
      </c>
      <c r="D562" s="3">
        <f ca="1">'ETF price'!E564-'ETF price'!E563</f>
        <v>0.23999999999998067</v>
      </c>
      <c r="E562" s="3">
        <f ca="1">'ETF price'!F564-'ETF price'!F563</f>
        <v>0.35000000000000142</v>
      </c>
      <c r="F562" s="3">
        <f ca="1">'ETF price'!G564-'ETF price'!G563</f>
        <v>-1.0000000000001563E-2</v>
      </c>
      <c r="G562" s="3">
        <f ca="1">'ETF price'!H564-'ETF price'!H563</f>
        <v>-1.0000000000001563E-2</v>
      </c>
      <c r="H562" s="3">
        <f ca="1">'ETF price'!I564-'ETF price'!I563</f>
        <v>1.999999999998181E-2</v>
      </c>
      <c r="I562" s="3">
        <f ca="1">'ETF price'!J564-'ETF price'!J563</f>
        <v>-2.0000000000038654E-2</v>
      </c>
      <c r="J562" s="3">
        <f ca="1">'ETF price'!K564-'ETF price'!K563</f>
        <v>-0.56999999999999318</v>
      </c>
      <c r="K562" s="3">
        <f ca="1">'ETF price'!L564-'ETF price'!L563</f>
        <v>-1.9999999999996021E-2</v>
      </c>
      <c r="L562" s="3">
        <f ca="1">'ETF price'!M564-'ETF price'!M563</f>
        <v>-0.42000000000000171</v>
      </c>
      <c r="M562" s="3">
        <f ca="1">'ETF price'!N564-'ETF price'!N563</f>
        <v>6.0000000000002274E-2</v>
      </c>
      <c r="N562" s="3">
        <f ca="1">'ETF price'!O564-'ETF price'!O563</f>
        <v>-0.19999999999999574</v>
      </c>
      <c r="O562" s="3">
        <f ca="1">'ETF price'!P564-'ETF price'!P563</f>
        <v>1.0099999999999909</v>
      </c>
      <c r="P562" s="3">
        <f ca="1">'ETF price'!Q564-'ETF price'!Q563</f>
        <v>1.4199999999999875</v>
      </c>
      <c r="Q562" s="3">
        <f ca="1">'ETF price'!R564-'ETF price'!R563</f>
        <v>0.25</v>
      </c>
      <c r="R562" s="3">
        <f ca="1">'ETF price'!S564-'ETF price'!S563</f>
        <v>0.71999999999999886</v>
      </c>
      <c r="S562" s="3">
        <f ca="1">'ETF price'!T564-'ETF price'!T563</f>
        <v>0.26999999999999957</v>
      </c>
      <c r="T562" s="3">
        <f ca="1">'ETF price'!U564-'ETF price'!U563</f>
        <v>1.2199999999999989</v>
      </c>
      <c r="U562" s="3">
        <f ca="1">'ETF price'!V564-'ETF price'!V563</f>
        <v>-2.0000000000003126E-2</v>
      </c>
      <c r="V562" s="3">
        <f ca="1">'ETF price'!W564-'ETF price'!W563</f>
        <v>0.22999999999999687</v>
      </c>
      <c r="W562" s="3">
        <f ca="1">'ETF price'!X564-'ETF price'!X563</f>
        <v>0.45999999999999375</v>
      </c>
      <c r="X562" s="3">
        <f ca="1">'ETF price'!Y564-'ETF price'!Y563</f>
        <v>0.25</v>
      </c>
      <c r="Y562" s="3">
        <f ca="1">'ETF price'!Z564-'ETF price'!Z563</f>
        <v>0.45000000000000284</v>
      </c>
      <c r="Z562" s="3">
        <f ca="1">'ETF price'!AA564-'ETF price'!AA563</f>
        <v>0.25</v>
      </c>
      <c r="AA562" s="3">
        <f ca="1">'ETF price'!AB564-'ETF price'!AB563</f>
        <v>0.25999999999999801</v>
      </c>
      <c r="AB562" s="3">
        <f ca="1">'ETF price'!AC564-'ETF price'!AC563</f>
        <v>-1.0000000000005116E-2</v>
      </c>
      <c r="AC562" s="3">
        <f ca="1">'ETF price'!AD564-'ETF price'!AD563</f>
        <v>0.58999999999999986</v>
      </c>
      <c r="AD562" s="3">
        <f ca="1">'ETF price'!AE564-'ETF price'!AE563</f>
        <v>1.0399999999999956</v>
      </c>
      <c r="AE562" s="3">
        <f ca="1">'ETF price'!AF564-'ETF price'!AF563</f>
        <v>0.26999999999999957</v>
      </c>
      <c r="AF562" s="3">
        <f ca="1">'ETF price'!AG564-'ETF price'!AG563</f>
        <v>0.34999999999999432</v>
      </c>
    </row>
    <row r="563" spans="1:32" ht="12.75" x14ac:dyDescent="0.2">
      <c r="A563" s="3">
        <f ca="1">'ETF price'!B565-'ETF price'!B564</f>
        <v>0.57999999999998408</v>
      </c>
      <c r="B563" s="3">
        <f ca="1">'ETF price'!C565-'ETF price'!C564</f>
        <v>1.0799999999999272</v>
      </c>
      <c r="C563" s="3">
        <f ca="1">'ETF price'!D565-'ETF price'!D564</f>
        <v>-2.2600000000000193</v>
      </c>
      <c r="D563" s="3">
        <f ca="1">'ETF price'!E565-'ETF price'!E564</f>
        <v>2.3800000000000239</v>
      </c>
      <c r="E563" s="3">
        <f ca="1">'ETF price'!F565-'ETF price'!F564</f>
        <v>0.12000000000000455</v>
      </c>
      <c r="F563" s="3">
        <f ca="1">'ETF price'!G565-'ETF price'!G564</f>
        <v>-0.17999999999999972</v>
      </c>
      <c r="G563" s="3">
        <f ca="1">'ETF price'!H565-'ETF price'!H564</f>
        <v>-7.0000000000000284E-2</v>
      </c>
      <c r="H563" s="3">
        <f ca="1">'ETF price'!I565-'ETF price'!I564</f>
        <v>-1.2599999999999909</v>
      </c>
      <c r="I563" s="3">
        <f ca="1">'ETF price'!J565-'ETF price'!J564</f>
        <v>-2.339999999999975</v>
      </c>
      <c r="J563" s="3">
        <f ca="1">'ETF price'!K565-'ETF price'!K564</f>
        <v>-0.40999999999999659</v>
      </c>
      <c r="K563" s="3">
        <f ca="1">'ETF price'!L565-'ETF price'!L564</f>
        <v>-1.0400000000000063</v>
      </c>
      <c r="L563" s="3">
        <f ca="1">'ETF price'!M565-'ETF price'!M564</f>
        <v>-0.29999999999999716</v>
      </c>
      <c r="M563" s="3">
        <f ca="1">'ETF price'!N565-'ETF price'!N564</f>
        <v>-0.64000000000000057</v>
      </c>
      <c r="N563" s="3">
        <f ca="1">'ETF price'!O565-'ETF price'!O564</f>
        <v>-8.00000000000054E-2</v>
      </c>
      <c r="O563" s="3">
        <f ca="1">'ETF price'!P565-'ETF price'!P564</f>
        <v>0.70000000000000284</v>
      </c>
      <c r="P563" s="3">
        <f ca="1">'ETF price'!Q565-'ETF price'!Q564</f>
        <v>0.87000000000000455</v>
      </c>
      <c r="Q563" s="3">
        <f ca="1">'ETF price'!R565-'ETF price'!R564</f>
        <v>-0.21999999999999886</v>
      </c>
      <c r="R563" s="3">
        <f ca="1">'ETF price'!S565-'ETF price'!S564</f>
        <v>0.54999999999999716</v>
      </c>
      <c r="S563" s="3">
        <f ca="1">'ETF price'!T565-'ETF price'!T564</f>
        <v>0.10999999999999943</v>
      </c>
      <c r="T563" s="3">
        <f ca="1">'ETF price'!U565-'ETF price'!U564</f>
        <v>0.93999999999999773</v>
      </c>
      <c r="U563" s="3">
        <f ca="1">'ETF price'!V565-'ETF price'!V564</f>
        <v>-0.29999999999999716</v>
      </c>
      <c r="V563" s="3">
        <f ca="1">'ETF price'!W565-'ETF price'!W564</f>
        <v>-0.22999999999999687</v>
      </c>
      <c r="W563" s="3">
        <f ca="1">'ETF price'!X565-'ETF price'!X564</f>
        <v>-0.85999999999999943</v>
      </c>
      <c r="X563" s="3">
        <f ca="1">'ETF price'!Y565-'ETF price'!Y564</f>
        <v>-0.82999999999999829</v>
      </c>
      <c r="Y563" s="3">
        <f ca="1">'ETF price'!Z565-'ETF price'!Z564</f>
        <v>-0.62000000000000455</v>
      </c>
      <c r="Z563" s="3">
        <f ca="1">'ETF price'!AA565-'ETF price'!AA564</f>
        <v>-0.68999999999999773</v>
      </c>
      <c r="AA563" s="3">
        <f ca="1">'ETF price'!AB565-'ETF price'!AB564</f>
        <v>-0.99000000000000199</v>
      </c>
      <c r="AB563" s="3">
        <f ca="1">'ETF price'!AC565-'ETF price'!AC564</f>
        <v>-0.70000000000000284</v>
      </c>
      <c r="AC563" s="3">
        <f ca="1">'ETF price'!AD565-'ETF price'!AD564</f>
        <v>-0.46999999999999886</v>
      </c>
      <c r="AD563" s="3">
        <f ca="1">'ETF price'!AE565-'ETF price'!AE564</f>
        <v>-1.6599999999999966</v>
      </c>
      <c r="AE563" s="3">
        <f ca="1">'ETF price'!AF565-'ETF price'!AF564</f>
        <v>-4.0000000000000036E-2</v>
      </c>
      <c r="AF563" s="3">
        <f ca="1">'ETF price'!AG565-'ETF price'!AG564</f>
        <v>-2.5799999999999983</v>
      </c>
    </row>
    <row r="564" spans="1:32" ht="12.75" x14ac:dyDescent="0.2">
      <c r="A564" s="3">
        <f ca="1">'ETF price'!B566-'ETF price'!B565</f>
        <v>-2.0099999999999909</v>
      </c>
      <c r="B564" s="3">
        <f ca="1">'ETF price'!C566-'ETF price'!C565</f>
        <v>-5.92999999999995</v>
      </c>
      <c r="C564" s="3">
        <f ca="1">'ETF price'!D566-'ETF price'!D565</f>
        <v>1.8600000000000136</v>
      </c>
      <c r="D564" s="3">
        <f ca="1">'ETF price'!E566-'ETF price'!E565</f>
        <v>-3.5200000000000102</v>
      </c>
      <c r="E564" s="3">
        <f ca="1">'ETF price'!F566-'ETF price'!F565</f>
        <v>-0.47000000000000597</v>
      </c>
      <c r="F564" s="3">
        <f ca="1">'ETF price'!G566-'ETF price'!G565</f>
        <v>-0.57999999999999829</v>
      </c>
      <c r="G564" s="3">
        <f ca="1">'ETF price'!H566-'ETF price'!H565</f>
        <v>-0.35000000000000142</v>
      </c>
      <c r="H564" s="3">
        <f ca="1">'ETF price'!I566-'ETF price'!I565</f>
        <v>-2.2800000000000011</v>
      </c>
      <c r="I564" s="3">
        <f ca="1">'ETF price'!J566-'ETF price'!J565</f>
        <v>-4.4300000000000068</v>
      </c>
      <c r="J564" s="3">
        <f ca="1">'ETF price'!K566-'ETF price'!K565</f>
        <v>-2.9200000000000159</v>
      </c>
      <c r="K564" s="3">
        <f ca="1">'ETF price'!L566-'ETF price'!L565</f>
        <v>-3.1699999999999875</v>
      </c>
      <c r="L564" s="3">
        <f ca="1">'ETF price'!M566-'ETF price'!M565</f>
        <v>-1.25</v>
      </c>
      <c r="M564" s="3">
        <f ca="1">'ETF price'!N566-'ETF price'!N565</f>
        <v>-1.1599999999999966</v>
      </c>
      <c r="N564" s="3">
        <f ca="1">'ETF price'!O566-'ETF price'!O565</f>
        <v>-1.6400000000000006</v>
      </c>
      <c r="O564" s="3">
        <f ca="1">'ETF price'!P566-'ETF price'!P565</f>
        <v>1.3299999999999983</v>
      </c>
      <c r="P564" s="3">
        <f ca="1">'ETF price'!Q566-'ETF price'!Q565</f>
        <v>1.7600000000000193</v>
      </c>
      <c r="Q564" s="3">
        <f ca="1">'ETF price'!R566-'ETF price'!R565</f>
        <v>-0.34000000000000341</v>
      </c>
      <c r="R564" s="3">
        <f ca="1">'ETF price'!S566-'ETF price'!S565</f>
        <v>1.0000000000005116E-2</v>
      </c>
      <c r="S564" s="3">
        <f ca="1">'ETF price'!T566-'ETF price'!T565</f>
        <v>0.21000000000000085</v>
      </c>
      <c r="T564" s="3">
        <f ca="1">'ETF price'!U566-'ETF price'!U565</f>
        <v>1.1200000000000045</v>
      </c>
      <c r="U564" s="3">
        <f ca="1">'ETF price'!V566-'ETF price'!V565</f>
        <v>-1.6799999999999997</v>
      </c>
      <c r="V564" s="3">
        <f ca="1">'ETF price'!W566-'ETF price'!W565</f>
        <v>-0.21999999999999886</v>
      </c>
      <c r="W564" s="3">
        <f ca="1">'ETF price'!X566-'ETF price'!X565</f>
        <v>-0.59000000000000341</v>
      </c>
      <c r="X564" s="3">
        <f ca="1">'ETF price'!Y566-'ETF price'!Y565</f>
        <v>-0.73000000000000398</v>
      </c>
      <c r="Y564" s="3">
        <f ca="1">'ETF price'!Z566-'ETF price'!Z565</f>
        <v>-0.56000000000000227</v>
      </c>
      <c r="Z564" s="3">
        <f ca="1">'ETF price'!AA566-'ETF price'!AA565</f>
        <v>-0.43000000000000682</v>
      </c>
      <c r="AA564" s="3">
        <f ca="1">'ETF price'!AB566-'ETF price'!AB565</f>
        <v>-0.90999999999999659</v>
      </c>
      <c r="AB564" s="3">
        <f ca="1">'ETF price'!AC566-'ETF price'!AC565</f>
        <v>0.51000000000000512</v>
      </c>
      <c r="AC564" s="3">
        <f ca="1">'ETF price'!AD566-'ETF price'!AD565</f>
        <v>-1.1900000000000013</v>
      </c>
      <c r="AD564" s="3">
        <f ca="1">'ETF price'!AE566-'ETF price'!AE565</f>
        <v>-1.7300000000000004</v>
      </c>
      <c r="AE564" s="3">
        <f ca="1">'ETF price'!AF566-'ETF price'!AF565</f>
        <v>-4.0000000000000036E-2</v>
      </c>
      <c r="AF564" s="3">
        <f ca="1">'ETF price'!AG566-'ETF price'!AG565</f>
        <v>-3</v>
      </c>
    </row>
    <row r="565" spans="1:32" ht="12.75" x14ac:dyDescent="0.2">
      <c r="A565" s="3">
        <f ca="1">'ETF price'!B567-'ETF price'!B566</f>
        <v>0.54999999999998295</v>
      </c>
      <c r="B565" s="3">
        <f ca="1">'ETF price'!C567-'ETF price'!C566</f>
        <v>1.0699999999999363</v>
      </c>
      <c r="C565" s="3">
        <f ca="1">'ETF price'!D567-'ETF price'!D566</f>
        <v>-0.24000000000000909</v>
      </c>
      <c r="D565" s="3">
        <f ca="1">'ETF price'!E567-'ETF price'!E566</f>
        <v>0.62999999999999545</v>
      </c>
      <c r="E565" s="3">
        <f ca="1">'ETF price'!F567-'ETF price'!F566</f>
        <v>-9.9999999999980105E-3</v>
      </c>
      <c r="F565" s="3">
        <f ca="1">'ETF price'!G567-'ETF price'!G566</f>
        <v>3.9999999999999147E-2</v>
      </c>
      <c r="G565" s="3">
        <f ca="1">'ETF price'!H567-'ETF price'!H566</f>
        <v>-9.9999999999980105E-3</v>
      </c>
      <c r="H565" s="3">
        <f ca="1">'ETF price'!I567-'ETF price'!I566</f>
        <v>-0.15999999999999659</v>
      </c>
      <c r="I565" s="3">
        <f ca="1">'ETF price'!J567-'ETF price'!J566</f>
        <v>2.9999999999972715E-2</v>
      </c>
      <c r="J565" s="3">
        <f ca="1">'ETF price'!K567-'ETF price'!K566</f>
        <v>-0.35999999999998522</v>
      </c>
      <c r="K565" s="3">
        <f ca="1">'ETF price'!L567-'ETF price'!L566</f>
        <v>0.35999999999999943</v>
      </c>
      <c r="L565" s="3">
        <f ca="1">'ETF price'!M567-'ETF price'!M566</f>
        <v>0.10999999999999943</v>
      </c>
      <c r="M565" s="3">
        <f ca="1">'ETF price'!N567-'ETF price'!N566</f>
        <v>3.0000000000001137E-2</v>
      </c>
      <c r="N565" s="3">
        <f ca="1">'ETF price'!O567-'ETF price'!O566</f>
        <v>-0.11999999999999744</v>
      </c>
      <c r="O565" s="3">
        <f ca="1">'ETF price'!P567-'ETF price'!P566</f>
        <v>0.65999999999999659</v>
      </c>
      <c r="P565" s="3">
        <f ca="1">'ETF price'!Q567-'ETF price'!Q566</f>
        <v>1.0699999999999932</v>
      </c>
      <c r="Q565" s="3">
        <f ca="1">'ETF price'!R567-'ETF price'!R566</f>
        <v>0.54999999999999716</v>
      </c>
      <c r="R565" s="3">
        <f ca="1">'ETF price'!S567-'ETF price'!S566</f>
        <v>1.3299999999999983</v>
      </c>
      <c r="S565" s="3">
        <f ca="1">'ETF price'!T567-'ETF price'!T566</f>
        <v>0.28000000000000114</v>
      </c>
      <c r="T565" s="3">
        <f ca="1">'ETF price'!U567-'ETF price'!U566</f>
        <v>0.45999999999999375</v>
      </c>
      <c r="U565" s="3">
        <f ca="1">'ETF price'!V567-'ETF price'!V566</f>
        <v>0.49000000000000199</v>
      </c>
      <c r="V565" s="3">
        <f ca="1">'ETF price'!W567-'ETF price'!W566</f>
        <v>-2.0000000000003126E-2</v>
      </c>
      <c r="W565" s="3">
        <f ca="1">'ETF price'!X567-'ETF price'!X566</f>
        <v>1.9999999999996021E-2</v>
      </c>
      <c r="X565" s="3">
        <f ca="1">'ETF price'!Y567-'ETF price'!Y566</f>
        <v>-3.0000000000001137E-2</v>
      </c>
      <c r="Y565" s="3">
        <f ca="1">'ETF price'!Z567-'ETF price'!Z566</f>
        <v>4.9999999999997158E-2</v>
      </c>
      <c r="Z565" s="3">
        <f ca="1">'ETF price'!AA567-'ETF price'!AA566</f>
        <v>2.0000000000003126E-2</v>
      </c>
      <c r="AA565" s="3">
        <f ca="1">'ETF price'!AB567-'ETF price'!AB566</f>
        <v>-0.10000000000000142</v>
      </c>
      <c r="AB565" s="3">
        <f ca="1">'ETF price'!AC567-'ETF price'!AC566</f>
        <v>0.48000000000000398</v>
      </c>
      <c r="AC565" s="3">
        <f ca="1">'ETF price'!AD567-'ETF price'!AD566</f>
        <v>0.10000000000000142</v>
      </c>
      <c r="AD565" s="3">
        <f ca="1">'ETF price'!AE567-'ETF price'!AE566</f>
        <v>-1.9999999999999574E-2</v>
      </c>
      <c r="AE565" s="3">
        <f ca="1">'ETF price'!AF567-'ETF price'!AF566</f>
        <v>-0.39999999999999947</v>
      </c>
      <c r="AF565" s="3">
        <f ca="1">'ETF price'!AG567-'ETF price'!AG566</f>
        <v>-0.5</v>
      </c>
    </row>
    <row r="566" spans="1:32" ht="12.75" x14ac:dyDescent="0.2">
      <c r="A566" s="3">
        <f ca="1">'ETF price'!B568-'ETF price'!B567</f>
        <v>-3.2799999999999727</v>
      </c>
      <c r="B566" s="3">
        <f ca="1">'ETF price'!C568-'ETF price'!C567</f>
        <v>-8.4099999999999682</v>
      </c>
      <c r="C566" s="3">
        <f ca="1">'ETF price'!D568-'ETF price'!D567</f>
        <v>0.27000000000001023</v>
      </c>
      <c r="D566" s="3">
        <f ca="1">'ETF price'!E568-'ETF price'!E567</f>
        <v>-6.3799999999999955</v>
      </c>
      <c r="E566" s="3">
        <f ca="1">'ETF price'!F568-'ETF price'!F567</f>
        <v>-0.90999999999999659</v>
      </c>
      <c r="F566" s="3">
        <f ca="1">'ETF price'!G568-'ETF price'!G567</f>
        <v>-0.51999999999999957</v>
      </c>
      <c r="G566" s="3">
        <f ca="1">'ETF price'!H568-'ETF price'!H567</f>
        <v>-0.28000000000000114</v>
      </c>
      <c r="H566" s="3">
        <f ca="1">'ETF price'!I568-'ETF price'!I567</f>
        <v>-2.0800000000000125</v>
      </c>
      <c r="I566" s="3">
        <f ca="1">'ETF price'!J568-'ETF price'!J567</f>
        <v>-3.5599999999999454</v>
      </c>
      <c r="J566" s="3">
        <f ca="1">'ETF price'!K568-'ETF price'!K567</f>
        <v>-1.9000000000000057</v>
      </c>
      <c r="K566" s="3">
        <f ca="1">'ETF price'!L568-'ETF price'!L567</f>
        <v>-1.5500000000000114</v>
      </c>
      <c r="L566" s="3">
        <f ca="1">'ETF price'!M568-'ETF price'!M567</f>
        <v>-0.71000000000000085</v>
      </c>
      <c r="M566" s="3">
        <f ca="1">'ETF price'!N568-'ETF price'!N567</f>
        <v>-0.90000000000000568</v>
      </c>
      <c r="N566" s="3">
        <f ca="1">'ETF price'!O568-'ETF price'!O567</f>
        <v>-0.60000000000000142</v>
      </c>
      <c r="O566" s="3">
        <f ca="1">'ETF price'!P568-'ETF price'!P567</f>
        <v>-5.9999999999988063E-2</v>
      </c>
      <c r="P566" s="3">
        <f ca="1">'ETF price'!Q568-'ETF price'!Q567</f>
        <v>-0.17000000000001592</v>
      </c>
      <c r="Q566" s="3">
        <f ca="1">'ETF price'!R568-'ETF price'!R567</f>
        <v>-0.93999999999999773</v>
      </c>
      <c r="R566" s="3">
        <f ca="1">'ETF price'!S568-'ETF price'!S567</f>
        <v>-1.0200000000000031</v>
      </c>
      <c r="S566" s="3">
        <f ca="1">'ETF price'!T568-'ETF price'!T567</f>
        <v>5.9999999999998721E-2</v>
      </c>
      <c r="T566" s="3">
        <f ca="1">'ETF price'!U568-'ETF price'!U567</f>
        <v>1.019999999999996</v>
      </c>
      <c r="U566" s="3">
        <f ca="1">'ETF price'!V568-'ETF price'!V567</f>
        <v>-0.16000000000000369</v>
      </c>
      <c r="V566" s="3">
        <f ca="1">'ETF price'!W568-'ETF price'!W567</f>
        <v>-0.46999999999999886</v>
      </c>
      <c r="W566" s="3">
        <f ca="1">'ETF price'!X568-'ETF price'!X567</f>
        <v>-1.1299999999999955</v>
      </c>
      <c r="X566" s="3">
        <f ca="1">'ETF price'!Y568-'ETF price'!Y567</f>
        <v>-0.28999999999999915</v>
      </c>
      <c r="Y566" s="3">
        <f ca="1">'ETF price'!Z568-'ETF price'!Z567</f>
        <v>-1.0099999999999909</v>
      </c>
      <c r="Z566" s="3">
        <f ca="1">'ETF price'!AA568-'ETF price'!AA567</f>
        <v>-0.29999999999999716</v>
      </c>
      <c r="AA566" s="3">
        <f ca="1">'ETF price'!AB568-'ETF price'!AB567</f>
        <v>-0.10000000000000142</v>
      </c>
      <c r="AB566" s="3">
        <f ca="1">'ETF price'!AC568-'ETF price'!AC567</f>
        <v>-0.32000000000000739</v>
      </c>
      <c r="AC566" s="3">
        <f ca="1">'ETF price'!AD568-'ETF price'!AD567</f>
        <v>0.52999999999999758</v>
      </c>
      <c r="AD566" s="3">
        <f ca="1">'ETF price'!AE568-'ETF price'!AE567</f>
        <v>1.1400000000000006</v>
      </c>
      <c r="AE566" s="3">
        <f ca="1">'ETF price'!AF568-'ETF price'!AF567</f>
        <v>-0.10000000000000053</v>
      </c>
      <c r="AF566" s="3">
        <f ca="1">'ETF price'!AG568-'ETF price'!AG567</f>
        <v>-0.57000000000000028</v>
      </c>
    </row>
    <row r="567" spans="1:32" ht="12.75" x14ac:dyDescent="0.2">
      <c r="A567" s="3">
        <f ca="1">'ETF price'!B569-'ETF price'!B568</f>
        <v>2.339999999999975</v>
      </c>
      <c r="B567" s="3">
        <f ca="1">'ETF price'!C569-'ETF price'!C568</f>
        <v>6.2300000000000182</v>
      </c>
      <c r="C567" s="3">
        <f ca="1">'ETF price'!D569-'ETF price'!D568</f>
        <v>-0.96000000000000796</v>
      </c>
      <c r="D567" s="3">
        <f ca="1">'ETF price'!E569-'ETF price'!E568</f>
        <v>2.5999999999999943</v>
      </c>
      <c r="E567" s="3">
        <f ca="1">'ETF price'!F569-'ETF price'!F568</f>
        <v>0.69999999999999574</v>
      </c>
      <c r="F567" s="3">
        <f ca="1">'ETF price'!G569-'ETF price'!G568</f>
        <v>0.12999999999999901</v>
      </c>
      <c r="G567" s="3">
        <f ca="1">'ETF price'!H569-'ETF price'!H568</f>
        <v>0.17000000000000171</v>
      </c>
      <c r="H567" s="3">
        <f ca="1">'ETF price'!I569-'ETF price'!I568</f>
        <v>1.2700000000000102</v>
      </c>
      <c r="I567" s="3">
        <f ca="1">'ETF price'!J569-'ETF price'!J568</f>
        <v>2.1599999999999682</v>
      </c>
      <c r="J567" s="3">
        <f ca="1">'ETF price'!K569-'ETF price'!K568</f>
        <v>0.87999999999999545</v>
      </c>
      <c r="K567" s="3">
        <f ca="1">'ETF price'!L569-'ETF price'!L568</f>
        <v>0.69000000000001194</v>
      </c>
      <c r="L567" s="3">
        <f ca="1">'ETF price'!M569-'ETF price'!M568</f>
        <v>0.25999999999999801</v>
      </c>
      <c r="M567" s="3">
        <f ca="1">'ETF price'!N569-'ETF price'!N568</f>
        <v>0.54000000000000625</v>
      </c>
      <c r="N567" s="3">
        <f ca="1">'ETF price'!O569-'ETF price'!O568</f>
        <v>0.39999999999999858</v>
      </c>
      <c r="O567" s="3">
        <f ca="1">'ETF price'!P569-'ETF price'!P568</f>
        <v>1.039999999999992</v>
      </c>
      <c r="P567" s="3">
        <f ca="1">'ETF price'!Q569-'ETF price'!Q568</f>
        <v>1.4699999999999989</v>
      </c>
      <c r="Q567" s="3">
        <f ca="1">'ETF price'!R569-'ETF price'!R568</f>
        <v>0.82999999999999829</v>
      </c>
      <c r="R567" s="3">
        <f ca="1">'ETF price'!S569-'ETF price'!S568</f>
        <v>0.87000000000000455</v>
      </c>
      <c r="S567" s="3">
        <f ca="1">'ETF price'!T569-'ETF price'!T568</f>
        <v>0.12000000000000099</v>
      </c>
      <c r="T567" s="3">
        <f ca="1">'ETF price'!U569-'ETF price'!U568</f>
        <v>0.13000000000000966</v>
      </c>
      <c r="U567" s="3">
        <f ca="1">'ETF price'!V569-'ETF price'!V568</f>
        <v>-0.58999999999999631</v>
      </c>
      <c r="V567" s="3">
        <f ca="1">'ETF price'!W569-'ETF price'!W568</f>
        <v>0.39000000000000057</v>
      </c>
      <c r="W567" s="3">
        <f ca="1">'ETF price'!X569-'ETF price'!X568</f>
        <v>0.85000000000000853</v>
      </c>
      <c r="X567" s="3">
        <f ca="1">'ETF price'!Y569-'ETF price'!Y568</f>
        <v>0.14999999999999858</v>
      </c>
      <c r="Y567" s="3">
        <f ca="1">'ETF price'!Z569-'ETF price'!Z568</f>
        <v>0.72999999999998977</v>
      </c>
      <c r="Z567" s="3">
        <f ca="1">'ETF price'!AA569-'ETF price'!AA568</f>
        <v>0.25</v>
      </c>
      <c r="AA567" s="3">
        <f ca="1">'ETF price'!AB569-'ETF price'!AB568</f>
        <v>3.0000000000001137E-2</v>
      </c>
      <c r="AB567" s="3">
        <f ca="1">'ETF price'!AC569-'ETF price'!AC568</f>
        <v>-1.0699999999999932</v>
      </c>
      <c r="AC567" s="3">
        <f ca="1">'ETF price'!AD569-'ETF price'!AD568</f>
        <v>-0.30999999999999872</v>
      </c>
      <c r="AD567" s="3">
        <f ca="1">'ETF price'!AE569-'ETF price'!AE568</f>
        <v>-0.51999999999999957</v>
      </c>
      <c r="AE567" s="3">
        <f ca="1">'ETF price'!AF569-'ETF price'!AF568</f>
        <v>-6.9999999999999396E-2</v>
      </c>
      <c r="AF567" s="3">
        <f ca="1">'ETF price'!AG569-'ETF price'!AG568</f>
        <v>-0.57999999999999829</v>
      </c>
    </row>
    <row r="568" spans="1:32" ht="12.75" x14ac:dyDescent="0.2">
      <c r="A568" s="3">
        <f ca="1">'ETF price'!B570-'ETF price'!B569</f>
        <v>-0.23999999999998067</v>
      </c>
      <c r="B568" s="3">
        <f ca="1">'ETF price'!C570-'ETF price'!C569</f>
        <v>-0.75</v>
      </c>
      <c r="C568" s="3">
        <f ca="1">'ETF price'!D570-'ETF price'!D569</f>
        <v>2.8300000000000125</v>
      </c>
      <c r="D568" s="3">
        <f ca="1">'ETF price'!E570-'ETF price'!E569</f>
        <v>0.56999999999999318</v>
      </c>
      <c r="E568" s="3">
        <f ca="1">'ETF price'!F570-'ETF price'!F569</f>
        <v>-6.0000000000002274E-2</v>
      </c>
      <c r="F568" s="3">
        <f ca="1">'ETF price'!G570-'ETF price'!G569</f>
        <v>7.0000000000000284E-2</v>
      </c>
      <c r="G568" s="3">
        <f ca="1">'ETF price'!H570-'ETF price'!H569</f>
        <v>7.9999999999998295E-2</v>
      </c>
      <c r="H568" s="3">
        <f ca="1">'ETF price'!I570-'ETF price'!I569</f>
        <v>-0.46000000000000796</v>
      </c>
      <c r="I568" s="3">
        <f ca="1">'ETF price'!J570-'ETF price'!J569</f>
        <v>-0.65999999999996817</v>
      </c>
      <c r="J568" s="3">
        <f ca="1">'ETF price'!K570-'ETF price'!K569</f>
        <v>0.15999999999999659</v>
      </c>
      <c r="K568" s="3">
        <f ca="1">'ETF price'!L570-'ETF price'!L569</f>
        <v>0.21999999999999886</v>
      </c>
      <c r="L568" s="3">
        <f ca="1">'ETF price'!M570-'ETF price'!M569</f>
        <v>0.14000000000000057</v>
      </c>
      <c r="M568" s="3">
        <f ca="1">'ETF price'!N570-'ETF price'!N569</f>
        <v>-0.12000000000000455</v>
      </c>
      <c r="N568" s="3">
        <f ca="1">'ETF price'!O570-'ETF price'!O569</f>
        <v>0</v>
      </c>
      <c r="O568" s="3">
        <f ca="1">'ETF price'!P570-'ETF price'!P569</f>
        <v>-0.62000000000000455</v>
      </c>
      <c r="P568" s="3">
        <f ca="1">'ETF price'!Q570-'ETF price'!Q569</f>
        <v>-0.82999999999998408</v>
      </c>
      <c r="Q568" s="3">
        <f ca="1">'ETF price'!R570-'ETF price'!R569</f>
        <v>7.000000000000739E-2</v>
      </c>
      <c r="R568" s="3">
        <f ca="1">'ETF price'!S570-'ETF price'!S569</f>
        <v>0.15999999999999659</v>
      </c>
      <c r="S568" s="3">
        <f ca="1">'ETF price'!T570-'ETF price'!T569</f>
        <v>-1.0000000000001563E-2</v>
      </c>
      <c r="T568" s="3">
        <f ca="1">'ETF price'!U570-'ETF price'!U569</f>
        <v>-0.20000000000000284</v>
      </c>
      <c r="U568" s="3">
        <f ca="1">'ETF price'!V570-'ETF price'!V569</f>
        <v>0.60999999999999943</v>
      </c>
      <c r="V568" s="3">
        <f ca="1">'ETF price'!W570-'ETF price'!W569</f>
        <v>0.17999999999999972</v>
      </c>
      <c r="W568" s="3">
        <f ca="1">'ETF price'!X570-'ETF price'!X569</f>
        <v>0.68999999999999773</v>
      </c>
      <c r="X568" s="3">
        <f ca="1">'ETF price'!Y570-'ETF price'!Y569</f>
        <v>0.70000000000000284</v>
      </c>
      <c r="Y568" s="3">
        <f ca="1">'ETF price'!Z570-'ETF price'!Z569</f>
        <v>0.57000000000000739</v>
      </c>
      <c r="Z568" s="3">
        <f ca="1">'ETF price'!AA570-'ETF price'!AA569</f>
        <v>0.32999999999999829</v>
      </c>
      <c r="AA568" s="3">
        <f ca="1">'ETF price'!AB570-'ETF price'!AB569</f>
        <v>0.82000000000000028</v>
      </c>
      <c r="AB568" s="3">
        <f ca="1">'ETF price'!AC570-'ETF price'!AC569</f>
        <v>-0.12000000000000455</v>
      </c>
      <c r="AC568" s="3">
        <f ca="1">'ETF price'!AD570-'ETF price'!AD569</f>
        <v>1.8500000000000014</v>
      </c>
      <c r="AD568" s="3">
        <f ca="1">'ETF price'!AE570-'ETF price'!AE569</f>
        <v>1.9799999999999969</v>
      </c>
      <c r="AE568" s="3">
        <f ca="1">'ETF price'!AF570-'ETF price'!AF569</f>
        <v>-6.0000000000000497E-2</v>
      </c>
      <c r="AF568" s="3">
        <f ca="1">'ETF price'!AG570-'ETF price'!AG569</f>
        <v>0.46000000000000085</v>
      </c>
    </row>
    <row r="569" spans="1:32" ht="12.75" x14ac:dyDescent="0.2">
      <c r="A569" s="3">
        <f ca="1">'ETF price'!B571-'ETF price'!B570</f>
        <v>1.039999999999992</v>
      </c>
      <c r="B569" s="3">
        <f ca="1">'ETF price'!C571-'ETF price'!C570</f>
        <v>1.1699999999999591</v>
      </c>
      <c r="C569" s="3">
        <f ca="1">'ETF price'!D571-'ETF price'!D570</f>
        <v>-2.3200000000000216</v>
      </c>
      <c r="D569" s="3">
        <f ca="1">'ETF price'!E571-'ETF price'!E570</f>
        <v>2.3900000000000148</v>
      </c>
      <c r="E569" s="3">
        <f ca="1">'ETF price'!F571-'ETF price'!F570</f>
        <v>0.42000000000000171</v>
      </c>
      <c r="F569" s="3">
        <f ca="1">'ETF price'!G571-'ETF price'!G570</f>
        <v>0.25</v>
      </c>
      <c r="G569" s="3">
        <f ca="1">'ETF price'!H571-'ETF price'!H570</f>
        <v>0.19999999999999929</v>
      </c>
      <c r="H569" s="3">
        <f ca="1">'ETF price'!I571-'ETF price'!I570</f>
        <v>0.51000000000001933</v>
      </c>
      <c r="I569" s="3">
        <f ca="1">'ETF price'!J571-'ETF price'!J570</f>
        <v>1.2299999999999613</v>
      </c>
      <c r="J569" s="3">
        <f ca="1">'ETF price'!K571-'ETF price'!K570</f>
        <v>1.6000000000000227</v>
      </c>
      <c r="K569" s="3">
        <f ca="1">'ETF price'!L571-'ETF price'!L570</f>
        <v>1.2399999999999949</v>
      </c>
      <c r="L569" s="3">
        <f ca="1">'ETF price'!M571-'ETF price'!M570</f>
        <v>0.64000000000000057</v>
      </c>
      <c r="M569" s="3">
        <f ca="1">'ETF price'!N571-'ETF price'!N570</f>
        <v>0.31000000000000227</v>
      </c>
      <c r="N569" s="3">
        <f ca="1">'ETF price'!O571-'ETF price'!O570</f>
        <v>1.240000000000002</v>
      </c>
      <c r="O569" s="3">
        <f ca="1">'ETF price'!P571-'ETF price'!P570</f>
        <v>3.0000000000001137E-2</v>
      </c>
      <c r="P569" s="3">
        <f ca="1">'ETF price'!Q571-'ETF price'!Q570</f>
        <v>-6.0000000000002274E-2</v>
      </c>
      <c r="Q569" s="3">
        <f ca="1">'ETF price'!R571-'ETF price'!R570</f>
        <v>0.21999999999999886</v>
      </c>
      <c r="R569" s="3">
        <f ca="1">'ETF price'!S571-'ETF price'!S570</f>
        <v>0.67999999999999972</v>
      </c>
      <c r="S569" s="3">
        <f ca="1">'ETF price'!T571-'ETF price'!T570</f>
        <v>-0.12999999999999901</v>
      </c>
      <c r="T569" s="3">
        <f ca="1">'ETF price'!U571-'ETF price'!U570</f>
        <v>-1.0499999999999972</v>
      </c>
      <c r="U569" s="3">
        <f ca="1">'ETF price'!V571-'ETF price'!V570</f>
        <v>1.7800000000000011</v>
      </c>
      <c r="V569" s="3">
        <f ca="1">'ETF price'!W571-'ETF price'!W570</f>
        <v>-0.24000000000000199</v>
      </c>
      <c r="W569" s="3">
        <f ca="1">'ETF price'!X571-'ETF price'!X570</f>
        <v>-0.60999999999999943</v>
      </c>
      <c r="X569" s="3">
        <f ca="1">'ETF price'!Y571-'ETF price'!Y570</f>
        <v>0.11999999999999744</v>
      </c>
      <c r="Y569" s="3">
        <f ca="1">'ETF price'!Z571-'ETF price'!Z570</f>
        <v>-0.54999999999999716</v>
      </c>
      <c r="Z569" s="3">
        <f ca="1">'ETF price'!AA571-'ETF price'!AA570</f>
        <v>0.49000000000000199</v>
      </c>
      <c r="AA569" s="3">
        <f ca="1">'ETF price'!AB571-'ETF price'!AB570</f>
        <v>0.32000000000000028</v>
      </c>
      <c r="AB569" s="3">
        <f ca="1">'ETF price'!AC571-'ETF price'!AC570</f>
        <v>-1.0899999999999963</v>
      </c>
      <c r="AC569" s="3">
        <f ca="1">'ETF price'!AD571-'ETF price'!AD570</f>
        <v>-1.0700000000000003</v>
      </c>
      <c r="AD569" s="3">
        <f ca="1">'ETF price'!AE571-'ETF price'!AE570</f>
        <v>-1.2699999999999996</v>
      </c>
      <c r="AE569" s="3">
        <f ca="1">'ETF price'!AF571-'ETF price'!AF570</f>
        <v>0</v>
      </c>
      <c r="AF569" s="3">
        <f ca="1">'ETF price'!AG571-'ETF price'!AG570</f>
        <v>-1.3900000000000006</v>
      </c>
    </row>
    <row r="570" spans="1:32" ht="12.75" x14ac:dyDescent="0.2">
      <c r="A570" s="3">
        <f ca="1">'ETF price'!B572-'ETF price'!B571</f>
        <v>-2.539999999999992</v>
      </c>
      <c r="B570" s="3">
        <f ca="1">'ETF price'!C572-'ETF price'!C571</f>
        <v>-4.7199999999999136</v>
      </c>
      <c r="C570" s="3">
        <f ca="1">'ETF price'!D572-'ETF price'!D571</f>
        <v>-2.8100000000000023</v>
      </c>
      <c r="D570" s="3">
        <f ca="1">'ETF price'!E572-'ETF price'!E571</f>
        <v>-4.0999999999999943</v>
      </c>
      <c r="E570" s="3">
        <f ca="1">'ETF price'!F572-'ETF price'!F571</f>
        <v>-0.46000000000000085</v>
      </c>
      <c r="F570" s="3">
        <f ca="1">'ETF price'!G572-'ETF price'!G571</f>
        <v>-0.46999999999999886</v>
      </c>
      <c r="G570" s="3">
        <f ca="1">'ETF price'!H572-'ETF price'!H571</f>
        <v>-0.41999999999999815</v>
      </c>
      <c r="H570" s="3">
        <f ca="1">'ETF price'!I572-'ETF price'!I571</f>
        <v>-1.6800000000000068</v>
      </c>
      <c r="I570" s="3">
        <f ca="1">'ETF price'!J572-'ETF price'!J571</f>
        <v>-3.2099999999999795</v>
      </c>
      <c r="J570" s="3">
        <f ca="1">'ETF price'!K572-'ETF price'!K571</f>
        <v>-2.4200000000000159</v>
      </c>
      <c r="K570" s="3">
        <f ca="1">'ETF price'!L572-'ETF price'!L571</f>
        <v>-1.6899999999999977</v>
      </c>
      <c r="L570" s="3">
        <f ca="1">'ETF price'!M572-'ETF price'!M571</f>
        <v>-0.96000000000000085</v>
      </c>
      <c r="M570" s="3">
        <f ca="1">'ETF price'!N572-'ETF price'!N571</f>
        <v>-0.84999999999999432</v>
      </c>
      <c r="N570" s="3">
        <f ca="1">'ETF price'!O572-'ETF price'!O571</f>
        <v>-1.3599999999999994</v>
      </c>
      <c r="O570" s="3">
        <f ca="1">'ETF price'!P572-'ETF price'!P571</f>
        <v>0.30000000000001137</v>
      </c>
      <c r="P570" s="3">
        <f ca="1">'ETF price'!Q572-'ETF price'!Q571</f>
        <v>0.47999999999998977</v>
      </c>
      <c r="Q570" s="3">
        <f ca="1">'ETF price'!R572-'ETF price'!R571</f>
        <v>-1.4500000000000028</v>
      </c>
      <c r="R570" s="3">
        <f ca="1">'ETF price'!S572-'ETF price'!S571</f>
        <v>-0.64999999999999858</v>
      </c>
      <c r="S570" s="3">
        <f ca="1">'ETF price'!T572-'ETF price'!T571</f>
        <v>0.12000000000000099</v>
      </c>
      <c r="T570" s="3">
        <f ca="1">'ETF price'!U572-'ETF price'!U571</f>
        <v>0.93999999999999773</v>
      </c>
      <c r="U570" s="3">
        <f ca="1">'ETF price'!V572-'ETF price'!V571</f>
        <v>-1.5500000000000043</v>
      </c>
      <c r="V570" s="3">
        <f ca="1">'ETF price'!W572-'ETF price'!W571</f>
        <v>-0.61999999999999744</v>
      </c>
      <c r="W570" s="3">
        <f ca="1">'ETF price'!X572-'ETF price'!X571</f>
        <v>-1.6500000000000057</v>
      </c>
      <c r="X570" s="3">
        <f ca="1">'ETF price'!Y572-'ETF price'!Y571</f>
        <v>-1.9099999999999966</v>
      </c>
      <c r="Y570" s="3">
        <f ca="1">'ETF price'!Z572-'ETF price'!Z571</f>
        <v>-1.5200000000000102</v>
      </c>
      <c r="Z570" s="3">
        <f ca="1">'ETF price'!AA572-'ETF price'!AA571</f>
        <v>-1.6099999999999994</v>
      </c>
      <c r="AA570" s="3">
        <f ca="1">'ETF price'!AB572-'ETF price'!AB571</f>
        <v>-2.4500000000000028</v>
      </c>
      <c r="AB570" s="3">
        <f ca="1">'ETF price'!AC572-'ETF price'!AC571</f>
        <v>-0.46000000000000085</v>
      </c>
      <c r="AC570" s="3">
        <f ca="1">'ETF price'!AD572-'ETF price'!AD571</f>
        <v>0.18999999999999773</v>
      </c>
      <c r="AD570" s="3">
        <f ca="1">'ETF price'!AE572-'ETF price'!AE571</f>
        <v>0.48000000000000043</v>
      </c>
      <c r="AE570" s="3">
        <f ca="1">'ETF price'!AF572-'ETF price'!AF571</f>
        <v>-3.0000000000000249E-2</v>
      </c>
      <c r="AF570" s="3">
        <f ca="1">'ETF price'!AG572-'ETF price'!AG571</f>
        <v>-0.29999999999999716</v>
      </c>
    </row>
    <row r="571" spans="1:32" ht="12.75" x14ac:dyDescent="0.2">
      <c r="A571" s="3">
        <f ca="1">'ETF price'!B573-'ETF price'!B572</f>
        <v>4.0900000000000034</v>
      </c>
      <c r="B571" s="3">
        <f ca="1">'ETF price'!C573-'ETF price'!C572</f>
        <v>9.9199999999999591</v>
      </c>
      <c r="C571" s="3">
        <f ca="1">'ETF price'!D573-'ETF price'!D572</f>
        <v>0.24000000000000909</v>
      </c>
      <c r="D571" s="3">
        <f ca="1">'ETF price'!E573-'ETF price'!E572</f>
        <v>4.9799999999999898</v>
      </c>
      <c r="E571" s="3">
        <f ca="1">'ETF price'!F573-'ETF price'!F572</f>
        <v>0.57000000000000739</v>
      </c>
      <c r="F571" s="3">
        <f ca="1">'ETF price'!G573-'ETF price'!G572</f>
        <v>0.33999999999999986</v>
      </c>
      <c r="G571" s="3">
        <f ca="1">'ETF price'!H573-'ETF price'!H572</f>
        <v>0.10999999999999943</v>
      </c>
      <c r="H571" s="3">
        <f ca="1">'ETF price'!I573-'ETF price'!I572</f>
        <v>-0.58000000000001251</v>
      </c>
      <c r="I571" s="3">
        <f ca="1">'ETF price'!J573-'ETF price'!J572</f>
        <v>-1.1200000000000045</v>
      </c>
      <c r="J571" s="3">
        <f ca="1">'ETF price'!K573-'ETF price'!K572</f>
        <v>0.48000000000001819</v>
      </c>
      <c r="K571" s="3">
        <f ca="1">'ETF price'!L573-'ETF price'!L572</f>
        <v>1.3299999999999983</v>
      </c>
      <c r="L571" s="3">
        <f ca="1">'ETF price'!M573-'ETF price'!M572</f>
        <v>2.0000000000003126E-2</v>
      </c>
      <c r="M571" s="3">
        <f ca="1">'ETF price'!N573-'ETF price'!N572</f>
        <v>-0.25</v>
      </c>
      <c r="N571" s="3">
        <f ca="1">'ETF price'!O573-'ETF price'!O572</f>
        <v>0.16000000000000369</v>
      </c>
      <c r="O571" s="3">
        <f ca="1">'ETF price'!P573-'ETF price'!P572</f>
        <v>-7.000000000000739E-2</v>
      </c>
      <c r="P571" s="3">
        <f ca="1">'ETF price'!Q573-'ETF price'!Q572</f>
        <v>-0.32999999999998408</v>
      </c>
      <c r="Q571" s="3">
        <f ca="1">'ETF price'!R573-'ETF price'!R572</f>
        <v>-6.9999999999993179E-2</v>
      </c>
      <c r="R571" s="3">
        <f ca="1">'ETF price'!S573-'ETF price'!S572</f>
        <v>0.21999999999999886</v>
      </c>
      <c r="S571" s="3">
        <f ca="1">'ETF price'!T573-'ETF price'!T572</f>
        <v>-3.9999999999999147E-2</v>
      </c>
      <c r="T571" s="3">
        <f ca="1">'ETF price'!U573-'ETF price'!U572</f>
        <v>-0.54000000000000625</v>
      </c>
      <c r="U571" s="3">
        <f ca="1">'ETF price'!V573-'ETF price'!V572</f>
        <v>-0.28999999999999915</v>
      </c>
      <c r="V571" s="3">
        <f ca="1">'ETF price'!W573-'ETF price'!W572</f>
        <v>-0.28999999999999915</v>
      </c>
      <c r="W571" s="3">
        <f ca="1">'ETF price'!X573-'ETF price'!X572</f>
        <v>-0.48999999999999488</v>
      </c>
      <c r="X571" s="3">
        <f ca="1">'ETF price'!Y573-'ETF price'!Y572</f>
        <v>-5.0000000000004263E-2</v>
      </c>
      <c r="Y571" s="3">
        <f ca="1">'ETF price'!Z573-'ETF price'!Z572</f>
        <v>-0.62999999999999545</v>
      </c>
      <c r="Z571" s="3">
        <f ca="1">'ETF price'!AA573-'ETF price'!AA572</f>
        <v>3.9999999999999147E-2</v>
      </c>
      <c r="AA571" s="3">
        <f ca="1">'ETF price'!AB573-'ETF price'!AB572</f>
        <v>3.9999999999999147E-2</v>
      </c>
      <c r="AB571" s="3">
        <f ca="1">'ETF price'!AC573-'ETF price'!AC572</f>
        <v>-0.47999999999999687</v>
      </c>
      <c r="AC571" s="3">
        <f ca="1">'ETF price'!AD573-'ETF price'!AD572</f>
        <v>5.0000000000000711E-2</v>
      </c>
      <c r="AD571" s="3">
        <f ca="1">'ETF price'!AE573-'ETF price'!AE572</f>
        <v>0.19999999999999929</v>
      </c>
      <c r="AE571" s="3">
        <f ca="1">'ETF price'!AF573-'ETF price'!AF572</f>
        <v>-0.17999999999999972</v>
      </c>
      <c r="AF571" s="3">
        <f ca="1">'ETF price'!AG573-'ETF price'!AG572</f>
        <v>1.2199999999999989</v>
      </c>
    </row>
    <row r="572" spans="1:32" ht="12.75" x14ac:dyDescent="0.2">
      <c r="A572" s="3">
        <f ca="1">'ETF price'!B574-'ETF price'!B573</f>
        <v>-3.3800000000000239</v>
      </c>
      <c r="B572" s="3">
        <f ca="1">'ETF price'!C574-'ETF price'!C573</f>
        <v>-9.32000000000005</v>
      </c>
      <c r="C572" s="3">
        <f ca="1">'ETF price'!D574-'ETF price'!D573</f>
        <v>-2.039999999999992</v>
      </c>
      <c r="D572" s="3">
        <f ca="1">'ETF price'!E574-'ETF price'!E573</f>
        <v>-7.4000000000000057</v>
      </c>
      <c r="E572" s="3">
        <f ca="1">'ETF price'!F574-'ETF price'!F573</f>
        <v>-1.1600000000000037</v>
      </c>
      <c r="F572" s="3">
        <f ca="1">'ETF price'!G574-'ETF price'!G573</f>
        <v>-0.80000000000000071</v>
      </c>
      <c r="G572" s="3">
        <f ca="1">'ETF price'!H574-'ETF price'!H573</f>
        <v>-0.64999999999999858</v>
      </c>
      <c r="H572" s="3">
        <f ca="1">'ETF price'!I574-'ETF price'!I573</f>
        <v>-2.0999999999999943</v>
      </c>
      <c r="I572" s="3">
        <f ca="1">'ETF price'!J574-'ETF price'!J573</f>
        <v>-3.8499999999999943</v>
      </c>
      <c r="J572" s="3">
        <f ca="1">'ETF price'!K574-'ETF price'!K573</f>
        <v>-2.75</v>
      </c>
      <c r="K572" s="3">
        <f ca="1">'ETF price'!L574-'ETF price'!L573</f>
        <v>-3.1299999999999955</v>
      </c>
      <c r="L572" s="3">
        <f ca="1">'ETF price'!M574-'ETF price'!M573</f>
        <v>-1.3400000000000034</v>
      </c>
      <c r="M572" s="3">
        <f ca="1">'ETF price'!N574-'ETF price'!N573</f>
        <v>-1.0600000000000023</v>
      </c>
      <c r="N572" s="3">
        <f ca="1">'ETF price'!O574-'ETF price'!O573</f>
        <v>-1.3200000000000003</v>
      </c>
      <c r="O572" s="3">
        <f ca="1">'ETF price'!P574-'ETF price'!P573</f>
        <v>-1.5900000000000034</v>
      </c>
      <c r="P572" s="3">
        <f ca="1">'ETF price'!Q574-'ETF price'!Q573</f>
        <v>-1.9399999999999977</v>
      </c>
      <c r="Q572" s="3">
        <f ca="1">'ETF price'!R574-'ETF price'!R573</f>
        <v>-1.6200000000000045</v>
      </c>
      <c r="R572" s="3">
        <f ca="1">'ETF price'!S574-'ETF price'!S573</f>
        <v>-1.0300000000000011</v>
      </c>
      <c r="S572" s="3">
        <f ca="1">'ETF price'!T574-'ETF price'!T573</f>
        <v>2.9999999999997584E-2</v>
      </c>
      <c r="T572" s="3">
        <f ca="1">'ETF price'!U574-'ETF price'!U573</f>
        <v>-1.9999999999996021E-2</v>
      </c>
      <c r="U572" s="3">
        <f ca="1">'ETF price'!V574-'ETF price'!V573</f>
        <v>-1.6899999999999977</v>
      </c>
      <c r="V572" s="3">
        <f ca="1">'ETF price'!W574-'ETF price'!W573</f>
        <v>-0.53999999999999915</v>
      </c>
      <c r="W572" s="3">
        <f ca="1">'ETF price'!X574-'ETF price'!X573</f>
        <v>-1.4399999999999977</v>
      </c>
      <c r="X572" s="3">
        <f ca="1">'ETF price'!Y574-'ETF price'!Y573</f>
        <v>-0.43999999999999773</v>
      </c>
      <c r="Y572" s="3">
        <f ca="1">'ETF price'!Z574-'ETF price'!Z573</f>
        <v>-1.5600000000000023</v>
      </c>
      <c r="Z572" s="3">
        <f ca="1">'ETF price'!AA574-'ETF price'!AA573</f>
        <v>-0.39000000000000057</v>
      </c>
      <c r="AA572" s="3">
        <f ca="1">'ETF price'!AB574-'ETF price'!AB573</f>
        <v>-0.4199999999999946</v>
      </c>
      <c r="AB572" s="3">
        <f ca="1">'ETF price'!AC574-'ETF price'!AC573</f>
        <v>0.20999999999999375</v>
      </c>
      <c r="AC572" s="3">
        <f ca="1">'ETF price'!AD574-'ETF price'!AD573</f>
        <v>-1.4600000000000009</v>
      </c>
      <c r="AD572" s="3">
        <f ca="1">'ETF price'!AE574-'ETF price'!AE573</f>
        <v>-1.6199999999999974</v>
      </c>
      <c r="AE572" s="3">
        <f ca="1">'ETF price'!AF574-'ETF price'!AF573</f>
        <v>0.16999999999999993</v>
      </c>
      <c r="AF572" s="3">
        <f ca="1">'ETF price'!AG574-'ETF price'!AG573</f>
        <v>-2.8599999999999994</v>
      </c>
    </row>
    <row r="573" spans="1:32" ht="12.75" x14ac:dyDescent="0.2">
      <c r="A573" s="3">
        <f ca="1">'ETF price'!B575-'ETF price'!B574</f>
        <v>-3.8999999999999773</v>
      </c>
      <c r="B573" s="3">
        <f ca="1">'ETF price'!C575-'ETF price'!C574</f>
        <v>-9.7899999999999636</v>
      </c>
      <c r="C573" s="3">
        <f ca="1">'ETF price'!D575-'ETF price'!D574</f>
        <v>-0.93000000000000682</v>
      </c>
      <c r="D573" s="3">
        <f ca="1">'ETF price'!E575-'ETF price'!E574</f>
        <v>-2.7599999999999909</v>
      </c>
      <c r="E573" s="3">
        <f ca="1">'ETF price'!F575-'ETF price'!F574</f>
        <v>-1.509999999999998</v>
      </c>
      <c r="F573" s="3">
        <f ca="1">'ETF price'!G575-'ETF price'!G574</f>
        <v>-0.57999999999999829</v>
      </c>
      <c r="G573" s="3">
        <f ca="1">'ETF price'!H575-'ETF price'!H574</f>
        <v>-0.40000000000000213</v>
      </c>
      <c r="H573" s="3">
        <f ca="1">'ETF price'!I575-'ETF price'!I574</f>
        <v>-0.28000000000000114</v>
      </c>
      <c r="I573" s="3">
        <f ca="1">'ETF price'!J575-'ETF price'!J574</f>
        <v>-1.1800000000000068</v>
      </c>
      <c r="J573" s="3">
        <f ca="1">'ETF price'!K575-'ETF price'!K574</f>
        <v>-1.7400000000000091</v>
      </c>
      <c r="K573" s="3">
        <f ca="1">'ETF price'!L575-'ETF price'!L574</f>
        <v>-1.8000000000000114</v>
      </c>
      <c r="L573" s="3">
        <f ca="1">'ETF price'!M575-'ETF price'!M574</f>
        <v>-0.60000000000000142</v>
      </c>
      <c r="M573" s="3">
        <f ca="1">'ETF price'!N575-'ETF price'!N574</f>
        <v>-0.23000000000000398</v>
      </c>
      <c r="N573" s="3">
        <f ca="1">'ETF price'!O575-'ETF price'!O574</f>
        <v>-1.2000000000000028</v>
      </c>
      <c r="O573" s="3">
        <f ca="1">'ETF price'!P575-'ETF price'!P574</f>
        <v>-0.89999999999999147</v>
      </c>
      <c r="P573" s="3">
        <f ca="1">'ETF price'!Q575-'ETF price'!Q574</f>
        <v>-1.3500000000000227</v>
      </c>
      <c r="Q573" s="3">
        <f ca="1">'ETF price'!R575-'ETF price'!R574</f>
        <v>-0.43000000000000682</v>
      </c>
      <c r="R573" s="3">
        <f ca="1">'ETF price'!S575-'ETF price'!S574</f>
        <v>-0.14999999999999858</v>
      </c>
      <c r="S573" s="3">
        <f ca="1">'ETF price'!T575-'ETF price'!T574</f>
        <v>3.0000000000001137E-2</v>
      </c>
      <c r="T573" s="3">
        <f ca="1">'ETF price'!U575-'ETF price'!U574</f>
        <v>0.12000000000000455</v>
      </c>
      <c r="U573" s="3">
        <f ca="1">'ETF price'!V575-'ETF price'!V574</f>
        <v>-1.3900000000000006</v>
      </c>
      <c r="V573" s="3">
        <f ca="1">'ETF price'!W575-'ETF price'!W574</f>
        <v>-0.20000000000000284</v>
      </c>
      <c r="W573" s="3">
        <f ca="1">'ETF price'!X575-'ETF price'!X574</f>
        <v>-0.70000000000000284</v>
      </c>
      <c r="X573" s="3">
        <f ca="1">'ETF price'!Y575-'ETF price'!Y574</f>
        <v>-0.17999999999999972</v>
      </c>
      <c r="Y573" s="3">
        <f ca="1">'ETF price'!Z575-'ETF price'!Z574</f>
        <v>-0.54999999999999716</v>
      </c>
      <c r="Z573" s="3">
        <f ca="1">'ETF price'!AA575-'ETF price'!AA574</f>
        <v>-0.64999999999999858</v>
      </c>
      <c r="AA573" s="3">
        <f ca="1">'ETF price'!AB575-'ETF price'!AB574</f>
        <v>-0.17999999999999972</v>
      </c>
      <c r="AB573" s="3">
        <f ca="1">'ETF price'!AC575-'ETF price'!AC574</f>
        <v>0.17999999999999972</v>
      </c>
      <c r="AC573" s="3">
        <f ca="1">'ETF price'!AD575-'ETF price'!AD574</f>
        <v>-0.87999999999999901</v>
      </c>
      <c r="AD573" s="3">
        <f ca="1">'ETF price'!AE575-'ETF price'!AE574</f>
        <v>-1.6000000000000014</v>
      </c>
      <c r="AE573" s="3">
        <f ca="1">'ETF price'!AF575-'ETF price'!AF574</f>
        <v>-3.0000000000000249E-2</v>
      </c>
      <c r="AF573" s="3">
        <f ca="1">'ETF price'!AG575-'ETF price'!AG574</f>
        <v>-2.4200000000000017</v>
      </c>
    </row>
    <row r="574" spans="1:32" ht="12.75" x14ac:dyDescent="0.2">
      <c r="A574" s="3">
        <f ca="1">'ETF price'!B576-'ETF price'!B575</f>
        <v>0.23999999999998067</v>
      </c>
      <c r="B574" s="3">
        <f ca="1">'ETF price'!C576-'ETF price'!C575</f>
        <v>0.30000000000001137</v>
      </c>
      <c r="C574" s="3">
        <f ca="1">'ETF price'!D576-'ETF price'!D575</f>
        <v>-3.6599999999999966</v>
      </c>
      <c r="D574" s="3">
        <f ca="1">'ETF price'!E576-'ETF price'!E575</f>
        <v>1.6299999999999955</v>
      </c>
      <c r="E574" s="3">
        <f ca="1">'ETF price'!F576-'ETF price'!F575</f>
        <v>-9.0000000000003411E-2</v>
      </c>
      <c r="F574" s="3">
        <f ca="1">'ETF price'!G576-'ETF price'!G575</f>
        <v>-0.10000000000000142</v>
      </c>
      <c r="G574" s="3">
        <f ca="1">'ETF price'!H576-'ETF price'!H575</f>
        <v>-1.9999999999999574E-2</v>
      </c>
      <c r="H574" s="3">
        <f ca="1">'ETF price'!I576-'ETF price'!I575</f>
        <v>5.0000000000011369E-2</v>
      </c>
      <c r="I574" s="3">
        <f ca="1">'ETF price'!J576-'ETF price'!J575</f>
        <v>0.21999999999999886</v>
      </c>
      <c r="J574" s="3">
        <f ca="1">'ETF price'!K576-'ETF price'!K575</f>
        <v>-0.87000000000000455</v>
      </c>
      <c r="K574" s="3">
        <f ca="1">'ETF price'!L576-'ETF price'!L575</f>
        <v>-0.73999999999999488</v>
      </c>
      <c r="L574" s="3">
        <f ca="1">'ETF price'!M576-'ETF price'!M575</f>
        <v>1.0000000000005116E-2</v>
      </c>
      <c r="M574" s="3">
        <f ca="1">'ETF price'!N576-'ETF price'!N575</f>
        <v>-9.0000000000003411E-2</v>
      </c>
      <c r="N574" s="3">
        <f ca="1">'ETF price'!O576-'ETF price'!O575</f>
        <v>-1</v>
      </c>
      <c r="O574" s="3">
        <f ca="1">'ETF price'!P576-'ETF price'!P575</f>
        <v>-0.82999999999999829</v>
      </c>
      <c r="P574" s="3">
        <f ca="1">'ETF price'!Q576-'ETF price'!Q575</f>
        <v>-1.0999999999999943</v>
      </c>
      <c r="Q574" s="3">
        <f ca="1">'ETF price'!R576-'ETF price'!R575</f>
        <v>-0.68999999999999773</v>
      </c>
      <c r="R574" s="3">
        <f ca="1">'ETF price'!S576-'ETF price'!S575</f>
        <v>0.10999999999999943</v>
      </c>
      <c r="S574" s="3">
        <f ca="1">'ETF price'!T576-'ETF price'!T575</f>
        <v>-3.9999999999999147E-2</v>
      </c>
      <c r="T574" s="3">
        <f ca="1">'ETF price'!U576-'ETF price'!U575</f>
        <v>-0.32000000000000739</v>
      </c>
      <c r="U574" s="3">
        <f ca="1">'ETF price'!V576-'ETF price'!V575</f>
        <v>-0.85999999999999943</v>
      </c>
      <c r="V574" s="3">
        <f ca="1">'ETF price'!W576-'ETF price'!W575</f>
        <v>-0.26999999999999602</v>
      </c>
      <c r="W574" s="3">
        <f ca="1">'ETF price'!X576-'ETF price'!X575</f>
        <v>-0.57999999999999829</v>
      </c>
      <c r="X574" s="3">
        <f ca="1">'ETF price'!Y576-'ETF price'!Y575</f>
        <v>-0.56000000000000227</v>
      </c>
      <c r="Y574" s="3">
        <f ca="1">'ETF price'!Z576-'ETF price'!Z575</f>
        <v>-0.60999999999999943</v>
      </c>
      <c r="Z574" s="3">
        <f ca="1">'ETF price'!AA576-'ETF price'!AA575</f>
        <v>-0.56000000000000227</v>
      </c>
      <c r="AA574" s="3">
        <f ca="1">'ETF price'!AB576-'ETF price'!AB575</f>
        <v>-0.59000000000000341</v>
      </c>
      <c r="AB574" s="3">
        <f ca="1">'ETF price'!AC576-'ETF price'!AC575</f>
        <v>0.76000000000000512</v>
      </c>
      <c r="AC574" s="3">
        <f ca="1">'ETF price'!AD576-'ETF price'!AD575</f>
        <v>-0.21000000000000085</v>
      </c>
      <c r="AD574" s="3">
        <f ca="1">'ETF price'!AE576-'ETF price'!AE575</f>
        <v>-0.21999999999999886</v>
      </c>
      <c r="AE574" s="3">
        <f ca="1">'ETF price'!AF576-'ETF price'!AF575</f>
        <v>-0.27999999999999936</v>
      </c>
      <c r="AF574" s="3">
        <f ca="1">'ETF price'!AG576-'ETF price'!AG575</f>
        <v>-0.55000000000000426</v>
      </c>
    </row>
    <row r="575" spans="1:32" ht="12.75" x14ac:dyDescent="0.2">
      <c r="A575" s="3">
        <f ca="1">'ETF price'!B577-'ETF price'!B576</f>
        <v>-2.9099999999999966</v>
      </c>
      <c r="B575" s="3">
        <f ca="1">'ETF price'!C577-'ETF price'!C576</f>
        <v>-7.5</v>
      </c>
      <c r="C575" s="3">
        <f ca="1">'ETF price'!D577-'ETF price'!D576</f>
        <v>1.4899999999999949</v>
      </c>
      <c r="D575" s="3">
        <f ca="1">'ETF price'!E577-'ETF price'!E576</f>
        <v>-6.5799999999999841</v>
      </c>
      <c r="E575" s="3">
        <f ca="1">'ETF price'!F577-'ETF price'!F576</f>
        <v>-0.63000000000000256</v>
      </c>
      <c r="F575" s="3">
        <f ca="1">'ETF price'!G577-'ETF price'!G576</f>
        <v>-0.33000000000000185</v>
      </c>
      <c r="G575" s="3">
        <f ca="1">'ETF price'!H577-'ETF price'!H576</f>
        <v>-0.19000000000000128</v>
      </c>
      <c r="H575" s="3">
        <f ca="1">'ETF price'!I577-'ETF price'!I576</f>
        <v>-0.24000000000000909</v>
      </c>
      <c r="I575" s="3">
        <f ca="1">'ETF price'!J577-'ETF price'!J576</f>
        <v>-0.68000000000000682</v>
      </c>
      <c r="J575" s="3">
        <f ca="1">'ETF price'!K577-'ETF price'!K576</f>
        <v>-1.0799999999999983</v>
      </c>
      <c r="K575" s="3">
        <f ca="1">'ETF price'!L577-'ETF price'!L576</f>
        <v>-0.95999999999999375</v>
      </c>
      <c r="L575" s="3">
        <f ca="1">'ETF price'!M577-'ETF price'!M576</f>
        <v>-0.17999999999999972</v>
      </c>
      <c r="M575" s="3">
        <f ca="1">'ETF price'!N577-'ETF price'!N576</f>
        <v>-0.16999999999998749</v>
      </c>
      <c r="N575" s="3">
        <f ca="1">'ETF price'!O577-'ETF price'!O576</f>
        <v>-0.45000000000000284</v>
      </c>
      <c r="O575" s="3">
        <f ca="1">'ETF price'!P577-'ETF price'!P576</f>
        <v>-0.27000000000001023</v>
      </c>
      <c r="P575" s="3">
        <f ca="1">'ETF price'!Q577-'ETF price'!Q576</f>
        <v>-0.59999999999999432</v>
      </c>
      <c r="Q575" s="3">
        <f ca="1">'ETF price'!R577-'ETF price'!R576</f>
        <v>0.20000000000000284</v>
      </c>
      <c r="R575" s="3">
        <f ca="1">'ETF price'!S577-'ETF price'!S576</f>
        <v>-8.9999999999996305E-2</v>
      </c>
      <c r="S575" s="3">
        <f ca="1">'ETF price'!T577-'ETF price'!T576</f>
        <v>-0.37000000000000099</v>
      </c>
      <c r="T575" s="3">
        <f ca="1">'ETF price'!U577-'ETF price'!U576</f>
        <v>-2.4200000000000017</v>
      </c>
      <c r="U575" s="3">
        <f ca="1">'ETF price'!V577-'ETF price'!V576</f>
        <v>0.35999999999999943</v>
      </c>
      <c r="V575" s="3">
        <f ca="1">'ETF price'!W577-'ETF price'!W576</f>
        <v>9.9999999999994316E-2</v>
      </c>
      <c r="W575" s="3">
        <f ca="1">'ETF price'!X577-'ETF price'!X576</f>
        <v>0.12999999999999545</v>
      </c>
      <c r="X575" s="3">
        <f ca="1">'ETF price'!Y577-'ETF price'!Y576</f>
        <v>5.0000000000004263E-2</v>
      </c>
      <c r="Y575" s="3">
        <f ca="1">'ETF price'!Z577-'ETF price'!Z576</f>
        <v>9.9999999999994316E-2</v>
      </c>
      <c r="Z575" s="3">
        <f ca="1">'ETF price'!AA577-'ETF price'!AA576</f>
        <v>-0.30000000000000426</v>
      </c>
      <c r="AA575" s="3">
        <f ca="1">'ETF price'!AB577-'ETF price'!AB576</f>
        <v>7.9999999999998295E-2</v>
      </c>
      <c r="AB575" s="3">
        <f ca="1">'ETF price'!AC577-'ETF price'!AC576</f>
        <v>0.95000000000000284</v>
      </c>
      <c r="AC575" s="3">
        <f ca="1">'ETF price'!AD577-'ETF price'!AD576</f>
        <v>-0.41000000000000014</v>
      </c>
      <c r="AD575" s="3">
        <f ca="1">'ETF price'!AE577-'ETF price'!AE576</f>
        <v>-0.82000000000000028</v>
      </c>
      <c r="AE575" s="3">
        <f ca="1">'ETF price'!AF577-'ETF price'!AF576</f>
        <v>-0.22000000000000064</v>
      </c>
      <c r="AF575" s="3">
        <f ca="1">'ETF price'!AG577-'ETF price'!AG576</f>
        <v>5.0000000000004263E-2</v>
      </c>
    </row>
    <row r="576" spans="1:32" ht="12.75" x14ac:dyDescent="0.2">
      <c r="A576" s="3">
        <f ca="1">'ETF price'!B578-'ETF price'!B577</f>
        <v>-2.2699999999999818</v>
      </c>
      <c r="B576" s="3">
        <f ca="1">'ETF price'!C578-'ETF price'!C577</f>
        <v>-4.7199999999999704</v>
      </c>
      <c r="C576" s="3">
        <f ca="1">'ETF price'!D578-'ETF price'!D577</f>
        <v>2.2800000000000153</v>
      </c>
      <c r="D576" s="3">
        <f ca="1">'ETF price'!E578-'ETF price'!E577</f>
        <v>-3.7300000000000182</v>
      </c>
      <c r="E576" s="3">
        <f ca="1">'ETF price'!F578-'ETF price'!F577</f>
        <v>-0.14000000000000057</v>
      </c>
      <c r="F576" s="3">
        <f ca="1">'ETF price'!G578-'ETF price'!G577</f>
        <v>0.16000000000000014</v>
      </c>
      <c r="G576" s="3">
        <f ca="1">'ETF price'!H578-'ETF price'!H577</f>
        <v>-0.14999999999999858</v>
      </c>
      <c r="H576" s="3">
        <f ca="1">'ETF price'!I578-'ETF price'!I577</f>
        <v>-9.9999999999909051E-3</v>
      </c>
      <c r="I576" s="3">
        <f ca="1">'ETF price'!J578-'ETF price'!J577</f>
        <v>-0.29999999999998295</v>
      </c>
      <c r="J576" s="3">
        <f ca="1">'ETF price'!K578-'ETF price'!K577</f>
        <v>-1.25</v>
      </c>
      <c r="K576" s="3">
        <f ca="1">'ETF price'!L578-'ETF price'!L577</f>
        <v>-1.1700000000000017</v>
      </c>
      <c r="L576" s="3">
        <f ca="1">'ETF price'!M578-'ETF price'!M577</f>
        <v>-0.94000000000000483</v>
      </c>
      <c r="M576" s="3">
        <f ca="1">'ETF price'!N578-'ETF price'!N577</f>
        <v>-5.0000000000011369E-2</v>
      </c>
      <c r="N576" s="3">
        <f ca="1">'ETF price'!O578-'ETF price'!O577</f>
        <v>-0.42999999999999972</v>
      </c>
      <c r="O576" s="3">
        <f ca="1">'ETF price'!P578-'ETF price'!P577</f>
        <v>-0.28999999999999204</v>
      </c>
      <c r="P576" s="3">
        <f ca="1">'ETF price'!Q578-'ETF price'!Q577</f>
        <v>-0.28999999999999204</v>
      </c>
      <c r="Q576" s="3">
        <f ca="1">'ETF price'!R578-'ETF price'!R577</f>
        <v>3.0000000000001137E-2</v>
      </c>
      <c r="R576" s="3">
        <f ca="1">'ETF price'!S578-'ETF price'!S577</f>
        <v>-0.30000000000000426</v>
      </c>
      <c r="S576" s="3">
        <f ca="1">'ETF price'!T578-'ETF price'!T577</f>
        <v>-1.0000000000001563E-2</v>
      </c>
      <c r="T576" s="3">
        <f ca="1">'ETF price'!U578-'ETF price'!U577</f>
        <v>-0.12999999999999545</v>
      </c>
      <c r="U576" s="3">
        <f ca="1">'ETF price'!V578-'ETF price'!V577</f>
        <v>-0.39999999999999858</v>
      </c>
      <c r="V576" s="3">
        <f ca="1">'ETF price'!W578-'ETF price'!W577</f>
        <v>0.14000000000000057</v>
      </c>
      <c r="W576" s="3">
        <f ca="1">'ETF price'!X578-'ETF price'!X577</f>
        <v>0.37000000000000455</v>
      </c>
      <c r="X576" s="3">
        <f ca="1">'ETF price'!Y578-'ETF price'!Y577</f>
        <v>0.29999999999999716</v>
      </c>
      <c r="Y576" s="3">
        <f ca="1">'ETF price'!Z578-'ETF price'!Z577</f>
        <v>0.55000000000001137</v>
      </c>
      <c r="Z576" s="3">
        <f ca="1">'ETF price'!AA578-'ETF price'!AA577</f>
        <v>1.0000000000005116E-2</v>
      </c>
      <c r="AA576" s="3">
        <f ca="1">'ETF price'!AB578-'ETF price'!AB577</f>
        <v>0.28000000000000114</v>
      </c>
      <c r="AB576" s="3">
        <f ca="1">'ETF price'!AC578-'ETF price'!AC577</f>
        <v>0.50999999999999091</v>
      </c>
      <c r="AC576" s="3">
        <f ca="1">'ETF price'!AD578-'ETF price'!AD577</f>
        <v>0.5400000000000027</v>
      </c>
      <c r="AD576" s="3">
        <f ca="1">'ETF price'!AE578-'ETF price'!AE577</f>
        <v>1.129999999999999</v>
      </c>
      <c r="AE576" s="3">
        <f ca="1">'ETF price'!AF578-'ETF price'!AF577</f>
        <v>0</v>
      </c>
      <c r="AF576" s="3">
        <f ca="1">'ETF price'!AG578-'ETF price'!AG577</f>
        <v>1.3100000000000023</v>
      </c>
    </row>
    <row r="577" spans="1:32" ht="12.75" x14ac:dyDescent="0.2">
      <c r="A577" s="3">
        <f ca="1">'ETF price'!B579-'ETF price'!B578</f>
        <v>-4.0500000000000114</v>
      </c>
      <c r="B577" s="3">
        <f ca="1">'ETF price'!C579-'ETF price'!C578</f>
        <v>-13.07000000000005</v>
      </c>
      <c r="C577" s="3">
        <f ca="1">'ETF price'!D579-'ETF price'!D578</f>
        <v>0.31999999999999318</v>
      </c>
      <c r="D577" s="3">
        <f ca="1">'ETF price'!E579-'ETF price'!E578</f>
        <v>-8.2400000000000091</v>
      </c>
      <c r="E577" s="3">
        <f ca="1">'ETF price'!F579-'ETF price'!F578</f>
        <v>-0.44999999999999574</v>
      </c>
      <c r="F577" s="3">
        <f ca="1">'ETF price'!G579-'ETF price'!G578</f>
        <v>-0.58999999999999986</v>
      </c>
      <c r="G577" s="3">
        <f ca="1">'ETF price'!H579-'ETF price'!H578</f>
        <v>-0.32999999999999829</v>
      </c>
      <c r="H577" s="3">
        <f ca="1">'ETF price'!I579-'ETF price'!I578</f>
        <v>0.51999999999998181</v>
      </c>
      <c r="I577" s="3">
        <f ca="1">'ETF price'!J579-'ETF price'!J578</f>
        <v>0.5</v>
      </c>
      <c r="J577" s="3">
        <f ca="1">'ETF price'!K579-'ETF price'!K578</f>
        <v>7.9999999999998295E-2</v>
      </c>
      <c r="K577" s="3">
        <f ca="1">'ETF price'!L579-'ETF price'!L578</f>
        <v>-0.65000000000000568</v>
      </c>
      <c r="L577" s="3">
        <f ca="1">'ETF price'!M579-'ETF price'!M578</f>
        <v>0.23000000000000398</v>
      </c>
      <c r="M577" s="3">
        <f ca="1">'ETF price'!N579-'ETF price'!N578</f>
        <v>0.24000000000000909</v>
      </c>
      <c r="N577" s="3">
        <f ca="1">'ETF price'!O579-'ETF price'!O578</f>
        <v>-0.39999999999999858</v>
      </c>
      <c r="O577" s="3">
        <f ca="1">'ETF price'!P579-'ETF price'!P578</f>
        <v>1.1299999999999955</v>
      </c>
      <c r="P577" s="3">
        <f ca="1">'ETF price'!Q579-'ETF price'!Q578</f>
        <v>1.5699999999999932</v>
      </c>
      <c r="Q577" s="3">
        <f ca="1">'ETF price'!R579-'ETF price'!R578</f>
        <v>-7.000000000000739E-2</v>
      </c>
      <c r="R577" s="3">
        <f ca="1">'ETF price'!S579-'ETF price'!S578</f>
        <v>-7.0000000000000284E-2</v>
      </c>
      <c r="S577" s="3">
        <f ca="1">'ETF price'!T579-'ETF price'!T578</f>
        <v>0.11000000000000298</v>
      </c>
      <c r="T577" s="3">
        <f ca="1">'ETF price'!U579-'ETF price'!U578</f>
        <v>6.9999999999993179E-2</v>
      </c>
      <c r="U577" s="3">
        <f ca="1">'ETF price'!V579-'ETF price'!V578</f>
        <v>-0.10999999999999943</v>
      </c>
      <c r="V577" s="3">
        <f ca="1">'ETF price'!W579-'ETF price'!W578</f>
        <v>0.55000000000000426</v>
      </c>
      <c r="W577" s="3">
        <f ca="1">'ETF price'!X579-'ETF price'!X578</f>
        <v>1.3499999999999943</v>
      </c>
      <c r="X577" s="3">
        <f ca="1">'ETF price'!Y579-'ETF price'!Y578</f>
        <v>1.009999999999998</v>
      </c>
      <c r="Y577" s="3">
        <f ca="1">'ETF price'!Z579-'ETF price'!Z578</f>
        <v>1.2599999999999909</v>
      </c>
      <c r="Z577" s="3">
        <f ca="1">'ETF price'!AA579-'ETF price'!AA578</f>
        <v>0.14000000000000057</v>
      </c>
      <c r="AA577" s="3">
        <f ca="1">'ETF price'!AB579-'ETF price'!AB578</f>
        <v>1.2100000000000009</v>
      </c>
      <c r="AB577" s="3">
        <f ca="1">'ETF price'!AC579-'ETF price'!AC578</f>
        <v>3.0000000000001137E-2</v>
      </c>
      <c r="AC577" s="3">
        <f ca="1">'ETF price'!AD579-'ETF price'!AD578</f>
        <v>0.25999999999999801</v>
      </c>
      <c r="AD577" s="3">
        <f ca="1">'ETF price'!AE579-'ETF price'!AE578</f>
        <v>0.33000000000000185</v>
      </c>
      <c r="AE577" s="3">
        <f ca="1">'ETF price'!AF579-'ETF price'!AF578</f>
        <v>-8.9999999999999858E-2</v>
      </c>
      <c r="AF577" s="3">
        <f ca="1">'ETF price'!AG579-'ETF price'!AG578</f>
        <v>1.2099999999999937</v>
      </c>
    </row>
    <row r="578" spans="1:32" ht="12.75" x14ac:dyDescent="0.2">
      <c r="A578" s="3">
        <f ca="1">'ETF price'!B580-'ETF price'!B579</f>
        <v>1.7199999999999989</v>
      </c>
      <c r="B578" s="3">
        <f ca="1">'ETF price'!C580-'ETF price'!C579</f>
        <v>6.5600000000000023</v>
      </c>
      <c r="C578" s="3">
        <f ca="1">'ETF price'!D580-'ETF price'!D579</f>
        <v>-0.64000000000001478</v>
      </c>
      <c r="D578" s="3">
        <f ca="1">'ETF price'!E580-'ETF price'!E579</f>
        <v>3.2700000000000102</v>
      </c>
      <c r="E578" s="3">
        <f ca="1">'ETF price'!F580-'ETF price'!F579</f>
        <v>0.71000000000000085</v>
      </c>
      <c r="F578" s="3">
        <f ca="1">'ETF price'!G580-'ETF price'!G579</f>
        <v>0.46000000000000085</v>
      </c>
      <c r="G578" s="3">
        <f ca="1">'ETF price'!H580-'ETF price'!H579</f>
        <v>0.25</v>
      </c>
      <c r="H578" s="3">
        <f ca="1">'ETF price'!I580-'ETF price'!I579</f>
        <v>0.53000000000000114</v>
      </c>
      <c r="I578" s="3">
        <f ca="1">'ETF price'!J580-'ETF price'!J579</f>
        <v>1.1999999999999886</v>
      </c>
      <c r="J578" s="3">
        <f ca="1">'ETF price'!K580-'ETF price'!K579</f>
        <v>1.3900000000000006</v>
      </c>
      <c r="K578" s="3">
        <f ca="1">'ETF price'!L580-'ETF price'!L579</f>
        <v>0.92000000000000171</v>
      </c>
      <c r="L578" s="3">
        <f ca="1">'ETF price'!M580-'ETF price'!M579</f>
        <v>0.54999999999999716</v>
      </c>
      <c r="M578" s="3">
        <f ca="1">'ETF price'!N580-'ETF price'!N579</f>
        <v>0.22999999999998977</v>
      </c>
      <c r="N578" s="3">
        <f ca="1">'ETF price'!O580-'ETF price'!O579</f>
        <v>0.84000000000000341</v>
      </c>
      <c r="O578" s="3">
        <f ca="1">'ETF price'!P580-'ETF price'!P579</f>
        <v>0.62000000000000455</v>
      </c>
      <c r="P578" s="3">
        <f ca="1">'ETF price'!Q580-'ETF price'!Q579</f>
        <v>0.94999999999998863</v>
      </c>
      <c r="Q578" s="3">
        <f ca="1">'ETF price'!R580-'ETF price'!R579</f>
        <v>9.0000000000003411E-2</v>
      </c>
      <c r="R578" s="3">
        <f ca="1">'ETF price'!S580-'ETF price'!S579</f>
        <v>-0.54999999999999716</v>
      </c>
      <c r="S578" s="3">
        <f ca="1">'ETF price'!T580-'ETF price'!T579</f>
        <v>0</v>
      </c>
      <c r="T578" s="3">
        <f ca="1">'ETF price'!U580-'ETF price'!U579</f>
        <v>-6.9999999999993179E-2</v>
      </c>
      <c r="U578" s="3">
        <f ca="1">'ETF price'!V580-'ETF price'!V579</f>
        <v>0.35999999999999943</v>
      </c>
      <c r="V578" s="3">
        <f ca="1">'ETF price'!W580-'ETF price'!W579</f>
        <v>0.48999999999999488</v>
      </c>
      <c r="W578" s="3">
        <f ca="1">'ETF price'!X580-'ETF price'!X579</f>
        <v>1.3100000000000023</v>
      </c>
      <c r="X578" s="3">
        <f ca="1">'ETF price'!Y580-'ETF price'!Y579</f>
        <v>0.76000000000000512</v>
      </c>
      <c r="Y578" s="3">
        <f ca="1">'ETF price'!Z580-'ETF price'!Z579</f>
        <v>1.3700000000000045</v>
      </c>
      <c r="Z578" s="3">
        <f ca="1">'ETF price'!AA580-'ETF price'!AA579</f>
        <v>0.28999999999999915</v>
      </c>
      <c r="AA578" s="3">
        <f ca="1">'ETF price'!AB580-'ETF price'!AB579</f>
        <v>0.85999999999999943</v>
      </c>
      <c r="AB578" s="3">
        <f ca="1">'ETF price'!AC580-'ETF price'!AC579</f>
        <v>-0.34999999999999432</v>
      </c>
      <c r="AC578" s="3">
        <f ca="1">'ETF price'!AD580-'ETF price'!AD579</f>
        <v>0.51999999999999957</v>
      </c>
      <c r="AD578" s="3">
        <f ca="1">'ETF price'!AE580-'ETF price'!AE579</f>
        <v>0.92999999999999972</v>
      </c>
      <c r="AE578" s="3">
        <f ca="1">'ETF price'!AF580-'ETF price'!AF579</f>
        <v>-1.9999999999999574E-2</v>
      </c>
      <c r="AF578" s="3">
        <f ca="1">'ETF price'!AG580-'ETF price'!AG579</f>
        <v>3.7100000000000009</v>
      </c>
    </row>
    <row r="579" spans="1:32" ht="12.75" x14ac:dyDescent="0.2">
      <c r="A579" s="3">
        <f ca="1">'ETF price'!B581-'ETF price'!B580</f>
        <v>2.8799999999999955</v>
      </c>
      <c r="B579" s="3">
        <f ca="1">'ETF price'!C581-'ETF price'!C580</f>
        <v>7.9900000000000091</v>
      </c>
      <c r="C579" s="3">
        <f ca="1">'ETF price'!D581-'ETF price'!D580</f>
        <v>2.75</v>
      </c>
      <c r="D579" s="3">
        <f ca="1">'ETF price'!E581-'ETF price'!E580</f>
        <v>4.210000000000008</v>
      </c>
      <c r="E579" s="3">
        <f ca="1">'ETF price'!F581-'ETF price'!F580</f>
        <v>1.2899999999999991</v>
      </c>
      <c r="F579" s="3">
        <f ca="1">'ETF price'!G581-'ETF price'!G580</f>
        <v>0.53000000000000114</v>
      </c>
      <c r="G579" s="3">
        <f ca="1">'ETF price'!H581-'ETF price'!H580</f>
        <v>0.39999999999999858</v>
      </c>
      <c r="H579" s="3">
        <f ca="1">'ETF price'!I581-'ETF price'!I580</f>
        <v>1.8200000000000216</v>
      </c>
      <c r="I579" s="3">
        <f ca="1">'ETF price'!J581-'ETF price'!J580</f>
        <v>3.289999999999992</v>
      </c>
      <c r="J579" s="3">
        <f ca="1">'ETF price'!K581-'ETF price'!K580</f>
        <v>1.9100000000000108</v>
      </c>
      <c r="K579" s="3">
        <f ca="1">'ETF price'!L581-'ETF price'!L580</f>
        <v>0.93999999999999773</v>
      </c>
      <c r="L579" s="3">
        <f ca="1">'ETF price'!M581-'ETF price'!M580</f>
        <v>0.75</v>
      </c>
      <c r="M579" s="3">
        <f ca="1">'ETF price'!N581-'ETF price'!N580</f>
        <v>0.9100000000000108</v>
      </c>
      <c r="N579" s="3">
        <f ca="1">'ETF price'!O581-'ETF price'!O580</f>
        <v>0.53999999999999915</v>
      </c>
      <c r="O579" s="3">
        <f ca="1">'ETF price'!P581-'ETF price'!P580</f>
        <v>0.53000000000000114</v>
      </c>
      <c r="P579" s="3">
        <f ca="1">'ETF price'!Q581-'ETF price'!Q580</f>
        <v>0.51000000000001933</v>
      </c>
      <c r="Q579" s="3">
        <f ca="1">'ETF price'!R581-'ETF price'!R580</f>
        <v>-0.76999999999999602</v>
      </c>
      <c r="R579" s="3">
        <f ca="1">'ETF price'!S581-'ETF price'!S580</f>
        <v>-0.85000000000000142</v>
      </c>
      <c r="S579" s="3">
        <f ca="1">'ETF price'!T581-'ETF price'!T580</f>
        <v>9.9999999999997868E-2</v>
      </c>
      <c r="T579" s="3">
        <f ca="1">'ETF price'!U581-'ETF price'!U580</f>
        <v>1.2000000000000028</v>
      </c>
      <c r="U579" s="3">
        <f ca="1">'ETF price'!V581-'ETF price'!V580</f>
        <v>0.54999999999999716</v>
      </c>
      <c r="V579" s="3">
        <f ca="1">'ETF price'!W581-'ETF price'!W580</f>
        <v>0.26000000000000512</v>
      </c>
      <c r="W579" s="3">
        <f ca="1">'ETF price'!X581-'ETF price'!X580</f>
        <v>0.75999999999999091</v>
      </c>
      <c r="X579" s="3">
        <f ca="1">'ETF price'!Y581-'ETF price'!Y580</f>
        <v>0.46999999999999886</v>
      </c>
      <c r="Y579" s="3">
        <f ca="1">'ETF price'!Z581-'ETF price'!Z580</f>
        <v>0.48000000000000398</v>
      </c>
      <c r="Z579" s="3">
        <f ca="1">'ETF price'!AA581-'ETF price'!AA580</f>
        <v>0.32999999999999829</v>
      </c>
      <c r="AA579" s="3">
        <f ca="1">'ETF price'!AB581-'ETF price'!AB580</f>
        <v>0.54999999999999716</v>
      </c>
      <c r="AB579" s="3">
        <f ca="1">'ETF price'!AC581-'ETF price'!AC580</f>
        <v>-1.9999999999996021E-2</v>
      </c>
      <c r="AC579" s="3">
        <f ca="1">'ETF price'!AD581-'ETF price'!AD580</f>
        <v>0.10000000000000142</v>
      </c>
      <c r="AD579" s="3">
        <f ca="1">'ETF price'!AE581-'ETF price'!AE580</f>
        <v>-1.9999999999999574E-2</v>
      </c>
      <c r="AE579" s="3">
        <f ca="1">'ETF price'!AF581-'ETF price'!AF580</f>
        <v>0.35999999999999943</v>
      </c>
      <c r="AF579" s="3">
        <f ca="1">'ETF price'!AG581-'ETF price'!AG580</f>
        <v>2.3000000000000043</v>
      </c>
    </row>
    <row r="580" spans="1:32" ht="12.75" x14ac:dyDescent="0.2">
      <c r="A580" s="3">
        <f ca="1">'ETF price'!B582-'ETF price'!B581</f>
        <v>0.90000000000000568</v>
      </c>
      <c r="B580" s="3">
        <f ca="1">'ETF price'!C582-'ETF price'!C581</f>
        <v>0.79000000000002046</v>
      </c>
      <c r="C580" s="3">
        <f ca="1">'ETF price'!D582-'ETF price'!D581</f>
        <v>9.0000000000003411E-2</v>
      </c>
      <c r="D580" s="3">
        <f ca="1">'ETF price'!E582-'ETF price'!E581</f>
        <v>2.6699999999999875</v>
      </c>
      <c r="E580" s="3">
        <f ca="1">'ETF price'!F582-'ETF price'!F581</f>
        <v>3.0000000000001137E-2</v>
      </c>
      <c r="F580" s="3">
        <f ca="1">'ETF price'!G582-'ETF price'!G581</f>
        <v>-8.0000000000001847E-2</v>
      </c>
      <c r="G580" s="3">
        <f ca="1">'ETF price'!H582-'ETF price'!H581</f>
        <v>-1.0000000000001563E-2</v>
      </c>
      <c r="H580" s="3">
        <f ca="1">'ETF price'!I582-'ETF price'!I581</f>
        <v>-0.43999999999999773</v>
      </c>
      <c r="I580" s="3">
        <f ca="1">'ETF price'!J582-'ETF price'!J581</f>
        <v>-0.56000000000000227</v>
      </c>
      <c r="J580" s="3">
        <f ca="1">'ETF price'!K582-'ETF price'!K581</f>
        <v>-0.26000000000000512</v>
      </c>
      <c r="K580" s="3">
        <f ca="1">'ETF price'!L582-'ETF price'!L581</f>
        <v>-0.75</v>
      </c>
      <c r="L580" s="3">
        <f ca="1">'ETF price'!M582-'ETF price'!M581</f>
        <v>-0.26999999999999602</v>
      </c>
      <c r="M580" s="3">
        <f ca="1">'ETF price'!N582-'ETF price'!N581</f>
        <v>-0.19000000000001194</v>
      </c>
      <c r="N580" s="3">
        <f ca="1">'ETF price'!O582-'ETF price'!O581</f>
        <v>-0.34000000000000341</v>
      </c>
      <c r="O580" s="3">
        <f ca="1">'ETF price'!P582-'ETF price'!P581</f>
        <v>6.9999999999993179E-2</v>
      </c>
      <c r="P580" s="3">
        <f ca="1">'ETF price'!Q582-'ETF price'!Q581</f>
        <v>0.18999999999999773</v>
      </c>
      <c r="Q580" s="3">
        <f ca="1">'ETF price'!R582-'ETF price'!R581</f>
        <v>6.0000000000002274E-2</v>
      </c>
      <c r="R580" s="3">
        <f ca="1">'ETF price'!S582-'ETF price'!S581</f>
        <v>-0.20000000000000284</v>
      </c>
      <c r="S580" s="3">
        <f ca="1">'ETF price'!T582-'ETF price'!T581</f>
        <v>-2.9999999999997584E-2</v>
      </c>
      <c r="T580" s="3">
        <f ca="1">'ETF price'!U582-'ETF price'!U581</f>
        <v>-0.34000000000000341</v>
      </c>
      <c r="U580" s="3">
        <f ca="1">'ETF price'!V582-'ETF price'!V581</f>
        <v>-0.18999999999999773</v>
      </c>
      <c r="V580" s="3">
        <f ca="1">'ETF price'!W582-'ETF price'!W581</f>
        <v>-1.0000000000005116E-2</v>
      </c>
      <c r="W580" s="3">
        <f ca="1">'ETF price'!X582-'ETF price'!X581</f>
        <v>-9.9999999999994316E-2</v>
      </c>
      <c r="X580" s="3">
        <f ca="1">'ETF price'!Y582-'ETF price'!Y581</f>
        <v>0.32000000000000028</v>
      </c>
      <c r="Y580" s="3">
        <f ca="1">'ETF price'!Z582-'ETF price'!Z581</f>
        <v>-0.19000000000001194</v>
      </c>
      <c r="Z580" s="3">
        <f ca="1">'ETF price'!AA582-'ETF price'!AA581</f>
        <v>0.14000000000000057</v>
      </c>
      <c r="AA580" s="3">
        <f ca="1">'ETF price'!AB582-'ETF price'!AB581</f>
        <v>0.28000000000000114</v>
      </c>
      <c r="AB580" s="3">
        <f ca="1">'ETF price'!AC582-'ETF price'!AC581</f>
        <v>-0.20000000000000284</v>
      </c>
      <c r="AC580" s="3">
        <f ca="1">'ETF price'!AD582-'ETF price'!AD581</f>
        <v>-0.64000000000000057</v>
      </c>
      <c r="AD580" s="3">
        <f ca="1">'ETF price'!AE582-'ETF price'!AE581</f>
        <v>-1.1600000000000001</v>
      </c>
      <c r="AE580" s="3">
        <f ca="1">'ETF price'!AF582-'ETF price'!AF581</f>
        <v>0.20999999999999996</v>
      </c>
      <c r="AF580" s="3">
        <f ca="1">'ETF price'!AG582-'ETF price'!AG581</f>
        <v>-1.3599999999999994</v>
      </c>
    </row>
    <row r="581" spans="1:32" ht="12.75" x14ac:dyDescent="0.2">
      <c r="A581" s="3">
        <f ca="1">'ETF price'!B583-'ETF price'!B582</f>
        <v>-0.43000000000000682</v>
      </c>
      <c r="B581" s="3">
        <f ca="1">'ETF price'!C583-'ETF price'!C582</f>
        <v>0.19999999999998863</v>
      </c>
      <c r="C581" s="3">
        <f ca="1">'ETF price'!D583-'ETF price'!D582</f>
        <v>-2.8700000000000045</v>
      </c>
      <c r="D581" s="3">
        <f ca="1">'ETF price'!E583-'ETF price'!E582</f>
        <v>3.8700000000000045</v>
      </c>
      <c r="E581" s="3">
        <f ca="1">'ETF price'!F583-'ETF price'!F582</f>
        <v>-0.12000000000000455</v>
      </c>
      <c r="F581" s="3">
        <f ca="1">'ETF price'!G583-'ETF price'!G582</f>
        <v>-0.21999999999999886</v>
      </c>
      <c r="G581" s="3">
        <f ca="1">'ETF price'!H583-'ETF price'!H582</f>
        <v>-9.9999999999980105E-3</v>
      </c>
      <c r="H581" s="3">
        <f ca="1">'ETF price'!I583-'ETF price'!I582</f>
        <v>-0.94000000000002615</v>
      </c>
      <c r="I581" s="3">
        <f ca="1">'ETF price'!J583-'ETF price'!J582</f>
        <v>-2.0199999999999818</v>
      </c>
      <c r="J581" s="3">
        <f ca="1">'ETF price'!K583-'ETF price'!K582</f>
        <v>-2.0900000000000034</v>
      </c>
      <c r="K581" s="3">
        <f ca="1">'ETF price'!L583-'ETF price'!L582</f>
        <v>-1.7199999999999989</v>
      </c>
      <c r="L581" s="3">
        <f ca="1">'ETF price'!M583-'ETF price'!M582</f>
        <v>-1.0300000000000011</v>
      </c>
      <c r="M581" s="3">
        <f ca="1">'ETF price'!N583-'ETF price'!N582</f>
        <v>-0.54999999999999716</v>
      </c>
      <c r="N581" s="3">
        <f ca="1">'ETF price'!O583-'ETF price'!O582</f>
        <v>-1</v>
      </c>
      <c r="O581" s="3">
        <f ca="1">'ETF price'!P583-'ETF price'!P582</f>
        <v>0.43999999999999773</v>
      </c>
      <c r="P581" s="3">
        <f ca="1">'ETF price'!Q583-'ETF price'!Q582</f>
        <v>0.65999999999999659</v>
      </c>
      <c r="Q581" s="3">
        <f ca="1">'ETF price'!R583-'ETF price'!R582</f>
        <v>0.62999999999999545</v>
      </c>
      <c r="R581" s="3">
        <f ca="1">'ETF price'!S583-'ETF price'!S582</f>
        <v>1.0300000000000011</v>
      </c>
      <c r="S581" s="3">
        <f ca="1">'ETF price'!T583-'ETF price'!T582</f>
        <v>0.12999999999999901</v>
      </c>
      <c r="T581" s="3">
        <f ca="1">'ETF price'!U583-'ETF price'!U582</f>
        <v>0.79999999999999716</v>
      </c>
      <c r="U581" s="3">
        <f ca="1">'ETF price'!V583-'ETF price'!V582</f>
        <v>-0.52000000000000313</v>
      </c>
      <c r="V581" s="3">
        <f ca="1">'ETF price'!W583-'ETF price'!W582</f>
        <v>-0.23999999999999488</v>
      </c>
      <c r="W581" s="3">
        <f ca="1">'ETF price'!X583-'ETF price'!X582</f>
        <v>-0.59999999999999432</v>
      </c>
      <c r="X581" s="3">
        <f ca="1">'ETF price'!Y583-'ETF price'!Y582</f>
        <v>-0.49000000000000199</v>
      </c>
      <c r="Y581" s="3">
        <f ca="1">'ETF price'!Z583-'ETF price'!Z582</f>
        <v>-0.46999999999999886</v>
      </c>
      <c r="Z581" s="3">
        <f ca="1">'ETF price'!AA583-'ETF price'!AA582</f>
        <v>-0.21000000000000085</v>
      </c>
      <c r="AA581" s="3">
        <f ca="1">'ETF price'!AB583-'ETF price'!AB582</f>
        <v>-0.53999999999999915</v>
      </c>
      <c r="AB581" s="3">
        <f ca="1">'ETF price'!AC583-'ETF price'!AC582</f>
        <v>-0.85000000000000142</v>
      </c>
      <c r="AC581" s="3">
        <f ca="1">'ETF price'!AD583-'ETF price'!AD582</f>
        <v>0.19999999999999929</v>
      </c>
      <c r="AD581" s="3">
        <f ca="1">'ETF price'!AE583-'ETF price'!AE582</f>
        <v>0.36999999999999744</v>
      </c>
      <c r="AE581" s="3">
        <f ca="1">'ETF price'!AF583-'ETF price'!AF582</f>
        <v>0.13000000000000078</v>
      </c>
      <c r="AF581" s="3">
        <f ca="1">'ETF price'!AG583-'ETF price'!AG582</f>
        <v>-0.35999999999999943</v>
      </c>
    </row>
    <row r="582" spans="1:32" ht="12.75" x14ac:dyDescent="0.2">
      <c r="A582" s="3">
        <f ca="1">'ETF price'!B584-'ETF price'!B583</f>
        <v>2.2300000000000182</v>
      </c>
      <c r="B582" s="3">
        <f ca="1">'ETF price'!C584-'ETF price'!C583</f>
        <v>8.5</v>
      </c>
      <c r="C582" s="3">
        <f ca="1">'ETF price'!D584-'ETF price'!D583</f>
        <v>-1.2199999999999847</v>
      </c>
      <c r="D582" s="3">
        <f ca="1">'ETF price'!E584-'ETF price'!E583</f>
        <v>4.4900000000000091</v>
      </c>
      <c r="E582" s="3">
        <f ca="1">'ETF price'!F584-'ETF price'!F583</f>
        <v>0.62000000000000455</v>
      </c>
      <c r="F582" s="3">
        <f ca="1">'ETF price'!G584-'ETF price'!G583</f>
        <v>0.73999999999999844</v>
      </c>
      <c r="G582" s="3">
        <f ca="1">'ETF price'!H584-'ETF price'!H583</f>
        <v>0.21999999999999886</v>
      </c>
      <c r="H582" s="3">
        <f ca="1">'ETF price'!I584-'ETF price'!I583</f>
        <v>4.0000000000020464E-2</v>
      </c>
      <c r="I582" s="3">
        <f ca="1">'ETF price'!J584-'ETF price'!J583</f>
        <v>7.9999999999984084E-2</v>
      </c>
      <c r="J582" s="3">
        <f ca="1">'ETF price'!K584-'ETF price'!K583</f>
        <v>0.81999999999999318</v>
      </c>
      <c r="K582" s="3">
        <f ca="1">'ETF price'!L584-'ETF price'!L583</f>
        <v>1.269999999999996</v>
      </c>
      <c r="L582" s="3">
        <f ca="1">'ETF price'!M584-'ETF price'!M583</f>
        <v>0.53999999999999915</v>
      </c>
      <c r="M582" s="3">
        <f ca="1">'ETF price'!N584-'ETF price'!N583</f>
        <v>0.10000000000000853</v>
      </c>
      <c r="N582" s="3">
        <f ca="1">'ETF price'!O584-'ETF price'!O583</f>
        <v>0.44000000000000483</v>
      </c>
      <c r="O582" s="3">
        <f ca="1">'ETF price'!P584-'ETF price'!P583</f>
        <v>-0.89000000000000057</v>
      </c>
      <c r="P582" s="3">
        <f ca="1">'ETF price'!Q584-'ETF price'!Q583</f>
        <v>-1.0699999999999932</v>
      </c>
      <c r="Q582" s="3">
        <f ca="1">'ETF price'!R584-'ETF price'!R583</f>
        <v>0.54999999999999716</v>
      </c>
      <c r="R582" s="3">
        <f ca="1">'ETF price'!S584-'ETF price'!S583</f>
        <v>0.52000000000000313</v>
      </c>
      <c r="S582" s="3">
        <f ca="1">'ETF price'!T584-'ETF price'!T583</f>
        <v>1.9999999999999574E-2</v>
      </c>
      <c r="T582" s="3">
        <f ca="1">'ETF price'!U584-'ETF price'!U583</f>
        <v>-4.9999999999997158E-2</v>
      </c>
      <c r="U582" s="3">
        <f ca="1">'ETF price'!V584-'ETF price'!V583</f>
        <v>0.98000000000000398</v>
      </c>
      <c r="V582" s="3">
        <f ca="1">'ETF price'!W584-'ETF price'!W583</f>
        <v>-6.0000000000002274E-2</v>
      </c>
      <c r="W582" s="3">
        <f ca="1">'ETF price'!X584-'ETF price'!X583</f>
        <v>-0.18999999999999773</v>
      </c>
      <c r="X582" s="3">
        <f ca="1">'ETF price'!Y584-'ETF price'!Y583</f>
        <v>-0.14000000000000057</v>
      </c>
      <c r="Y582" s="3">
        <f ca="1">'ETF price'!Z584-'ETF price'!Z583</f>
        <v>-0.31999999999999318</v>
      </c>
      <c r="Z582" s="3">
        <f ca="1">'ETF price'!AA584-'ETF price'!AA583</f>
        <v>3.0000000000001137E-2</v>
      </c>
      <c r="AA582" s="3">
        <f ca="1">'ETF price'!AB584-'ETF price'!AB583</f>
        <v>-0.28000000000000114</v>
      </c>
      <c r="AB582" s="3">
        <f ca="1">'ETF price'!AC584-'ETF price'!AC583</f>
        <v>4.9999999999997158E-2</v>
      </c>
      <c r="AC582" s="3">
        <f ca="1">'ETF price'!AD584-'ETF price'!AD583</f>
        <v>-0.21999999999999886</v>
      </c>
      <c r="AD582" s="3">
        <f ca="1">'ETF price'!AE584-'ETF price'!AE583</f>
        <v>-0.51999999999999957</v>
      </c>
      <c r="AE582" s="3">
        <f ca="1">'ETF price'!AF584-'ETF price'!AF583</f>
        <v>-0.15000000000000036</v>
      </c>
      <c r="AF582" s="3">
        <f ca="1">'ETF price'!AG584-'ETF price'!AG583</f>
        <v>0.72999999999999687</v>
      </c>
    </row>
    <row r="583" spans="1:32" ht="12.75" x14ac:dyDescent="0.2">
      <c r="A583" s="3">
        <f ca="1">'ETF price'!B585-'ETF price'!B584</f>
        <v>0.85999999999998522</v>
      </c>
      <c r="B583" s="3">
        <f ca="1">'ETF price'!C585-'ETF price'!C584</f>
        <v>2</v>
      </c>
      <c r="C583" s="3">
        <f ca="1">'ETF price'!D585-'ETF price'!D584</f>
        <v>2.0599999999999881</v>
      </c>
      <c r="D583" s="3">
        <f ca="1">'ETF price'!E585-'ETF price'!E584</f>
        <v>1.6500000000000057</v>
      </c>
      <c r="E583" s="3">
        <f ca="1">'ETF price'!F585-'ETF price'!F584</f>
        <v>0.28000000000000114</v>
      </c>
      <c r="F583" s="3">
        <f ca="1">'ETF price'!G585-'ETF price'!G584</f>
        <v>0.19000000000000128</v>
      </c>
      <c r="G583" s="3">
        <f ca="1">'ETF price'!H585-'ETF price'!H584</f>
        <v>0.19000000000000128</v>
      </c>
      <c r="H583" s="3">
        <f ca="1">'ETF price'!I585-'ETF price'!I584</f>
        <v>0.46999999999999886</v>
      </c>
      <c r="I583" s="3">
        <f ca="1">'ETF price'!J585-'ETF price'!J584</f>
        <v>1.2200000000000273</v>
      </c>
      <c r="J583" s="3">
        <f ca="1">'ETF price'!K585-'ETF price'!K584</f>
        <v>1.8800000000000097</v>
      </c>
      <c r="K583" s="3">
        <f ca="1">'ETF price'!L585-'ETF price'!L584</f>
        <v>2.0300000000000011</v>
      </c>
      <c r="L583" s="3">
        <f ca="1">'ETF price'!M585-'ETF price'!M584</f>
        <v>1.0499999999999972</v>
      </c>
      <c r="M583" s="3">
        <f ca="1">'ETF price'!N585-'ETF price'!N584</f>
        <v>0.25</v>
      </c>
      <c r="N583" s="3">
        <f ca="1">'ETF price'!O585-'ETF price'!O584</f>
        <v>0.79999999999999716</v>
      </c>
      <c r="O583" s="3">
        <f ca="1">'ETF price'!P585-'ETF price'!P584</f>
        <v>0.65000000000000568</v>
      </c>
      <c r="P583" s="3">
        <f ca="1">'ETF price'!Q585-'ETF price'!Q584</f>
        <v>0.94999999999998863</v>
      </c>
      <c r="Q583" s="3">
        <f ca="1">'ETF price'!R585-'ETF price'!R584</f>
        <v>0.75</v>
      </c>
      <c r="R583" s="3">
        <f ca="1">'ETF price'!S585-'ETF price'!S584</f>
        <v>0.53999999999999915</v>
      </c>
      <c r="S583" s="3">
        <f ca="1">'ETF price'!T585-'ETF price'!T584</f>
        <v>-1.9999999999999574E-2</v>
      </c>
      <c r="T583" s="3">
        <f ca="1">'ETF price'!U585-'ETF price'!U584</f>
        <v>-0.89000000000000057</v>
      </c>
      <c r="U583" s="3">
        <f ca="1">'ETF price'!V585-'ETF price'!V584</f>
        <v>0.84999999999999432</v>
      </c>
      <c r="V583" s="3">
        <f ca="1">'ETF price'!W585-'ETF price'!W584</f>
        <v>-6.0000000000002274E-2</v>
      </c>
      <c r="W583" s="3">
        <f ca="1">'ETF price'!X585-'ETF price'!X584</f>
        <v>-0.19000000000001194</v>
      </c>
      <c r="X583" s="3">
        <f ca="1">'ETF price'!Y585-'ETF price'!Y584</f>
        <v>-0.22999999999999687</v>
      </c>
      <c r="Y583" s="3">
        <f ca="1">'ETF price'!Z585-'ETF price'!Z584</f>
        <v>-1.0000000000005116E-2</v>
      </c>
      <c r="Z583" s="3">
        <f ca="1">'ETF price'!AA585-'ETF price'!AA584</f>
        <v>0.40999999999999659</v>
      </c>
      <c r="AA583" s="3">
        <f ca="1">'ETF price'!AB585-'ETF price'!AB584</f>
        <v>-0.4199999999999946</v>
      </c>
      <c r="AB583" s="3">
        <f ca="1">'ETF price'!AC585-'ETF price'!AC584</f>
        <v>0.35000000000000142</v>
      </c>
      <c r="AC583" s="3">
        <f ca="1">'ETF price'!AD585-'ETF price'!AD584</f>
        <v>0</v>
      </c>
      <c r="AD583" s="3">
        <f ca="1">'ETF price'!AE585-'ETF price'!AE584</f>
        <v>-0.28999999999999915</v>
      </c>
      <c r="AE583" s="3">
        <f ca="1">'ETF price'!AF585-'ETF price'!AF584</f>
        <v>0</v>
      </c>
      <c r="AF583" s="3">
        <f ca="1">'ETF price'!AG585-'ETF price'!AG584</f>
        <v>-2.6700000000000017</v>
      </c>
    </row>
    <row r="584" spans="1:32" ht="12.75" x14ac:dyDescent="0.2">
      <c r="A584" s="3">
        <f ca="1">'ETF price'!B586-'ETF price'!B585</f>
        <v>-4.4199999999999875</v>
      </c>
      <c r="B584" s="3">
        <f ca="1">'ETF price'!C586-'ETF price'!C585</f>
        <v>-11.20999999999998</v>
      </c>
      <c r="C584" s="3">
        <f ca="1">'ETF price'!D586-'ETF price'!D585</f>
        <v>3.1599999999999966</v>
      </c>
      <c r="D584" s="3">
        <f ca="1">'ETF price'!E586-'ETF price'!E585</f>
        <v>-4.5600000000000023</v>
      </c>
      <c r="E584" s="3">
        <f ca="1">'ETF price'!F586-'ETF price'!F585</f>
        <v>-1.220000000000006</v>
      </c>
      <c r="F584" s="3">
        <f ca="1">'ETF price'!G586-'ETF price'!G585</f>
        <v>-0.39000000000000057</v>
      </c>
      <c r="G584" s="3">
        <f ca="1">'ETF price'!H586-'ETF price'!H585</f>
        <v>-0.46000000000000085</v>
      </c>
      <c r="H584" s="3">
        <f ca="1">'ETF price'!I586-'ETF price'!I585</f>
        <v>-9.9999999999994316E-2</v>
      </c>
      <c r="I584" s="3">
        <f ca="1">'ETF price'!J586-'ETF price'!J585</f>
        <v>-0.5</v>
      </c>
      <c r="J584" s="3">
        <f ca="1">'ETF price'!K586-'ETF price'!K585</f>
        <v>-1.4500000000000028</v>
      </c>
      <c r="K584" s="3">
        <f ca="1">'ETF price'!L586-'ETF price'!L585</f>
        <v>-0.89999999999999147</v>
      </c>
      <c r="L584" s="3">
        <f ca="1">'ETF price'!M586-'ETF price'!M585</f>
        <v>-0.57000000000000028</v>
      </c>
      <c r="M584" s="3">
        <f ca="1">'ETF price'!N586-'ETF price'!N585</f>
        <v>-6.0000000000002274E-2</v>
      </c>
      <c r="N584" s="3">
        <f ca="1">'ETF price'!O586-'ETF price'!O585</f>
        <v>-0.60000000000000142</v>
      </c>
      <c r="O584" s="3">
        <f ca="1">'ETF price'!P586-'ETF price'!P585</f>
        <v>-2.8700000000000045</v>
      </c>
      <c r="P584" s="3">
        <f ca="1">'ETF price'!Q586-'ETF price'!Q585</f>
        <v>-4.0799999999999841</v>
      </c>
      <c r="Q584" s="3">
        <f ca="1">'ETF price'!R586-'ETF price'!R585</f>
        <v>-1.6400000000000006</v>
      </c>
      <c r="R584" s="3">
        <f ca="1">'ETF price'!S586-'ETF price'!S585</f>
        <v>-2.1199999999999974</v>
      </c>
      <c r="S584" s="3">
        <f ca="1">'ETF price'!T586-'ETF price'!T585</f>
        <v>-0.30000000000000071</v>
      </c>
      <c r="T584" s="3">
        <f ca="1">'ETF price'!U586-'ETF price'!U585</f>
        <v>-1.1200000000000045</v>
      </c>
      <c r="U584" s="3">
        <f ca="1">'ETF price'!V586-'ETF price'!V585</f>
        <v>-1.2899999999999991</v>
      </c>
      <c r="V584" s="3">
        <f ca="1">'ETF price'!W586-'ETF price'!W585</f>
        <v>-0.39999999999999858</v>
      </c>
      <c r="W584" s="3">
        <f ca="1">'ETF price'!X586-'ETF price'!X585</f>
        <v>-1.0799999999999983</v>
      </c>
      <c r="X584" s="3">
        <f ca="1">'ETF price'!Y586-'ETF price'!Y585</f>
        <v>-0.78000000000000114</v>
      </c>
      <c r="Y584" s="3">
        <f ca="1">'ETF price'!Z586-'ETF price'!Z585</f>
        <v>-1.0099999999999909</v>
      </c>
      <c r="Z584" s="3">
        <f ca="1">'ETF price'!AA586-'ETF price'!AA585</f>
        <v>-0.67999999999999972</v>
      </c>
      <c r="AA584" s="3">
        <f ca="1">'ETF price'!AB586-'ETF price'!AB585</f>
        <v>-0.75</v>
      </c>
      <c r="AB584" s="3">
        <f ca="1">'ETF price'!AC586-'ETF price'!AC585</f>
        <v>0.20000000000000284</v>
      </c>
      <c r="AC584" s="3">
        <f ca="1">'ETF price'!AD586-'ETF price'!AD585</f>
        <v>-1.370000000000001</v>
      </c>
      <c r="AD584" s="3">
        <f ca="1">'ETF price'!AE586-'ETF price'!AE585</f>
        <v>-1.8000000000000007</v>
      </c>
      <c r="AE584" s="3">
        <f ca="1">'ETF price'!AF586-'ETF price'!AF585</f>
        <v>-0.11000000000000032</v>
      </c>
      <c r="AF584" s="3">
        <f ca="1">'ETF price'!AG586-'ETF price'!AG585</f>
        <v>-3</v>
      </c>
    </row>
    <row r="585" spans="1:32" ht="12.75" x14ac:dyDescent="0.2">
      <c r="A585" s="3">
        <f ca="1">'ETF price'!B587-'ETF price'!B586</f>
        <v>-2.0100000000000193</v>
      </c>
      <c r="B585" s="3">
        <f ca="1">'ETF price'!C587-'ETF price'!C586</f>
        <v>-5.3600000000000136</v>
      </c>
      <c r="C585" s="3">
        <f ca="1">'ETF price'!D587-'ETF price'!D586</f>
        <v>2.0600000000000023</v>
      </c>
      <c r="D585" s="3">
        <f ca="1">'ETF price'!E587-'ETF price'!E586</f>
        <v>-7.2300000000000182</v>
      </c>
      <c r="E585" s="3">
        <f ca="1">'ETF price'!F587-'ETF price'!F586</f>
        <v>-0.34999999999999432</v>
      </c>
      <c r="F585" s="3">
        <f ca="1">'ETF price'!G587-'ETF price'!G586</f>
        <v>-5.9999999999998721E-2</v>
      </c>
      <c r="G585" s="3">
        <f ca="1">'ETF price'!H587-'ETF price'!H586</f>
        <v>-0.21999999999999886</v>
      </c>
      <c r="H585" s="3">
        <f ca="1">'ETF price'!I587-'ETF price'!I586</f>
        <v>0.25</v>
      </c>
      <c r="I585" s="3">
        <f ca="1">'ETF price'!J587-'ETF price'!J586</f>
        <v>1.2399999999999523</v>
      </c>
      <c r="J585" s="3">
        <f ca="1">'ETF price'!K587-'ETF price'!K586</f>
        <v>2.5700000000000074</v>
      </c>
      <c r="K585" s="3">
        <f ca="1">'ETF price'!L587-'ETF price'!L586</f>
        <v>2.7099999999999937</v>
      </c>
      <c r="L585" s="3">
        <f ca="1">'ETF price'!M587-'ETF price'!M586</f>
        <v>1.990000000000002</v>
      </c>
      <c r="M585" s="3">
        <f ca="1">'ETF price'!N587-'ETF price'!N586</f>
        <v>0.28000000000000114</v>
      </c>
      <c r="N585" s="3">
        <f ca="1">'ETF price'!O587-'ETF price'!O586</f>
        <v>1.0399999999999991</v>
      </c>
      <c r="O585" s="3">
        <f ca="1">'ETF price'!P587-'ETF price'!P586</f>
        <v>-1.4899999999999949</v>
      </c>
      <c r="P585" s="3">
        <f ca="1">'ETF price'!Q587-'ETF price'!Q586</f>
        <v>-2.1300000000000239</v>
      </c>
      <c r="Q585" s="3">
        <f ca="1">'ETF price'!R587-'ETF price'!R586</f>
        <v>0.46000000000000796</v>
      </c>
      <c r="R585" s="3">
        <f ca="1">'ETF price'!S587-'ETF price'!S586</f>
        <v>1.9999999999996021E-2</v>
      </c>
      <c r="S585" s="3">
        <f ca="1">'ETF price'!T587-'ETF price'!T586</f>
        <v>-0.33999999999999986</v>
      </c>
      <c r="T585" s="3">
        <f ca="1">'ETF price'!U587-'ETF price'!U586</f>
        <v>-2.4499999999999886</v>
      </c>
      <c r="U585" s="3">
        <f ca="1">'ETF price'!V587-'ETF price'!V586</f>
        <v>-3.0000000000001137E-2</v>
      </c>
      <c r="V585" s="3">
        <f ca="1">'ETF price'!W587-'ETF price'!W586</f>
        <v>0</v>
      </c>
      <c r="W585" s="3">
        <f ca="1">'ETF price'!X587-'ETF price'!X586</f>
        <v>0.10000000000000853</v>
      </c>
      <c r="X585" s="3">
        <f ca="1">'ETF price'!Y587-'ETF price'!Y586</f>
        <v>0.95000000000000284</v>
      </c>
      <c r="Y585" s="3">
        <f ca="1">'ETF price'!Z587-'ETF price'!Z586</f>
        <v>0.51999999999999602</v>
      </c>
      <c r="Z585" s="3">
        <f ca="1">'ETF price'!AA587-'ETF price'!AA586</f>
        <v>2.0000000000003126E-2</v>
      </c>
      <c r="AA585" s="3">
        <f ca="1">'ETF price'!AB587-'ETF price'!AB586</f>
        <v>1.2099999999999937</v>
      </c>
      <c r="AB585" s="3">
        <f ca="1">'ETF price'!AC587-'ETF price'!AC586</f>
        <v>0.73999999999999488</v>
      </c>
      <c r="AC585" s="3">
        <f ca="1">'ETF price'!AD587-'ETF price'!AD586</f>
        <v>-0.30000000000000071</v>
      </c>
      <c r="AD585" s="3">
        <f ca="1">'ETF price'!AE587-'ETF price'!AE586</f>
        <v>-2.5500000000000007</v>
      </c>
      <c r="AE585" s="3">
        <f ca="1">'ETF price'!AF587-'ETF price'!AF586</f>
        <v>-0.29999999999999982</v>
      </c>
      <c r="AF585" s="3">
        <f ca="1">'ETF price'!AG587-'ETF price'!AG586</f>
        <v>-0.53999999999999915</v>
      </c>
    </row>
    <row r="586" spans="1:32" ht="12.75" x14ac:dyDescent="0.2">
      <c r="A586" s="3">
        <f ca="1">'ETF price'!B588-'ETF price'!B587</f>
        <v>2.8000000000000114</v>
      </c>
      <c r="B586" s="3">
        <f ca="1">'ETF price'!C588-'ETF price'!C587</f>
        <v>6.6899999999999977</v>
      </c>
      <c r="C586" s="3">
        <f ca="1">'ETF price'!D588-'ETF price'!D587</f>
        <v>-0.59000000000000341</v>
      </c>
      <c r="D586" s="3">
        <f ca="1">'ETF price'!E588-'ETF price'!E587</f>
        <v>4.6500000000000057</v>
      </c>
      <c r="E586" s="3">
        <f ca="1">'ETF price'!F588-'ETF price'!F587</f>
        <v>-5.0000000000004263E-2</v>
      </c>
      <c r="F586" s="3">
        <f ca="1">'ETF price'!G588-'ETF price'!G587</f>
        <v>0.57999999999999829</v>
      </c>
      <c r="G586" s="3">
        <f ca="1">'ETF price'!H588-'ETF price'!H587</f>
        <v>0.28999999999999915</v>
      </c>
      <c r="H586" s="3">
        <f ca="1">'ETF price'!I588-'ETF price'!I587</f>
        <v>-0.10000000000002274</v>
      </c>
      <c r="I586" s="3">
        <f ca="1">'ETF price'!J588-'ETF price'!J587</f>
        <v>-0.13999999999998636</v>
      </c>
      <c r="J586" s="3">
        <f ca="1">'ETF price'!K588-'ETF price'!K587</f>
        <v>1.1599999999999966</v>
      </c>
      <c r="K586" s="3">
        <f ca="1">'ETF price'!L588-'ETF price'!L587</f>
        <v>1.0100000000000051</v>
      </c>
      <c r="L586" s="3">
        <f ca="1">'ETF price'!M588-'ETF price'!M587</f>
        <v>0.70000000000000284</v>
      </c>
      <c r="M586" s="3">
        <f ca="1">'ETF price'!N588-'ETF price'!N587</f>
        <v>-6.0000000000002274E-2</v>
      </c>
      <c r="N586" s="3">
        <f ca="1">'ETF price'!O588-'ETF price'!O587</f>
        <v>0.84000000000000341</v>
      </c>
      <c r="O586" s="3">
        <f ca="1">'ETF price'!P588-'ETF price'!P587</f>
        <v>0.53000000000000114</v>
      </c>
      <c r="P586" s="3">
        <f ca="1">'ETF price'!Q588-'ETF price'!Q587</f>
        <v>0.84000000000000341</v>
      </c>
      <c r="Q586" s="3">
        <f ca="1">'ETF price'!R588-'ETF price'!R587</f>
        <v>-0.46000000000000796</v>
      </c>
      <c r="R586" s="3">
        <f ca="1">'ETF price'!S588-'ETF price'!S587</f>
        <v>0.81000000000000227</v>
      </c>
      <c r="S586" s="3">
        <f ca="1">'ETF price'!T588-'ETF price'!T587</f>
        <v>7.9999999999998295E-2</v>
      </c>
      <c r="T586" s="3">
        <f ca="1">'ETF price'!U588-'ETF price'!U587</f>
        <v>0</v>
      </c>
      <c r="U586" s="3">
        <f ca="1">'ETF price'!V588-'ETF price'!V587</f>
        <v>1.1900000000000048</v>
      </c>
      <c r="V586" s="3">
        <f ca="1">'ETF price'!W588-'ETF price'!W587</f>
        <v>0.10000000000000142</v>
      </c>
      <c r="W586" s="3">
        <f ca="1">'ETF price'!X588-'ETF price'!X587</f>
        <v>0.60999999999999943</v>
      </c>
      <c r="X586" s="3">
        <f ca="1">'ETF price'!Y588-'ETF price'!Y587</f>
        <v>0.58999999999999631</v>
      </c>
      <c r="Y586" s="3">
        <f ca="1">'ETF price'!Z588-'ETF price'!Z587</f>
        <v>0.45000000000000284</v>
      </c>
      <c r="Z586" s="3">
        <f ca="1">'ETF price'!AA588-'ETF price'!AA587</f>
        <v>0.51999999999999602</v>
      </c>
      <c r="AA586" s="3">
        <f ca="1">'ETF price'!AB588-'ETF price'!AB587</f>
        <v>0.79000000000000625</v>
      </c>
      <c r="AB586" s="3">
        <f ca="1">'ETF price'!AC588-'ETF price'!AC587</f>
        <v>0.18000000000000682</v>
      </c>
      <c r="AC586" s="3">
        <f ca="1">'ETF price'!AD588-'ETF price'!AD587</f>
        <v>0.58000000000000185</v>
      </c>
      <c r="AD586" s="3">
        <f ca="1">'ETF price'!AE588-'ETF price'!AE587</f>
        <v>1.0700000000000003</v>
      </c>
      <c r="AE586" s="3">
        <f ca="1">'ETF price'!AF588-'ETF price'!AF587</f>
        <v>-4.0000000000000036E-2</v>
      </c>
      <c r="AF586" s="3">
        <f ca="1">'ETF price'!AG588-'ETF price'!AG587</f>
        <v>1.8999999999999986</v>
      </c>
    </row>
    <row r="587" spans="1:32" ht="12.75" x14ac:dyDescent="0.2">
      <c r="A587" s="3">
        <f ca="1">'ETF price'!B589-'ETF price'!B588</f>
        <v>5.4900000000000091</v>
      </c>
      <c r="B587" s="3">
        <f ca="1">'ETF price'!C589-'ETF price'!C588</f>
        <v>13.399999999999977</v>
      </c>
      <c r="C587" s="3">
        <f ca="1">'ETF price'!D589-'ETF price'!D588</f>
        <v>4.0000000000020464E-2</v>
      </c>
      <c r="D587" s="3">
        <f ca="1">'ETF price'!E589-'ETF price'!E588</f>
        <v>4.7599999999999909</v>
      </c>
      <c r="E587" s="3">
        <f ca="1">'ETF price'!F589-'ETF price'!F588</f>
        <v>-0.46999999999999886</v>
      </c>
      <c r="F587" s="3">
        <f ca="1">'ETF price'!G589-'ETF price'!G588</f>
        <v>0.52000000000000313</v>
      </c>
      <c r="G587" s="3">
        <f ca="1">'ETF price'!H589-'ETF price'!H588</f>
        <v>0.19999999999999929</v>
      </c>
      <c r="H587" s="3">
        <f ca="1">'ETF price'!I589-'ETF price'!I588</f>
        <v>0.35000000000002274</v>
      </c>
      <c r="I587" s="3">
        <f ca="1">'ETF price'!J589-'ETF price'!J588</f>
        <v>0.87999999999999545</v>
      </c>
      <c r="J587" s="3">
        <f ca="1">'ETF price'!K589-'ETF price'!K588</f>
        <v>2.3100000000000023</v>
      </c>
      <c r="K587" s="3">
        <f ca="1">'ETF price'!L589-'ETF price'!L588</f>
        <v>1.6400000000000006</v>
      </c>
      <c r="L587" s="3">
        <f ca="1">'ETF price'!M589-'ETF price'!M588</f>
        <v>0.5</v>
      </c>
      <c r="M587" s="3">
        <f ca="1">'ETF price'!N589-'ETF price'!N588</f>
        <v>0.23999999999999488</v>
      </c>
      <c r="N587" s="3">
        <f ca="1">'ETF price'!O589-'ETF price'!O588</f>
        <v>0.39999999999999858</v>
      </c>
      <c r="O587" s="3">
        <f ca="1">'ETF price'!P589-'ETF price'!P588</f>
        <v>9.9999999999909051E-3</v>
      </c>
      <c r="P587" s="3">
        <f ca="1">'ETF price'!Q589-'ETF price'!Q588</f>
        <v>9.9999999999994316E-2</v>
      </c>
      <c r="Q587" s="3">
        <f ca="1">'ETF price'!R589-'ETF price'!R588</f>
        <v>0.90000000000000568</v>
      </c>
      <c r="R587" s="3">
        <f ca="1">'ETF price'!S589-'ETF price'!S588</f>
        <v>0.74000000000000199</v>
      </c>
      <c r="S587" s="3">
        <f ca="1">'ETF price'!T589-'ETF price'!T588</f>
        <v>3.0000000000001137E-2</v>
      </c>
      <c r="T587" s="3">
        <f ca="1">'ETF price'!U589-'ETF price'!U588</f>
        <v>-0.80000000000001137</v>
      </c>
      <c r="U587" s="3">
        <f ca="1">'ETF price'!V589-'ETF price'!V588</f>
        <v>1.4199999999999946</v>
      </c>
      <c r="V587" s="3">
        <f ca="1">'ETF price'!W589-'ETF price'!W588</f>
        <v>8.9999999999996305E-2</v>
      </c>
      <c r="W587" s="3">
        <f ca="1">'ETF price'!X589-'ETF price'!X588</f>
        <v>0.32999999999999829</v>
      </c>
      <c r="X587" s="3">
        <f ca="1">'ETF price'!Y589-'ETF price'!Y588</f>
        <v>0.53000000000000114</v>
      </c>
      <c r="Y587" s="3">
        <f ca="1">'ETF price'!Z589-'ETF price'!Z588</f>
        <v>0.35999999999999943</v>
      </c>
      <c r="Z587" s="3">
        <f ca="1">'ETF price'!AA589-'ETF price'!AA588</f>
        <v>0.29000000000000625</v>
      </c>
      <c r="AA587" s="3">
        <f ca="1">'ETF price'!AB589-'ETF price'!AB588</f>
        <v>0.62999999999999545</v>
      </c>
      <c r="AB587" s="3">
        <f ca="1">'ETF price'!AC589-'ETF price'!AC588</f>
        <v>0.25999999999999091</v>
      </c>
      <c r="AC587" s="3">
        <f ca="1">'ETF price'!AD589-'ETF price'!AD588</f>
        <v>0.66999999999999815</v>
      </c>
      <c r="AD587" s="3">
        <f ca="1">'ETF price'!AE589-'ETF price'!AE588</f>
        <v>1.0899999999999999</v>
      </c>
      <c r="AE587" s="3">
        <f ca="1">'ETF price'!AF589-'ETF price'!AF588</f>
        <v>0.14000000000000057</v>
      </c>
      <c r="AF587" s="3">
        <f ca="1">'ETF price'!AG589-'ETF price'!AG588</f>
        <v>0.27000000000000313</v>
      </c>
    </row>
    <row r="588" spans="1:32" ht="12.75" x14ac:dyDescent="0.2">
      <c r="A588" s="3">
        <f ca="1">'ETF price'!B590-'ETF price'!B589</f>
        <v>2.3799999999999955</v>
      </c>
      <c r="B588" s="3">
        <f ca="1">'ETF price'!C590-'ETF price'!C589</f>
        <v>7.3700000000000614</v>
      </c>
      <c r="C588" s="3">
        <f ca="1">'ETF price'!D590-'ETF price'!D589</f>
        <v>-0.14000000000001478</v>
      </c>
      <c r="D588" s="3">
        <f ca="1">'ETF price'!E590-'ETF price'!E589</f>
        <v>4.4900000000000091</v>
      </c>
      <c r="E588" s="3">
        <f ca="1">'ETF price'!F590-'ETF price'!F589</f>
        <v>0.89000000000000057</v>
      </c>
      <c r="F588" s="3">
        <f ca="1">'ETF price'!G590-'ETF price'!G589</f>
        <v>0.4599999999999973</v>
      </c>
      <c r="G588" s="3">
        <f ca="1">'ETF price'!H590-'ETF price'!H589</f>
        <v>0.35999999999999943</v>
      </c>
      <c r="H588" s="3">
        <f ca="1">'ETF price'!I590-'ETF price'!I589</f>
        <v>0.56999999999999318</v>
      </c>
      <c r="I588" s="3">
        <f ca="1">'ETF price'!J590-'ETF price'!J589</f>
        <v>1.1400000000000432</v>
      </c>
      <c r="J588" s="3">
        <f ca="1">'ETF price'!K590-'ETF price'!K589</f>
        <v>6.0000000000002274E-2</v>
      </c>
      <c r="K588" s="3">
        <f ca="1">'ETF price'!L590-'ETF price'!L589</f>
        <v>0.59999999999999432</v>
      </c>
      <c r="L588" s="3">
        <f ca="1">'ETF price'!M590-'ETF price'!M589</f>
        <v>-0.52000000000000313</v>
      </c>
      <c r="M588" s="3">
        <f ca="1">'ETF price'!N590-'ETF price'!N589</f>
        <v>0.32000000000000739</v>
      </c>
      <c r="N588" s="3">
        <f ca="1">'ETF price'!O590-'ETF price'!O589</f>
        <v>0.20000000000000284</v>
      </c>
      <c r="O588" s="3">
        <f ca="1">'ETF price'!P590-'ETF price'!P589</f>
        <v>0.73000000000000398</v>
      </c>
      <c r="P588" s="3">
        <f ca="1">'ETF price'!Q590-'ETF price'!Q589</f>
        <v>1.0900000000000034</v>
      </c>
      <c r="Q588" s="3">
        <f ca="1">'ETF price'!R590-'ETF price'!R589</f>
        <v>0.53999999999999204</v>
      </c>
      <c r="R588" s="3">
        <f ca="1">'ETF price'!S590-'ETF price'!S589</f>
        <v>0.23999999999999488</v>
      </c>
      <c r="S588" s="3">
        <f ca="1">'ETF price'!T590-'ETF price'!T589</f>
        <v>0.26000000000000156</v>
      </c>
      <c r="T588" s="3">
        <f ca="1">'ETF price'!U590-'ETF price'!U589</f>
        <v>0.53000000000000114</v>
      </c>
      <c r="U588" s="3">
        <f ca="1">'ETF price'!V590-'ETF price'!V589</f>
        <v>0.34000000000000341</v>
      </c>
      <c r="V588" s="3">
        <f ca="1">'ETF price'!W590-'ETF price'!W589</f>
        <v>0.52000000000000313</v>
      </c>
      <c r="W588" s="3">
        <f ca="1">'ETF price'!X590-'ETF price'!X589</f>
        <v>1.1499999999999915</v>
      </c>
      <c r="X588" s="3">
        <f ca="1">'ETF price'!Y590-'ETF price'!Y589</f>
        <v>0.5</v>
      </c>
      <c r="Y588" s="3">
        <f ca="1">'ETF price'!Z590-'ETF price'!Z589</f>
        <v>1.1299999999999955</v>
      </c>
      <c r="Z588" s="3">
        <f ca="1">'ETF price'!AA590-'ETF price'!AA589</f>
        <v>9.9999999999980105E-3</v>
      </c>
      <c r="AA588" s="3">
        <f ca="1">'ETF price'!AB590-'ETF price'!AB589</f>
        <v>0.39000000000000057</v>
      </c>
      <c r="AB588" s="3">
        <f ca="1">'ETF price'!AC590-'ETF price'!AC589</f>
        <v>0.51000000000000512</v>
      </c>
      <c r="AC588" s="3">
        <f ca="1">'ETF price'!AD590-'ETF price'!AD589</f>
        <v>0.10000000000000142</v>
      </c>
      <c r="AD588" s="3">
        <f ca="1">'ETF price'!AE590-'ETF price'!AE589</f>
        <v>0.44000000000000128</v>
      </c>
      <c r="AE588" s="3">
        <f ca="1">'ETF price'!AF590-'ETF price'!AF589</f>
        <v>0.15999999999999925</v>
      </c>
      <c r="AF588" s="3">
        <f ca="1">'ETF price'!AG590-'ETF price'!AG589</f>
        <v>1.9799999999999969</v>
      </c>
    </row>
    <row r="589" spans="1:32" ht="12.75" x14ac:dyDescent="0.2">
      <c r="A589" s="3">
        <f ca="1">'ETF price'!B591-'ETF price'!B590</f>
        <v>-0.67000000000001592</v>
      </c>
      <c r="B589" s="3">
        <f ca="1">'ETF price'!C591-'ETF price'!C590</f>
        <v>-2.1600000000000819</v>
      </c>
      <c r="C589" s="3">
        <f ca="1">'ETF price'!D591-'ETF price'!D590</f>
        <v>0.43000000000000682</v>
      </c>
      <c r="D589" s="3">
        <f ca="1">'ETF price'!E591-'ETF price'!E590</f>
        <v>-1.9499999999999886</v>
      </c>
      <c r="E589" s="3">
        <f ca="1">'ETF price'!F591-'ETF price'!F590</f>
        <v>-7.0000000000000284E-2</v>
      </c>
      <c r="F589" s="3">
        <f ca="1">'ETF price'!G591-'ETF price'!G590</f>
        <v>1.9999999999999574E-2</v>
      </c>
      <c r="G589" s="3">
        <f ca="1">'ETF price'!H591-'ETF price'!H590</f>
        <v>-2.9999999999997584E-2</v>
      </c>
      <c r="H589" s="3">
        <f ca="1">'ETF price'!I591-'ETF price'!I590</f>
        <v>1.1699999999999875</v>
      </c>
      <c r="I589" s="3">
        <f ca="1">'ETF price'!J591-'ETF price'!J590</f>
        <v>1.8999999999999773</v>
      </c>
      <c r="J589" s="3">
        <f ca="1">'ETF price'!K591-'ETF price'!K590</f>
        <v>0.25999999999999091</v>
      </c>
      <c r="K589" s="3">
        <f ca="1">'ETF price'!L591-'ETF price'!L590</f>
        <v>-0.14999999999999147</v>
      </c>
      <c r="L589" s="3">
        <f ca="1">'ETF price'!M591-'ETF price'!M590</f>
        <v>0.61000000000000654</v>
      </c>
      <c r="M589" s="3">
        <f ca="1">'ETF price'!N591-'ETF price'!N590</f>
        <v>0.47999999999998977</v>
      </c>
      <c r="N589" s="3">
        <f ca="1">'ETF price'!O591-'ETF price'!O590</f>
        <v>-0.28000000000000114</v>
      </c>
      <c r="O589" s="3">
        <f ca="1">'ETF price'!P591-'ETF price'!P590</f>
        <v>-9.0000000000003411E-2</v>
      </c>
      <c r="P589" s="3">
        <f ca="1">'ETF price'!Q591-'ETF price'!Q590</f>
        <v>-1.999999999998181E-2</v>
      </c>
      <c r="Q589" s="3">
        <f ca="1">'ETF price'!R591-'ETF price'!R590</f>
        <v>1.0700000000000074</v>
      </c>
      <c r="R589" s="3">
        <f ca="1">'ETF price'!S591-'ETF price'!S590</f>
        <v>0.26000000000000512</v>
      </c>
      <c r="S589" s="3">
        <f ca="1">'ETF price'!T591-'ETF price'!T590</f>
        <v>-1.9999999999999574E-2</v>
      </c>
      <c r="T589" s="3">
        <f ca="1">'ETF price'!U591-'ETF price'!U590</f>
        <v>-0.15999999999999659</v>
      </c>
      <c r="U589" s="3">
        <f ca="1">'ETF price'!V591-'ETF price'!V590</f>
        <v>-0.18999999999999773</v>
      </c>
      <c r="V589" s="3">
        <f ca="1">'ETF price'!W591-'ETF price'!W590</f>
        <v>0.14000000000000057</v>
      </c>
      <c r="W589" s="3">
        <f ca="1">'ETF price'!X591-'ETF price'!X590</f>
        <v>0.24000000000000909</v>
      </c>
      <c r="X589" s="3">
        <f ca="1">'ETF price'!Y591-'ETF price'!Y590</f>
        <v>-7.0000000000000284E-2</v>
      </c>
      <c r="Y589" s="3">
        <f ca="1">'ETF price'!Z591-'ETF price'!Z590</f>
        <v>0.12999999999999545</v>
      </c>
      <c r="Z589" s="3">
        <f ca="1">'ETF price'!AA591-'ETF price'!AA590</f>
        <v>0.39000000000000057</v>
      </c>
      <c r="AA589" s="3">
        <f ca="1">'ETF price'!AB591-'ETF price'!AB590</f>
        <v>-0.15999999999999659</v>
      </c>
      <c r="AB589" s="3">
        <f ca="1">'ETF price'!AC591-'ETF price'!AC590</f>
        <v>0.29999999999999716</v>
      </c>
      <c r="AC589" s="3">
        <f ca="1">'ETF price'!AD591-'ETF price'!AD590</f>
        <v>-0.10000000000000142</v>
      </c>
      <c r="AD589" s="3">
        <f ca="1">'ETF price'!AE591-'ETF price'!AE590</f>
        <v>-5.0000000000000711E-2</v>
      </c>
      <c r="AE589" s="3">
        <f ca="1">'ETF price'!AF591-'ETF price'!AF590</f>
        <v>9.0000000000000746E-2</v>
      </c>
      <c r="AF589" s="3">
        <f ca="1">'ETF price'!AG591-'ETF price'!AG590</f>
        <v>-1.3799999999999955</v>
      </c>
    </row>
    <row r="590" spans="1:32" ht="12.75" x14ac:dyDescent="0.2">
      <c r="A590" s="3">
        <f ca="1">'ETF price'!B592-'ETF price'!B591</f>
        <v>0.58000000000001251</v>
      </c>
      <c r="B590" s="3">
        <f ca="1">'ETF price'!C592-'ETF price'!C591</f>
        <v>0.75</v>
      </c>
      <c r="C590" s="3">
        <f ca="1">'ETF price'!D592-'ETF price'!D591</f>
        <v>0.49000000000000909</v>
      </c>
      <c r="D590" s="3">
        <f ca="1">'ETF price'!E592-'ETF price'!E591</f>
        <v>0.20999999999997954</v>
      </c>
      <c r="E590" s="3">
        <f ca="1">'ETF price'!F592-'ETF price'!F591</f>
        <v>-0.53000000000000114</v>
      </c>
      <c r="F590" s="3">
        <f ca="1">'ETF price'!G592-'ETF price'!G591</f>
        <v>-0.19999999999999929</v>
      </c>
      <c r="G590" s="3">
        <f ca="1">'ETF price'!H592-'ETF price'!H591</f>
        <v>-0.15000000000000213</v>
      </c>
      <c r="H590" s="3">
        <f ca="1">'ETF price'!I592-'ETF price'!I591</f>
        <v>-0.48999999999998067</v>
      </c>
      <c r="I590" s="3">
        <f ca="1">'ETF price'!J592-'ETF price'!J591</f>
        <v>-1.3100000000000023</v>
      </c>
      <c r="J590" s="3">
        <f ca="1">'ETF price'!K592-'ETF price'!K591</f>
        <v>-0.68999999999999773</v>
      </c>
      <c r="K590" s="3">
        <f ca="1">'ETF price'!L592-'ETF price'!L591</f>
        <v>-1.3200000000000074</v>
      </c>
      <c r="L590" s="3">
        <f ca="1">'ETF price'!M592-'ETF price'!M591</f>
        <v>-0.40000000000000568</v>
      </c>
      <c r="M590" s="3">
        <f ca="1">'ETF price'!N592-'ETF price'!N591</f>
        <v>-0.37999999999999545</v>
      </c>
      <c r="N590" s="3">
        <f ca="1">'ETF price'!O592-'ETF price'!O591</f>
        <v>-0.32000000000000028</v>
      </c>
      <c r="O590" s="3">
        <f ca="1">'ETF price'!P592-'ETF price'!P591</f>
        <v>-0.10999999999999943</v>
      </c>
      <c r="P590" s="3">
        <f ca="1">'ETF price'!Q592-'ETF price'!Q591</f>
        <v>-0.20000000000001705</v>
      </c>
      <c r="Q590" s="3">
        <f ca="1">'ETF price'!R592-'ETF price'!R591</f>
        <v>-0.42000000000000171</v>
      </c>
      <c r="R590" s="3">
        <f ca="1">'ETF price'!S592-'ETF price'!S591</f>
        <v>-0.52000000000000313</v>
      </c>
      <c r="S590" s="3">
        <f ca="1">'ETF price'!T592-'ETF price'!T591</f>
        <v>-0.12000000000000099</v>
      </c>
      <c r="T590" s="3">
        <f ca="1">'ETF price'!U592-'ETF price'!U591</f>
        <v>0.60999999999999943</v>
      </c>
      <c r="U590" s="3">
        <f ca="1">'ETF price'!V592-'ETF price'!V591</f>
        <v>-0.5800000000000054</v>
      </c>
      <c r="V590" s="3">
        <f ca="1">'ETF price'!W592-'ETF price'!W591</f>
        <v>0.14999999999999858</v>
      </c>
      <c r="W590" s="3">
        <f ca="1">'ETF price'!X592-'ETF price'!X591</f>
        <v>0.39000000000000057</v>
      </c>
      <c r="X590" s="3">
        <f ca="1">'ETF price'!Y592-'ETF price'!Y591</f>
        <v>0.22999999999999687</v>
      </c>
      <c r="Y590" s="3">
        <f ca="1">'ETF price'!Z592-'ETF price'!Z591</f>
        <v>0.32000000000000739</v>
      </c>
      <c r="Z590" s="3">
        <f ca="1">'ETF price'!AA592-'ETF price'!AA591</f>
        <v>-0.35000000000000142</v>
      </c>
      <c r="AA590" s="3">
        <f ca="1">'ETF price'!AB592-'ETF price'!AB591</f>
        <v>0.28999999999999915</v>
      </c>
      <c r="AB590" s="3">
        <f ca="1">'ETF price'!AC592-'ETF price'!AC591</f>
        <v>-0.26000000000000512</v>
      </c>
      <c r="AC590" s="3">
        <f ca="1">'ETF price'!AD592-'ETF price'!AD591</f>
        <v>-0.28999999999999915</v>
      </c>
      <c r="AD590" s="3">
        <f ca="1">'ETF price'!AE592-'ETF price'!AE591</f>
        <v>-0.39000000000000057</v>
      </c>
      <c r="AE590" s="3">
        <f ca="1">'ETF price'!AF592-'ETF price'!AF591</f>
        <v>-0.15000000000000036</v>
      </c>
      <c r="AF590" s="3">
        <f ca="1">'ETF price'!AG592-'ETF price'!AG591</f>
        <v>-0.32000000000000028</v>
      </c>
    </row>
    <row r="591" spans="1:32" ht="12.75" x14ac:dyDescent="0.2">
      <c r="A591" s="3">
        <f ca="1">'ETF price'!B593-'ETF price'!B592</f>
        <v>-6.0000000000002274E-2</v>
      </c>
      <c r="B591" s="3">
        <f ca="1">'ETF price'!C593-'ETF price'!C592</f>
        <v>-0.50999999999999091</v>
      </c>
      <c r="C591" s="3">
        <f ca="1">'ETF price'!D593-'ETF price'!D592</f>
        <v>1.1899999999999977</v>
      </c>
      <c r="D591" s="3">
        <f ca="1">'ETF price'!E593-'ETF price'!E592</f>
        <v>-0.81999999999999318</v>
      </c>
      <c r="E591" s="3">
        <f ca="1">'ETF price'!F593-'ETF price'!F592</f>
        <v>-7.0000000000000284E-2</v>
      </c>
      <c r="F591" s="3">
        <f ca="1">'ETF price'!G593-'ETF price'!G592</f>
        <v>0.14000000000000057</v>
      </c>
      <c r="G591" s="3">
        <f ca="1">'ETF price'!H593-'ETF price'!H592</f>
        <v>0.17999999999999972</v>
      </c>
      <c r="H591" s="3">
        <f ca="1">'ETF price'!I593-'ETF price'!I592</f>
        <v>1.2199999999999989</v>
      </c>
      <c r="I591" s="3">
        <f ca="1">'ETF price'!J593-'ETF price'!J592</f>
        <v>2.3000000000000114</v>
      </c>
      <c r="J591" s="3">
        <f ca="1">'ETF price'!K593-'ETF price'!K592</f>
        <v>0.82999999999998408</v>
      </c>
      <c r="K591" s="3">
        <f ca="1">'ETF price'!L593-'ETF price'!L592</f>
        <v>-0.12999999999999545</v>
      </c>
      <c r="L591" s="3">
        <f ca="1">'ETF price'!M593-'ETF price'!M592</f>
        <v>0.31999999999999318</v>
      </c>
      <c r="M591" s="3">
        <f ca="1">'ETF price'!N593-'ETF price'!N592</f>
        <v>0.65000000000000568</v>
      </c>
      <c r="N591" s="3">
        <f ca="1">'ETF price'!O593-'ETF price'!O592</f>
        <v>0.47999999999999687</v>
      </c>
      <c r="O591" s="3">
        <f ca="1">'ETF price'!P593-'ETF price'!P592</f>
        <v>1.25</v>
      </c>
      <c r="P591" s="3">
        <f ca="1">'ETF price'!Q593-'ETF price'!Q592</f>
        <v>1.7900000000000205</v>
      </c>
      <c r="Q591" s="3">
        <f ca="1">'ETF price'!R593-'ETF price'!R592</f>
        <v>1.0100000000000051</v>
      </c>
      <c r="R591" s="3">
        <f ca="1">'ETF price'!S593-'ETF price'!S592</f>
        <v>1.2700000000000031</v>
      </c>
      <c r="S591" s="3">
        <f ca="1">'ETF price'!T593-'ETF price'!T592</f>
        <v>8.9999999999999858E-2</v>
      </c>
      <c r="T591" s="3">
        <f ca="1">'ETF price'!U593-'ETF price'!U592</f>
        <v>0.40999999999999659</v>
      </c>
      <c r="U591" s="3">
        <f ca="1">'ETF price'!V593-'ETF price'!V592</f>
        <v>0.72000000000000597</v>
      </c>
      <c r="V591" s="3">
        <f ca="1">'ETF price'!W593-'ETF price'!W592</f>
        <v>0.31000000000000227</v>
      </c>
      <c r="W591" s="3">
        <f ca="1">'ETF price'!X593-'ETF price'!X592</f>
        <v>0.79999999999999716</v>
      </c>
      <c r="X591" s="3">
        <f ca="1">'ETF price'!Y593-'ETF price'!Y592</f>
        <v>0.31000000000000227</v>
      </c>
      <c r="Y591" s="3">
        <f ca="1">'ETF price'!Z593-'ETF price'!Z592</f>
        <v>0.79999999999999716</v>
      </c>
      <c r="Z591" s="3">
        <f ca="1">'ETF price'!AA593-'ETF price'!AA592</f>
        <v>0.88000000000000256</v>
      </c>
      <c r="AA591" s="3">
        <f ca="1">'ETF price'!AB593-'ETF price'!AB592</f>
        <v>0.23999999999999488</v>
      </c>
      <c r="AB591" s="3">
        <f ca="1">'ETF price'!AC593-'ETF price'!AC592</f>
        <v>0.36000000000001364</v>
      </c>
      <c r="AC591" s="3">
        <f ca="1">'ETF price'!AD593-'ETF price'!AD592</f>
        <v>0.12000000000000099</v>
      </c>
      <c r="AD591" s="3">
        <f ca="1">'ETF price'!AE593-'ETF price'!AE592</f>
        <v>0.14000000000000057</v>
      </c>
      <c r="AE591" s="3">
        <f ca="1">'ETF price'!AF593-'ETF price'!AF592</f>
        <v>-6.0000000000000497E-2</v>
      </c>
      <c r="AF591" s="3">
        <f ca="1">'ETF price'!AG593-'ETF price'!AG592</f>
        <v>0.44999999999999574</v>
      </c>
    </row>
    <row r="592" spans="1:32" ht="12.75" x14ac:dyDescent="0.2">
      <c r="A592" s="3">
        <f ca="1">'ETF price'!B594-'ETF price'!B593</f>
        <v>0.75999999999999091</v>
      </c>
      <c r="B592" s="3">
        <f ca="1">'ETF price'!C594-'ETF price'!C593</f>
        <v>1.3500000000000227</v>
      </c>
      <c r="C592" s="3">
        <f ca="1">'ETF price'!D594-'ETF price'!D593</f>
        <v>3.0499999999999829</v>
      </c>
      <c r="D592" s="3">
        <f ca="1">'ETF price'!E594-'ETF price'!E593</f>
        <v>2.1400000000000148</v>
      </c>
      <c r="E592" s="3">
        <f ca="1">'ETF price'!F594-'ETF price'!F593</f>
        <v>0.42999999999999972</v>
      </c>
      <c r="F592" s="3">
        <f ca="1">'ETF price'!G594-'ETF price'!G593</f>
        <v>-7.0000000000000284E-2</v>
      </c>
      <c r="G592" s="3">
        <f ca="1">'ETF price'!H594-'ETF price'!H593</f>
        <v>-3.9999999999999147E-2</v>
      </c>
      <c r="H592" s="3">
        <f ca="1">'ETF price'!I594-'ETF price'!I593</f>
        <v>0.28999999999999204</v>
      </c>
      <c r="I592" s="3">
        <f ca="1">'ETF price'!J594-'ETF price'!J593</f>
        <v>0.13999999999998636</v>
      </c>
      <c r="J592" s="3">
        <f ca="1">'ETF price'!K594-'ETF price'!K593</f>
        <v>-1.999999999998181E-2</v>
      </c>
      <c r="K592" s="3">
        <f ca="1">'ETF price'!L594-'ETF price'!L593</f>
        <v>-0.84000000000000341</v>
      </c>
      <c r="L592" s="3">
        <f ca="1">'ETF price'!M594-'ETF price'!M593</f>
        <v>-0.48999999999999488</v>
      </c>
      <c r="M592" s="3">
        <f ca="1">'ETF price'!N594-'ETF price'!N593</f>
        <v>3.0000000000001137E-2</v>
      </c>
      <c r="N592" s="3">
        <f ca="1">'ETF price'!O594-'ETF price'!O593</f>
        <v>-7.9999999999998295E-2</v>
      </c>
      <c r="O592" s="3">
        <f ca="1">'ETF price'!P594-'ETF price'!P593</f>
        <v>-0.51999999999999602</v>
      </c>
      <c r="P592" s="3">
        <f ca="1">'ETF price'!Q594-'ETF price'!Q593</f>
        <v>-0.86000000000001364</v>
      </c>
      <c r="Q592" s="3">
        <f ca="1">'ETF price'!R594-'ETF price'!R593</f>
        <v>0.10999999999999943</v>
      </c>
      <c r="R592" s="3">
        <f ca="1">'ETF price'!S594-'ETF price'!S593</f>
        <v>-0.5</v>
      </c>
      <c r="S592" s="3">
        <f ca="1">'ETF price'!T594-'ETF price'!T593</f>
        <v>-3.9999999999999147E-2</v>
      </c>
      <c r="T592" s="3">
        <f ca="1">'ETF price'!U594-'ETF price'!U593</f>
        <v>-1.2199999999999989</v>
      </c>
      <c r="U592" s="3">
        <f ca="1">'ETF price'!V594-'ETF price'!V593</f>
        <v>-1.1400000000000006</v>
      </c>
      <c r="V592" s="3">
        <f ca="1">'ETF price'!W594-'ETF price'!W593</f>
        <v>0.15999999999999659</v>
      </c>
      <c r="W592" s="3">
        <f ca="1">'ETF price'!X594-'ETF price'!X593</f>
        <v>0.25</v>
      </c>
      <c r="X592" s="3">
        <f ca="1">'ETF price'!Y594-'ETF price'!Y593</f>
        <v>-1.9999999999996021E-2</v>
      </c>
      <c r="Y592" s="3">
        <f ca="1">'ETF price'!Z594-'ETF price'!Z593</f>
        <v>0.34000000000000341</v>
      </c>
      <c r="Z592" s="3">
        <f ca="1">'ETF price'!AA594-'ETF price'!AA593</f>
        <v>-0.14000000000000057</v>
      </c>
      <c r="AA592" s="3">
        <f ca="1">'ETF price'!AB594-'ETF price'!AB593</f>
        <v>-5.9999999999995168E-2</v>
      </c>
      <c r="AB592" s="3">
        <f ca="1">'ETF price'!AC594-'ETF price'!AC593</f>
        <v>0.76999999999999602</v>
      </c>
      <c r="AC592" s="3">
        <f ca="1">'ETF price'!AD594-'ETF price'!AD593</f>
        <v>-0.60999999999999943</v>
      </c>
      <c r="AD592" s="3">
        <f ca="1">'ETF price'!AE594-'ETF price'!AE593</f>
        <v>-0.71999999999999886</v>
      </c>
      <c r="AE592" s="3">
        <f ca="1">'ETF price'!AF594-'ETF price'!AF593</f>
        <v>0.11000000000000032</v>
      </c>
      <c r="AF592" s="3">
        <f ca="1">'ETF price'!AG594-'ETF price'!AG593</f>
        <v>-2.5999999999999943</v>
      </c>
    </row>
    <row r="593" spans="1:32" ht="12.75" x14ac:dyDescent="0.2">
      <c r="A593" s="3">
        <f ca="1">'ETF price'!B595-'ETF price'!B594</f>
        <v>0.96999999999999886</v>
      </c>
      <c r="B593" s="3">
        <f ca="1">'ETF price'!C595-'ETF price'!C594</f>
        <v>2.5199999999999818</v>
      </c>
      <c r="C593" s="3">
        <f ca="1">'ETF price'!D595-'ETF price'!D594</f>
        <v>-0.34999999999999432</v>
      </c>
      <c r="D593" s="3">
        <f ca="1">'ETF price'!E595-'ETF price'!E594</f>
        <v>0.45999999999997954</v>
      </c>
      <c r="E593" s="3">
        <f ca="1">'ETF price'!F595-'ETF price'!F594</f>
        <v>0.19000000000000483</v>
      </c>
      <c r="F593" s="3">
        <f ca="1">'ETF price'!G595-'ETF price'!G594</f>
        <v>5.0000000000000711E-2</v>
      </c>
      <c r="G593" s="3">
        <f ca="1">'ETF price'!H595-'ETF price'!H594</f>
        <v>5.9999999999998721E-2</v>
      </c>
      <c r="H593" s="3">
        <f ca="1">'ETF price'!I595-'ETF price'!I594</f>
        <v>-0.14000000000001478</v>
      </c>
      <c r="I593" s="3">
        <f ca="1">'ETF price'!J595-'ETF price'!J594</f>
        <v>-1.999999999998181E-2</v>
      </c>
      <c r="J593" s="3">
        <f ca="1">'ETF price'!K595-'ETF price'!K594</f>
        <v>1.0099999999999909</v>
      </c>
      <c r="K593" s="3">
        <f ca="1">'ETF price'!L595-'ETF price'!L594</f>
        <v>1.7399999999999949</v>
      </c>
      <c r="L593" s="3">
        <f ca="1">'ETF price'!M595-'ETF price'!M594</f>
        <v>0.45000000000000284</v>
      </c>
      <c r="M593" s="3">
        <f ca="1">'ETF price'!N595-'ETF price'!N594</f>
        <v>-3.0000000000001137E-2</v>
      </c>
      <c r="N593" s="3">
        <f ca="1">'ETF price'!O595-'ETF price'!O594</f>
        <v>0.74000000000000199</v>
      </c>
      <c r="O593" s="3">
        <f ca="1">'ETF price'!P595-'ETF price'!P594</f>
        <v>-0.25</v>
      </c>
      <c r="P593" s="3">
        <f ca="1">'ETF price'!Q595-'ETF price'!Q594</f>
        <v>-0.40000000000000568</v>
      </c>
      <c r="Q593" s="3">
        <f ca="1">'ETF price'!R595-'ETF price'!R594</f>
        <v>-6.0000000000002274E-2</v>
      </c>
      <c r="R593" s="3">
        <f ca="1">'ETF price'!S595-'ETF price'!S594</f>
        <v>0.20999999999999375</v>
      </c>
      <c r="S593" s="3">
        <f ca="1">'ETF price'!T595-'ETF price'!T594</f>
        <v>0.14999999999999858</v>
      </c>
      <c r="T593" s="3">
        <f ca="1">'ETF price'!U595-'ETF price'!U594</f>
        <v>0.82999999999999829</v>
      </c>
      <c r="U593" s="3">
        <f ca="1">'ETF price'!V595-'ETF price'!V594</f>
        <v>0.71000000000000085</v>
      </c>
      <c r="V593" s="3">
        <f ca="1">'ETF price'!W595-'ETF price'!W594</f>
        <v>-0.17000000000000171</v>
      </c>
      <c r="W593" s="3">
        <f ca="1">'ETF price'!X595-'ETF price'!X594</f>
        <v>-0.35999999999999943</v>
      </c>
      <c r="X593" s="3">
        <f ca="1">'ETF price'!Y595-'ETF price'!Y594</f>
        <v>-0.24000000000000199</v>
      </c>
      <c r="Y593" s="3">
        <f ca="1">'ETF price'!Z595-'ETF price'!Z594</f>
        <v>-0.54999999999999716</v>
      </c>
      <c r="Z593" s="3">
        <f ca="1">'ETF price'!AA595-'ETF price'!AA594</f>
        <v>9.9999999999994316E-2</v>
      </c>
      <c r="AA593" s="3">
        <f ca="1">'ETF price'!AB595-'ETF price'!AB594</f>
        <v>-5.0000000000004263E-2</v>
      </c>
      <c r="AB593" s="3">
        <f ca="1">'ETF price'!AC595-'ETF price'!AC594</f>
        <v>-0.29000000000000625</v>
      </c>
      <c r="AC593" s="3">
        <f ca="1">'ETF price'!AD595-'ETF price'!AD594</f>
        <v>0.51999999999999957</v>
      </c>
      <c r="AD593" s="3">
        <f ca="1">'ETF price'!AE595-'ETF price'!AE594</f>
        <v>1.0399999999999991</v>
      </c>
      <c r="AE593" s="3">
        <f ca="1">'ETF price'!AF595-'ETF price'!AF594</f>
        <v>-0.24000000000000021</v>
      </c>
      <c r="AF593" s="3">
        <f ca="1">'ETF price'!AG595-'ETF price'!AG594</f>
        <v>8.9999999999996305E-2</v>
      </c>
    </row>
    <row r="594" spans="1:32" ht="12.75" x14ac:dyDescent="0.2">
      <c r="A594" s="3">
        <f ca="1">'ETF price'!B596-'ETF price'!B595</f>
        <v>1.8300000000000125</v>
      </c>
      <c r="B594" s="3">
        <f ca="1">'ETF price'!C596-'ETF price'!C595</f>
        <v>5.3400000000000318</v>
      </c>
      <c r="C594" s="3">
        <f ca="1">'ETF price'!D596-'ETF price'!D595</f>
        <v>-0.32999999999998408</v>
      </c>
      <c r="D594" s="3">
        <f ca="1">'ETF price'!E596-'ETF price'!E595</f>
        <v>3.6700000000000159</v>
      </c>
      <c r="E594" s="3">
        <f ca="1">'ETF price'!F596-'ETF price'!F595</f>
        <v>0.50999999999999801</v>
      </c>
      <c r="F594" s="3">
        <f ca="1">'ETF price'!G596-'ETF price'!G595</f>
        <v>0.16999999999999815</v>
      </c>
      <c r="G594" s="3">
        <f ca="1">'ETF price'!H596-'ETF price'!H595</f>
        <v>0.23000000000000043</v>
      </c>
      <c r="H594" s="3">
        <f ca="1">'ETF price'!I596-'ETF price'!I595</f>
        <v>0.61000000000001364</v>
      </c>
      <c r="I594" s="3">
        <f ca="1">'ETF price'!J596-'ETF price'!J595</f>
        <v>1.1099999999999568</v>
      </c>
      <c r="J594" s="3">
        <f ca="1">'ETF price'!K596-'ETF price'!K595</f>
        <v>1.0600000000000023</v>
      </c>
      <c r="K594" s="3">
        <f ca="1">'ETF price'!L596-'ETF price'!L595</f>
        <v>0.90000000000000568</v>
      </c>
      <c r="L594" s="3">
        <f ca="1">'ETF price'!M596-'ETF price'!M595</f>
        <v>0.57999999999999829</v>
      </c>
      <c r="M594" s="3">
        <f ca="1">'ETF price'!N596-'ETF price'!N595</f>
        <v>0.29999999999999716</v>
      </c>
      <c r="N594" s="3">
        <f ca="1">'ETF price'!O596-'ETF price'!O595</f>
        <v>0.82000000000000028</v>
      </c>
      <c r="O594" s="3">
        <f ca="1">'ETF price'!P596-'ETF price'!P595</f>
        <v>0.12000000000000455</v>
      </c>
      <c r="P594" s="3">
        <f ca="1">'ETF price'!Q596-'ETF price'!Q595</f>
        <v>0.45000000000001705</v>
      </c>
      <c r="Q594" s="3">
        <f ca="1">'ETF price'!R596-'ETF price'!R595</f>
        <v>9.0000000000003411E-2</v>
      </c>
      <c r="R594" s="3">
        <f ca="1">'ETF price'!S596-'ETF price'!S595</f>
        <v>0.64000000000000057</v>
      </c>
      <c r="S594" s="3">
        <f ca="1">'ETF price'!T596-'ETF price'!T595</f>
        <v>-0.10000000000000142</v>
      </c>
      <c r="T594" s="3">
        <f ca="1">'ETF price'!U596-'ETF price'!U595</f>
        <v>-0.92000000000000171</v>
      </c>
      <c r="U594" s="3">
        <f ca="1">'ETF price'!V596-'ETF price'!V595</f>
        <v>1</v>
      </c>
      <c r="V594" s="3">
        <f ca="1">'ETF price'!W596-'ETF price'!W595</f>
        <v>0.21000000000000085</v>
      </c>
      <c r="W594" s="3">
        <f ca="1">'ETF price'!X596-'ETF price'!X595</f>
        <v>0.48000000000000398</v>
      </c>
      <c r="X594" s="3">
        <f ca="1">'ETF price'!Y596-'ETF price'!Y595</f>
        <v>0.53999999999999915</v>
      </c>
      <c r="Y594" s="3">
        <f ca="1">'ETF price'!Z596-'ETF price'!Z595</f>
        <v>0.69999999999998863</v>
      </c>
      <c r="Z594" s="3">
        <f ca="1">'ETF price'!AA596-'ETF price'!AA595</f>
        <v>0.27000000000000313</v>
      </c>
      <c r="AA594" s="3">
        <f ca="1">'ETF price'!AB596-'ETF price'!AB595</f>
        <v>0.59000000000000341</v>
      </c>
      <c r="AB594" s="3">
        <f ca="1">'ETF price'!AC596-'ETF price'!AC595</f>
        <v>0.45000000000000284</v>
      </c>
      <c r="AC594" s="3">
        <f ca="1">'ETF price'!AD596-'ETF price'!AD595</f>
        <v>-0.42999999999999972</v>
      </c>
      <c r="AD594" s="3">
        <f ca="1">'ETF price'!AE596-'ETF price'!AE595</f>
        <v>-0.69999999999999929</v>
      </c>
      <c r="AE594" s="3">
        <f ca="1">'ETF price'!AF596-'ETF price'!AF595</f>
        <v>-4.0000000000000036E-2</v>
      </c>
      <c r="AF594" s="3">
        <f ca="1">'ETF price'!AG596-'ETF price'!AG595</f>
        <v>0.59000000000000341</v>
      </c>
    </row>
    <row r="595" spans="1:32" ht="12.75" x14ac:dyDescent="0.2">
      <c r="A595" s="3">
        <f ca="1">'ETF price'!B597-'ETF price'!B596</f>
        <v>4.6899999999999977</v>
      </c>
      <c r="B595" s="3">
        <f ca="1">'ETF price'!C597-'ETF price'!C596</f>
        <v>12</v>
      </c>
      <c r="C595" s="3">
        <f ca="1">'ETF price'!D597-'ETF price'!D596</f>
        <v>1.7800000000000011</v>
      </c>
      <c r="D595" s="3">
        <f ca="1">'ETF price'!E597-'ETF price'!E596</f>
        <v>6.2999999999999829</v>
      </c>
      <c r="E595" s="3">
        <f ca="1">'ETF price'!F597-'ETF price'!F596</f>
        <v>1.009999999999998</v>
      </c>
      <c r="F595" s="3">
        <f ca="1">'ETF price'!G597-'ETF price'!G596</f>
        <v>0.46000000000000085</v>
      </c>
      <c r="G595" s="3">
        <f ca="1">'ETF price'!H597-'ETF price'!H596</f>
        <v>0.38000000000000256</v>
      </c>
      <c r="H595" s="3">
        <f ca="1">'ETF price'!I597-'ETF price'!I596</f>
        <v>2.1399999999999864</v>
      </c>
      <c r="I595" s="3">
        <f ca="1">'ETF price'!J597-'ETF price'!J596</f>
        <v>3.9500000000000455</v>
      </c>
      <c r="J595" s="3">
        <f ca="1">'ETF price'!K597-'ETF price'!K596</f>
        <v>1.8700000000000045</v>
      </c>
      <c r="K595" s="3">
        <f ca="1">'ETF price'!L597-'ETF price'!L596</f>
        <v>1.8299999999999983</v>
      </c>
      <c r="L595" s="3">
        <f ca="1">'ETF price'!M597-'ETF price'!M596</f>
        <v>0.81000000000000227</v>
      </c>
      <c r="M595" s="3">
        <f ca="1">'ETF price'!N597-'ETF price'!N596</f>
        <v>1</v>
      </c>
      <c r="N595" s="3">
        <f ca="1">'ETF price'!O597-'ETF price'!O596</f>
        <v>0.43999999999999773</v>
      </c>
      <c r="O595" s="3">
        <f ca="1">'ETF price'!P597-'ETF price'!P596</f>
        <v>0.20999999999999375</v>
      </c>
      <c r="P595" s="3">
        <f ca="1">'ETF price'!Q597-'ETF price'!Q596</f>
        <v>0.28000000000000114</v>
      </c>
      <c r="Q595" s="3">
        <f ca="1">'ETF price'!R597-'ETF price'!R596</f>
        <v>0.15999999999999659</v>
      </c>
      <c r="R595" s="3">
        <f ca="1">'ETF price'!S597-'ETF price'!S596</f>
        <v>0.78999999999999915</v>
      </c>
      <c r="S595" s="3">
        <f ca="1">'ETF price'!T597-'ETF price'!T596</f>
        <v>8.0000000000001847E-2</v>
      </c>
      <c r="T595" s="3">
        <f ca="1">'ETF price'!U597-'ETF price'!U596</f>
        <v>0.67000000000000171</v>
      </c>
      <c r="U595" s="3">
        <f ca="1">'ETF price'!V597-'ETF price'!V596</f>
        <v>-4.0000000000006253E-2</v>
      </c>
      <c r="V595" s="3">
        <f ca="1">'ETF price'!W597-'ETF price'!W596</f>
        <v>0.31000000000000227</v>
      </c>
      <c r="W595" s="3">
        <f ca="1">'ETF price'!X597-'ETF price'!X596</f>
        <v>0.8399999999999892</v>
      </c>
      <c r="X595" s="3">
        <f ca="1">'ETF price'!Y597-'ETF price'!Y596</f>
        <v>0.25</v>
      </c>
      <c r="Y595" s="3">
        <f ca="1">'ETF price'!Z597-'ETF price'!Z596</f>
        <v>0.93000000000000682</v>
      </c>
      <c r="Z595" s="3">
        <f ca="1">'ETF price'!AA597-'ETF price'!AA596</f>
        <v>0.64999999999999858</v>
      </c>
      <c r="AA595" s="3">
        <f ca="1">'ETF price'!AB597-'ETF price'!AB596</f>
        <v>0.17999999999999972</v>
      </c>
      <c r="AB595" s="3">
        <f ca="1">'ETF price'!AC597-'ETF price'!AC596</f>
        <v>-0.75</v>
      </c>
      <c r="AC595" s="3">
        <f ca="1">'ETF price'!AD597-'ETF price'!AD596</f>
        <v>1.0799999999999983</v>
      </c>
      <c r="AD595" s="3">
        <f ca="1">'ETF price'!AE597-'ETF price'!AE596</f>
        <v>1.8599999999999994</v>
      </c>
      <c r="AE595" s="3">
        <f ca="1">'ETF price'!AF597-'ETF price'!AF596</f>
        <v>8.0000000000000071E-2</v>
      </c>
      <c r="AF595" s="3">
        <f ca="1">'ETF price'!AG597-'ETF price'!AG596</f>
        <v>3.0700000000000003</v>
      </c>
    </row>
    <row r="596" spans="1:32" ht="12.75" x14ac:dyDescent="0.2">
      <c r="A596" s="3">
        <f ca="1">'ETF price'!B598-'ETF price'!B597</f>
        <v>-0.74000000000000909</v>
      </c>
      <c r="B596" s="3">
        <f ca="1">'ETF price'!C598-'ETF price'!C597</f>
        <v>-2.2699999999999818</v>
      </c>
      <c r="C596" s="3">
        <f ca="1">'ETF price'!D598-'ETF price'!D597</f>
        <v>0.15999999999999659</v>
      </c>
      <c r="D596" s="3">
        <f ca="1">'ETF price'!E598-'ETF price'!E597</f>
        <v>-1.1299999999999955</v>
      </c>
      <c r="E596" s="3">
        <f ca="1">'ETF price'!F598-'ETF price'!F597</f>
        <v>-3.0000000000001137E-2</v>
      </c>
      <c r="F596" s="3">
        <f ca="1">'ETF price'!G598-'ETF price'!G597</f>
        <v>-0.18999999999999773</v>
      </c>
      <c r="G596" s="3">
        <f ca="1">'ETF price'!H598-'ETF price'!H597</f>
        <v>-0.10000000000000142</v>
      </c>
      <c r="H596" s="3">
        <f ca="1">'ETF price'!I598-'ETF price'!I597</f>
        <v>-0.16999999999998749</v>
      </c>
      <c r="I596" s="3">
        <f ca="1">'ETF price'!J598-'ETF price'!J597</f>
        <v>-0.24000000000000909</v>
      </c>
      <c r="J596" s="3">
        <f ca="1">'ETF price'!K598-'ETF price'!K597</f>
        <v>-5.0000000000011369E-2</v>
      </c>
      <c r="K596" s="3">
        <f ca="1">'ETF price'!L598-'ETF price'!L597</f>
        <v>-1.9999999999996021E-2</v>
      </c>
      <c r="L596" s="3">
        <f ca="1">'ETF price'!M598-'ETF price'!M597</f>
        <v>-0.40999999999999659</v>
      </c>
      <c r="M596" s="3">
        <f ca="1">'ETF price'!N598-'ETF price'!N597</f>
        <v>-7.000000000000739E-2</v>
      </c>
      <c r="N596" s="3">
        <f ca="1">'ETF price'!O598-'ETF price'!O597</f>
        <v>0</v>
      </c>
      <c r="O596" s="3">
        <f ca="1">'ETF price'!P598-'ETF price'!P597</f>
        <v>-0.25999999999999091</v>
      </c>
      <c r="P596" s="3">
        <f ca="1">'ETF price'!Q598-'ETF price'!Q597</f>
        <v>-0.41000000000002501</v>
      </c>
      <c r="Q596" s="3">
        <f ca="1">'ETF price'!R598-'ETF price'!R597</f>
        <v>-0.65999999999999659</v>
      </c>
      <c r="R596" s="3">
        <f ca="1">'ETF price'!S598-'ETF price'!S597</f>
        <v>-0.39999999999999858</v>
      </c>
      <c r="S596" s="3">
        <f ca="1">'ETF price'!T598-'ETF price'!T597</f>
        <v>5.9999999999998721E-2</v>
      </c>
      <c r="T596" s="3">
        <f ca="1">'ETF price'!U598-'ETF price'!U597</f>
        <v>0.37000000000000455</v>
      </c>
      <c r="U596" s="3">
        <f ca="1">'ETF price'!V598-'ETF price'!V597</f>
        <v>-0.39999999999999858</v>
      </c>
      <c r="V596" s="3">
        <f ca="1">'ETF price'!W598-'ETF price'!W597</f>
        <v>0</v>
      </c>
      <c r="W596" s="3">
        <f ca="1">'ETF price'!X598-'ETF price'!X597</f>
        <v>-0.12999999999999545</v>
      </c>
      <c r="X596" s="3">
        <f ca="1">'ETF price'!Y598-'ETF price'!Y597</f>
        <v>-0.17000000000000171</v>
      </c>
      <c r="Y596" s="3">
        <f ca="1">'ETF price'!Z598-'ETF price'!Z597</f>
        <v>-0.12000000000000455</v>
      </c>
      <c r="Z596" s="3">
        <f ca="1">'ETF price'!AA598-'ETF price'!AA597</f>
        <v>-7.0000000000000284E-2</v>
      </c>
      <c r="AA596" s="3">
        <f ca="1">'ETF price'!AB598-'ETF price'!AB597</f>
        <v>-0.21999999999999886</v>
      </c>
      <c r="AB596" s="3">
        <f ca="1">'ETF price'!AC598-'ETF price'!AC597</f>
        <v>0.43999999999999773</v>
      </c>
      <c r="AC596" s="3">
        <f ca="1">'ETF price'!AD598-'ETF price'!AD597</f>
        <v>-0.35999999999999943</v>
      </c>
      <c r="AD596" s="3">
        <f ca="1">'ETF price'!AE598-'ETF price'!AE597</f>
        <v>-0.35000000000000142</v>
      </c>
      <c r="AE596" s="3">
        <f ca="1">'ETF price'!AF598-'ETF price'!AF597</f>
        <v>0.28000000000000025</v>
      </c>
      <c r="AF596" s="3">
        <f ca="1">'ETF price'!AG598-'ETF price'!AG597</f>
        <v>-0.94000000000000483</v>
      </c>
    </row>
    <row r="597" spans="1:32" ht="12.75" x14ac:dyDescent="0.2">
      <c r="A597" s="3">
        <f ca="1">'ETF price'!B599-'ETF price'!B598</f>
        <v>-0.46999999999999886</v>
      </c>
      <c r="B597" s="3">
        <f ca="1">'ETF price'!C599-'ETF price'!C598</f>
        <v>-1.3000000000000682</v>
      </c>
      <c r="C597" s="3">
        <f ca="1">'ETF price'!D599-'ETF price'!D598</f>
        <v>3.9999999999992042E-2</v>
      </c>
      <c r="D597" s="3">
        <f ca="1">'ETF price'!E599-'ETF price'!E598</f>
        <v>-1.2999999999999829</v>
      </c>
      <c r="E597" s="3">
        <f ca="1">'ETF price'!F599-'ETF price'!F598</f>
        <v>-0.10999999999999943</v>
      </c>
      <c r="F597" s="3">
        <f ca="1">'ETF price'!G599-'ETF price'!G598</f>
        <v>-0.16000000000000014</v>
      </c>
      <c r="G597" s="3">
        <f ca="1">'ETF price'!H599-'ETF price'!H598</f>
        <v>-5.9999999999998721E-2</v>
      </c>
      <c r="H597" s="3">
        <f ca="1">'ETF price'!I599-'ETF price'!I598</f>
        <v>0.28000000000000114</v>
      </c>
      <c r="I597" s="3">
        <f ca="1">'ETF price'!J599-'ETF price'!J598</f>
        <v>0.12000000000000455</v>
      </c>
      <c r="J597" s="3">
        <f ca="1">'ETF price'!K599-'ETF price'!K598</f>
        <v>-0.59999999999999432</v>
      </c>
      <c r="K597" s="3">
        <f ca="1">'ETF price'!L599-'ETF price'!L598</f>
        <v>-1.4099999999999966</v>
      </c>
      <c r="L597" s="3">
        <f ca="1">'ETF price'!M599-'ETF price'!M598</f>
        <v>-0.4100000000000108</v>
      </c>
      <c r="M597" s="3">
        <f ca="1">'ETF price'!N599-'ETF price'!N598</f>
        <v>6.0000000000002274E-2</v>
      </c>
      <c r="N597" s="3">
        <f ca="1">'ETF price'!O599-'ETF price'!O598</f>
        <v>-0.28000000000000114</v>
      </c>
      <c r="O597" s="3">
        <f ca="1">'ETF price'!P599-'ETF price'!P598</f>
        <v>1.3099999999999881</v>
      </c>
      <c r="P597" s="3">
        <f ca="1">'ETF price'!Q599-'ETF price'!Q598</f>
        <v>1.8500000000000227</v>
      </c>
      <c r="Q597" s="3">
        <f ca="1">'ETF price'!R599-'ETF price'!R598</f>
        <v>0.78000000000000114</v>
      </c>
      <c r="R597" s="3">
        <f ca="1">'ETF price'!S599-'ETF price'!S598</f>
        <v>1.1700000000000017</v>
      </c>
      <c r="S597" s="3">
        <f ca="1">'ETF price'!T599-'ETF price'!T598</f>
        <v>0.24000000000000199</v>
      </c>
      <c r="T597" s="3">
        <f ca="1">'ETF price'!U599-'ETF price'!U598</f>
        <v>0.71999999999999886</v>
      </c>
      <c r="U597" s="3">
        <f ca="1">'ETF price'!V599-'ETF price'!V598</f>
        <v>-0.71999999999999886</v>
      </c>
      <c r="V597" s="3">
        <f ca="1">'ETF price'!W599-'ETF price'!W598</f>
        <v>0.31000000000000227</v>
      </c>
      <c r="W597" s="3">
        <f ca="1">'ETF price'!X599-'ETF price'!X598</f>
        <v>0.64000000000000057</v>
      </c>
      <c r="X597" s="3">
        <f ca="1">'ETF price'!Y599-'ETF price'!Y598</f>
        <v>0.21000000000000085</v>
      </c>
      <c r="Y597" s="3">
        <f ca="1">'ETF price'!Z599-'ETF price'!Z598</f>
        <v>0.68999999999999773</v>
      </c>
      <c r="Z597" s="3">
        <f ca="1">'ETF price'!AA599-'ETF price'!AA598</f>
        <v>0</v>
      </c>
      <c r="AA597" s="3">
        <f ca="1">'ETF price'!AB599-'ETF price'!AB598</f>
        <v>0.33999999999999631</v>
      </c>
      <c r="AB597" s="3">
        <f ca="1">'ETF price'!AC599-'ETF price'!AC598</f>
        <v>-0.42000000000000171</v>
      </c>
      <c r="AC597" s="3">
        <f ca="1">'ETF price'!AD599-'ETF price'!AD598</f>
        <v>0.71000000000000085</v>
      </c>
      <c r="AD597" s="3">
        <f ca="1">'ETF price'!AE599-'ETF price'!AE598</f>
        <v>0.73000000000000043</v>
      </c>
      <c r="AE597" s="3">
        <f ca="1">'ETF price'!AF599-'ETF price'!AF598</f>
        <v>-8.0000000000000071E-2</v>
      </c>
      <c r="AF597" s="3">
        <f ca="1">'ETF price'!AG599-'ETF price'!AG598</f>
        <v>0.35000000000000142</v>
      </c>
    </row>
    <row r="598" spans="1:32" ht="12.75" x14ac:dyDescent="0.2">
      <c r="A598" s="3">
        <f ca="1">'ETF price'!B600-'ETF price'!B599</f>
        <v>2.4900000000000091</v>
      </c>
      <c r="B598" s="3">
        <f ca="1">'ETF price'!C600-'ETF price'!C599</f>
        <v>6.75</v>
      </c>
      <c r="C598" s="3">
        <f ca="1">'ETF price'!D600-'ETF price'!D599</f>
        <v>0.25999999999999091</v>
      </c>
      <c r="D598" s="3">
        <f ca="1">'ETF price'!E600-'ETF price'!E599</f>
        <v>5.0199999999999818</v>
      </c>
      <c r="E598" s="3">
        <f ca="1">'ETF price'!F600-'ETF price'!F599</f>
        <v>0.23000000000000398</v>
      </c>
      <c r="F598" s="3">
        <f ca="1">'ETF price'!G600-'ETF price'!G599</f>
        <v>0.32000000000000028</v>
      </c>
      <c r="G598" s="3">
        <f ca="1">'ETF price'!H600-'ETF price'!H599</f>
        <v>7.0000000000000284E-2</v>
      </c>
      <c r="H598" s="3">
        <f ca="1">'ETF price'!I600-'ETF price'!I599</f>
        <v>-0.31000000000000227</v>
      </c>
      <c r="I598" s="3">
        <f ca="1">'ETF price'!J600-'ETF price'!J599</f>
        <v>-0.25999999999999091</v>
      </c>
      <c r="J598" s="3">
        <f ca="1">'ETF price'!K600-'ETF price'!K599</f>
        <v>0.81999999999999318</v>
      </c>
      <c r="K598" s="3">
        <f ca="1">'ETF price'!L600-'ETF price'!L599</f>
        <v>1.0899999999999892</v>
      </c>
      <c r="L598" s="3">
        <f ca="1">'ETF price'!M600-'ETF price'!M599</f>
        <v>0.84000000000000341</v>
      </c>
      <c r="M598" s="3">
        <f ca="1">'ETF price'!N600-'ETF price'!N599</f>
        <v>-9.9999999999994316E-2</v>
      </c>
      <c r="N598" s="3">
        <f ca="1">'ETF price'!O600-'ETF price'!O599</f>
        <v>-0.24000000000000199</v>
      </c>
      <c r="O598" s="3">
        <f ca="1">'ETF price'!P600-'ETF price'!P599</f>
        <v>-0.61999999999999034</v>
      </c>
      <c r="P598" s="3">
        <f ca="1">'ETF price'!Q600-'ETF price'!Q599</f>
        <v>-0.62000000000000455</v>
      </c>
      <c r="Q598" s="3">
        <f ca="1">'ETF price'!R600-'ETF price'!R599</f>
        <v>0.12999999999999545</v>
      </c>
      <c r="R598" s="3">
        <f ca="1">'ETF price'!S600-'ETF price'!S599</f>
        <v>0.92000000000000171</v>
      </c>
      <c r="S598" s="3">
        <f ca="1">'ETF price'!T600-'ETF price'!T599</f>
        <v>0.21000000000000085</v>
      </c>
      <c r="T598" s="3">
        <f ca="1">'ETF price'!U600-'ETF price'!U599</f>
        <v>-0.23999999999999488</v>
      </c>
      <c r="U598" s="3">
        <f ca="1">'ETF price'!V600-'ETF price'!V599</f>
        <v>-0.33999999999999631</v>
      </c>
      <c r="V598" s="3">
        <f ca="1">'ETF price'!W600-'ETF price'!W599</f>
        <v>-0.5800000000000054</v>
      </c>
      <c r="W598" s="3">
        <f ca="1">'ETF price'!X600-'ETF price'!X599</f>
        <v>-1.0300000000000011</v>
      </c>
      <c r="X598" s="3">
        <f ca="1">'ETF price'!Y600-'ETF price'!Y599</f>
        <v>-0.64999999999999858</v>
      </c>
      <c r="Y598" s="3">
        <f ca="1">'ETF price'!Z600-'ETF price'!Z599</f>
        <v>-1.2399999999999949</v>
      </c>
      <c r="Z598" s="3">
        <f ca="1">'ETF price'!AA600-'ETF price'!AA599</f>
        <v>-0.23999999999999488</v>
      </c>
      <c r="AA598" s="3">
        <f ca="1">'ETF price'!AB600-'ETF price'!AB599</f>
        <v>-0.73999999999999488</v>
      </c>
      <c r="AB598" s="3">
        <f ca="1">'ETF price'!AC600-'ETF price'!AC599</f>
        <v>-0.96999999999999886</v>
      </c>
      <c r="AC598" s="3">
        <f ca="1">'ETF price'!AD600-'ETF price'!AD599</f>
        <v>1.5299999999999976</v>
      </c>
      <c r="AD598" s="3">
        <f ca="1">'ETF price'!AE600-'ETF price'!AE599</f>
        <v>1.25</v>
      </c>
      <c r="AE598" s="3">
        <f ca="1">'ETF price'!AF600-'ETF price'!AF599</f>
        <v>4.9999999999999822E-2</v>
      </c>
      <c r="AF598" s="3">
        <f ca="1">'ETF price'!AG600-'ETF price'!AG599</f>
        <v>4.0300000000000011</v>
      </c>
    </row>
    <row r="599" spans="1:32" ht="12.75" x14ac:dyDescent="0.2">
      <c r="A599" s="3">
        <f ca="1">'ETF price'!B601-'ETF price'!B600</f>
        <v>0.34999999999999432</v>
      </c>
      <c r="B599" s="3">
        <f ca="1">'ETF price'!C601-'ETF price'!C600</f>
        <v>0.50999999999999091</v>
      </c>
      <c r="C599" s="3">
        <f ca="1">'ETF price'!D601-'ETF price'!D600</f>
        <v>1.2800000000000011</v>
      </c>
      <c r="D599" s="3">
        <f ca="1">'ETF price'!E601-'ETF price'!E600</f>
        <v>-0.75</v>
      </c>
      <c r="E599" s="3">
        <f ca="1">'ETF price'!F601-'ETF price'!F600</f>
        <v>-0.44000000000000483</v>
      </c>
      <c r="F599" s="3">
        <f ca="1">'ETF price'!G601-'ETF price'!G600</f>
        <v>-0.35000000000000142</v>
      </c>
      <c r="G599" s="3">
        <f ca="1">'ETF price'!H601-'ETF price'!H600</f>
        <v>-0.14000000000000057</v>
      </c>
      <c r="H599" s="3">
        <f ca="1">'ETF price'!I601-'ETF price'!I600</f>
        <v>0.25</v>
      </c>
      <c r="I599" s="3">
        <f ca="1">'ETF price'!J601-'ETF price'!J600</f>
        <v>6.0000000000002274E-2</v>
      </c>
      <c r="J599" s="3">
        <f ca="1">'ETF price'!K601-'ETF price'!K600</f>
        <v>-0.59999999999999432</v>
      </c>
      <c r="K599" s="3">
        <f ca="1">'ETF price'!L601-'ETF price'!L600</f>
        <v>-0.70000000000000284</v>
      </c>
      <c r="L599" s="3">
        <f ca="1">'ETF price'!M601-'ETF price'!M600</f>
        <v>-0.28000000000000114</v>
      </c>
      <c r="M599" s="3">
        <f ca="1">'ETF price'!N601-'ETF price'!N600</f>
        <v>-1.0000000000005116E-2</v>
      </c>
      <c r="N599" s="3">
        <f ca="1">'ETF price'!O601-'ETF price'!O600</f>
        <v>-0.39999999999999858</v>
      </c>
      <c r="O599" s="3">
        <f ca="1">'ETF price'!P601-'ETF price'!P600</f>
        <v>-0.46000000000000796</v>
      </c>
      <c r="P599" s="3">
        <f ca="1">'ETF price'!Q601-'ETF price'!Q600</f>
        <v>-0.56999999999999318</v>
      </c>
      <c r="Q599" s="3">
        <f ca="1">'ETF price'!R601-'ETF price'!R600</f>
        <v>0</v>
      </c>
      <c r="R599" s="3">
        <f ca="1">'ETF price'!S601-'ETF price'!S600</f>
        <v>0.23000000000000398</v>
      </c>
      <c r="S599" s="3">
        <f ca="1">'ETF price'!T601-'ETF price'!T600</f>
        <v>-0.10000000000000142</v>
      </c>
      <c r="T599" s="3">
        <f ca="1">'ETF price'!U601-'ETF price'!U600</f>
        <v>-0.57000000000000739</v>
      </c>
      <c r="U599" s="3">
        <f ca="1">'ETF price'!V601-'ETF price'!V600</f>
        <v>0.63999999999999346</v>
      </c>
      <c r="V599" s="3">
        <f ca="1">'ETF price'!W601-'ETF price'!W600</f>
        <v>0.27000000000000313</v>
      </c>
      <c r="W599" s="3">
        <f ca="1">'ETF price'!X601-'ETF price'!X600</f>
        <v>0.56000000000000227</v>
      </c>
      <c r="X599" s="3">
        <f ca="1">'ETF price'!Y601-'ETF price'!Y600</f>
        <v>0.18999999999999773</v>
      </c>
      <c r="Y599" s="3">
        <f ca="1">'ETF price'!Z601-'ETF price'!Z600</f>
        <v>0.73000000000000398</v>
      </c>
      <c r="Z599" s="3">
        <f ca="1">'ETF price'!AA601-'ETF price'!AA600</f>
        <v>-3.0000000000001137E-2</v>
      </c>
      <c r="AA599" s="3">
        <f ca="1">'ETF price'!AB601-'ETF price'!AB600</f>
        <v>7.0000000000000284E-2</v>
      </c>
      <c r="AB599" s="3">
        <f ca="1">'ETF price'!AC601-'ETF price'!AC600</f>
        <v>0.54999999999999716</v>
      </c>
      <c r="AC599" s="3">
        <f ca="1">'ETF price'!AD601-'ETF price'!AD600</f>
        <v>0.70000000000000284</v>
      </c>
      <c r="AD599" s="3">
        <f ca="1">'ETF price'!AE601-'ETF price'!AE600</f>
        <v>-0.35999999999999943</v>
      </c>
      <c r="AE599" s="3">
        <f ca="1">'ETF price'!AF601-'ETF price'!AF600</f>
        <v>0.44000000000000039</v>
      </c>
      <c r="AF599" s="3">
        <f ca="1">'ETF price'!AG601-'ETF price'!AG600</f>
        <v>-0.30000000000000426</v>
      </c>
    </row>
    <row r="600" spans="1:32" ht="12.75" x14ac:dyDescent="0.2">
      <c r="A600" s="3">
        <f ca="1">'ETF price'!B602-'ETF price'!B601</f>
        <v>0.47999999999998977</v>
      </c>
      <c r="B600" s="3">
        <f ca="1">'ETF price'!C602-'ETF price'!C601</f>
        <v>0.13000000000010914</v>
      </c>
      <c r="C600" s="3">
        <f ca="1">'ETF price'!D602-'ETF price'!D601</f>
        <v>1.5400000000000205</v>
      </c>
      <c r="D600" s="3">
        <f ca="1">'ETF price'!E602-'ETF price'!E601</f>
        <v>2.7300000000000182</v>
      </c>
      <c r="E600" s="3">
        <f ca="1">'ETF price'!F602-'ETF price'!F601</f>
        <v>-8.9999999999996305E-2</v>
      </c>
      <c r="F600" s="3">
        <f ca="1">'ETF price'!G602-'ETF price'!G601</f>
        <v>-0.35999999999999943</v>
      </c>
      <c r="G600" s="3">
        <f ca="1">'ETF price'!H602-'ETF price'!H601</f>
        <v>3.9999999999999147E-2</v>
      </c>
      <c r="H600" s="3">
        <f ca="1">'ETF price'!I602-'ETF price'!I601</f>
        <v>0.25999999999999091</v>
      </c>
      <c r="I600" s="3">
        <f ca="1">'ETF price'!J602-'ETF price'!J601</f>
        <v>0.47999999999996135</v>
      </c>
      <c r="J600" s="3">
        <f ca="1">'ETF price'!K602-'ETF price'!K601</f>
        <v>0.97999999999998977</v>
      </c>
      <c r="K600" s="3">
        <f ca="1">'ETF price'!L602-'ETF price'!L601</f>
        <v>0.60000000000000853</v>
      </c>
      <c r="L600" s="3">
        <f ca="1">'ETF price'!M602-'ETF price'!M601</f>
        <v>-0.12999999999999545</v>
      </c>
      <c r="M600" s="3">
        <f ca="1">'ETF price'!N602-'ETF price'!N601</f>
        <v>0.12000000000000455</v>
      </c>
      <c r="N600" s="3">
        <f ca="1">'ETF price'!O602-'ETF price'!O601</f>
        <v>0.56000000000000227</v>
      </c>
      <c r="O600" s="3">
        <f ca="1">'ETF price'!P602-'ETF price'!P601</f>
        <v>-1.7999999999999972</v>
      </c>
      <c r="P600" s="3">
        <f ca="1">'ETF price'!Q602-'ETF price'!Q601</f>
        <v>-2.5900000000000034</v>
      </c>
      <c r="Q600" s="3">
        <f ca="1">'ETF price'!R602-'ETF price'!R601</f>
        <v>-0.90000000000000568</v>
      </c>
      <c r="R600" s="3">
        <f ca="1">'ETF price'!S602-'ETF price'!S601</f>
        <v>-1.5400000000000063</v>
      </c>
      <c r="S600" s="3">
        <f ca="1">'ETF price'!T602-'ETF price'!T601</f>
        <v>-0.33999999999999986</v>
      </c>
      <c r="T600" s="3">
        <f ca="1">'ETF price'!U602-'ETF price'!U601</f>
        <v>-1.289999999999992</v>
      </c>
      <c r="U600" s="3">
        <f ca="1">'ETF price'!V602-'ETF price'!V601</f>
        <v>3.8500000000000014</v>
      </c>
      <c r="V600" s="3">
        <f ca="1">'ETF price'!W602-'ETF price'!W601</f>
        <v>-0.24000000000000199</v>
      </c>
      <c r="W600" s="3">
        <f ca="1">'ETF price'!X602-'ETF price'!X601</f>
        <v>-0.67000000000000171</v>
      </c>
      <c r="X600" s="3">
        <f ca="1">'ETF price'!Y602-'ETF price'!Y601</f>
        <v>-0.50999999999999801</v>
      </c>
      <c r="Y600" s="3">
        <f ca="1">'ETF price'!Z602-'ETF price'!Z601</f>
        <v>-0.46999999999999886</v>
      </c>
      <c r="Z600" s="3">
        <f ca="1">'ETF price'!AA602-'ETF price'!AA601</f>
        <v>-0.3300000000000054</v>
      </c>
      <c r="AA600" s="3">
        <f ca="1">'ETF price'!AB602-'ETF price'!AB601</f>
        <v>-0.61000000000000654</v>
      </c>
      <c r="AB600" s="3">
        <f ca="1">'ETF price'!AC602-'ETF price'!AC601</f>
        <v>-0.67999999999999261</v>
      </c>
      <c r="AC600" s="3">
        <f ca="1">'ETF price'!AD602-'ETF price'!AD601</f>
        <v>0.11999999999999744</v>
      </c>
      <c r="AD600" s="3">
        <f ca="1">'ETF price'!AE602-'ETF price'!AE601</f>
        <v>0.16000000000000014</v>
      </c>
      <c r="AE600" s="3">
        <f ca="1">'ETF price'!AF602-'ETF price'!AF601</f>
        <v>-0.12000000000000011</v>
      </c>
      <c r="AF600" s="3">
        <f ca="1">'ETF price'!AG602-'ETF price'!AG601</f>
        <v>0.21000000000000085</v>
      </c>
    </row>
    <row r="601" spans="1:32" ht="12.75" x14ac:dyDescent="0.2">
      <c r="A601" s="3">
        <f ca="1">'ETF price'!B603-'ETF price'!B602</f>
        <v>-1.75</v>
      </c>
      <c r="B601" s="3">
        <f ca="1">'ETF price'!C603-'ETF price'!C602</f>
        <v>3.999999999996362E-2</v>
      </c>
      <c r="C601" s="3">
        <f ca="1">'ETF price'!D603-'ETF price'!D602</f>
        <v>-0.74000000000000909</v>
      </c>
      <c r="D601" s="3">
        <f ca="1">'ETF price'!E603-'ETF price'!E602</f>
        <v>-1.3200000000000216</v>
      </c>
      <c r="E601" s="3">
        <f ca="1">'ETF price'!F603-'ETF price'!F602</f>
        <v>-0.55000000000000426</v>
      </c>
      <c r="F601" s="3">
        <f ca="1">'ETF price'!G603-'ETF price'!G602</f>
        <v>3.9999999999999147E-2</v>
      </c>
      <c r="G601" s="3">
        <f ca="1">'ETF price'!H603-'ETF price'!H602</f>
        <v>-0.42999999999999972</v>
      </c>
      <c r="H601" s="3">
        <f ca="1">'ETF price'!I603-'ETF price'!I602</f>
        <v>-1.5999999999999943</v>
      </c>
      <c r="I601" s="3">
        <f ca="1">'ETF price'!J603-'ETF price'!J602</f>
        <v>-2.9900000000000091</v>
      </c>
      <c r="J601" s="3">
        <f ca="1">'ETF price'!K603-'ETF price'!K602</f>
        <v>-2.2599999999999909</v>
      </c>
      <c r="K601" s="3">
        <f ca="1">'ETF price'!L603-'ETF price'!L602</f>
        <v>-2.8500000000000085</v>
      </c>
      <c r="L601" s="3">
        <f ca="1">'ETF price'!M603-'ETF price'!M602</f>
        <v>-1.0600000000000023</v>
      </c>
      <c r="M601" s="3">
        <f ca="1">'ETF price'!N603-'ETF price'!N602</f>
        <v>-0.75</v>
      </c>
      <c r="N601" s="3">
        <f ca="1">'ETF price'!O603-'ETF price'!O602</f>
        <v>-1.1199999999999974</v>
      </c>
      <c r="O601" s="3">
        <f ca="1">'ETF price'!P603-'ETF price'!P602</f>
        <v>-0.84000000000000341</v>
      </c>
      <c r="P601" s="3">
        <f ca="1">'ETF price'!Q603-'ETF price'!Q602</f>
        <v>-1.2700000000000102</v>
      </c>
      <c r="Q601" s="3">
        <f ca="1">'ETF price'!R603-'ETF price'!R602</f>
        <v>-0.81000000000000227</v>
      </c>
      <c r="R601" s="3">
        <f ca="1">'ETF price'!S603-'ETF price'!S602</f>
        <v>-0.75</v>
      </c>
      <c r="S601" s="3">
        <f ca="1">'ETF price'!T603-'ETF price'!T602</f>
        <v>-0.12000000000000099</v>
      </c>
      <c r="T601" s="3">
        <f ca="1">'ETF price'!U603-'ETF price'!U602</f>
        <v>-0.42000000000000171</v>
      </c>
      <c r="U601" s="3">
        <f ca="1">'ETF price'!V603-'ETF price'!V602</f>
        <v>-1.6199999999999974</v>
      </c>
      <c r="V601" s="3">
        <f ca="1">'ETF price'!W603-'ETF price'!W602</f>
        <v>-0.57999999999999829</v>
      </c>
      <c r="W601" s="3">
        <f ca="1">'ETF price'!X603-'ETF price'!X602</f>
        <v>-1.4899999999999949</v>
      </c>
      <c r="X601" s="3">
        <f ca="1">'ETF price'!Y603-'ETF price'!Y602</f>
        <v>-1.0300000000000011</v>
      </c>
      <c r="Y601" s="3">
        <f ca="1">'ETF price'!Z603-'ETF price'!Z602</f>
        <v>-1.5900000000000034</v>
      </c>
      <c r="Z601" s="3">
        <f ca="1">'ETF price'!AA603-'ETF price'!AA602</f>
        <v>-0.80999999999999517</v>
      </c>
      <c r="AA601" s="3">
        <f ca="1">'ETF price'!AB603-'ETF price'!AB602</f>
        <v>-1.1999999999999957</v>
      </c>
      <c r="AB601" s="3">
        <f ca="1">'ETF price'!AC603-'ETF price'!AC602</f>
        <v>-0.62000000000000455</v>
      </c>
      <c r="AC601" s="3">
        <f ca="1">'ETF price'!AD603-'ETF price'!AD602</f>
        <v>-0.23000000000000043</v>
      </c>
      <c r="AD601" s="3">
        <f ca="1">'ETF price'!AE603-'ETF price'!AE602</f>
        <v>-1.0700000000000003</v>
      </c>
      <c r="AE601" s="3">
        <f ca="1">'ETF price'!AF603-'ETF price'!AF602</f>
        <v>5.9999999999999609E-2</v>
      </c>
      <c r="AF601" s="3">
        <f ca="1">'ETF price'!AG603-'ETF price'!AG602</f>
        <v>-2.7899999999999991</v>
      </c>
    </row>
    <row r="602" spans="1:32" ht="12.75" x14ac:dyDescent="0.2">
      <c r="A602" s="3">
        <f ca="1">'ETF price'!B604-'ETF price'!B603</f>
        <v>1.8000000000000114</v>
      </c>
      <c r="B602" s="3">
        <f ca="1">'ETF price'!C604-'ETF price'!C603</f>
        <v>5.25</v>
      </c>
      <c r="C602" s="3">
        <f ca="1">'ETF price'!D604-'ETF price'!D603</f>
        <v>-3.6400000000000148</v>
      </c>
      <c r="D602" s="3">
        <f ca="1">'ETF price'!E604-'ETF price'!E603</f>
        <v>4.6400000000000148</v>
      </c>
      <c r="E602" s="3">
        <f ca="1">'ETF price'!F604-'ETF price'!F603</f>
        <v>0.53999999999999915</v>
      </c>
      <c r="F602" s="3">
        <f ca="1">'ETF price'!G604-'ETF price'!G603</f>
        <v>0.28000000000000114</v>
      </c>
      <c r="G602" s="3">
        <f ca="1">'ETF price'!H604-'ETF price'!H603</f>
        <v>0.25999999999999801</v>
      </c>
      <c r="H602" s="3">
        <f ca="1">'ETF price'!I604-'ETF price'!I603</f>
        <v>-0.49000000000000909</v>
      </c>
      <c r="I602" s="3">
        <f ca="1">'ETF price'!J604-'ETF price'!J603</f>
        <v>-0.88999999999998636</v>
      </c>
      <c r="J602" s="3">
        <f ca="1">'ETF price'!K604-'ETF price'!K603</f>
        <v>3.9999999999992042E-2</v>
      </c>
      <c r="K602" s="3">
        <f ca="1">'ETF price'!L604-'ETF price'!L603</f>
        <v>-0.48999999999999488</v>
      </c>
      <c r="L602" s="3">
        <f ca="1">'ETF price'!M604-'ETF price'!M603</f>
        <v>-0.21000000000000085</v>
      </c>
      <c r="M602" s="3">
        <f ca="1">'ETF price'!N604-'ETF price'!N603</f>
        <v>-0.26000000000000512</v>
      </c>
      <c r="N602" s="3">
        <f ca="1">'ETF price'!O604-'ETF price'!O603</f>
        <v>1.9999999999996021E-2</v>
      </c>
      <c r="O602" s="3">
        <f ca="1">'ETF price'!P604-'ETF price'!P603</f>
        <v>0.13000000000000966</v>
      </c>
      <c r="P602" s="3">
        <f ca="1">'ETF price'!Q604-'ETF price'!Q603</f>
        <v>0.21000000000000796</v>
      </c>
      <c r="Q602" s="3">
        <f ca="1">'ETF price'!R604-'ETF price'!R603</f>
        <v>0.79000000000000625</v>
      </c>
      <c r="R602" s="3">
        <f ca="1">'ETF price'!S604-'ETF price'!S603</f>
        <v>0.46999999999999886</v>
      </c>
      <c r="S602" s="3">
        <f ca="1">'ETF price'!T604-'ETF price'!T603</f>
        <v>0.16000000000000014</v>
      </c>
      <c r="T602" s="3">
        <f ca="1">'ETF price'!U604-'ETF price'!U603</f>
        <v>0.89999999999999147</v>
      </c>
      <c r="U602" s="3">
        <f ca="1">'ETF price'!V604-'ETF price'!V603</f>
        <v>2.3599999999999994</v>
      </c>
      <c r="V602" s="3">
        <f ca="1">'ETF price'!W604-'ETF price'!W603</f>
        <v>0.25</v>
      </c>
      <c r="W602" s="3">
        <f ca="1">'ETF price'!X604-'ETF price'!X603</f>
        <v>0.75999999999999091</v>
      </c>
      <c r="X602" s="3">
        <f ca="1">'ETF price'!Y604-'ETF price'!Y603</f>
        <v>0.29999999999999716</v>
      </c>
      <c r="Y602" s="3">
        <f ca="1">'ETF price'!Z604-'ETF price'!Z603</f>
        <v>0.93999999999999773</v>
      </c>
      <c r="Z602" s="3">
        <f ca="1">'ETF price'!AA604-'ETF price'!AA603</f>
        <v>0</v>
      </c>
      <c r="AA602" s="3">
        <f ca="1">'ETF price'!AB604-'ETF price'!AB603</f>
        <v>0.21000000000000085</v>
      </c>
      <c r="AB602" s="3">
        <f ca="1">'ETF price'!AC604-'ETF price'!AC603</f>
        <v>0.34000000000000341</v>
      </c>
      <c r="AC602" s="3">
        <f ca="1">'ETF price'!AD604-'ETF price'!AD603</f>
        <v>0.13000000000000256</v>
      </c>
      <c r="AD602" s="3">
        <f ca="1">'ETF price'!AE604-'ETF price'!AE603</f>
        <v>0.87000000000000099</v>
      </c>
      <c r="AE602" s="3">
        <f ca="1">'ETF price'!AF604-'ETF price'!AF603</f>
        <v>-0.1899999999999995</v>
      </c>
      <c r="AF602" s="3">
        <f ca="1">'ETF price'!AG604-'ETF price'!AG603</f>
        <v>2.3200000000000003</v>
      </c>
    </row>
    <row r="603" spans="1:32" ht="12.75" x14ac:dyDescent="0.2">
      <c r="A603" s="3">
        <f ca="1">'ETF price'!B605-'ETF price'!B604</f>
        <v>0.90999999999999659</v>
      </c>
      <c r="B603" s="3">
        <f ca="1">'ETF price'!C605-'ETF price'!C604</f>
        <v>4.6899999999999409</v>
      </c>
      <c r="C603" s="3">
        <f ca="1">'ETF price'!D605-'ETF price'!D604</f>
        <v>-6.9999999999993179E-2</v>
      </c>
      <c r="D603" s="3">
        <f ca="1">'ETF price'!E605-'ETF price'!E604</f>
        <v>4.0300000000000011</v>
      </c>
      <c r="E603" s="3">
        <f ca="1">'ETF price'!F605-'ETF price'!F604</f>
        <v>-0.95999999999999375</v>
      </c>
      <c r="F603" s="3">
        <f ca="1">'ETF price'!G605-'ETF price'!G604</f>
        <v>1.9999999999999574E-2</v>
      </c>
      <c r="G603" s="3">
        <f ca="1">'ETF price'!H605-'ETF price'!H604</f>
        <v>-0.13999999999999702</v>
      </c>
      <c r="H603" s="3">
        <f ca="1">'ETF price'!I605-'ETF price'!I604</f>
        <v>-1.75</v>
      </c>
      <c r="I603" s="3">
        <f ca="1">'ETF price'!J605-'ETF price'!J604</f>
        <v>-2.8499999999999659</v>
      </c>
      <c r="J603" s="3">
        <f ca="1">'ETF price'!K605-'ETF price'!K604</f>
        <v>-1.589999999999975</v>
      </c>
      <c r="K603" s="3">
        <f ca="1">'ETF price'!L605-'ETF price'!L604</f>
        <v>0.29999999999999716</v>
      </c>
      <c r="L603" s="3">
        <f ca="1">'ETF price'!M605-'ETF price'!M604</f>
        <v>-0.44999999999999574</v>
      </c>
      <c r="M603" s="3">
        <f ca="1">'ETF price'!N605-'ETF price'!N604</f>
        <v>-0.71999999999999886</v>
      </c>
      <c r="N603" s="3">
        <f ca="1">'ETF price'!O605-'ETF price'!O604</f>
        <v>-0.93999999999999773</v>
      </c>
      <c r="O603" s="3">
        <f ca="1">'ETF price'!P605-'ETF price'!P604</f>
        <v>0.93999999999999773</v>
      </c>
      <c r="P603" s="3">
        <f ca="1">'ETF price'!Q605-'ETF price'!Q604</f>
        <v>1.460000000000008</v>
      </c>
      <c r="Q603" s="3">
        <f ca="1">'ETF price'!R605-'ETF price'!R604</f>
        <v>-0.34999999999999432</v>
      </c>
      <c r="R603" s="3">
        <f ca="1">'ETF price'!S605-'ETF price'!S604</f>
        <v>0.93999999999999773</v>
      </c>
      <c r="S603" s="3">
        <f ca="1">'ETF price'!T605-'ETF price'!T604</f>
        <v>0.42000000000000171</v>
      </c>
      <c r="T603" s="3">
        <f ca="1">'ETF price'!U605-'ETF price'!U604</f>
        <v>2.3100000000000023</v>
      </c>
      <c r="U603" s="3">
        <f ca="1">'ETF price'!V605-'ETF price'!V604</f>
        <v>0.11999999999999744</v>
      </c>
      <c r="V603" s="3">
        <f ca="1">'ETF price'!W605-'ETF price'!W604</f>
        <v>-0.46000000000000085</v>
      </c>
      <c r="W603" s="3">
        <f ca="1">'ETF price'!X605-'ETF price'!X604</f>
        <v>-1.0899999999999892</v>
      </c>
      <c r="X603" s="3">
        <f ca="1">'ETF price'!Y605-'ETF price'!Y604</f>
        <v>-0.36999999999999744</v>
      </c>
      <c r="Y603" s="3">
        <f ca="1">'ETF price'!Z605-'ETF price'!Z604</f>
        <v>-0.95000000000000284</v>
      </c>
      <c r="Z603" s="3">
        <f ca="1">'ETF price'!AA605-'ETF price'!AA604</f>
        <v>-0.21999999999999886</v>
      </c>
      <c r="AA603" s="3">
        <f ca="1">'ETF price'!AB605-'ETF price'!AB604</f>
        <v>-0.41000000000000369</v>
      </c>
      <c r="AB603" s="3">
        <f ca="1">'ETF price'!AC605-'ETF price'!AC604</f>
        <v>0.73999999999999488</v>
      </c>
      <c r="AC603" s="3">
        <f ca="1">'ETF price'!AD605-'ETF price'!AD604</f>
        <v>0.16000000000000014</v>
      </c>
      <c r="AD603" s="3">
        <f ca="1">'ETF price'!AE605-'ETF price'!AE604</f>
        <v>-0.35999999999999943</v>
      </c>
      <c r="AE603" s="3">
        <f ca="1">'ETF price'!AF605-'ETF price'!AF604</f>
        <v>0.16000000000000014</v>
      </c>
      <c r="AF603" s="3">
        <f ca="1">'ETF price'!AG605-'ETF price'!AG604</f>
        <v>3.9999999999999147E-2</v>
      </c>
    </row>
    <row r="604" spans="1:32" ht="12.75" x14ac:dyDescent="0.2">
      <c r="A604" s="3">
        <f ca="1">'ETF price'!B606-'ETF price'!B605</f>
        <v>-1.3700000000000045</v>
      </c>
      <c r="B604" s="3">
        <f ca="1">'ETF price'!C606-'ETF price'!C605</f>
        <v>-1.9199999999999591</v>
      </c>
      <c r="C604" s="3">
        <f ca="1">'ETF price'!D606-'ETF price'!D605</f>
        <v>1.0900000000000034</v>
      </c>
      <c r="D604" s="3">
        <f ca="1">'ETF price'!E606-'ETF price'!E605</f>
        <v>-5.0099999999999909</v>
      </c>
      <c r="E604" s="3">
        <f ca="1">'ETF price'!F606-'ETF price'!F605</f>
        <v>-0.38000000000000256</v>
      </c>
      <c r="F604" s="3">
        <f ca="1">'ETF price'!G606-'ETF price'!G605</f>
        <v>-0.5</v>
      </c>
      <c r="G604" s="3">
        <f ca="1">'ETF price'!H606-'ETF price'!H605</f>
        <v>-0.32000000000000028</v>
      </c>
      <c r="H604" s="3">
        <f ca="1">'ETF price'!I606-'ETF price'!I605</f>
        <v>-1.1099999999999852</v>
      </c>
      <c r="I604" s="3">
        <f ca="1">'ETF price'!J606-'ETF price'!J605</f>
        <v>-2.1500000000000341</v>
      </c>
      <c r="J604" s="3">
        <f ca="1">'ETF price'!K606-'ETF price'!K605</f>
        <v>-1.5700000000000216</v>
      </c>
      <c r="K604" s="3">
        <f ca="1">'ETF price'!L606-'ETF price'!L605</f>
        <v>-1.6499999999999915</v>
      </c>
      <c r="L604" s="3">
        <f ca="1">'ETF price'!M606-'ETF price'!M605</f>
        <v>-1.0600000000000023</v>
      </c>
      <c r="M604" s="3">
        <f ca="1">'ETF price'!N606-'ETF price'!N605</f>
        <v>-0.47999999999998977</v>
      </c>
      <c r="N604" s="3">
        <f ca="1">'ETF price'!O606-'ETF price'!O605</f>
        <v>-0.71999999999999886</v>
      </c>
      <c r="O604" s="3">
        <f ca="1">'ETF price'!P606-'ETF price'!P605</f>
        <v>-1.6299999999999955</v>
      </c>
      <c r="P604" s="3">
        <f ca="1">'ETF price'!Q606-'ETF price'!Q605</f>
        <v>-2.2500000000000142</v>
      </c>
      <c r="Q604" s="3">
        <f ca="1">'ETF price'!R606-'ETF price'!R605</f>
        <v>-1.3000000000000114</v>
      </c>
      <c r="R604" s="3">
        <f ca="1">'ETF price'!S606-'ETF price'!S605</f>
        <v>-1.029999999999994</v>
      </c>
      <c r="S604" s="3">
        <f ca="1">'ETF price'!T606-'ETF price'!T605</f>
        <v>-0.25</v>
      </c>
      <c r="T604" s="3">
        <f ca="1">'ETF price'!U606-'ETF price'!U605</f>
        <v>-1.0900000000000034</v>
      </c>
      <c r="U604" s="3">
        <f ca="1">'ETF price'!V606-'ETF price'!V605</f>
        <v>-1.9999999999996021E-2</v>
      </c>
      <c r="V604" s="3">
        <f ca="1">'ETF price'!W606-'ETF price'!W605</f>
        <v>-0.32999999999999829</v>
      </c>
      <c r="W604" s="3">
        <f ca="1">'ETF price'!X606-'ETF price'!X605</f>
        <v>-1.0100000000000051</v>
      </c>
      <c r="X604" s="3">
        <f ca="1">'ETF price'!Y606-'ETF price'!Y605</f>
        <v>-0.92999999999999972</v>
      </c>
      <c r="Y604" s="3">
        <f ca="1">'ETF price'!Z606-'ETF price'!Z605</f>
        <v>-1</v>
      </c>
      <c r="Z604" s="3">
        <f ca="1">'ETF price'!AA606-'ETF price'!AA605</f>
        <v>-0.35000000000000142</v>
      </c>
      <c r="AA604" s="3">
        <f ca="1">'ETF price'!AB606-'ETF price'!AB605</f>
        <v>-1.1699999999999946</v>
      </c>
      <c r="AB604" s="3">
        <f ca="1">'ETF price'!AC606-'ETF price'!AC605</f>
        <v>-0.34999999999999432</v>
      </c>
      <c r="AC604" s="3">
        <f ca="1">'ETF price'!AD606-'ETF price'!AD605</f>
        <v>-0.41000000000000014</v>
      </c>
      <c r="AD604" s="3">
        <f ca="1">'ETF price'!AE606-'ETF price'!AE605</f>
        <v>-0.48000000000000043</v>
      </c>
      <c r="AE604" s="3">
        <f ca="1">'ETF price'!AF606-'ETF price'!AF605</f>
        <v>-7.0000000000000284E-2</v>
      </c>
      <c r="AF604" s="3">
        <f ca="1">'ETF price'!AG606-'ETF price'!AG605</f>
        <v>-0.4199999999999946</v>
      </c>
    </row>
    <row r="605" spans="1:32" ht="12.75" x14ac:dyDescent="0.2">
      <c r="A605" s="3">
        <f ca="1">'ETF price'!B607-'ETF price'!B606</f>
        <v>-4.8999999999999773</v>
      </c>
      <c r="B605" s="3">
        <f ca="1">'ETF price'!C607-'ETF price'!C606</f>
        <v>-12.919999999999959</v>
      </c>
      <c r="C605" s="3">
        <f ca="1">'ETF price'!D607-'ETF price'!D606</f>
        <v>0.21000000000000796</v>
      </c>
      <c r="D605" s="3">
        <f ca="1">'ETF price'!E607-'ETF price'!E606</f>
        <v>-1.6500000000000057</v>
      </c>
      <c r="E605" s="3">
        <f ca="1">'ETF price'!F607-'ETF price'!F606</f>
        <v>-1.6099999999999994</v>
      </c>
      <c r="F605" s="3">
        <f ca="1">'ETF price'!G607-'ETF price'!G606</f>
        <v>-0.31000000000000227</v>
      </c>
      <c r="G605" s="3">
        <f ca="1">'ETF price'!H607-'ETF price'!H606</f>
        <v>-8.0000000000001847E-2</v>
      </c>
      <c r="H605" s="3">
        <f ca="1">'ETF price'!I607-'ETF price'!I606</f>
        <v>6.9999999999993179E-2</v>
      </c>
      <c r="I605" s="3">
        <f ca="1">'ETF price'!J607-'ETF price'!J606</f>
        <v>0.40000000000003411</v>
      </c>
      <c r="J605" s="3">
        <f ca="1">'ETF price'!K607-'ETF price'!K606</f>
        <v>0.84000000000000341</v>
      </c>
      <c r="K605" s="3">
        <f ca="1">'ETF price'!L607-'ETF price'!L606</f>
        <v>1.4799999999999898</v>
      </c>
      <c r="L605" s="3">
        <f ca="1">'ETF price'!M607-'ETF price'!M606</f>
        <v>0.5</v>
      </c>
      <c r="M605" s="3">
        <f ca="1">'ETF price'!N607-'ETF price'!N606</f>
        <v>5.9999999999988063E-2</v>
      </c>
      <c r="N605" s="3">
        <f ca="1">'ETF price'!O607-'ETF price'!O606</f>
        <v>0.28000000000000114</v>
      </c>
      <c r="O605" s="3">
        <f ca="1">'ETF price'!P607-'ETF price'!P606</f>
        <v>0.25999999999999091</v>
      </c>
      <c r="P605" s="3">
        <f ca="1">'ETF price'!Q607-'ETF price'!Q606</f>
        <v>0.45000000000000284</v>
      </c>
      <c r="Q605" s="3">
        <f ca="1">'ETF price'!R607-'ETF price'!R606</f>
        <v>0.73000000000000398</v>
      </c>
      <c r="R605" s="3">
        <f ca="1">'ETF price'!S607-'ETF price'!S606</f>
        <v>0.6699999999999946</v>
      </c>
      <c r="S605" s="3">
        <f ca="1">'ETF price'!T607-'ETF price'!T606</f>
        <v>-0.31000000000000227</v>
      </c>
      <c r="T605" s="3">
        <f ca="1">'ETF price'!U607-'ETF price'!U606</f>
        <v>-1.039999999999992</v>
      </c>
      <c r="U605" s="3">
        <f ca="1">'ETF price'!V607-'ETF price'!V606</f>
        <v>1.3999999999999986</v>
      </c>
      <c r="V605" s="3">
        <f ca="1">'ETF price'!W607-'ETF price'!W606</f>
        <v>0.21999999999999886</v>
      </c>
      <c r="W605" s="3">
        <f ca="1">'ETF price'!X607-'ETF price'!X606</f>
        <v>0.70000000000000284</v>
      </c>
      <c r="X605" s="3">
        <f ca="1">'ETF price'!Y607-'ETF price'!Y606</f>
        <v>0.68999999999999773</v>
      </c>
      <c r="Y605" s="3">
        <f ca="1">'ETF price'!Z607-'ETF price'!Z606</f>
        <v>0.76000000000000512</v>
      </c>
      <c r="Z605" s="3">
        <f ca="1">'ETF price'!AA607-'ETF price'!AA606</f>
        <v>0.53000000000000114</v>
      </c>
      <c r="AA605" s="3">
        <f ca="1">'ETF price'!AB607-'ETF price'!AB606</f>
        <v>0.82999999999999829</v>
      </c>
      <c r="AB605" s="3">
        <f ca="1">'ETF price'!AC607-'ETF price'!AC606</f>
        <v>-0.32999999999999829</v>
      </c>
      <c r="AC605" s="3">
        <f ca="1">'ETF price'!AD607-'ETF price'!AD606</f>
        <v>0.23999999999999844</v>
      </c>
      <c r="AD605" s="3">
        <f ca="1">'ETF price'!AE607-'ETF price'!AE606</f>
        <v>0.64000000000000057</v>
      </c>
      <c r="AE605" s="3">
        <f ca="1">'ETF price'!AF607-'ETF price'!AF606</f>
        <v>7.0000000000000284E-2</v>
      </c>
      <c r="AF605" s="3">
        <f ca="1">'ETF price'!AG607-'ETF price'!AG606</f>
        <v>-0.18000000000000682</v>
      </c>
    </row>
    <row r="606" spans="1:32" ht="12.75" x14ac:dyDescent="0.2">
      <c r="A606" s="3">
        <f ca="1">'ETF price'!B608-'ETF price'!B607</f>
        <v>0.32999999999998408</v>
      </c>
      <c r="B606" s="3">
        <f ca="1">'ETF price'!C608-'ETF price'!C607</f>
        <v>-0.47000000000002728</v>
      </c>
      <c r="C606" s="3">
        <f ca="1">'ETF price'!D608-'ETF price'!D607</f>
        <v>3.7599999999999909</v>
      </c>
      <c r="D606" s="3">
        <f ca="1">'ETF price'!E608-'ETF price'!E607</f>
        <v>-1.9200000000000159</v>
      </c>
      <c r="E606" s="3">
        <f ca="1">'ETF price'!F608-'ETF price'!F607</f>
        <v>7.9999999999998295E-2</v>
      </c>
      <c r="F606" s="3">
        <f ca="1">'ETF price'!G608-'ETF price'!G607</f>
        <v>4.00000000000027E-2</v>
      </c>
      <c r="G606" s="3">
        <f ca="1">'ETF price'!H608-'ETF price'!H607</f>
        <v>0.14000000000000057</v>
      </c>
      <c r="H606" s="3">
        <f ca="1">'ETF price'!I608-'ETF price'!I607</f>
        <v>2.0699999999999932</v>
      </c>
      <c r="I606" s="3">
        <f ca="1">'ETF price'!J608-'ETF price'!J607</f>
        <v>3.5399999999999636</v>
      </c>
      <c r="J606" s="3">
        <f ca="1">'ETF price'!K608-'ETF price'!K607</f>
        <v>0.53000000000000114</v>
      </c>
      <c r="K606" s="3">
        <f ca="1">'ETF price'!L608-'ETF price'!L607</f>
        <v>0.17000000000000171</v>
      </c>
      <c r="L606" s="3">
        <f ca="1">'ETF price'!M608-'ETF price'!M607</f>
        <v>0.53999999999999915</v>
      </c>
      <c r="M606" s="3">
        <f ca="1">'ETF price'!N608-'ETF price'!N607</f>
        <v>0.82000000000000739</v>
      </c>
      <c r="N606" s="3">
        <f ca="1">'ETF price'!O608-'ETF price'!O607</f>
        <v>-0.24000000000000199</v>
      </c>
      <c r="O606" s="3">
        <f ca="1">'ETF price'!P608-'ETF price'!P607</f>
        <v>2.2600000000000051</v>
      </c>
      <c r="P606" s="3">
        <f ca="1">'ETF price'!Q608-'ETF price'!Q607</f>
        <v>3</v>
      </c>
      <c r="Q606" s="3">
        <f ca="1">'ETF price'!R608-'ETF price'!R607</f>
        <v>1.0900000000000034</v>
      </c>
      <c r="R606" s="3">
        <f ca="1">'ETF price'!S608-'ETF price'!S607</f>
        <v>0.52000000000001023</v>
      </c>
      <c r="S606" s="3">
        <f ca="1">'ETF price'!T608-'ETF price'!T607</f>
        <v>-0.10999999999999943</v>
      </c>
      <c r="T606" s="3">
        <f ca="1">'ETF price'!U608-'ETF price'!U607</f>
        <v>-0.71000000000000796</v>
      </c>
      <c r="U606" s="3">
        <f ca="1">'ETF price'!V608-'ETF price'!V607</f>
        <v>-0.71999999999999886</v>
      </c>
      <c r="V606" s="3">
        <f ca="1">'ETF price'!W608-'ETF price'!W607</f>
        <v>0.60000000000000142</v>
      </c>
      <c r="W606" s="3">
        <f ca="1">'ETF price'!X608-'ETF price'!X607</f>
        <v>1.2800000000000011</v>
      </c>
      <c r="X606" s="3">
        <f ca="1">'ETF price'!Y608-'ETF price'!Y607</f>
        <v>0.60999999999999943</v>
      </c>
      <c r="Y606" s="3">
        <f ca="1">'ETF price'!Z608-'ETF price'!Z607</f>
        <v>1.2199999999999989</v>
      </c>
      <c r="Z606" s="3">
        <f ca="1">'ETF price'!AA608-'ETF price'!AA607</f>
        <v>0.73999999999999488</v>
      </c>
      <c r="AA606" s="3">
        <f ca="1">'ETF price'!AB608-'ETF price'!AB607</f>
        <v>0.67999999999999972</v>
      </c>
      <c r="AB606" s="3">
        <f ca="1">'ETF price'!AC608-'ETF price'!AC607</f>
        <v>0.28999999999999204</v>
      </c>
      <c r="AC606" s="3">
        <f ca="1">'ETF price'!AD608-'ETF price'!AD607</f>
        <v>-0.12999999999999901</v>
      </c>
      <c r="AD606" s="3">
        <f ca="1">'ETF price'!AE608-'ETF price'!AE607</f>
        <v>-0.58999999999999986</v>
      </c>
      <c r="AE606" s="3">
        <f ca="1">'ETF price'!AF608-'ETF price'!AF607</f>
        <v>-4.9999999999999822E-2</v>
      </c>
      <c r="AF606" s="3">
        <f ca="1">'ETF price'!AG608-'ETF price'!AG607</f>
        <v>-1.0699999999999932</v>
      </c>
    </row>
    <row r="607" spans="1:32" ht="12.75" x14ac:dyDescent="0.2">
      <c r="A607" s="3">
        <f ca="1">'ETF price'!B609-'ETF price'!B608</f>
        <v>0.53000000000000114</v>
      </c>
      <c r="B607" s="3">
        <f ca="1">'ETF price'!C609-'ETF price'!C608</f>
        <v>2.8099999999999454</v>
      </c>
      <c r="C607" s="3">
        <f ca="1">'ETF price'!D609-'ETF price'!D608</f>
        <v>-0.41999999999998749</v>
      </c>
      <c r="D607" s="3">
        <f ca="1">'ETF price'!E609-'ETF price'!E608</f>
        <v>0.37999999999999545</v>
      </c>
      <c r="E607" s="3">
        <f ca="1">'ETF price'!F609-'ETF price'!F608</f>
        <v>-0.28000000000000114</v>
      </c>
      <c r="F607" s="3">
        <f ca="1">'ETF price'!G609-'ETF price'!G608</f>
        <v>0.33999999999999986</v>
      </c>
      <c r="G607" s="3">
        <f ca="1">'ETF price'!H609-'ETF price'!H608</f>
        <v>-0.10999999999999943</v>
      </c>
      <c r="H607" s="3">
        <f ca="1">'ETF price'!I609-'ETF price'!I608</f>
        <v>1.0100000000000193</v>
      </c>
      <c r="I607" s="3">
        <f ca="1">'ETF price'!J609-'ETF price'!J608</f>
        <v>1.5799999999999841</v>
      </c>
      <c r="J607" s="3">
        <f ca="1">'ETF price'!K609-'ETF price'!K608</f>
        <v>1.6200000000000045</v>
      </c>
      <c r="K607" s="3">
        <f ca="1">'ETF price'!L609-'ETF price'!L608</f>
        <v>2.2900000000000063</v>
      </c>
      <c r="L607" s="3">
        <f ca="1">'ETF price'!M609-'ETF price'!M608</f>
        <v>0.57000000000000028</v>
      </c>
      <c r="M607" s="3">
        <f ca="1">'ETF price'!N609-'ETF price'!N608</f>
        <v>0.53999999999999204</v>
      </c>
      <c r="N607" s="3">
        <f ca="1">'ETF price'!O609-'ETF price'!O608</f>
        <v>0.55999999999999517</v>
      </c>
      <c r="O607" s="3">
        <f ca="1">'ETF price'!P609-'ETF price'!P608</f>
        <v>-2.4399999999999977</v>
      </c>
      <c r="P607" s="3">
        <f ca="1">'ETF price'!Q609-'ETF price'!Q608</f>
        <v>-3.5300000000000011</v>
      </c>
      <c r="Q607" s="3">
        <f ca="1">'ETF price'!R609-'ETF price'!R608</f>
        <v>-0.54000000000000625</v>
      </c>
      <c r="R607" s="3">
        <f ca="1">'ETF price'!S609-'ETF price'!S608</f>
        <v>-0.14000000000000057</v>
      </c>
      <c r="S607" s="3">
        <f ca="1">'ETF price'!T609-'ETF price'!T608</f>
        <v>-0.32999999999999829</v>
      </c>
      <c r="T607" s="3">
        <f ca="1">'ETF price'!U609-'ETF price'!U608</f>
        <v>-2.9899999999999949</v>
      </c>
      <c r="U607" s="3">
        <f ca="1">'ETF price'!V609-'ETF price'!V608</f>
        <v>-0.14999999999999858</v>
      </c>
      <c r="V607" s="3">
        <f ca="1">'ETF price'!W609-'ETF price'!W608</f>
        <v>-0.25999999999999801</v>
      </c>
      <c r="W607" s="3">
        <f ca="1">'ETF price'!X609-'ETF price'!X608</f>
        <v>-0.65000000000000568</v>
      </c>
      <c r="X607" s="3">
        <f ca="1">'ETF price'!Y609-'ETF price'!Y608</f>
        <v>-0.53999999999999915</v>
      </c>
      <c r="Y607" s="3">
        <f ca="1">'ETF price'!Z609-'ETF price'!Z608</f>
        <v>-0.40000000000000568</v>
      </c>
      <c r="Z607" s="3">
        <f ca="1">'ETF price'!AA609-'ETF price'!AA608</f>
        <v>-0.14999999999999858</v>
      </c>
      <c r="AA607" s="3">
        <f ca="1">'ETF price'!AB609-'ETF price'!AB608</f>
        <v>-0.85000000000000142</v>
      </c>
      <c r="AB607" s="3">
        <f ca="1">'ETF price'!AC609-'ETF price'!AC608</f>
        <v>-0.12999999999999545</v>
      </c>
      <c r="AC607" s="3">
        <f ca="1">'ETF price'!AD609-'ETF price'!AD608</f>
        <v>0.19000000000000128</v>
      </c>
      <c r="AD607" s="3">
        <f ca="1">'ETF price'!AE609-'ETF price'!AE608</f>
        <v>-1.120000000000001</v>
      </c>
      <c r="AE607" s="3">
        <f ca="1">'ETF price'!AF609-'ETF price'!AF608</f>
        <v>-6.0000000000000497E-2</v>
      </c>
      <c r="AF607" s="3">
        <f ca="1">'ETF price'!AG609-'ETF price'!AG608</f>
        <v>0.21999999999999886</v>
      </c>
    </row>
    <row r="608" spans="1:32" ht="12.75" x14ac:dyDescent="0.2">
      <c r="A608" s="3">
        <f ca="1">'ETF price'!B610-'ETF price'!B609</f>
        <v>0.43999999999999773</v>
      </c>
      <c r="B608" s="3">
        <f ca="1">'ETF price'!C610-'ETF price'!C609</f>
        <v>0.33000000000004093</v>
      </c>
      <c r="C608" s="3">
        <f ca="1">'ETF price'!D610-'ETF price'!D609</f>
        <v>0.18999999999999773</v>
      </c>
      <c r="D608" s="3">
        <f ca="1">'ETF price'!E610-'ETF price'!E609</f>
        <v>-1.8299999999999841</v>
      </c>
      <c r="E608" s="3">
        <f ca="1">'ETF price'!F610-'ETF price'!F609</f>
        <v>-0.12999999999999545</v>
      </c>
      <c r="F608" s="3">
        <f ca="1">'ETF price'!G610-'ETF price'!G609</f>
        <v>9.9999999999980105E-3</v>
      </c>
      <c r="G608" s="3">
        <f ca="1">'ETF price'!H610-'ETF price'!H609</f>
        <v>-0.14999999999999858</v>
      </c>
      <c r="H608" s="3">
        <f ca="1">'ETF price'!I610-'ETF price'!I609</f>
        <v>0.41999999999998749</v>
      </c>
      <c r="I608" s="3">
        <f ca="1">'ETF price'!J610-'ETF price'!J609</f>
        <v>0.81000000000000227</v>
      </c>
      <c r="J608" s="3">
        <f ca="1">'ETF price'!K610-'ETF price'!K609</f>
        <v>-2.0000000000010232E-2</v>
      </c>
      <c r="K608" s="3">
        <f ca="1">'ETF price'!L610-'ETF price'!L609</f>
        <v>-0.25</v>
      </c>
      <c r="L608" s="3">
        <f ca="1">'ETF price'!M610-'ETF price'!M609</f>
        <v>-0.22999999999999687</v>
      </c>
      <c r="M608" s="3">
        <f ca="1">'ETF price'!N610-'ETF price'!N609</f>
        <v>0.1600000000000108</v>
      </c>
      <c r="N608" s="3">
        <f ca="1">'ETF price'!O610-'ETF price'!O609</f>
        <v>-9.9999999999980105E-3</v>
      </c>
      <c r="O608" s="3">
        <f ca="1">'ETF price'!P610-'ETF price'!P609</f>
        <v>-0.87000000000000455</v>
      </c>
      <c r="P608" s="3">
        <f ca="1">'ETF price'!Q610-'ETF price'!Q609</f>
        <v>-1.4500000000000028</v>
      </c>
      <c r="Q608" s="3">
        <f ca="1">'ETF price'!R610-'ETF price'!R609</f>
        <v>-1.0099999999999909</v>
      </c>
      <c r="R608" s="3">
        <f ca="1">'ETF price'!S610-'ETF price'!S609</f>
        <v>-3.0000000000000071</v>
      </c>
      <c r="S608" s="3">
        <f ca="1">'ETF price'!T610-'ETF price'!T609</f>
        <v>-0.23000000000000043</v>
      </c>
      <c r="T608" s="3">
        <f ca="1">'ETF price'!U610-'ETF price'!U609</f>
        <v>-0.73999999999999488</v>
      </c>
      <c r="U608" s="3">
        <f ca="1">'ETF price'!V610-'ETF price'!V609</f>
        <v>-0.72000000000000597</v>
      </c>
      <c r="V608" s="3">
        <f ca="1">'ETF price'!W610-'ETF price'!W609</f>
        <v>-0.19000000000000483</v>
      </c>
      <c r="W608" s="3">
        <f ca="1">'ETF price'!X610-'ETF price'!X609</f>
        <v>-0.54000000000000625</v>
      </c>
      <c r="X608" s="3">
        <f ca="1">'ETF price'!Y610-'ETF price'!Y609</f>
        <v>-0.75</v>
      </c>
      <c r="Y608" s="3">
        <f ca="1">'ETF price'!Z610-'ETF price'!Z609</f>
        <v>-0.81999999999999318</v>
      </c>
      <c r="Z608" s="3">
        <f ca="1">'ETF price'!AA610-'ETF price'!AA609</f>
        <v>0.35999999999999943</v>
      </c>
      <c r="AA608" s="3">
        <f ca="1">'ETF price'!AB610-'ETF price'!AB609</f>
        <v>-0.85000000000000142</v>
      </c>
      <c r="AB608" s="3">
        <f ca="1">'ETF price'!AC610-'ETF price'!AC609</f>
        <v>0.14000000000000057</v>
      </c>
      <c r="AC608" s="3">
        <f ca="1">'ETF price'!AD610-'ETF price'!AD609</f>
        <v>0.30999999999999872</v>
      </c>
      <c r="AD608" s="3">
        <f ca="1">'ETF price'!AE610-'ETF price'!AE609</f>
        <v>0.51000000000000156</v>
      </c>
      <c r="AE608" s="3">
        <f ca="1">'ETF price'!AF610-'ETF price'!AF609</f>
        <v>-1.9999999999999574E-2</v>
      </c>
      <c r="AF608" s="3">
        <f ca="1">'ETF price'!AG610-'ETF price'!AG609</f>
        <v>2.3799999999999955</v>
      </c>
    </row>
    <row r="609" spans="1:32" ht="12.75" x14ac:dyDescent="0.2">
      <c r="A609" s="3">
        <f ca="1">'ETF price'!B611-'ETF price'!B610</f>
        <v>4.6899999999999977</v>
      </c>
      <c r="B609" s="3">
        <f ca="1">'ETF price'!C611-'ETF price'!C610</f>
        <v>13.700000000000045</v>
      </c>
      <c r="C609" s="3">
        <f ca="1">'ETF price'!D611-'ETF price'!D610</f>
        <v>0.46999999999999886</v>
      </c>
      <c r="D609" s="3">
        <f ca="1">'ETF price'!E611-'ETF price'!E610</f>
        <v>10.169999999999987</v>
      </c>
      <c r="E609" s="3">
        <f ca="1">'ETF price'!F611-'ETF price'!F610</f>
        <v>1.279999999999994</v>
      </c>
      <c r="F609" s="3">
        <f ca="1">'ETF price'!G611-'ETF price'!G610</f>
        <v>0.51000000000000156</v>
      </c>
      <c r="G609" s="3">
        <f ca="1">'ETF price'!H611-'ETF price'!H610</f>
        <v>0.40999999999999659</v>
      </c>
      <c r="H609" s="3">
        <f ca="1">'ETF price'!I611-'ETF price'!I610</f>
        <v>0.65999999999999659</v>
      </c>
      <c r="I609" s="3">
        <f ca="1">'ETF price'!J611-'ETF price'!J610</f>
        <v>1.5</v>
      </c>
      <c r="J609" s="3">
        <f ca="1">'ETF price'!K611-'ETF price'!K610</f>
        <v>2.5800000000000125</v>
      </c>
      <c r="K609" s="3">
        <f ca="1">'ETF price'!L611-'ETF price'!L610</f>
        <v>2.9500000000000028</v>
      </c>
      <c r="L609" s="3">
        <f ca="1">'ETF price'!M611-'ETF price'!M610</f>
        <v>0.74000000000000199</v>
      </c>
      <c r="M609" s="3">
        <f ca="1">'ETF price'!N611-'ETF price'!N610</f>
        <v>0.42000000000000171</v>
      </c>
      <c r="N609" s="3">
        <f ca="1">'ETF price'!O611-'ETF price'!O610</f>
        <v>1.0900000000000034</v>
      </c>
      <c r="O609" s="3">
        <f ca="1">'ETF price'!P611-'ETF price'!P610</f>
        <v>-1.0000000000005116E-2</v>
      </c>
      <c r="P609" s="3">
        <f ca="1">'ETF price'!Q611-'ETF price'!Q610</f>
        <v>0.15999999999999659</v>
      </c>
      <c r="Q609" s="3">
        <f ca="1">'ETF price'!R611-'ETF price'!R610</f>
        <v>0.61999999999999034</v>
      </c>
      <c r="R609" s="3">
        <f ca="1">'ETF price'!S611-'ETF price'!S610</f>
        <v>0.53000000000000114</v>
      </c>
      <c r="S609" s="3">
        <f ca="1">'ETF price'!T611-'ETF price'!T610</f>
        <v>7.9999999999998295E-2</v>
      </c>
      <c r="T609" s="3">
        <f ca="1">'ETF price'!U611-'ETF price'!U610</f>
        <v>0.79999999999999716</v>
      </c>
      <c r="U609" s="3">
        <f ca="1">'ETF price'!V611-'ETF price'!V610</f>
        <v>1.1200000000000045</v>
      </c>
      <c r="V609" s="3">
        <f ca="1">'ETF price'!W611-'ETF price'!W610</f>
        <v>0.12000000000000455</v>
      </c>
      <c r="W609" s="3">
        <f ca="1">'ETF price'!X611-'ETF price'!X610</f>
        <v>0.40000000000000568</v>
      </c>
      <c r="X609" s="3">
        <f ca="1">'ETF price'!Y611-'ETF price'!Y610</f>
        <v>0.14000000000000057</v>
      </c>
      <c r="Y609" s="3">
        <f ca="1">'ETF price'!Z611-'ETF price'!Z610</f>
        <v>0.37999999999999545</v>
      </c>
      <c r="Z609" s="3">
        <f ca="1">'ETF price'!AA611-'ETF price'!AA610</f>
        <v>-4.9999999999997158E-2</v>
      </c>
      <c r="AA609" s="3">
        <f ca="1">'ETF price'!AB611-'ETF price'!AB610</f>
        <v>0.14999999999999858</v>
      </c>
      <c r="AB609" s="3">
        <f ca="1">'ETF price'!AC611-'ETF price'!AC610</f>
        <v>-9.9999999999994316E-2</v>
      </c>
      <c r="AC609" s="3">
        <f ca="1">'ETF price'!AD611-'ETF price'!AD610</f>
        <v>0.35000000000000142</v>
      </c>
      <c r="AD609" s="3">
        <f ca="1">'ETF price'!AE611-'ETF price'!AE610</f>
        <v>0.29999999999999716</v>
      </c>
      <c r="AE609" s="3">
        <f ca="1">'ETF price'!AF611-'ETF price'!AF610</f>
        <v>-5.0000000000000711E-2</v>
      </c>
      <c r="AF609" s="3">
        <f ca="1">'ETF price'!AG611-'ETF price'!AG610</f>
        <v>1.4200000000000017</v>
      </c>
    </row>
    <row r="610" spans="1:32" ht="12.75" x14ac:dyDescent="0.2">
      <c r="A610" s="3">
        <f ca="1">'ETF price'!B612-'ETF price'!B611</f>
        <v>-0.71999999999999886</v>
      </c>
      <c r="B610" s="3">
        <f ca="1">'ETF price'!C612-'ETF price'!C611</f>
        <v>-1.5600000000000591</v>
      </c>
      <c r="C610" s="3">
        <f ca="1">'ETF price'!D612-'ETF price'!D611</f>
        <v>2.039999999999992</v>
      </c>
      <c r="D610" s="3">
        <f ca="1">'ETF price'!E612-'ETF price'!E611</f>
        <v>-1.9899999999999807</v>
      </c>
      <c r="E610" s="3">
        <f ca="1">'ETF price'!F612-'ETF price'!F611</f>
        <v>-1.9999999999996021E-2</v>
      </c>
      <c r="F610" s="3">
        <f ca="1">'ETF price'!G612-'ETF price'!G611</f>
        <v>-0.17000000000000171</v>
      </c>
      <c r="G610" s="3">
        <f ca="1">'ETF price'!H612-'ETF price'!H611</f>
        <v>-7.9999999999998295E-2</v>
      </c>
      <c r="H610" s="3">
        <f ca="1">'ETF price'!I612-'ETF price'!I611</f>
        <v>0.48000000000001819</v>
      </c>
      <c r="I610" s="3">
        <f ca="1">'ETF price'!J612-'ETF price'!J611</f>
        <v>0.55000000000001137</v>
      </c>
      <c r="J610" s="3">
        <f ca="1">'ETF price'!K612-'ETF price'!K611</f>
        <v>-0.46000000000000796</v>
      </c>
      <c r="K610" s="3">
        <f ca="1">'ETF price'!L612-'ETF price'!L611</f>
        <v>-1.3000000000000114</v>
      </c>
      <c r="L610" s="3">
        <f ca="1">'ETF price'!M612-'ETF price'!M611</f>
        <v>3.0000000000001137E-2</v>
      </c>
      <c r="M610" s="3">
        <f ca="1">'ETF price'!N612-'ETF price'!N611</f>
        <v>0.14999999999999147</v>
      </c>
      <c r="N610" s="3">
        <f ca="1">'ETF price'!O612-'ETF price'!O611</f>
        <v>-0.24000000000000199</v>
      </c>
      <c r="O610" s="3">
        <f ca="1">'ETF price'!P612-'ETF price'!P611</f>
        <v>0.46999999999999886</v>
      </c>
      <c r="P610" s="3">
        <f ca="1">'ETF price'!Q612-'ETF price'!Q611</f>
        <v>0.53000000000000114</v>
      </c>
      <c r="Q610" s="3">
        <f ca="1">'ETF price'!R612-'ETF price'!R611</f>
        <v>0.10000000000000853</v>
      </c>
      <c r="R610" s="3">
        <f ca="1">'ETF price'!S612-'ETF price'!S611</f>
        <v>0.67000000000000171</v>
      </c>
      <c r="S610" s="3">
        <f ca="1">'ETF price'!T612-'ETF price'!T611</f>
        <v>0.30000000000000071</v>
      </c>
      <c r="T610" s="3">
        <f ca="1">'ETF price'!U612-'ETF price'!U611</f>
        <v>1.3700000000000045</v>
      </c>
      <c r="U610" s="3">
        <f ca="1">'ETF price'!V612-'ETF price'!V611</f>
        <v>-1.0200000000000031</v>
      </c>
      <c r="V610" s="3">
        <f ca="1">'ETF price'!W612-'ETF price'!W611</f>
        <v>-2.0000000000003126E-2</v>
      </c>
      <c r="W610" s="3">
        <f ca="1">'ETF price'!X612-'ETF price'!X611</f>
        <v>-0.14000000000000057</v>
      </c>
      <c r="X610" s="3">
        <f ca="1">'ETF price'!Y612-'ETF price'!Y611</f>
        <v>5.0000000000004263E-2</v>
      </c>
      <c r="Y610" s="3">
        <f ca="1">'ETF price'!Z612-'ETF price'!Z611</f>
        <v>-0.34000000000000341</v>
      </c>
      <c r="Z610" s="3">
        <f ca="1">'ETF price'!AA612-'ETF price'!AA611</f>
        <v>6.0000000000002274E-2</v>
      </c>
      <c r="AA610" s="3">
        <f ca="1">'ETF price'!AB612-'ETF price'!AB611</f>
        <v>0.12000000000000455</v>
      </c>
      <c r="AB610" s="3">
        <f ca="1">'ETF price'!AC612-'ETF price'!AC611</f>
        <v>-1.0200000000000102</v>
      </c>
      <c r="AC610" s="3">
        <f ca="1">'ETF price'!AD612-'ETF price'!AD611</f>
        <v>-0.38000000000000256</v>
      </c>
      <c r="AD610" s="3">
        <f ca="1">'ETF price'!AE612-'ETF price'!AE611</f>
        <v>-0.32999999999999829</v>
      </c>
      <c r="AE610" s="3">
        <f ca="1">'ETF price'!AF612-'ETF price'!AF611</f>
        <v>0.28000000000000025</v>
      </c>
      <c r="AF610" s="3">
        <f ca="1">'ETF price'!AG612-'ETF price'!AG611</f>
        <v>1.8100000000000023</v>
      </c>
    </row>
    <row r="611" spans="1:32" ht="12.75" x14ac:dyDescent="0.2">
      <c r="A611" s="3">
        <f ca="1">'ETF price'!B613-'ETF price'!B612</f>
        <v>0.5</v>
      </c>
      <c r="B611" s="3">
        <f ca="1">'ETF price'!C613-'ETF price'!C612</f>
        <v>-3.999999999996362E-2</v>
      </c>
      <c r="C611" s="3">
        <f ca="1">'ETF price'!D613-'ETF price'!D612</f>
        <v>3.289999999999992</v>
      </c>
      <c r="D611" s="3">
        <f ca="1">'ETF price'!E613-'ETF price'!E612</f>
        <v>-0.71999999999999886</v>
      </c>
      <c r="E611" s="3">
        <f ca="1">'ETF price'!F613-'ETF price'!F612</f>
        <v>1.9999999999996021E-2</v>
      </c>
      <c r="F611" s="3">
        <f ca="1">'ETF price'!G613-'ETF price'!G612</f>
        <v>-0.41000000000000014</v>
      </c>
      <c r="G611" s="3">
        <f ca="1">'ETF price'!H613-'ETF price'!H612</f>
        <v>-0.21000000000000085</v>
      </c>
      <c r="H611" s="3">
        <f ca="1">'ETF price'!I613-'ETF price'!I612</f>
        <v>0.15999999999999659</v>
      </c>
      <c r="I611" s="3">
        <f ca="1">'ETF price'!J613-'ETF price'!J612</f>
        <v>-1.999999999998181E-2</v>
      </c>
      <c r="J611" s="3">
        <f ca="1">'ETF price'!K613-'ETF price'!K612</f>
        <v>-0.87999999999999545</v>
      </c>
      <c r="K611" s="3">
        <f ca="1">'ETF price'!L613-'ETF price'!L612</f>
        <v>-1.4299999999999926</v>
      </c>
      <c r="L611" s="3">
        <f ca="1">'ETF price'!M613-'ETF price'!M612</f>
        <v>-0.40000000000000568</v>
      </c>
      <c r="M611" s="3">
        <f ca="1">'ETF price'!N613-'ETF price'!N612</f>
        <v>1.0000000000005116E-2</v>
      </c>
      <c r="N611" s="3">
        <f ca="1">'ETF price'!O613-'ETF price'!O612</f>
        <v>-0.32000000000000028</v>
      </c>
      <c r="O611" s="3">
        <f ca="1">'ETF price'!P613-'ETF price'!P612</f>
        <v>-0.35999999999999943</v>
      </c>
      <c r="P611" s="3">
        <f ca="1">'ETF price'!Q613-'ETF price'!Q612</f>
        <v>-0.56999999999999318</v>
      </c>
      <c r="Q611" s="3">
        <f ca="1">'ETF price'!R613-'ETF price'!R612</f>
        <v>-0.90999999999999659</v>
      </c>
      <c r="R611" s="3">
        <f ca="1">'ETF price'!S613-'ETF price'!S612</f>
        <v>-2.0300000000000011</v>
      </c>
      <c r="S611" s="3">
        <f ca="1">'ETF price'!T613-'ETF price'!T612</f>
        <v>-0.32999999999999829</v>
      </c>
      <c r="T611" s="3">
        <f ca="1">'ETF price'!U613-'ETF price'!U612</f>
        <v>-0.24000000000000909</v>
      </c>
      <c r="U611" s="3">
        <f ca="1">'ETF price'!V613-'ETF price'!V612</f>
        <v>-1.5700000000000003</v>
      </c>
      <c r="V611" s="3">
        <f ca="1">'ETF price'!W613-'ETF price'!W612</f>
        <v>0.18999999999999773</v>
      </c>
      <c r="W611" s="3">
        <f ca="1">'ETF price'!X613-'ETF price'!X612</f>
        <v>0.15000000000000568</v>
      </c>
      <c r="X611" s="3">
        <f ca="1">'ETF price'!Y613-'ETF price'!Y612</f>
        <v>-0.10000000000000142</v>
      </c>
      <c r="Y611" s="3">
        <f ca="1">'ETF price'!Z613-'ETF price'!Z612</f>
        <v>0.21000000000000796</v>
      </c>
      <c r="Z611" s="3">
        <f ca="1">'ETF price'!AA613-'ETF price'!AA612</f>
        <v>-0.30000000000000426</v>
      </c>
      <c r="AA611" s="3">
        <f ca="1">'ETF price'!AB613-'ETF price'!AB612</f>
        <v>-0.21000000000000085</v>
      </c>
      <c r="AB611" s="3">
        <f ca="1">'ETF price'!AC613-'ETF price'!AC612</f>
        <v>0.23000000000000398</v>
      </c>
      <c r="AC611" s="3">
        <f ca="1">'ETF price'!AD613-'ETF price'!AD612</f>
        <v>-0.52999999999999758</v>
      </c>
      <c r="AD611" s="3">
        <f ca="1">'ETF price'!AE613-'ETF price'!AE612</f>
        <v>-0.48000000000000043</v>
      </c>
      <c r="AE611" s="3">
        <f ca="1">'ETF price'!AF613-'ETF price'!AF612</f>
        <v>4.0000000000000036E-2</v>
      </c>
      <c r="AF611" s="3">
        <f ca="1">'ETF price'!AG613-'ETF price'!AG612</f>
        <v>-2.2000000000000028</v>
      </c>
    </row>
    <row r="612" spans="1:32" ht="12.75" x14ac:dyDescent="0.2">
      <c r="A612" s="3">
        <f ca="1">'ETF price'!B614-'ETF price'!B613</f>
        <v>0.55000000000001137</v>
      </c>
      <c r="B612" s="3">
        <f ca="1">'ETF price'!C614-'ETF price'!C613</f>
        <v>1.8999999999999773</v>
      </c>
      <c r="C612" s="3">
        <f ca="1">'ETF price'!D614-'ETF price'!D613</f>
        <v>0.98000000000001819</v>
      </c>
      <c r="D612" s="3">
        <f ca="1">'ETF price'!E614-'ETF price'!E613</f>
        <v>3.4599999999999795</v>
      </c>
      <c r="E612" s="3">
        <f ca="1">'ETF price'!F614-'ETF price'!F613</f>
        <v>0.86000000000000654</v>
      </c>
      <c r="F612" s="3">
        <f ca="1">'ETF price'!G614-'ETF price'!G613</f>
        <v>0.23000000000000043</v>
      </c>
      <c r="G612" s="3">
        <f ca="1">'ETF price'!H614-'ETF price'!H613</f>
        <v>0.24000000000000199</v>
      </c>
      <c r="H612" s="3">
        <f ca="1">'ETF price'!I614-'ETF price'!I613</f>
        <v>0.53999999999999204</v>
      </c>
      <c r="I612" s="3">
        <f ca="1">'ETF price'!J614-'ETF price'!J613</f>
        <v>1.1899999999999977</v>
      </c>
      <c r="J612" s="3">
        <f ca="1">'ETF price'!K614-'ETF price'!K613</f>
        <v>0.21999999999999886</v>
      </c>
      <c r="K612" s="3">
        <f ca="1">'ETF price'!L614-'ETF price'!L613</f>
        <v>0.59999999999999432</v>
      </c>
      <c r="L612" s="3">
        <f ca="1">'ETF price'!M614-'ETF price'!M613</f>
        <v>0.10999999999999943</v>
      </c>
      <c r="M612" s="3">
        <f ca="1">'ETF price'!N614-'ETF price'!N613</f>
        <v>0.25999999999999091</v>
      </c>
      <c r="N612" s="3">
        <f ca="1">'ETF price'!O614-'ETF price'!O613</f>
        <v>0</v>
      </c>
      <c r="O612" s="3">
        <f ca="1">'ETF price'!P614-'ETF price'!P613</f>
        <v>0.68000000000000682</v>
      </c>
      <c r="P612" s="3">
        <f ca="1">'ETF price'!Q614-'ETF price'!Q613</f>
        <v>1.4599999999999937</v>
      </c>
      <c r="Q612" s="3">
        <f ca="1">'ETF price'!R614-'ETF price'!R613</f>
        <v>-9.0000000000003411E-2</v>
      </c>
      <c r="R612" s="3">
        <f ca="1">'ETF price'!S614-'ETF price'!S613</f>
        <v>-0.10999999999999943</v>
      </c>
      <c r="S612" s="3">
        <f ca="1">'ETF price'!T614-'ETF price'!T613</f>
        <v>0.32999999999999829</v>
      </c>
      <c r="T612" s="3">
        <f ca="1">'ETF price'!U614-'ETF price'!U613</f>
        <v>2.4399999999999977</v>
      </c>
      <c r="U612" s="3">
        <f ca="1">'ETF price'!V614-'ETF price'!V613</f>
        <v>1.3200000000000003</v>
      </c>
      <c r="V612" s="3">
        <f ca="1">'ETF price'!W614-'ETF price'!W613</f>
        <v>-0.15999999999999659</v>
      </c>
      <c r="W612" s="3">
        <f ca="1">'ETF price'!X614-'ETF price'!X613</f>
        <v>-0.17000000000000171</v>
      </c>
      <c r="X612" s="3">
        <f ca="1">'ETF price'!Y614-'ETF price'!Y613</f>
        <v>-0.53999999999999915</v>
      </c>
      <c r="Y612" s="3">
        <f ca="1">'ETF price'!Z614-'ETF price'!Z613</f>
        <v>-9.0000000000003411E-2</v>
      </c>
      <c r="Z612" s="3">
        <f ca="1">'ETF price'!AA614-'ETF price'!AA613</f>
        <v>0.18999999999999773</v>
      </c>
      <c r="AA612" s="3">
        <f ca="1">'ETF price'!AB614-'ETF price'!AB613</f>
        <v>-0.73000000000000398</v>
      </c>
      <c r="AB612" s="3">
        <f ca="1">'ETF price'!AC614-'ETF price'!AC613</f>
        <v>-0.20000000000000284</v>
      </c>
      <c r="AC612" s="3">
        <f ca="1">'ETF price'!AD614-'ETF price'!AD613</f>
        <v>-2.0000000000003126E-2</v>
      </c>
      <c r="AD612" s="3">
        <f ca="1">'ETF price'!AE614-'ETF price'!AE613</f>
        <v>7.0000000000000284E-2</v>
      </c>
      <c r="AE612" s="3">
        <f ca="1">'ETF price'!AF614-'ETF price'!AF613</f>
        <v>0.16999999999999993</v>
      </c>
      <c r="AF612" s="3">
        <f ca="1">'ETF price'!AG614-'ETF price'!AG613</f>
        <v>0.55000000000000426</v>
      </c>
    </row>
    <row r="613" spans="1:32" ht="12.75" x14ac:dyDescent="0.2">
      <c r="A613" s="3">
        <f ca="1">'ETF price'!B615-'ETF price'!B614</f>
        <v>4.0199999999999818</v>
      </c>
      <c r="B613" s="3">
        <f ca="1">'ETF price'!C615-'ETF price'!C614</f>
        <v>7.7400000000000091</v>
      </c>
      <c r="C613" s="3">
        <f ca="1">'ETF price'!D615-'ETF price'!D614</f>
        <v>0.84000000000000341</v>
      </c>
      <c r="D613" s="3">
        <f ca="1">'ETF price'!E615-'ETF price'!E614</f>
        <v>-0.10999999999998522</v>
      </c>
      <c r="E613" s="3">
        <f ca="1">'ETF price'!F615-'ETF price'!F614</f>
        <v>0.18999999999999773</v>
      </c>
      <c r="F613" s="3">
        <f ca="1">'ETF price'!G615-'ETF price'!G614</f>
        <v>-0.16000000000000014</v>
      </c>
      <c r="G613" s="3">
        <f ca="1">'ETF price'!H615-'ETF price'!H614</f>
        <v>-6.0000000000002274E-2</v>
      </c>
      <c r="H613" s="3">
        <f ca="1">'ETF price'!I615-'ETF price'!I614</f>
        <v>-0.60999999999998522</v>
      </c>
      <c r="I613" s="3">
        <f ca="1">'ETF price'!J615-'ETF price'!J614</f>
        <v>-1.0500000000000114</v>
      </c>
      <c r="J613" s="3">
        <f ca="1">'ETF price'!K615-'ETF price'!K614</f>
        <v>-0.12999999999999545</v>
      </c>
      <c r="K613" s="3">
        <f ca="1">'ETF price'!L615-'ETF price'!L614</f>
        <v>0.46999999999999886</v>
      </c>
      <c r="L613" s="3">
        <f ca="1">'ETF price'!M615-'ETF price'!M614</f>
        <v>1.9999999999996021E-2</v>
      </c>
      <c r="M613" s="3">
        <f ca="1">'ETF price'!N615-'ETF price'!N614</f>
        <v>-0.22999999999998977</v>
      </c>
      <c r="N613" s="3">
        <f ca="1">'ETF price'!O615-'ETF price'!O614</f>
        <v>0.32000000000000028</v>
      </c>
      <c r="O613" s="3">
        <f ca="1">'ETF price'!P615-'ETF price'!P614</f>
        <v>-0.18000000000000682</v>
      </c>
      <c r="P613" s="3">
        <f ca="1">'ETF price'!Q615-'ETF price'!Q614</f>
        <v>-0.20000000000000284</v>
      </c>
      <c r="Q613" s="3">
        <f ca="1">'ETF price'!R615-'ETF price'!R614</f>
        <v>-3.0000000000001137E-2</v>
      </c>
      <c r="R613" s="3">
        <f ca="1">'ETF price'!S615-'ETF price'!S614</f>
        <v>-1.1200000000000045</v>
      </c>
      <c r="S613" s="3">
        <f ca="1">'ETF price'!T615-'ETF price'!T614</f>
        <v>-3.0000000000001137E-2</v>
      </c>
      <c r="T613" s="3">
        <f ca="1">'ETF price'!U615-'ETF price'!U614</f>
        <v>5.0000000000011369E-2</v>
      </c>
      <c r="U613" s="3">
        <f ca="1">'ETF price'!V615-'ETF price'!V614</f>
        <v>0.57000000000000028</v>
      </c>
      <c r="V613" s="3">
        <f ca="1">'ETF price'!W615-'ETF price'!W614</f>
        <v>-0.46999999999999886</v>
      </c>
      <c r="W613" s="3">
        <f ca="1">'ETF price'!X615-'ETF price'!X614</f>
        <v>-1.1299999999999955</v>
      </c>
      <c r="X613" s="3">
        <f ca="1">'ETF price'!Y615-'ETF price'!Y614</f>
        <v>-0.39000000000000057</v>
      </c>
      <c r="Y613" s="3">
        <f ca="1">'ETF price'!Z615-'ETF price'!Z614</f>
        <v>-1.4200000000000017</v>
      </c>
      <c r="Z613" s="3">
        <f ca="1">'ETF price'!AA615-'ETF price'!AA614</f>
        <v>-0.11999999999999744</v>
      </c>
      <c r="AA613" s="3">
        <f ca="1">'ETF price'!AB615-'ETF price'!AB614</f>
        <v>-0.1699999999999946</v>
      </c>
      <c r="AB613" s="3">
        <f ca="1">'ETF price'!AC615-'ETF price'!AC614</f>
        <v>-0.23999999999999488</v>
      </c>
      <c r="AC613" s="3">
        <f ca="1">'ETF price'!AD615-'ETF price'!AD614</f>
        <v>-0.79999999999999716</v>
      </c>
      <c r="AD613" s="3">
        <f ca="1">'ETF price'!AE615-'ETF price'!AE614</f>
        <v>-0.80000000000000071</v>
      </c>
      <c r="AE613" s="3">
        <f ca="1">'ETF price'!AF615-'ETF price'!AF614</f>
        <v>-0.17999999999999972</v>
      </c>
      <c r="AF613" s="3">
        <f ca="1">'ETF price'!AG615-'ETF price'!AG614</f>
        <v>0.36999999999999744</v>
      </c>
    </row>
    <row r="614" spans="1:32" ht="12.75" x14ac:dyDescent="0.2">
      <c r="A614" s="3">
        <f ca="1">'ETF price'!B616-'ETF price'!B615</f>
        <v>4.8700000000000045</v>
      </c>
      <c r="B614" s="3">
        <f ca="1">'ETF price'!C616-'ETF price'!C615</f>
        <v>12.029999999999973</v>
      </c>
      <c r="C614" s="3">
        <f ca="1">'ETF price'!D616-'ETF price'!D615</f>
        <v>1.6799999999999784</v>
      </c>
      <c r="D614" s="3">
        <f ca="1">'ETF price'!E616-'ETF price'!E615</f>
        <v>6.8599999999999852</v>
      </c>
      <c r="E614" s="3">
        <f ca="1">'ETF price'!F616-'ETF price'!F615</f>
        <v>0.75999999999999801</v>
      </c>
      <c r="F614" s="3">
        <f ca="1">'ETF price'!G616-'ETF price'!G615</f>
        <v>0.69000000000000128</v>
      </c>
      <c r="G614" s="3">
        <f ca="1">'ETF price'!H616-'ETF price'!H615</f>
        <v>0.37000000000000099</v>
      </c>
      <c r="H614" s="3">
        <f ca="1">'ETF price'!I616-'ETF price'!I615</f>
        <v>-0.31000000000000227</v>
      </c>
      <c r="I614" s="3">
        <f ca="1">'ETF price'!J616-'ETF price'!J615</f>
        <v>-0.25999999999999091</v>
      </c>
      <c r="J614" s="3">
        <f ca="1">'ETF price'!K616-'ETF price'!K615</f>
        <v>1</v>
      </c>
      <c r="K614" s="3">
        <f ca="1">'ETF price'!L616-'ETF price'!L615</f>
        <v>1.3599999999999994</v>
      </c>
      <c r="L614" s="3">
        <f ca="1">'ETF price'!M616-'ETF price'!M615</f>
        <v>0.49000000000000909</v>
      </c>
      <c r="M614" s="3">
        <f ca="1">'ETF price'!N616-'ETF price'!N615</f>
        <v>-6.0000000000002274E-2</v>
      </c>
      <c r="N614" s="3">
        <f ca="1">'ETF price'!O616-'ETF price'!O615</f>
        <v>1.3200000000000003</v>
      </c>
      <c r="O614" s="3">
        <f ca="1">'ETF price'!P616-'ETF price'!P615</f>
        <v>-0.96999999999999886</v>
      </c>
      <c r="P614" s="3">
        <f ca="1">'ETF price'!Q616-'ETF price'!Q615</f>
        <v>-1.1199999999999903</v>
      </c>
      <c r="Q614" s="3">
        <f ca="1">'ETF price'!R616-'ETF price'!R615</f>
        <v>0.17000000000000171</v>
      </c>
      <c r="R614" s="3">
        <f ca="1">'ETF price'!S616-'ETF price'!S615</f>
        <v>0.25</v>
      </c>
      <c r="S614" s="3">
        <f ca="1">'ETF price'!T616-'ETF price'!T615</f>
        <v>8.0000000000001847E-2</v>
      </c>
      <c r="T614" s="3">
        <f ca="1">'ETF price'!U616-'ETF price'!U615</f>
        <v>0.46999999999999886</v>
      </c>
      <c r="U614" s="3">
        <f ca="1">'ETF price'!V616-'ETF price'!V615</f>
        <v>0.46000000000000085</v>
      </c>
      <c r="V614" s="3">
        <f ca="1">'ETF price'!W616-'ETF price'!W615</f>
        <v>-3.9999999999999147E-2</v>
      </c>
      <c r="W614" s="3">
        <f ca="1">'ETF price'!X616-'ETF price'!X615</f>
        <v>0.28999999999999204</v>
      </c>
      <c r="X614" s="3">
        <f ca="1">'ETF price'!Y616-'ETF price'!Y615</f>
        <v>0.93999999999999773</v>
      </c>
      <c r="Y614" s="3">
        <f ca="1">'ETF price'!Z616-'ETF price'!Z615</f>
        <v>0.52000000000001023</v>
      </c>
      <c r="Z614" s="3">
        <f ca="1">'ETF price'!AA616-'ETF price'!AA615</f>
        <v>0.27000000000000313</v>
      </c>
      <c r="AA614" s="3">
        <f ca="1">'ETF price'!AB616-'ETF price'!AB615</f>
        <v>1.1499999999999986</v>
      </c>
      <c r="AB614" s="3">
        <f ca="1">'ETF price'!AC616-'ETF price'!AC615</f>
        <v>0.53000000000000114</v>
      </c>
      <c r="AC614" s="3">
        <f ca="1">'ETF price'!AD616-'ETF price'!AD615</f>
        <v>7.0000000000000284E-2</v>
      </c>
      <c r="AD614" s="3">
        <f ca="1">'ETF price'!AE616-'ETF price'!AE615</f>
        <v>5.9999999999998721E-2</v>
      </c>
      <c r="AE614" s="3">
        <f ca="1">'ETF price'!AF616-'ETF price'!AF615</f>
        <v>4.9999999999999822E-2</v>
      </c>
      <c r="AF614" s="3">
        <f ca="1">'ETF price'!AG616-'ETF price'!AG615</f>
        <v>2.5799999999999983</v>
      </c>
    </row>
    <row r="615" spans="1:32" ht="12.75" x14ac:dyDescent="0.2">
      <c r="A615" s="3">
        <f ca="1">'ETF price'!B617-'ETF price'!B616</f>
        <v>1.7800000000000011</v>
      </c>
      <c r="B615" s="3">
        <f ca="1">'ETF price'!C617-'ETF price'!C616</f>
        <v>5.6499999999999773</v>
      </c>
      <c r="C615" s="3">
        <f ca="1">'ETF price'!D617-'ETF price'!D616</f>
        <v>0.70000000000001705</v>
      </c>
      <c r="D615" s="3">
        <f ca="1">'ETF price'!E617-'ETF price'!E616</f>
        <v>2.7199999999999989</v>
      </c>
      <c r="E615" s="3">
        <f ca="1">'ETF price'!F617-'ETF price'!F616</f>
        <v>0.20000000000000284</v>
      </c>
      <c r="F615" s="3">
        <f ca="1">'ETF price'!G617-'ETF price'!G616</f>
        <v>-0.19999999999999929</v>
      </c>
      <c r="G615" s="3">
        <f ca="1">'ETF price'!H617-'ETF price'!H616</f>
        <v>-3.9999999999999147E-2</v>
      </c>
      <c r="H615" s="3">
        <f ca="1">'ETF price'!I617-'ETF price'!I616</f>
        <v>-0.12000000000000455</v>
      </c>
      <c r="I615" s="3">
        <f ca="1">'ETF price'!J617-'ETF price'!J616</f>
        <v>-0.37000000000000455</v>
      </c>
      <c r="J615" s="3">
        <f ca="1">'ETF price'!K617-'ETF price'!K616</f>
        <v>-0.47999999999998977</v>
      </c>
      <c r="K615" s="3">
        <f ca="1">'ETF price'!L617-'ETF price'!L616</f>
        <v>0</v>
      </c>
      <c r="L615" s="3">
        <f ca="1">'ETF price'!M617-'ETF price'!M616</f>
        <v>-0.26000000000000512</v>
      </c>
      <c r="M615" s="3">
        <f ca="1">'ETF price'!N617-'ETF price'!N616</f>
        <v>-0.10000000000000853</v>
      </c>
      <c r="N615" s="3">
        <f ca="1">'ETF price'!O617-'ETF price'!O616</f>
        <v>-0.52000000000000313</v>
      </c>
      <c r="O615" s="3">
        <f ca="1">'ETF price'!P617-'ETF price'!P616</f>
        <v>-0.81999999999999318</v>
      </c>
      <c r="P615" s="3">
        <f ca="1">'ETF price'!Q617-'ETF price'!Q616</f>
        <v>-1.2999999999999972</v>
      </c>
      <c r="Q615" s="3">
        <f ca="1">'ETF price'!R617-'ETF price'!R616</f>
        <v>-3.0000000000001137E-2</v>
      </c>
      <c r="R615" s="3">
        <f ca="1">'ETF price'!S617-'ETF price'!S616</f>
        <v>-0.69999999999999574</v>
      </c>
      <c r="S615" s="3">
        <f ca="1">'ETF price'!T617-'ETF price'!T616</f>
        <v>1.9999999999999574E-2</v>
      </c>
      <c r="T615" s="3">
        <f ca="1">'ETF price'!U617-'ETF price'!U616</f>
        <v>-0.24000000000000909</v>
      </c>
      <c r="U615" s="3">
        <f ca="1">'ETF price'!V617-'ETF price'!V616</f>
        <v>-1.1700000000000017</v>
      </c>
      <c r="V615" s="3">
        <f ca="1">'ETF price'!W617-'ETF price'!W616</f>
        <v>-3.0000000000001137E-2</v>
      </c>
      <c r="W615" s="3">
        <f ca="1">'ETF price'!X617-'ETF price'!X616</f>
        <v>-0.42000000000000171</v>
      </c>
      <c r="X615" s="3">
        <f ca="1">'ETF price'!Y617-'ETF price'!Y616</f>
        <v>-0.53000000000000114</v>
      </c>
      <c r="Y615" s="3">
        <f ca="1">'ETF price'!Z617-'ETF price'!Z616</f>
        <v>-0.40000000000000568</v>
      </c>
      <c r="Z615" s="3">
        <f ca="1">'ETF price'!AA617-'ETF price'!AA616</f>
        <v>0.18999999999999773</v>
      </c>
      <c r="AA615" s="3">
        <f ca="1">'ETF price'!AB617-'ETF price'!AB616</f>
        <v>-0.75</v>
      </c>
      <c r="AB615" s="3">
        <f ca="1">'ETF price'!AC617-'ETF price'!AC616</f>
        <v>0.45000000000000284</v>
      </c>
      <c r="AC615" s="3">
        <f ca="1">'ETF price'!AD617-'ETF price'!AD616</f>
        <v>-0.26000000000000156</v>
      </c>
      <c r="AD615" s="3">
        <f ca="1">'ETF price'!AE617-'ETF price'!AE616</f>
        <v>-0.35999999999999943</v>
      </c>
      <c r="AE615" s="3">
        <f ca="1">'ETF price'!AF617-'ETF price'!AF616</f>
        <v>0.20000000000000018</v>
      </c>
      <c r="AF615" s="3">
        <f ca="1">'ETF price'!AG617-'ETF price'!AG616</f>
        <v>0.82000000000000028</v>
      </c>
    </row>
    <row r="616" spans="1:32" ht="12.75" x14ac:dyDescent="0.2">
      <c r="A616" s="3">
        <f ca="1">'ETF price'!B618-'ETF price'!B617</f>
        <v>0.84999999999999432</v>
      </c>
      <c r="B616" s="3">
        <f ca="1">'ETF price'!C618-'ETF price'!C617</f>
        <v>2.2400000000000091</v>
      </c>
      <c r="C616" s="3">
        <f ca="1">'ETF price'!D618-'ETF price'!D617</f>
        <v>-2.1200000000000045</v>
      </c>
      <c r="D616" s="3">
        <f ca="1">'ETF price'!E618-'ETF price'!E617</f>
        <v>-0.90999999999999659</v>
      </c>
      <c r="E616" s="3">
        <f ca="1">'ETF price'!F618-'ETF price'!F617</f>
        <v>0.29999999999999716</v>
      </c>
      <c r="F616" s="3">
        <f ca="1">'ETF price'!G618-'ETF price'!G617</f>
        <v>-0.22000000000000242</v>
      </c>
      <c r="G616" s="3">
        <f ca="1">'ETF price'!H618-'ETF price'!H617</f>
        <v>-0.33999999999999986</v>
      </c>
      <c r="H616" s="3">
        <f ca="1">'ETF price'!I618-'ETF price'!I617</f>
        <v>-5.0000000000011369E-2</v>
      </c>
      <c r="I616" s="3">
        <f ca="1">'ETF price'!J618-'ETF price'!J617</f>
        <v>-0.38999999999998636</v>
      </c>
      <c r="J616" s="3">
        <f ca="1">'ETF price'!K618-'ETF price'!K617</f>
        <v>-0.88000000000002387</v>
      </c>
      <c r="K616" s="3">
        <f ca="1">'ETF price'!L618-'ETF price'!L617</f>
        <v>-2.0699999999999932</v>
      </c>
      <c r="L616" s="3">
        <f ca="1">'ETF price'!M618-'ETF price'!M617</f>
        <v>-0.53999999999999915</v>
      </c>
      <c r="M616" s="3">
        <f ca="1">'ETF price'!N618-'ETF price'!N617</f>
        <v>-0.11999999999999034</v>
      </c>
      <c r="N616" s="3">
        <f ca="1">'ETF price'!O618-'ETF price'!O617</f>
        <v>-0.95999999999999375</v>
      </c>
      <c r="O616" s="3">
        <f ca="1">'ETF price'!P618-'ETF price'!P617</f>
        <v>-0.65999999999999659</v>
      </c>
      <c r="P616" s="3">
        <f ca="1">'ETF price'!Q618-'ETF price'!Q617</f>
        <v>-1.3700000000000045</v>
      </c>
      <c r="Q616" s="3">
        <f ca="1">'ETF price'!R618-'ETF price'!R617</f>
        <v>-0.82999999999999829</v>
      </c>
      <c r="R616" s="3">
        <f ca="1">'ETF price'!S618-'ETF price'!S617</f>
        <v>-0.57000000000000028</v>
      </c>
      <c r="S616" s="3">
        <f ca="1">'ETF price'!T618-'ETF price'!T617</f>
        <v>-8.9999999999999858E-2</v>
      </c>
      <c r="T616" s="3">
        <f ca="1">'ETF price'!U618-'ETF price'!U617</f>
        <v>0.34000000000000341</v>
      </c>
      <c r="U616" s="3">
        <f ca="1">'ETF price'!V618-'ETF price'!V617</f>
        <v>-1.3200000000000003</v>
      </c>
      <c r="V616" s="3">
        <f ca="1">'ETF price'!W618-'ETF price'!W617</f>
        <v>-0.13000000000000256</v>
      </c>
      <c r="W616" s="3">
        <f ca="1">'ETF price'!X618-'ETF price'!X617</f>
        <v>-0.29999999999999716</v>
      </c>
      <c r="X616" s="3">
        <f ca="1">'ETF price'!Y618-'ETF price'!Y617</f>
        <v>-0.57000000000000028</v>
      </c>
      <c r="Y616" s="3">
        <f ca="1">'ETF price'!Z618-'ETF price'!Z617</f>
        <v>-0.29999999999999716</v>
      </c>
      <c r="Z616" s="3">
        <f ca="1">'ETF price'!AA618-'ETF price'!AA617</f>
        <v>3.0000000000001137E-2</v>
      </c>
      <c r="AA616" s="3">
        <f ca="1">'ETF price'!AB618-'ETF price'!AB617</f>
        <v>-0.59000000000000341</v>
      </c>
      <c r="AB616" s="3">
        <f ca="1">'ETF price'!AC618-'ETF price'!AC617</f>
        <v>0.25999999999999091</v>
      </c>
      <c r="AC616" s="3">
        <f ca="1">'ETF price'!AD618-'ETF price'!AD617</f>
        <v>-0.39999999999999858</v>
      </c>
      <c r="AD616" s="3">
        <f ca="1">'ETF price'!AE618-'ETF price'!AE617</f>
        <v>-0.43999999999999773</v>
      </c>
      <c r="AE616" s="3">
        <f ca="1">'ETF price'!AF618-'ETF price'!AF617</f>
        <v>1.9999999999999574E-2</v>
      </c>
      <c r="AF616" s="3">
        <f ca="1">'ETF price'!AG618-'ETF price'!AG617</f>
        <v>-1.009999999999998</v>
      </c>
    </row>
    <row r="617" spans="1:32" ht="12.75" x14ac:dyDescent="0.2">
      <c r="A617" s="3">
        <f ca="1">'ETF price'!B619-'ETF price'!B618</f>
        <v>3.4500000000000171</v>
      </c>
      <c r="B617" s="3">
        <f ca="1">'ETF price'!C619-'ETF price'!C618</f>
        <v>7.0600000000000591</v>
      </c>
      <c r="C617" s="3">
        <f ca="1">'ETF price'!D619-'ETF price'!D618</f>
        <v>-0.96999999999999886</v>
      </c>
      <c r="D617" s="3">
        <f ca="1">'ETF price'!E619-'ETF price'!E618</f>
        <v>3.9799999999999898</v>
      </c>
      <c r="E617" s="3">
        <f ca="1">'ETF price'!F619-'ETF price'!F618</f>
        <v>0.59000000000000341</v>
      </c>
      <c r="F617" s="3">
        <f ca="1">'ETF price'!G619-'ETF price'!G618</f>
        <v>5.0000000000000711E-2</v>
      </c>
      <c r="G617" s="3">
        <f ca="1">'ETF price'!H619-'ETF price'!H618</f>
        <v>0.14999999999999858</v>
      </c>
      <c r="H617" s="3">
        <f ca="1">'ETF price'!I619-'ETF price'!I618</f>
        <v>-0.15000000000000568</v>
      </c>
      <c r="I617" s="3">
        <f ca="1">'ETF price'!J619-'ETF price'!J618</f>
        <v>-0.37999999999999545</v>
      </c>
      <c r="J617" s="3">
        <f ca="1">'ETF price'!K619-'ETF price'!K618</f>
        <v>-1.0099999999999909</v>
      </c>
      <c r="K617" s="3">
        <f ca="1">'ETF price'!L619-'ETF price'!L618</f>
        <v>-1.1599999999999966</v>
      </c>
      <c r="L617" s="3">
        <f ca="1">'ETF price'!M619-'ETF price'!M618</f>
        <v>-3.9999999999999147E-2</v>
      </c>
      <c r="M617" s="3">
        <f ca="1">'ETF price'!N619-'ETF price'!N618</f>
        <v>-9.0000000000003411E-2</v>
      </c>
      <c r="N617" s="3">
        <f ca="1">'ETF price'!O619-'ETF price'!O618</f>
        <v>-0.40000000000000568</v>
      </c>
      <c r="O617" s="3">
        <f ca="1">'ETF price'!P619-'ETF price'!P618</f>
        <v>0.22999999999998977</v>
      </c>
      <c r="P617" s="3">
        <f ca="1">'ETF price'!Q619-'ETF price'!Q618</f>
        <v>0.35999999999999943</v>
      </c>
      <c r="Q617" s="3">
        <f ca="1">'ETF price'!R619-'ETF price'!R618</f>
        <v>0.65999999999999659</v>
      </c>
      <c r="R617" s="3">
        <f ca="1">'ETF price'!S619-'ETF price'!S618</f>
        <v>8.9999999999996305E-2</v>
      </c>
      <c r="S617" s="3">
        <f ca="1">'ETF price'!T619-'ETF price'!T618</f>
        <v>7.9999999999998295E-2</v>
      </c>
      <c r="T617" s="3">
        <f ca="1">'ETF price'!U619-'ETF price'!U618</f>
        <v>1.710000000000008</v>
      </c>
      <c r="U617" s="3">
        <f ca="1">'ETF price'!V619-'ETF price'!V618</f>
        <v>-0.86999999999999744</v>
      </c>
      <c r="V617" s="3">
        <f ca="1">'ETF price'!W619-'ETF price'!W618</f>
        <v>0.35999999999999943</v>
      </c>
      <c r="W617" s="3">
        <f ca="1">'ETF price'!X619-'ETF price'!X618</f>
        <v>0.82999999999999829</v>
      </c>
      <c r="X617" s="3">
        <f ca="1">'ETF price'!Y619-'ETF price'!Y618</f>
        <v>0.67000000000000171</v>
      </c>
      <c r="Y617" s="3">
        <f ca="1">'ETF price'!Z619-'ETF price'!Z618</f>
        <v>0.78000000000000114</v>
      </c>
      <c r="Z617" s="3">
        <f ca="1">'ETF price'!AA619-'ETF price'!AA618</f>
        <v>-0.20000000000000284</v>
      </c>
      <c r="AA617" s="3">
        <f ca="1">'ETF price'!AB619-'ETF price'!AB618</f>
        <v>0.78000000000000114</v>
      </c>
      <c r="AB617" s="3">
        <f ca="1">'ETF price'!AC619-'ETF price'!AC618</f>
        <v>-0.25</v>
      </c>
      <c r="AC617" s="3">
        <f ca="1">'ETF price'!AD619-'ETF price'!AD618</f>
        <v>0.62999999999999901</v>
      </c>
      <c r="AD617" s="3">
        <f ca="1">'ETF price'!AE619-'ETF price'!AE618</f>
        <v>0.46999999999999886</v>
      </c>
      <c r="AE617" s="3">
        <f ca="1">'ETF price'!AF619-'ETF price'!AF618</f>
        <v>0</v>
      </c>
      <c r="AF617" s="3">
        <f ca="1">'ETF price'!AG619-'ETF price'!AG618</f>
        <v>3.1899999999999977</v>
      </c>
    </row>
    <row r="618" spans="1:32" ht="12.75" x14ac:dyDescent="0.2">
      <c r="A618" s="3">
        <f ca="1">'ETF price'!B620-'ETF price'!B619</f>
        <v>0.28999999999999204</v>
      </c>
      <c r="B618" s="3">
        <f ca="1">'ETF price'!C620-'ETF price'!C619</f>
        <v>2.3500000000000227</v>
      </c>
      <c r="C618" s="3">
        <f ca="1">'ETF price'!D620-'ETF price'!D619</f>
        <v>-2.5600000000000023</v>
      </c>
      <c r="D618" s="3">
        <f ca="1">'ETF price'!E620-'ETF price'!E619</f>
        <v>3.2599999999999909</v>
      </c>
      <c r="E618" s="3">
        <f ca="1">'ETF price'!F620-'ETF price'!F619</f>
        <v>-0.28999999999999915</v>
      </c>
      <c r="F618" s="3">
        <f ca="1">'ETF price'!G620-'ETF price'!G619</f>
        <v>0.17999999999999972</v>
      </c>
      <c r="G618" s="3">
        <f ca="1">'ETF price'!H620-'ETF price'!H619</f>
        <v>8.0000000000001847E-2</v>
      </c>
      <c r="H618" s="3">
        <f ca="1">'ETF price'!I620-'ETF price'!I619</f>
        <v>0.18999999999999773</v>
      </c>
      <c r="I618" s="3">
        <f ca="1">'ETF price'!J620-'ETF price'!J619</f>
        <v>1.999999999998181E-2</v>
      </c>
      <c r="J618" s="3">
        <f ca="1">'ETF price'!K620-'ETF price'!K619</f>
        <v>-1.0600000000000023</v>
      </c>
      <c r="K618" s="3">
        <f ca="1">'ETF price'!L620-'ETF price'!L619</f>
        <v>-0.89000000000000057</v>
      </c>
      <c r="L618" s="3">
        <f ca="1">'ETF price'!M620-'ETF price'!M619</f>
        <v>-9.9999999999980105E-3</v>
      </c>
      <c r="M618" s="3">
        <f ca="1">'ETF price'!N620-'ETF price'!N619</f>
        <v>-4.0000000000006253E-2</v>
      </c>
      <c r="N618" s="3">
        <f ca="1">'ETF price'!O620-'ETF price'!O619</f>
        <v>-0.75999999999999801</v>
      </c>
      <c r="O618" s="3">
        <f ca="1">'ETF price'!P620-'ETF price'!P619</f>
        <v>0.37000000000000455</v>
      </c>
      <c r="P618" s="3">
        <f ca="1">'ETF price'!Q620-'ETF price'!Q619</f>
        <v>0.70000000000000284</v>
      </c>
      <c r="Q618" s="3">
        <f ca="1">'ETF price'!R620-'ETF price'!R619</f>
        <v>-9.9999999999994316E-2</v>
      </c>
      <c r="R618" s="3">
        <f ca="1">'ETF price'!S620-'ETF price'!S619</f>
        <v>0.20000000000000284</v>
      </c>
      <c r="S618" s="3">
        <f ca="1">'ETF price'!T620-'ETF price'!T619</f>
        <v>0.19000000000000128</v>
      </c>
      <c r="T618" s="3">
        <f ca="1">'ETF price'!U620-'ETF price'!U619</f>
        <v>0.87999999999999545</v>
      </c>
      <c r="U618" s="3">
        <f ca="1">'ETF price'!V620-'ETF price'!V619</f>
        <v>0.17999999999999972</v>
      </c>
      <c r="V618" s="3">
        <f ca="1">'ETF price'!W620-'ETF price'!W619</f>
        <v>0.26000000000000512</v>
      </c>
      <c r="W618" s="3">
        <f ca="1">'ETF price'!X620-'ETF price'!X619</f>
        <v>0.57000000000000739</v>
      </c>
      <c r="X618" s="3">
        <f ca="1">'ETF price'!Y620-'ETF price'!Y619</f>
        <v>0.16000000000000369</v>
      </c>
      <c r="Y618" s="3">
        <f ca="1">'ETF price'!Z620-'ETF price'!Z619</f>
        <v>0.5899999999999892</v>
      </c>
      <c r="Z618" s="3">
        <f ca="1">'ETF price'!AA620-'ETF price'!AA619</f>
        <v>0.14999999999999858</v>
      </c>
      <c r="AA618" s="3">
        <f ca="1">'ETF price'!AB620-'ETF price'!AB619</f>
        <v>0.12000000000000455</v>
      </c>
      <c r="AB618" s="3">
        <f ca="1">'ETF price'!AC620-'ETF price'!AC619</f>
        <v>0.64000000000000057</v>
      </c>
      <c r="AC618" s="3">
        <f ca="1">'ETF price'!AD620-'ETF price'!AD619</f>
        <v>-0.78000000000000114</v>
      </c>
      <c r="AD618" s="3">
        <f ca="1">'ETF price'!AE620-'ETF price'!AE619</f>
        <v>-0.94000000000000128</v>
      </c>
      <c r="AE618" s="3">
        <f ca="1">'ETF price'!AF620-'ETF price'!AF619</f>
        <v>3.0000000000000249E-2</v>
      </c>
      <c r="AF618" s="3">
        <f ca="1">'ETF price'!AG620-'ETF price'!AG619</f>
        <v>-0.61999999999999744</v>
      </c>
    </row>
    <row r="619" spans="1:32" ht="12.75" x14ac:dyDescent="0.2">
      <c r="A619" s="3">
        <f ca="1">'ETF price'!B621-'ETF price'!B620</f>
        <v>-2.5999999999999943</v>
      </c>
      <c r="B619" s="3">
        <f ca="1">'ETF price'!C621-'ETF price'!C620</f>
        <v>-8.07000000000005</v>
      </c>
      <c r="C619" s="3">
        <f ca="1">'ETF price'!D621-'ETF price'!D620</f>
        <v>2.5200000000000102</v>
      </c>
      <c r="D619" s="3">
        <f ca="1">'ETF price'!E621-'ETF price'!E620</f>
        <v>-7.0399999999999636</v>
      </c>
      <c r="E619" s="3">
        <f ca="1">'ETF price'!F621-'ETF price'!F620</f>
        <v>-0.49000000000000199</v>
      </c>
      <c r="F619" s="3">
        <f ca="1">'ETF price'!G621-'ETF price'!G620</f>
        <v>-0.57000000000000028</v>
      </c>
      <c r="G619" s="3">
        <f ca="1">'ETF price'!H621-'ETF price'!H620</f>
        <v>-0.14000000000000057</v>
      </c>
      <c r="H619" s="3">
        <f ca="1">'ETF price'!I621-'ETF price'!I620</f>
        <v>0.48000000000001819</v>
      </c>
      <c r="I619" s="3">
        <f ca="1">'ETF price'!J621-'ETF price'!J620</f>
        <v>0.97000000000002728</v>
      </c>
      <c r="J619" s="3">
        <f ca="1">'ETF price'!K621-'ETF price'!K620</f>
        <v>1.3199999999999932</v>
      </c>
      <c r="K619" s="3">
        <f ca="1">'ETF price'!L621-'ETF price'!L620</f>
        <v>0.18999999999999773</v>
      </c>
      <c r="L619" s="3">
        <f ca="1">'ETF price'!M621-'ETF price'!M620</f>
        <v>0.30999999999999517</v>
      </c>
      <c r="M619" s="3">
        <f ca="1">'ETF price'!N621-'ETF price'!N620</f>
        <v>0.22000000000001307</v>
      </c>
      <c r="N619" s="3">
        <f ca="1">'ETF price'!O621-'ETF price'!O620</f>
        <v>-7.9999999999998295E-2</v>
      </c>
      <c r="O619" s="3">
        <f ca="1">'ETF price'!P621-'ETF price'!P620</f>
        <v>1.6299999999999955</v>
      </c>
      <c r="P619" s="3">
        <f ca="1">'ETF price'!Q621-'ETF price'!Q620</f>
        <v>1.9299999999999926</v>
      </c>
      <c r="Q619" s="3">
        <f ca="1">'ETF price'!R621-'ETF price'!R620</f>
        <v>8.99999999999892E-2</v>
      </c>
      <c r="R619" s="3">
        <f ca="1">'ETF price'!S621-'ETF price'!S620</f>
        <v>0.79999999999999716</v>
      </c>
      <c r="S619" s="3">
        <f ca="1">'ETF price'!T621-'ETF price'!T620</f>
        <v>5.0000000000000711E-2</v>
      </c>
      <c r="T619" s="3">
        <f ca="1">'ETF price'!U621-'ETF price'!U620</f>
        <v>0.73999999999999488</v>
      </c>
      <c r="U619" s="3">
        <f ca="1">'ETF price'!V621-'ETF price'!V620</f>
        <v>-1.3399999999999963</v>
      </c>
      <c r="V619" s="3">
        <f ca="1">'ETF price'!W621-'ETF price'!W620</f>
        <v>0.21999999999999886</v>
      </c>
      <c r="W619" s="3">
        <f ca="1">'ETF price'!X621-'ETF price'!X620</f>
        <v>0.61999999999999034</v>
      </c>
      <c r="X619" s="3">
        <f ca="1">'ETF price'!Y621-'ETF price'!Y620</f>
        <v>8.9999999999996305E-2</v>
      </c>
      <c r="Y619" s="3">
        <f ca="1">'ETF price'!Z621-'ETF price'!Z620</f>
        <v>0.45000000000000284</v>
      </c>
      <c r="Z619" s="3">
        <f ca="1">'ETF price'!AA621-'ETF price'!AA620</f>
        <v>-9.9999999999994316E-2</v>
      </c>
      <c r="AA619" s="3">
        <f ca="1">'ETF price'!AB621-'ETF price'!AB620</f>
        <v>7.9999999999998295E-2</v>
      </c>
      <c r="AB619" s="3">
        <f ca="1">'ETF price'!AC621-'ETF price'!AC620</f>
        <v>-0.45000000000000284</v>
      </c>
      <c r="AC619" s="3">
        <f ca="1">'ETF price'!AD621-'ETF price'!AD620</f>
        <v>0.28999999999999915</v>
      </c>
      <c r="AD619" s="3">
        <f ca="1">'ETF price'!AE621-'ETF price'!AE620</f>
        <v>0.26000000000000156</v>
      </c>
      <c r="AE619" s="3">
        <f ca="1">'ETF price'!AF621-'ETF price'!AF620</f>
        <v>9.9999999999997868E-3</v>
      </c>
      <c r="AF619" s="3">
        <f ca="1">'ETF price'!AG621-'ETF price'!AG620</f>
        <v>0.42999999999999972</v>
      </c>
    </row>
    <row r="620" spans="1:32" ht="12.75" x14ac:dyDescent="0.2">
      <c r="A620" s="3">
        <f ca="1">'ETF price'!B622-'ETF price'!B621</f>
        <v>-0.40000000000000568</v>
      </c>
      <c r="B620" s="3">
        <f ca="1">'ETF price'!C622-'ETF price'!C621</f>
        <v>-3.0099999999999909</v>
      </c>
      <c r="C620" s="3">
        <f ca="1">'ETF price'!D622-'ETF price'!D621</f>
        <v>0</v>
      </c>
      <c r="D620" s="3">
        <f ca="1">'ETF price'!E622-'ETF price'!E621</f>
        <v>-2.460000000000008</v>
      </c>
      <c r="E620" s="3">
        <f ca="1">'ETF price'!F622-'ETF price'!F621</f>
        <v>6.0000000000002274E-2</v>
      </c>
      <c r="F620" s="3">
        <f ca="1">'ETF price'!G622-'ETF price'!G621</f>
        <v>-0.29999999999999716</v>
      </c>
      <c r="G620" s="3">
        <f ca="1">'ETF price'!H622-'ETF price'!H621</f>
        <v>7.0000000000000284E-2</v>
      </c>
      <c r="H620" s="3">
        <f ca="1">'ETF price'!I622-'ETF price'!I621</f>
        <v>0.40999999999999659</v>
      </c>
      <c r="I620" s="3">
        <f ca="1">'ETF price'!J622-'ETF price'!J621</f>
        <v>1.0299999999999727</v>
      </c>
      <c r="J620" s="3">
        <f ca="1">'ETF price'!K622-'ETF price'!K621</f>
        <v>1.6400000000000148</v>
      </c>
      <c r="K620" s="3">
        <f ca="1">'ETF price'!L622-'ETF price'!L621</f>
        <v>2.4899999999999949</v>
      </c>
      <c r="L620" s="3">
        <f ca="1">'ETF price'!M622-'ETF price'!M621</f>
        <v>1.0499999999999972</v>
      </c>
      <c r="M620" s="3">
        <f ca="1">'ETF price'!N622-'ETF price'!N621</f>
        <v>0.11999999999999034</v>
      </c>
      <c r="N620" s="3">
        <f ca="1">'ETF price'!O622-'ETF price'!O621</f>
        <v>1</v>
      </c>
      <c r="O620" s="3">
        <f ca="1">'ETF price'!P622-'ETF price'!P621</f>
        <v>-0.51999999999999602</v>
      </c>
      <c r="P620" s="3">
        <f ca="1">'ETF price'!Q622-'ETF price'!Q621</f>
        <v>-0.85999999999999943</v>
      </c>
      <c r="Q620" s="3">
        <f ca="1">'ETF price'!R622-'ETF price'!R621</f>
        <v>1.0000000000005116E-2</v>
      </c>
      <c r="R620" s="3">
        <f ca="1">'ETF price'!S622-'ETF price'!S621</f>
        <v>-0.23999999999999488</v>
      </c>
      <c r="S620" s="3">
        <f ca="1">'ETF price'!T622-'ETF price'!T621</f>
        <v>-0.19000000000000128</v>
      </c>
      <c r="T620" s="3">
        <f ca="1">'ETF price'!U622-'ETF price'!U621</f>
        <v>-0.75999999999999091</v>
      </c>
      <c r="U620" s="3">
        <f ca="1">'ETF price'!V622-'ETF price'!V621</f>
        <v>-0.54000000000000625</v>
      </c>
      <c r="V620" s="3">
        <f ca="1">'ETF price'!W622-'ETF price'!W621</f>
        <v>-0.16000000000000369</v>
      </c>
      <c r="W620" s="3">
        <f ca="1">'ETF price'!X622-'ETF price'!X621</f>
        <v>-0.36999999999999034</v>
      </c>
      <c r="X620" s="3">
        <f ca="1">'ETF price'!Y622-'ETF price'!Y621</f>
        <v>-6.0000000000002274E-2</v>
      </c>
      <c r="Y620" s="3">
        <f ca="1">'ETF price'!Z622-'ETF price'!Z621</f>
        <v>-0.40999999999999659</v>
      </c>
      <c r="Z620" s="3">
        <f ca="1">'ETF price'!AA622-'ETF price'!AA621</f>
        <v>9.9999999999994316E-2</v>
      </c>
      <c r="AA620" s="3">
        <f ca="1">'ETF price'!AB622-'ETF price'!AB621</f>
        <v>-9.0000000000003411E-2</v>
      </c>
      <c r="AB620" s="3">
        <f ca="1">'ETF price'!AC622-'ETF price'!AC621</f>
        <v>0</v>
      </c>
      <c r="AC620" s="3">
        <f ca="1">'ETF price'!AD622-'ETF price'!AD621</f>
        <v>-0.12999999999999901</v>
      </c>
      <c r="AD620" s="3">
        <f ca="1">'ETF price'!AE622-'ETF price'!AE621</f>
        <v>-0.28000000000000114</v>
      </c>
      <c r="AE620" s="3">
        <f ca="1">'ETF price'!AF622-'ETF price'!AF621</f>
        <v>1.0000000000000675E-2</v>
      </c>
      <c r="AF620" s="3">
        <f ca="1">'ETF price'!AG622-'ETF price'!AG621</f>
        <v>-3.2100000000000009</v>
      </c>
    </row>
    <row r="621" spans="1:32" ht="12.75" x14ac:dyDescent="0.2">
      <c r="A621" s="3">
        <f ca="1">'ETF price'!B623-'ETF price'!B622</f>
        <v>-5.9900000000000091</v>
      </c>
      <c r="B621" s="3">
        <f ca="1">'ETF price'!C623-'ETF price'!C622</f>
        <v>-10.600000000000023</v>
      </c>
      <c r="C621" s="3">
        <f ca="1">'ETF price'!D623-'ETF price'!D622</f>
        <v>0.76999999999998181</v>
      </c>
      <c r="D621" s="3">
        <f ca="1">'ETF price'!E623-'ETF price'!E622</f>
        <v>-7.1299999999999955</v>
      </c>
      <c r="E621" s="3">
        <f ca="1">'ETF price'!F623-'ETF price'!F622</f>
        <v>-0.19000000000000483</v>
      </c>
      <c r="F621" s="3">
        <f ca="1">'ETF price'!G623-'ETF price'!G622</f>
        <v>-0.30000000000000071</v>
      </c>
      <c r="G621" s="3">
        <f ca="1">'ETF price'!H623-'ETF price'!H622</f>
        <v>-1.9999999999999574E-2</v>
      </c>
      <c r="H621" s="3">
        <f ca="1">'ETF price'!I623-'ETF price'!I622</f>
        <v>0.28000000000000114</v>
      </c>
      <c r="I621" s="3">
        <f ca="1">'ETF price'!J623-'ETF price'!J622</f>
        <v>1.7400000000000091</v>
      </c>
      <c r="J621" s="3">
        <f ca="1">'ETF price'!K623-'ETF price'!K622</f>
        <v>2.6200000000000045</v>
      </c>
      <c r="K621" s="3">
        <f ca="1">'ETF price'!L623-'ETF price'!L622</f>
        <v>1.3599999999999994</v>
      </c>
      <c r="L621" s="3">
        <f ca="1">'ETF price'!M623-'ETF price'!M622</f>
        <v>0.98000000000000398</v>
      </c>
      <c r="M621" s="3">
        <f ca="1">'ETF price'!N623-'ETF price'!N622</f>
        <v>0.43999999999999773</v>
      </c>
      <c r="N621" s="3">
        <f ca="1">'ETF price'!O623-'ETF price'!O622</f>
        <v>1.6000000000000014</v>
      </c>
      <c r="O621" s="3">
        <f ca="1">'ETF price'!P623-'ETF price'!P622</f>
        <v>1.5300000000000011</v>
      </c>
      <c r="P621" s="3">
        <f ca="1">'ETF price'!Q623-'ETF price'!Q622</f>
        <v>3.3599999999999994</v>
      </c>
      <c r="Q621" s="3">
        <f ca="1">'ETF price'!R623-'ETF price'!R622</f>
        <v>0.15000000000000568</v>
      </c>
      <c r="R621" s="3">
        <f ca="1">'ETF price'!S623-'ETF price'!S622</f>
        <v>-0.17000000000000171</v>
      </c>
      <c r="S621" s="3">
        <f ca="1">'ETF price'!T623-'ETF price'!T622</f>
        <v>0.19000000000000128</v>
      </c>
      <c r="T621" s="3">
        <f ca="1">'ETF price'!U623-'ETF price'!U622</f>
        <v>1.0499999999999972</v>
      </c>
      <c r="U621" s="3">
        <f ca="1">'ETF price'!V623-'ETF price'!V622</f>
        <v>-0.26999999999999602</v>
      </c>
      <c r="V621" s="3">
        <f ca="1">'ETF price'!W623-'ETF price'!W622</f>
        <v>0.26000000000000512</v>
      </c>
      <c r="W621" s="3">
        <f ca="1">'ETF price'!X623-'ETF price'!X622</f>
        <v>0.96999999999999886</v>
      </c>
      <c r="X621" s="3">
        <f ca="1">'ETF price'!Y623-'ETF price'!Y622</f>
        <v>0.51000000000000512</v>
      </c>
      <c r="Y621" s="3">
        <f ca="1">'ETF price'!Z623-'ETF price'!Z622</f>
        <v>0.98000000000000398</v>
      </c>
      <c r="Z621" s="3">
        <f ca="1">'ETF price'!AA623-'ETF price'!AA622</f>
        <v>-0.12999999999999545</v>
      </c>
      <c r="AA621" s="3">
        <f ca="1">'ETF price'!AB623-'ETF price'!AB622</f>
        <v>0.57000000000000028</v>
      </c>
      <c r="AB621" s="3">
        <f ca="1">'ETF price'!AC623-'ETF price'!AC622</f>
        <v>-0.5</v>
      </c>
      <c r="AC621" s="3">
        <f ca="1">'ETF price'!AD623-'ETF price'!AD622</f>
        <v>-1.3900000000000006</v>
      </c>
      <c r="AD621" s="3">
        <f ca="1">'ETF price'!AE623-'ETF price'!AE622</f>
        <v>-1.9299999999999997</v>
      </c>
      <c r="AE621" s="3">
        <f ca="1">'ETF price'!AF623-'ETF price'!AF622</f>
        <v>-2.0000000000000462E-2</v>
      </c>
      <c r="AF621" s="3">
        <f ca="1">'ETF price'!AG623-'ETF price'!AG622</f>
        <v>-1.5200000000000031</v>
      </c>
    </row>
    <row r="622" spans="1:32" ht="12.75" x14ac:dyDescent="0.2">
      <c r="A622" s="3">
        <f ca="1">'ETF price'!B624-'ETF price'!B623</f>
        <v>4.0800000000000125</v>
      </c>
      <c r="B622" s="3">
        <f ca="1">'ETF price'!C624-'ETF price'!C623</f>
        <v>8.1200000000000045</v>
      </c>
      <c r="C622" s="3">
        <f ca="1">'ETF price'!D624-'ETF price'!D623</f>
        <v>-0.59999999999999432</v>
      </c>
      <c r="D622" s="3">
        <f ca="1">'ETF price'!E624-'ETF price'!E623</f>
        <v>3.7299999999999898</v>
      </c>
      <c r="E622" s="3">
        <f ca="1">'ETF price'!F624-'ETF price'!F623</f>
        <v>0.20000000000000284</v>
      </c>
      <c r="F622" s="3">
        <f ca="1">'ETF price'!G624-'ETF price'!G623</f>
        <v>0.36999999999999744</v>
      </c>
      <c r="G622" s="3">
        <f ca="1">'ETF price'!H624-'ETF price'!H623</f>
        <v>0</v>
      </c>
      <c r="H622" s="3">
        <f ca="1">'ETF price'!I624-'ETF price'!I623</f>
        <v>-0.46000000000000796</v>
      </c>
      <c r="I622" s="3">
        <f ca="1">'ETF price'!J624-'ETF price'!J623</f>
        <v>-0.72000000000002728</v>
      </c>
      <c r="J622" s="3">
        <f ca="1">'ETF price'!K624-'ETF price'!K623</f>
        <v>-0.43000000000000682</v>
      </c>
      <c r="K622" s="3">
        <f ca="1">'ETF price'!L624-'ETF price'!L623</f>
        <v>-0.65999999999999659</v>
      </c>
      <c r="L622" s="3">
        <f ca="1">'ETF price'!M624-'ETF price'!M623</f>
        <v>-0.28000000000000114</v>
      </c>
      <c r="M622" s="3">
        <f ca="1">'ETF price'!N624-'ETF price'!N623</f>
        <v>-0.19999999999998863</v>
      </c>
      <c r="N622" s="3">
        <f ca="1">'ETF price'!O624-'ETF price'!O623</f>
        <v>-0.44000000000000483</v>
      </c>
      <c r="O622" s="3">
        <f ca="1">'ETF price'!P624-'ETF price'!P623</f>
        <v>0.20999999999999375</v>
      </c>
      <c r="P622" s="3">
        <f ca="1">'ETF price'!Q624-'ETF price'!Q623</f>
        <v>0.25</v>
      </c>
      <c r="Q622" s="3">
        <f ca="1">'ETF price'!R624-'ETF price'!R623</f>
        <v>-1.1400000000000006</v>
      </c>
      <c r="R622" s="3">
        <f ca="1">'ETF price'!S624-'ETF price'!S623</f>
        <v>-0.93999999999999773</v>
      </c>
      <c r="S622" s="3">
        <f ca="1">'ETF price'!T624-'ETF price'!T623</f>
        <v>-0.21999999999999886</v>
      </c>
      <c r="T622" s="3">
        <f ca="1">'ETF price'!U624-'ETF price'!U623</f>
        <v>-0.79999999999999716</v>
      </c>
      <c r="U622" s="3">
        <f ca="1">'ETF price'!V624-'ETF price'!V623</f>
        <v>-1.3100000000000023</v>
      </c>
      <c r="V622" s="3">
        <f ca="1">'ETF price'!W624-'ETF price'!W623</f>
        <v>-0.31000000000000227</v>
      </c>
      <c r="W622" s="3">
        <f ca="1">'ETF price'!X624-'ETF price'!X623</f>
        <v>-0.78000000000000114</v>
      </c>
      <c r="X622" s="3">
        <f ca="1">'ETF price'!Y624-'ETF price'!Y623</f>
        <v>-0.55000000000000426</v>
      </c>
      <c r="Y622" s="3">
        <f ca="1">'ETF price'!Z624-'ETF price'!Z623</f>
        <v>-0.71999999999999886</v>
      </c>
      <c r="Z622" s="3">
        <f ca="1">'ETF price'!AA624-'ETF price'!AA623</f>
        <v>-0.53999999999999915</v>
      </c>
      <c r="AA622" s="3">
        <f ca="1">'ETF price'!AB624-'ETF price'!AB623</f>
        <v>-0.64999999999999858</v>
      </c>
      <c r="AB622" s="3">
        <f ca="1">'ETF price'!AC624-'ETF price'!AC623</f>
        <v>0.5</v>
      </c>
      <c r="AC622" s="3">
        <f ca="1">'ETF price'!AD624-'ETF price'!AD623</f>
        <v>0.72000000000000242</v>
      </c>
      <c r="AD622" s="3">
        <f ca="1">'ETF price'!AE624-'ETF price'!AE623</f>
        <v>1.0500000000000007</v>
      </c>
      <c r="AE622" s="3">
        <f ca="1">'ETF price'!AF624-'ETF price'!AF623</f>
        <v>-0.32000000000000028</v>
      </c>
      <c r="AF622" s="3">
        <f ca="1">'ETF price'!AG624-'ETF price'!AG623</f>
        <v>2.8800000000000026</v>
      </c>
    </row>
    <row r="623" spans="1:32" ht="12.75" x14ac:dyDescent="0.2">
      <c r="A623" s="3">
        <f ca="1">'ETF price'!B625-'ETF price'!B624</f>
        <v>-0.25999999999999091</v>
      </c>
      <c r="B623" s="3">
        <f ca="1">'ETF price'!C625-'ETF price'!C624</f>
        <v>1.1499999999999773</v>
      </c>
      <c r="C623" s="3">
        <f ca="1">'ETF price'!D625-'ETF price'!D624</f>
        <v>1.5200000000000102</v>
      </c>
      <c r="D623" s="3">
        <f ca="1">'ETF price'!E625-'ETF price'!E624</f>
        <v>-0.96000000000000796</v>
      </c>
      <c r="E623" s="3">
        <f ca="1">'ETF price'!F625-'ETF price'!F624</f>
        <v>-0.14000000000000057</v>
      </c>
      <c r="F623" s="3">
        <f ca="1">'ETF price'!G625-'ETF price'!G624</f>
        <v>-2.9999999999997584E-2</v>
      </c>
      <c r="G623" s="3">
        <f ca="1">'ETF price'!H625-'ETF price'!H624</f>
        <v>-1.0000000000001563E-2</v>
      </c>
      <c r="H623" s="3">
        <f ca="1">'ETF price'!I625-'ETF price'!I624</f>
        <v>-0.51999999999998181</v>
      </c>
      <c r="I623" s="3">
        <f ca="1">'ETF price'!J625-'ETF price'!J624</f>
        <v>-0.95999999999997954</v>
      </c>
      <c r="J623" s="3">
        <f ca="1">'ETF price'!K625-'ETF price'!K624</f>
        <v>-1.6100000000000136</v>
      </c>
      <c r="K623" s="3">
        <f ca="1">'ETF price'!L625-'ETF price'!L624</f>
        <v>-0.89000000000000057</v>
      </c>
      <c r="L623" s="3">
        <f ca="1">'ETF price'!M625-'ETF price'!M624</f>
        <v>-0.56000000000000227</v>
      </c>
      <c r="M623" s="3">
        <f ca="1">'ETF price'!N625-'ETF price'!N624</f>
        <v>-0.32000000000000739</v>
      </c>
      <c r="N623" s="3">
        <f ca="1">'ETF price'!O625-'ETF price'!O624</f>
        <v>-0.57999999999999829</v>
      </c>
      <c r="O623" s="3">
        <f ca="1">'ETF price'!P625-'ETF price'!P624</f>
        <v>-0.89999999999999147</v>
      </c>
      <c r="P623" s="3">
        <f ca="1">'ETF price'!Q625-'ETF price'!Q624</f>
        <v>-1.0799999999999983</v>
      </c>
      <c r="Q623" s="3">
        <f ca="1">'ETF price'!R625-'ETF price'!R624</f>
        <v>-6.0000000000002274E-2</v>
      </c>
      <c r="R623" s="3">
        <f ca="1">'ETF price'!S625-'ETF price'!S624</f>
        <v>0.76999999999999602</v>
      </c>
      <c r="S623" s="3">
        <f ca="1">'ETF price'!T625-'ETF price'!T624</f>
        <v>3.9999999999999147E-2</v>
      </c>
      <c r="T623" s="3">
        <f ca="1">'ETF price'!U625-'ETF price'!U624</f>
        <v>-0.15000000000000568</v>
      </c>
      <c r="U623" s="3">
        <f ca="1">'ETF price'!V625-'ETF price'!V624</f>
        <v>-0.39999999999999858</v>
      </c>
      <c r="V623" s="3">
        <f ca="1">'ETF price'!W625-'ETF price'!W624</f>
        <v>-0.25999999999999801</v>
      </c>
      <c r="W623" s="3">
        <f ca="1">'ETF price'!X625-'ETF price'!X624</f>
        <v>-0.57999999999999829</v>
      </c>
      <c r="X623" s="3">
        <f ca="1">'ETF price'!Y625-'ETF price'!Y624</f>
        <v>1.0000000000005116E-2</v>
      </c>
      <c r="Y623" s="3">
        <f ca="1">'ETF price'!Z625-'ETF price'!Z624</f>
        <v>-0.44000000000001194</v>
      </c>
      <c r="Z623" s="3">
        <f ca="1">'ETF price'!AA625-'ETF price'!AA624</f>
        <v>-5.0000000000004263E-2</v>
      </c>
      <c r="AA623" s="3">
        <f ca="1">'ETF price'!AB625-'ETF price'!AB624</f>
        <v>0.20000000000000284</v>
      </c>
      <c r="AB623" s="3">
        <f ca="1">'ETF price'!AC625-'ETF price'!AC624</f>
        <v>0.19000000000001194</v>
      </c>
      <c r="AC623" s="3">
        <f ca="1">'ETF price'!AD625-'ETF price'!AD624</f>
        <v>-0.14000000000000057</v>
      </c>
      <c r="AD623" s="3">
        <f ca="1">'ETF price'!AE625-'ETF price'!AE624</f>
        <v>-0.39000000000000057</v>
      </c>
      <c r="AE623" s="3">
        <f ca="1">'ETF price'!AF625-'ETF price'!AF624</f>
        <v>1.0000000000000675E-2</v>
      </c>
      <c r="AF623" s="3">
        <f ca="1">'ETF price'!AG625-'ETF price'!AG624</f>
        <v>-0.92999999999999972</v>
      </c>
    </row>
    <row r="624" spans="1:32" ht="12.75" x14ac:dyDescent="0.2">
      <c r="A624" s="3">
        <f ca="1">'ETF price'!B626-'ETF price'!B625</f>
        <v>0.10999999999998522</v>
      </c>
      <c r="B624" s="3">
        <f ca="1">'ETF price'!C626-'ETF price'!C625</f>
        <v>1.1499999999999773</v>
      </c>
      <c r="C624" s="3">
        <f ca="1">'ETF price'!D626-'ETF price'!D625</f>
        <v>1.039999999999992</v>
      </c>
      <c r="D624" s="3">
        <f ca="1">'ETF price'!E626-'ETF price'!E625</f>
        <v>-1.2599999999999909</v>
      </c>
      <c r="E624" s="3">
        <f ca="1">'ETF price'!F626-'ETF price'!F625</f>
        <v>1.5700000000000003</v>
      </c>
      <c r="F624" s="3">
        <f ca="1">'ETF price'!G626-'ETF price'!G625</f>
        <v>-1.9999999999999574E-2</v>
      </c>
      <c r="G624" s="3">
        <f ca="1">'ETF price'!H626-'ETF price'!H625</f>
        <v>0.16000000000000014</v>
      </c>
      <c r="H624" s="3">
        <f ca="1">'ETF price'!I626-'ETF price'!I625</f>
        <v>-0.24000000000000909</v>
      </c>
      <c r="I624" s="3">
        <f ca="1">'ETF price'!J626-'ETF price'!J625</f>
        <v>-0.25999999999999091</v>
      </c>
      <c r="J624" s="3">
        <f ca="1">'ETF price'!K626-'ETF price'!K625</f>
        <v>-9.9999999999909051E-3</v>
      </c>
      <c r="K624" s="3">
        <f ca="1">'ETF price'!L626-'ETF price'!L625</f>
        <v>0.67000000000000171</v>
      </c>
      <c r="L624" s="3">
        <f ca="1">'ETF price'!M626-'ETF price'!M625</f>
        <v>-0.10999999999999943</v>
      </c>
      <c r="M624" s="3">
        <f ca="1">'ETF price'!N626-'ETF price'!N625</f>
        <v>-4.9999999999997158E-2</v>
      </c>
      <c r="N624" s="3">
        <f ca="1">'ETF price'!O626-'ETF price'!O625</f>
        <v>-0.10999999999999943</v>
      </c>
      <c r="O624" s="3">
        <f ca="1">'ETF price'!P626-'ETF price'!P625</f>
        <v>0.20999999999999375</v>
      </c>
      <c r="P624" s="3">
        <f ca="1">'ETF price'!Q626-'ETF price'!Q625</f>
        <v>0.25000000000001421</v>
      </c>
      <c r="Q624" s="3">
        <f ca="1">'ETF price'!R626-'ETF price'!R625</f>
        <v>-0.25</v>
      </c>
      <c r="R624" s="3">
        <f ca="1">'ETF price'!S626-'ETF price'!S625</f>
        <v>-0.35999999999999943</v>
      </c>
      <c r="S624" s="3">
        <f ca="1">'ETF price'!T626-'ETF price'!T625</f>
        <v>0.11999999999999744</v>
      </c>
      <c r="T624" s="3">
        <f ca="1">'ETF price'!U626-'ETF price'!U625</f>
        <v>1.1700000000000017</v>
      </c>
      <c r="U624" s="3">
        <f ca="1">'ETF price'!V626-'ETF price'!V625</f>
        <v>0.81000000000000227</v>
      </c>
      <c r="V624" s="3">
        <f ca="1">'ETF price'!W626-'ETF price'!W625</f>
        <v>-5.0000000000004263E-2</v>
      </c>
      <c r="W624" s="3">
        <f ca="1">'ETF price'!X626-'ETF price'!X625</f>
        <v>6.9999999999993179E-2</v>
      </c>
      <c r="X624" s="3">
        <f ca="1">'ETF price'!Y626-'ETF price'!Y625</f>
        <v>0.44999999999999574</v>
      </c>
      <c r="Y624" s="3">
        <f ca="1">'ETF price'!Z626-'ETF price'!Z625</f>
        <v>0.24000000000000909</v>
      </c>
      <c r="Z624" s="3">
        <f ca="1">'ETF price'!AA626-'ETF price'!AA625</f>
        <v>0.34000000000000341</v>
      </c>
      <c r="AA624" s="3">
        <f ca="1">'ETF price'!AB626-'ETF price'!AB625</f>
        <v>0.5</v>
      </c>
      <c r="AB624" s="3">
        <f ca="1">'ETF price'!AC626-'ETF price'!AC625</f>
        <v>0.75</v>
      </c>
      <c r="AC624" s="3">
        <f ca="1">'ETF price'!AD626-'ETF price'!AD625</f>
        <v>0.12000000000000099</v>
      </c>
      <c r="AD624" s="3">
        <f ca="1">'ETF price'!AE626-'ETF price'!AE625</f>
        <v>0.16000000000000014</v>
      </c>
      <c r="AE624" s="3">
        <f ca="1">'ETF price'!AF626-'ETF price'!AF625</f>
        <v>8.0000000000000071E-2</v>
      </c>
      <c r="AF624" s="3">
        <f ca="1">'ETF price'!AG626-'ETF price'!AG625</f>
        <v>0.35000000000000142</v>
      </c>
    </row>
    <row r="625" spans="1:32" ht="12.75" x14ac:dyDescent="0.2">
      <c r="A625" s="3">
        <f ca="1">'ETF price'!B627-'ETF price'!B626</f>
        <v>-0.12000000000000455</v>
      </c>
      <c r="B625" s="3">
        <f ca="1">'ETF price'!C627-'ETF price'!C626</f>
        <v>-0.9699999999999136</v>
      </c>
      <c r="C625" s="3">
        <f ca="1">'ETF price'!D627-'ETF price'!D626</f>
        <v>1.6899999999999977</v>
      </c>
      <c r="D625" s="3">
        <f ca="1">'ETF price'!E627-'ETF price'!E626</f>
        <v>2.4699999999999989</v>
      </c>
      <c r="E625" s="3">
        <f ca="1">'ETF price'!F627-'ETF price'!F626</f>
        <v>0.45000000000000284</v>
      </c>
      <c r="F625" s="3">
        <f ca="1">'ETF price'!G627-'ETF price'!G626</f>
        <v>7.0000000000000284E-2</v>
      </c>
      <c r="G625" s="3">
        <f ca="1">'ETF price'!H627-'ETF price'!H626</f>
        <v>-0.12999999999999901</v>
      </c>
      <c r="H625" s="3">
        <f ca="1">'ETF price'!I627-'ETF price'!I626</f>
        <v>-0.12000000000000455</v>
      </c>
      <c r="I625" s="3">
        <f ca="1">'ETF price'!J627-'ETF price'!J626</f>
        <v>-1.4300000000000068</v>
      </c>
      <c r="J625" s="3">
        <f ca="1">'ETF price'!K627-'ETF price'!K626</f>
        <v>-0.65000000000000568</v>
      </c>
      <c r="K625" s="3">
        <f ca="1">'ETF price'!L627-'ETF price'!L626</f>
        <v>-0.15000000000000568</v>
      </c>
      <c r="L625" s="3">
        <f ca="1">'ETF price'!M627-'ETF price'!M626</f>
        <v>-0.34999999999999432</v>
      </c>
      <c r="M625" s="3">
        <f ca="1">'ETF price'!N627-'ETF price'!N626</f>
        <v>-7.000000000000739E-2</v>
      </c>
      <c r="N625" s="3">
        <f ca="1">'ETF price'!O627-'ETF price'!O626</f>
        <v>-0.31000000000000227</v>
      </c>
      <c r="O625" s="3">
        <f ca="1">'ETF price'!P627-'ETF price'!P626</f>
        <v>0.35000000000000853</v>
      </c>
      <c r="P625" s="3">
        <f ca="1">'ETF price'!Q627-'ETF price'!Q626</f>
        <v>-0.51000000000001933</v>
      </c>
      <c r="Q625" s="3">
        <f ca="1">'ETF price'!R627-'ETF price'!R626</f>
        <v>-3.0000000000001137E-2</v>
      </c>
      <c r="R625" s="3">
        <f ca="1">'ETF price'!S627-'ETF price'!S626</f>
        <v>0.96999999999999886</v>
      </c>
      <c r="S625" s="3">
        <f ca="1">'ETF price'!T627-'ETF price'!T626</f>
        <v>-9.9999999999997868E-2</v>
      </c>
      <c r="T625" s="3">
        <f ca="1">'ETF price'!U627-'ETF price'!U626</f>
        <v>-0.32999999999999829</v>
      </c>
      <c r="U625" s="3">
        <f ca="1">'ETF price'!V627-'ETF price'!V626</f>
        <v>-1.8500000000000014</v>
      </c>
      <c r="V625" s="3">
        <f ca="1">'ETF price'!W627-'ETF price'!W626</f>
        <v>0.14000000000000057</v>
      </c>
      <c r="W625" s="3">
        <f ca="1">'ETF price'!X627-'ETF price'!X626</f>
        <v>4.9999999999997158E-2</v>
      </c>
      <c r="X625" s="3">
        <f ca="1">'ETF price'!Y627-'ETF price'!Y626</f>
        <v>1.1700000000000017</v>
      </c>
      <c r="Y625" s="3">
        <f ca="1">'ETF price'!Z627-'ETF price'!Z626</f>
        <v>0.50999999999999091</v>
      </c>
      <c r="Z625" s="3">
        <f ca="1">'ETF price'!AA627-'ETF price'!AA626</f>
        <v>0.30999999999999517</v>
      </c>
      <c r="AA625" s="3">
        <f ca="1">'ETF price'!AB627-'ETF price'!AB626</f>
        <v>1.4699999999999989</v>
      </c>
      <c r="AB625" s="3">
        <f ca="1">'ETF price'!AC627-'ETF price'!AC626</f>
        <v>-0.15000000000000568</v>
      </c>
      <c r="AC625" s="3">
        <f ca="1">'ETF price'!AD627-'ETF price'!AD626</f>
        <v>-0.43000000000000327</v>
      </c>
      <c r="AD625" s="3">
        <f ca="1">'ETF price'!AE627-'ETF price'!AE626</f>
        <v>-0.57999999999999829</v>
      </c>
      <c r="AE625" s="3">
        <f ca="1">'ETF price'!AF627-'ETF price'!AF626</f>
        <v>-4.0000000000000036E-2</v>
      </c>
      <c r="AF625" s="3">
        <f ca="1">'ETF price'!AG627-'ETF price'!AG626</f>
        <v>-1.1300000000000026</v>
      </c>
    </row>
    <row r="626" spans="1:32" ht="12.75" x14ac:dyDescent="0.2">
      <c r="A626" s="3">
        <f ca="1">'ETF price'!B628-'ETF price'!B627</f>
        <v>1.710000000000008</v>
      </c>
      <c r="B626" s="3">
        <f ca="1">'ETF price'!C628-'ETF price'!C627</f>
        <v>5.6599999999999682</v>
      </c>
      <c r="C626" s="3">
        <f ca="1">'ETF price'!D628-'ETF price'!D627</f>
        <v>1.4199999999999875</v>
      </c>
      <c r="D626" s="3">
        <f ca="1">'ETF price'!E628-'ETF price'!E627</f>
        <v>-9.9999999999909051E-3</v>
      </c>
      <c r="E626" s="3">
        <f ca="1">'ETF price'!F628-'ETF price'!F627</f>
        <v>8.99999999999892E-2</v>
      </c>
      <c r="F626" s="3">
        <f ca="1">'ETF price'!G628-'ETF price'!G627</f>
        <v>-0.13000000000000256</v>
      </c>
      <c r="G626" s="3">
        <f ca="1">'ETF price'!H628-'ETF price'!H627</f>
        <v>-0.10999999999999943</v>
      </c>
      <c r="H626" s="3">
        <f ca="1">'ETF price'!I628-'ETF price'!I627</f>
        <v>-0.81999999999999318</v>
      </c>
      <c r="I626" s="3">
        <f ca="1">'ETF price'!J628-'ETF price'!J627</f>
        <v>-1.25</v>
      </c>
      <c r="J626" s="3">
        <f ca="1">'ETF price'!K628-'ETF price'!K627</f>
        <v>-0.28999999999999204</v>
      </c>
      <c r="K626" s="3">
        <f ca="1">'ETF price'!L628-'ETF price'!L627</f>
        <v>0.33000000000001251</v>
      </c>
      <c r="L626" s="3">
        <f ca="1">'ETF price'!M628-'ETF price'!M627</f>
        <v>-1.0000000000005116E-2</v>
      </c>
      <c r="M626" s="3">
        <f ca="1">'ETF price'!N628-'ETF price'!N627</f>
        <v>-0.31999999999999318</v>
      </c>
      <c r="N626" s="3">
        <f ca="1">'ETF price'!O628-'ETF price'!O627</f>
        <v>-0.11999999999999744</v>
      </c>
      <c r="O626" s="3">
        <f ca="1">'ETF price'!P628-'ETF price'!P627</f>
        <v>4.9999999999997158E-2</v>
      </c>
      <c r="P626" s="3">
        <f ca="1">'ETF price'!Q628-'ETF price'!Q627</f>
        <v>-9.9999999999909051E-3</v>
      </c>
      <c r="Q626" s="3">
        <f ca="1">'ETF price'!R628-'ETF price'!R627</f>
        <v>-1.3599999999999994</v>
      </c>
      <c r="R626" s="3">
        <f ca="1">'ETF price'!S628-'ETF price'!S627</f>
        <v>0.89000000000000057</v>
      </c>
      <c r="S626" s="3">
        <f ca="1">'ETF price'!T628-'ETF price'!T627</f>
        <v>0.30000000000000071</v>
      </c>
      <c r="T626" s="3">
        <f ca="1">'ETF price'!U628-'ETF price'!U627</f>
        <v>1.9500000000000028</v>
      </c>
      <c r="U626" s="3">
        <f ca="1">'ETF price'!V628-'ETF price'!V627</f>
        <v>-0.96999999999999886</v>
      </c>
      <c r="V626" s="3">
        <f ca="1">'ETF price'!W628-'ETF price'!W627</f>
        <v>9.0000000000003411E-2</v>
      </c>
      <c r="W626" s="3">
        <f ca="1">'ETF price'!X628-'ETF price'!X627</f>
        <v>0.20000000000000284</v>
      </c>
      <c r="X626" s="3">
        <f ca="1">'ETF price'!Y628-'ETF price'!Y627</f>
        <v>-0.21000000000000085</v>
      </c>
      <c r="Y626" s="3">
        <f ca="1">'ETF price'!Z628-'ETF price'!Z627</f>
        <v>0.29000000000000625</v>
      </c>
      <c r="Z626" s="3">
        <f ca="1">'ETF price'!AA628-'ETF price'!AA627</f>
        <v>-0.36999999999999744</v>
      </c>
      <c r="AA626" s="3">
        <f ca="1">'ETF price'!AB628-'ETF price'!AB627</f>
        <v>-0.23000000000000398</v>
      </c>
      <c r="AB626" s="3">
        <f ca="1">'ETF price'!AC628-'ETF price'!AC627</f>
        <v>-0.17000000000000171</v>
      </c>
      <c r="AC626" s="3">
        <f ca="1">'ETF price'!AD628-'ETF price'!AD627</f>
        <v>0.7900000000000027</v>
      </c>
      <c r="AD626" s="3">
        <f ca="1">'ETF price'!AE628-'ETF price'!AE627</f>
        <v>-0.36000000000000298</v>
      </c>
      <c r="AE626" s="3">
        <f ca="1">'ETF price'!AF628-'ETF price'!AF627</f>
        <v>0.10999999999999943</v>
      </c>
      <c r="AF626" s="3">
        <f ca="1">'ETF price'!AG628-'ETF price'!AG627</f>
        <v>4.0399999999999991</v>
      </c>
    </row>
    <row r="627" spans="1:32" ht="12.75" x14ac:dyDescent="0.2">
      <c r="A627" s="3">
        <f ca="1">'ETF price'!B629-'ETF price'!B628</f>
        <v>1.1400000000000148</v>
      </c>
      <c r="B627" s="3">
        <f ca="1">'ETF price'!C629-'ETF price'!C628</f>
        <v>3.8700000000000045</v>
      </c>
      <c r="C627" s="3">
        <f ca="1">'ETF price'!D629-'ETF price'!D628</f>
        <v>0.79000000000002046</v>
      </c>
      <c r="D627" s="3">
        <f ca="1">'ETF price'!E629-'ETF price'!E628</f>
        <v>3.4699999999999989</v>
      </c>
      <c r="E627" s="3">
        <f ca="1">'ETF price'!F629-'ETF price'!F628</f>
        <v>0.31000000000000227</v>
      </c>
      <c r="F627" s="3">
        <f ca="1">'ETF price'!G629-'ETF price'!G628</f>
        <v>7.0000000000000284E-2</v>
      </c>
      <c r="G627" s="3">
        <f ca="1">'ETF price'!H629-'ETF price'!H628</f>
        <v>6.9999999999996732E-2</v>
      </c>
      <c r="H627" s="3">
        <f ca="1">'ETF price'!I629-'ETF price'!I628</f>
        <v>-0.53000000000000114</v>
      </c>
      <c r="I627" s="3">
        <f ca="1">'ETF price'!J629-'ETF price'!J628</f>
        <v>-0.99000000000000909</v>
      </c>
      <c r="J627" s="3">
        <f ca="1">'ETF price'!K629-'ETF price'!K628</f>
        <v>-0.94999999999998863</v>
      </c>
      <c r="K627" s="3">
        <f ca="1">'ETF price'!L629-'ETF price'!L628</f>
        <v>-1.6800000000000068</v>
      </c>
      <c r="L627" s="3">
        <f ca="1">'ETF price'!M629-'ETF price'!M628</f>
        <v>-0.56000000000000227</v>
      </c>
      <c r="M627" s="3">
        <f ca="1">'ETF price'!N629-'ETF price'!N628</f>
        <v>-0.28000000000000114</v>
      </c>
      <c r="N627" s="3">
        <f ca="1">'ETF price'!O629-'ETF price'!O628</f>
        <v>-0.35999999999999943</v>
      </c>
      <c r="O627" s="3">
        <f ca="1">'ETF price'!P629-'ETF price'!P628</f>
        <v>-7.000000000000739E-2</v>
      </c>
      <c r="P627" s="3">
        <f ca="1">'ETF price'!Q629-'ETF price'!Q628</f>
        <v>0.12999999999999545</v>
      </c>
      <c r="Q627" s="3">
        <f ca="1">'ETF price'!R629-'ETF price'!R628</f>
        <v>0.15999999999999659</v>
      </c>
      <c r="R627" s="3">
        <f ca="1">'ETF price'!S629-'ETF price'!S628</f>
        <v>0.42000000000000171</v>
      </c>
      <c r="S627" s="3">
        <f ca="1">'ETF price'!T629-'ETF price'!T628</f>
        <v>2.9999999999997584E-2</v>
      </c>
      <c r="T627" s="3">
        <f ca="1">'ETF price'!U629-'ETF price'!U628</f>
        <v>-0.43000000000000682</v>
      </c>
      <c r="U627" s="3">
        <f ca="1">'ETF price'!V629-'ETF price'!V628</f>
        <v>-0.26000000000000512</v>
      </c>
      <c r="V627" s="3">
        <f ca="1">'ETF price'!W629-'ETF price'!W628</f>
        <v>0.47999999999999687</v>
      </c>
      <c r="W627" s="3">
        <f ca="1">'ETF price'!X629-'ETF price'!X628</f>
        <v>1.0600000000000023</v>
      </c>
      <c r="X627" s="3">
        <f ca="1">'ETF price'!Y629-'ETF price'!Y628</f>
        <v>0.57999999999999829</v>
      </c>
      <c r="Y627" s="3">
        <f ca="1">'ETF price'!Z629-'ETF price'!Z628</f>
        <v>0.79999999999999716</v>
      </c>
      <c r="Z627" s="3">
        <f ca="1">'ETF price'!AA629-'ETF price'!AA628</f>
        <v>0.16000000000000369</v>
      </c>
      <c r="AA627" s="3">
        <f ca="1">'ETF price'!AB629-'ETF price'!AB628</f>
        <v>0.5800000000000054</v>
      </c>
      <c r="AB627" s="3">
        <f ca="1">'ETF price'!AC629-'ETF price'!AC628</f>
        <v>-0.18999999999999773</v>
      </c>
      <c r="AC627" s="3">
        <f ca="1">'ETF price'!AD629-'ETF price'!AD628</f>
        <v>-0.37000000000000099</v>
      </c>
      <c r="AD627" s="3">
        <f ca="1">'ETF price'!AE629-'ETF price'!AE628</f>
        <v>-0.4599999999999973</v>
      </c>
      <c r="AE627" s="3">
        <f ca="1">'ETF price'!AF629-'ETF price'!AF628</f>
        <v>6.0000000000000497E-2</v>
      </c>
      <c r="AF627" s="3">
        <f ca="1">'ETF price'!AG629-'ETF price'!AG628</f>
        <v>-0.25999999999999801</v>
      </c>
    </row>
    <row r="628" spans="1:32" ht="12.75" x14ac:dyDescent="0.2">
      <c r="A628" s="3">
        <f ca="1">'ETF price'!B630-'ETF price'!B629</f>
        <v>3.089999999999975</v>
      </c>
      <c r="B628" s="3">
        <f ca="1">'ETF price'!C630-'ETF price'!C629</f>
        <v>6.7699999999999818</v>
      </c>
      <c r="C628" s="3">
        <f ca="1">'ETF price'!D630-'ETF price'!D629</f>
        <v>-0.31000000000000227</v>
      </c>
      <c r="D628" s="3">
        <f ca="1">'ETF price'!E630-'ETF price'!E629</f>
        <v>4.1699999999999875</v>
      </c>
      <c r="E628" s="3">
        <f ca="1">'ETF price'!F630-'ETF price'!F629</f>
        <v>0.34000000000000341</v>
      </c>
      <c r="F628" s="3">
        <f ca="1">'ETF price'!G630-'ETF price'!G629</f>
        <v>0.30000000000000071</v>
      </c>
      <c r="G628" s="3">
        <f ca="1">'ETF price'!H630-'ETF price'!H629</f>
        <v>0.12000000000000099</v>
      </c>
      <c r="H628" s="3">
        <f ca="1">'ETF price'!I630-'ETF price'!I629</f>
        <v>-1.0999999999999943</v>
      </c>
      <c r="I628" s="3">
        <f ca="1">'ETF price'!J630-'ETF price'!J629</f>
        <v>-1.8799999999999955</v>
      </c>
      <c r="J628" s="3">
        <f ca="1">'ETF price'!K630-'ETF price'!K629</f>
        <v>-0.93000000000000682</v>
      </c>
      <c r="K628" s="3">
        <f ca="1">'ETF price'!L630-'ETF price'!L629</f>
        <v>-0.48999999999999488</v>
      </c>
      <c r="L628" s="3">
        <f ca="1">'ETF price'!M630-'ETF price'!M629</f>
        <v>-0.21999999999999886</v>
      </c>
      <c r="M628" s="3">
        <f ca="1">'ETF price'!N630-'ETF price'!N629</f>
        <v>-0.56999999999999318</v>
      </c>
      <c r="N628" s="3">
        <f ca="1">'ETF price'!O630-'ETF price'!O629</f>
        <v>0.10000000000000142</v>
      </c>
      <c r="O628" s="3">
        <f ca="1">'ETF price'!P630-'ETF price'!P629</f>
        <v>0.40000000000000568</v>
      </c>
      <c r="P628" s="3">
        <f ca="1">'ETF price'!Q630-'ETF price'!Q629</f>
        <v>0.59000000000000341</v>
      </c>
      <c r="Q628" s="3">
        <f ca="1">'ETF price'!R630-'ETF price'!R629</f>
        <v>0.65000000000000568</v>
      </c>
      <c r="R628" s="3">
        <f ca="1">'ETF price'!S630-'ETF price'!S629</f>
        <v>1.0700000000000003</v>
      </c>
      <c r="S628" s="3">
        <f ca="1">'ETF price'!T630-'ETF price'!T629</f>
        <v>0.13000000000000256</v>
      </c>
      <c r="T628" s="3">
        <f ca="1">'ETF price'!U630-'ETF price'!U629</f>
        <v>0.15999999999999659</v>
      </c>
      <c r="U628" s="3">
        <f ca="1">'ETF price'!V630-'ETF price'!V629</f>
        <v>1.5600000000000023</v>
      </c>
      <c r="V628" s="3">
        <f ca="1">'ETF price'!W630-'ETF price'!W629</f>
        <v>-0.13000000000000256</v>
      </c>
      <c r="W628" s="3">
        <f ca="1">'ETF price'!X630-'ETF price'!X629</f>
        <v>-0.37999999999999545</v>
      </c>
      <c r="X628" s="3">
        <f ca="1">'ETF price'!Y630-'ETF price'!Y629</f>
        <v>-0.62999999999999545</v>
      </c>
      <c r="Y628" s="3">
        <f ca="1">'ETF price'!Z630-'ETF price'!Z629</f>
        <v>-0.28000000000000114</v>
      </c>
      <c r="Z628" s="3">
        <f ca="1">'ETF price'!AA630-'ETF price'!AA629</f>
        <v>-4.0000000000006253E-2</v>
      </c>
      <c r="AA628" s="3">
        <f ca="1">'ETF price'!AB630-'ETF price'!AB629</f>
        <v>-0.80000000000000426</v>
      </c>
      <c r="AB628" s="3">
        <f ca="1">'ETF price'!AC630-'ETF price'!AC629</f>
        <v>0.57999999999999829</v>
      </c>
      <c r="AC628" s="3">
        <f ca="1">'ETF price'!AD630-'ETF price'!AD629</f>
        <v>-0.55999999999999872</v>
      </c>
      <c r="AD628" s="3">
        <f ca="1">'ETF price'!AE630-'ETF price'!AE629</f>
        <v>-0.53000000000000114</v>
      </c>
      <c r="AE628" s="3">
        <f ca="1">'ETF price'!AF630-'ETF price'!AF629</f>
        <v>6.9999999999999396E-2</v>
      </c>
      <c r="AF628" s="3">
        <f ca="1">'ETF price'!AG630-'ETF price'!AG629</f>
        <v>-0.32999999999999829</v>
      </c>
    </row>
    <row r="629" spans="1:32" ht="12.75" x14ac:dyDescent="0.2">
      <c r="A629" s="3">
        <f ca="1">'ETF price'!B631-'ETF price'!B630</f>
        <v>0.71000000000000796</v>
      </c>
      <c r="B629" s="3">
        <f ca="1">'ETF price'!C631-'ETF price'!C630</f>
        <v>3.0199999999999818</v>
      </c>
      <c r="C629" s="3">
        <f ca="1">'ETF price'!D631-'ETF price'!D630</f>
        <v>2.0799999999999841</v>
      </c>
      <c r="D629" s="3">
        <f ca="1">'ETF price'!E631-'ETF price'!E630</f>
        <v>0.5</v>
      </c>
      <c r="E629" s="3">
        <f ca="1">'ETF price'!F631-'ETF price'!F630</f>
        <v>0.12999999999999545</v>
      </c>
      <c r="F629" s="3">
        <f ca="1">'ETF price'!G631-'ETF price'!G630</f>
        <v>0.12000000000000099</v>
      </c>
      <c r="G629" s="3">
        <f ca="1">'ETF price'!H631-'ETF price'!H630</f>
        <v>-3.9999999999999147E-2</v>
      </c>
      <c r="H629" s="3">
        <f ca="1">'ETF price'!I631-'ETF price'!I630</f>
        <v>1.1099999999999852</v>
      </c>
      <c r="I629" s="3">
        <f ca="1">'ETF price'!J631-'ETF price'!J630</f>
        <v>2.0400000000000205</v>
      </c>
      <c r="J629" s="3">
        <f ca="1">'ETF price'!K631-'ETF price'!K630</f>
        <v>1.1099999999999852</v>
      </c>
      <c r="K629" s="3">
        <f ca="1">'ETF price'!L631-'ETF price'!L630</f>
        <v>0.8399999999999892</v>
      </c>
      <c r="L629" s="3">
        <f ca="1">'ETF price'!M631-'ETF price'!M630</f>
        <v>0.57000000000000739</v>
      </c>
      <c r="M629" s="3">
        <f ca="1">'ETF price'!N631-'ETF price'!N630</f>
        <v>0.5899999999999892</v>
      </c>
      <c r="N629" s="3">
        <f ca="1">'ETF price'!O631-'ETF price'!O630</f>
        <v>0.23999999999999488</v>
      </c>
      <c r="O629" s="3">
        <f ca="1">'ETF price'!P631-'ETF price'!P630</f>
        <v>-1.4300000000000068</v>
      </c>
      <c r="P629" s="3">
        <f ca="1">'ETF price'!Q631-'ETF price'!Q630</f>
        <v>-2.1299999999999955</v>
      </c>
      <c r="Q629" s="3">
        <f ca="1">'ETF price'!R631-'ETF price'!R630</f>
        <v>0.14000000000000057</v>
      </c>
      <c r="R629" s="3">
        <f ca="1">'ETF price'!S631-'ETF price'!S630</f>
        <v>-0.45000000000000284</v>
      </c>
      <c r="S629" s="3">
        <f ca="1">'ETF price'!T631-'ETF price'!T630</f>
        <v>8.9999999999999858E-2</v>
      </c>
      <c r="T629" s="3">
        <f ca="1">'ETF price'!U631-'ETF price'!U630</f>
        <v>4.0000000000006253E-2</v>
      </c>
      <c r="U629" s="3">
        <f ca="1">'ETF price'!V631-'ETF price'!V630</f>
        <v>-0.53000000000000114</v>
      </c>
      <c r="V629" s="3">
        <f ca="1">'ETF price'!W631-'ETF price'!W630</f>
        <v>-9.9999999999980105E-3</v>
      </c>
      <c r="W629" s="3">
        <f ca="1">'ETF price'!X631-'ETF price'!X630</f>
        <v>-0.20000000000000284</v>
      </c>
      <c r="X629" s="3">
        <f ca="1">'ETF price'!Y631-'ETF price'!Y630</f>
        <v>-0.65000000000000568</v>
      </c>
      <c r="Y629" s="3">
        <f ca="1">'ETF price'!Z631-'ETF price'!Z630</f>
        <v>-0.34999999999999432</v>
      </c>
      <c r="Z629" s="3">
        <f ca="1">'ETF price'!AA631-'ETF price'!AA630</f>
        <v>0.14000000000000057</v>
      </c>
      <c r="AA629" s="3">
        <f ca="1">'ETF price'!AB631-'ETF price'!AB630</f>
        <v>-0.71000000000000085</v>
      </c>
      <c r="AB629" s="3">
        <f ca="1">'ETF price'!AC631-'ETF price'!AC630</f>
        <v>0.32999999999999829</v>
      </c>
      <c r="AC629" s="3">
        <f ca="1">'ETF price'!AD631-'ETF price'!AD630</f>
        <v>-1.4500000000000028</v>
      </c>
      <c r="AD629" s="3">
        <f ca="1">'ETF price'!AE631-'ETF price'!AE630</f>
        <v>-1.3999999999999986</v>
      </c>
      <c r="AE629" s="3">
        <f ca="1">'ETF price'!AF631-'ETF price'!AF630</f>
        <v>2.0000000000000462E-2</v>
      </c>
      <c r="AF629" s="3">
        <f ca="1">'ETF price'!AG631-'ETF price'!AG630</f>
        <v>0.19999999999999574</v>
      </c>
    </row>
    <row r="630" spans="1:32" ht="12.75" x14ac:dyDescent="0.2">
      <c r="A630" s="3">
        <f ca="1">'ETF price'!B632-'ETF price'!B631</f>
        <v>1.5900000000000034</v>
      </c>
      <c r="B630" s="3">
        <f ca="1">'ETF price'!C632-'ETF price'!C631</f>
        <v>4</v>
      </c>
      <c r="C630" s="3">
        <f ca="1">'ETF price'!D632-'ETF price'!D631</f>
        <v>-3.8799999999999955</v>
      </c>
      <c r="D630" s="3">
        <f ca="1">'ETF price'!E632-'ETF price'!E631</f>
        <v>4.8299999999999841</v>
      </c>
      <c r="E630" s="3">
        <f ca="1">'ETF price'!F632-'ETF price'!F631</f>
        <v>-0.31999999999999318</v>
      </c>
      <c r="F630" s="3">
        <f ca="1">'ETF price'!G632-'ETF price'!G631</f>
        <v>0.14999999999999858</v>
      </c>
      <c r="G630" s="3">
        <f ca="1">'ETF price'!H632-'ETF price'!H631</f>
        <v>0.23999999999999844</v>
      </c>
      <c r="H630" s="3">
        <f ca="1">'ETF price'!I632-'ETF price'!I631</f>
        <v>-0.15999999999999659</v>
      </c>
      <c r="I630" s="3">
        <f ca="1">'ETF price'!J632-'ETF price'!J631</f>
        <v>-0.28000000000002956</v>
      </c>
      <c r="J630" s="3">
        <f ca="1">'ETF price'!K632-'ETF price'!K631</f>
        <v>1.5300000000000011</v>
      </c>
      <c r="K630" s="3">
        <f ca="1">'ETF price'!L632-'ETF price'!L631</f>
        <v>1.5200000000000102</v>
      </c>
      <c r="L630" s="3">
        <f ca="1">'ETF price'!M632-'ETF price'!M631</f>
        <v>0.79999999999999716</v>
      </c>
      <c r="M630" s="3">
        <f ca="1">'ETF price'!N632-'ETF price'!N631</f>
        <v>3.0000000000001137E-2</v>
      </c>
      <c r="N630" s="3">
        <f ca="1">'ETF price'!O632-'ETF price'!O631</f>
        <v>0.10000000000000142</v>
      </c>
      <c r="O630" s="3">
        <f ca="1">'ETF price'!P632-'ETF price'!P631</f>
        <v>-0.54999999999999716</v>
      </c>
      <c r="P630" s="3">
        <f ca="1">'ETF price'!Q632-'ETF price'!Q631</f>
        <v>-0.51000000000000512</v>
      </c>
      <c r="Q630" s="3">
        <f ca="1">'ETF price'!R632-'ETF price'!R631</f>
        <v>0.25999999999999091</v>
      </c>
      <c r="R630" s="3">
        <f ca="1">'ETF price'!S632-'ETF price'!S631</f>
        <v>5.0000000000004263E-2</v>
      </c>
      <c r="S630" s="3">
        <f ca="1">'ETF price'!T632-'ETF price'!T631</f>
        <v>-0.32000000000000028</v>
      </c>
      <c r="T630" s="3">
        <f ca="1">'ETF price'!U632-'ETF price'!U631</f>
        <v>-0.89000000000000057</v>
      </c>
      <c r="U630" s="3">
        <f ca="1">'ETF price'!V632-'ETF price'!V631</f>
        <v>0.44000000000000483</v>
      </c>
      <c r="V630" s="3">
        <f ca="1">'ETF price'!W632-'ETF price'!W631</f>
        <v>-0.10999999999999943</v>
      </c>
      <c r="W630" s="3">
        <f ca="1">'ETF price'!X632-'ETF price'!X631</f>
        <v>-0.24000000000000909</v>
      </c>
      <c r="X630" s="3">
        <f ca="1">'ETF price'!Y632-'ETF price'!Y631</f>
        <v>-9.9999999999980105E-3</v>
      </c>
      <c r="Y630" s="3">
        <f ca="1">'ETF price'!Z632-'ETF price'!Z631</f>
        <v>3.0000000000001137E-2</v>
      </c>
      <c r="Z630" s="3">
        <f ca="1">'ETF price'!AA632-'ETF price'!AA631</f>
        <v>9.0000000000003411E-2</v>
      </c>
      <c r="AA630" s="3">
        <f ca="1">'ETF price'!AB632-'ETF price'!AB631</f>
        <v>1.0000000000005116E-2</v>
      </c>
      <c r="AB630" s="3">
        <f ca="1">'ETF price'!AC632-'ETF price'!AC631</f>
        <v>0.54000000000000625</v>
      </c>
      <c r="AC630" s="3">
        <f ca="1">'ETF price'!AD632-'ETF price'!AD631</f>
        <v>7.0000000000000284E-2</v>
      </c>
      <c r="AD630" s="3">
        <f ca="1">'ETF price'!AE632-'ETF price'!AE631</f>
        <v>9.9999999999980105E-3</v>
      </c>
      <c r="AE630" s="3">
        <f ca="1">'ETF price'!AF632-'ETF price'!AF631</f>
        <v>-0.21999999999999975</v>
      </c>
      <c r="AF630" s="3">
        <f ca="1">'ETF price'!AG632-'ETF price'!AG631</f>
        <v>-2.9999999999994031E-2</v>
      </c>
    </row>
    <row r="631" spans="1:32" ht="12.75" x14ac:dyDescent="0.2">
      <c r="A631" s="3">
        <f ca="1">'ETF price'!B633-'ETF price'!B632</f>
        <v>-0.18999999999999773</v>
      </c>
      <c r="B631" s="3">
        <f ca="1">'ETF price'!C633-'ETF price'!C632</f>
        <v>-1.2799999999999727</v>
      </c>
      <c r="C631" s="3">
        <f ca="1">'ETF price'!D633-'ETF price'!D632</f>
        <v>1.0600000000000023</v>
      </c>
      <c r="D631" s="3">
        <f ca="1">'ETF price'!E633-'ETF price'!E632</f>
        <v>-0.1199999999999477</v>
      </c>
      <c r="E631" s="3">
        <f ca="1">'ETF price'!F633-'ETF price'!F632</f>
        <v>-0.62999999999999545</v>
      </c>
      <c r="F631" s="3">
        <f ca="1">'ETF price'!G633-'ETF price'!G632</f>
        <v>-9.9999999999980105E-3</v>
      </c>
      <c r="G631" s="3">
        <f ca="1">'ETF price'!H633-'ETF price'!H632</f>
        <v>-7.0000000000000284E-2</v>
      </c>
      <c r="H631" s="3">
        <f ca="1">'ETF price'!I633-'ETF price'!I632</f>
        <v>0.69999999999998863</v>
      </c>
      <c r="I631" s="3">
        <f ca="1">'ETF price'!J633-'ETF price'!J632</f>
        <v>1.3199999999999932</v>
      </c>
      <c r="J631" s="3">
        <f ca="1">'ETF price'!K633-'ETF price'!K632</f>
        <v>1.1300000000000239</v>
      </c>
      <c r="K631" s="3">
        <f ca="1">'ETF price'!L633-'ETF price'!L632</f>
        <v>1.1400000000000006</v>
      </c>
      <c r="L631" s="3">
        <f ca="1">'ETF price'!M633-'ETF price'!M632</f>
        <v>0.23000000000000398</v>
      </c>
      <c r="M631" s="3">
        <f ca="1">'ETF price'!N633-'ETF price'!N632</f>
        <v>0.21000000000000796</v>
      </c>
      <c r="N631" s="3">
        <f ca="1">'ETF price'!O633-'ETF price'!O632</f>
        <v>0.20000000000000284</v>
      </c>
      <c r="O631" s="3">
        <f ca="1">'ETF price'!P633-'ETF price'!P632</f>
        <v>-0.78999999999999204</v>
      </c>
      <c r="P631" s="3">
        <f ca="1">'ETF price'!Q633-'ETF price'!Q632</f>
        <v>-1.1400000000000006</v>
      </c>
      <c r="Q631" s="3">
        <f ca="1">'ETF price'!R633-'ETF price'!R632</f>
        <v>-0.89999999999999147</v>
      </c>
      <c r="R631" s="3">
        <f ca="1">'ETF price'!S633-'ETF price'!S632</f>
        <v>-0.60999999999999943</v>
      </c>
      <c r="S631" s="3">
        <f ca="1">'ETF price'!T633-'ETF price'!T632</f>
        <v>-0.16000000000000014</v>
      </c>
      <c r="T631" s="3">
        <f ca="1">'ETF price'!U633-'ETF price'!U632</f>
        <v>-0.65000000000000568</v>
      </c>
      <c r="U631" s="3">
        <f ca="1">'ETF price'!V633-'ETF price'!V632</f>
        <v>0.27999999999999403</v>
      </c>
      <c r="V631" s="3">
        <f ca="1">'ETF price'!W633-'ETF price'!W632</f>
        <v>0.32000000000000028</v>
      </c>
      <c r="W631" s="3">
        <f ca="1">'ETF price'!X633-'ETF price'!X632</f>
        <v>0.69000000000001194</v>
      </c>
      <c r="X631" s="3">
        <f ca="1">'ETF price'!Y633-'ETF price'!Y632</f>
        <v>0.75</v>
      </c>
      <c r="Y631" s="3">
        <f ca="1">'ETF price'!Z633-'ETF price'!Z632</f>
        <v>0.78000000000000114</v>
      </c>
      <c r="Z631" s="3">
        <f ca="1">'ETF price'!AA633-'ETF price'!AA632</f>
        <v>9.9999999999980105E-3</v>
      </c>
      <c r="AA631" s="3">
        <f ca="1">'ETF price'!AB633-'ETF price'!AB632</f>
        <v>0.85999999999999943</v>
      </c>
      <c r="AB631" s="3">
        <f ca="1">'ETF price'!AC633-'ETF price'!AC632</f>
        <v>0.12999999999999545</v>
      </c>
      <c r="AC631" s="3">
        <f ca="1">'ETF price'!AD633-'ETF price'!AD632</f>
        <v>0.35000000000000142</v>
      </c>
      <c r="AD631" s="3">
        <f ca="1">'ETF price'!AE633-'ETF price'!AE632</f>
        <v>0.51000000000000156</v>
      </c>
      <c r="AE631" s="3">
        <f ca="1">'ETF price'!AF633-'ETF price'!AF632</f>
        <v>-0.27000000000000046</v>
      </c>
      <c r="AF631" s="3">
        <f ca="1">'ETF price'!AG633-'ETF price'!AG632</f>
        <v>-2.9300000000000068</v>
      </c>
    </row>
    <row r="632" spans="1:32" ht="12.75" x14ac:dyDescent="0.2">
      <c r="A632" s="3">
        <f ca="1">'ETF price'!B634-'ETF price'!B633</f>
        <v>3.4000000000000057</v>
      </c>
      <c r="B632" s="3">
        <f ca="1">'ETF price'!C634-'ETF price'!C633</f>
        <v>8.2200000000000273</v>
      </c>
      <c r="C632" s="3">
        <f ca="1">'ETF price'!D634-'ETF price'!D633</f>
        <v>0.77000000000001023</v>
      </c>
      <c r="D632" s="3">
        <f ca="1">'ETF price'!E634-'ETF price'!E633</f>
        <v>6.0199999999999818</v>
      </c>
      <c r="E632" s="3">
        <f ca="1">'ETF price'!F634-'ETF price'!F633</f>
        <v>5.9999999999988063E-2</v>
      </c>
      <c r="F632" s="3">
        <f ca="1">'ETF price'!G634-'ETF price'!G633</f>
        <v>0.33999999999999986</v>
      </c>
      <c r="G632" s="3">
        <f ca="1">'ETF price'!H634-'ETF price'!H633</f>
        <v>0.23000000000000043</v>
      </c>
      <c r="H632" s="3">
        <f ca="1">'ETF price'!I634-'ETF price'!I633</f>
        <v>1.3700000000000045</v>
      </c>
      <c r="I632" s="3">
        <f ca="1">'ETF price'!J634-'ETF price'!J633</f>
        <v>2.5900000000000318</v>
      </c>
      <c r="J632" s="3">
        <f ca="1">'ETF price'!K634-'ETF price'!K633</f>
        <v>1.6699999999999875</v>
      </c>
      <c r="K632" s="3">
        <f ca="1">'ETF price'!L634-'ETF price'!L633</f>
        <v>1.1099999999999994</v>
      </c>
      <c r="L632" s="3">
        <f ca="1">'ETF price'!M634-'ETF price'!M633</f>
        <v>0.78000000000000114</v>
      </c>
      <c r="M632" s="3">
        <f ca="1">'ETF price'!N634-'ETF price'!N633</f>
        <v>0.64000000000000057</v>
      </c>
      <c r="N632" s="3">
        <f ca="1">'ETF price'!O634-'ETF price'!O633</f>
        <v>0.55999999999999517</v>
      </c>
      <c r="O632" s="3">
        <f ca="1">'ETF price'!P634-'ETF price'!P633</f>
        <v>0.59999999999999432</v>
      </c>
      <c r="P632" s="3">
        <f ca="1">'ETF price'!Q634-'ETF price'!Q633</f>
        <v>0.84000000000000341</v>
      </c>
      <c r="Q632" s="3">
        <f ca="1">'ETF price'!R634-'ETF price'!R633</f>
        <v>1.1700000000000017</v>
      </c>
      <c r="R632" s="3">
        <f ca="1">'ETF price'!S634-'ETF price'!S633</f>
        <v>0.52999999999999403</v>
      </c>
      <c r="S632" s="3">
        <f ca="1">'ETF price'!T634-'ETF price'!T633</f>
        <v>0</v>
      </c>
      <c r="T632" s="3">
        <f ca="1">'ETF price'!U634-'ETF price'!U633</f>
        <v>0.71000000000000796</v>
      </c>
      <c r="U632" s="3">
        <f ca="1">'ETF price'!V634-'ETF price'!V633</f>
        <v>0.66000000000000369</v>
      </c>
      <c r="V632" s="3">
        <f ca="1">'ETF price'!W634-'ETF price'!W633</f>
        <v>0.15999999999999659</v>
      </c>
      <c r="W632" s="3">
        <f ca="1">'ETF price'!X634-'ETF price'!X633</f>
        <v>0.51999999999999602</v>
      </c>
      <c r="X632" s="3">
        <f ca="1">'ETF price'!Y634-'ETF price'!Y633</f>
        <v>0.92999999999999972</v>
      </c>
      <c r="Y632" s="3">
        <f ca="1">'ETF price'!Z634-'ETF price'!Z633</f>
        <v>0.85999999999999943</v>
      </c>
      <c r="Z632" s="3">
        <f ca="1">'ETF price'!AA634-'ETF price'!AA633</f>
        <v>0.27000000000000313</v>
      </c>
      <c r="AA632" s="3">
        <f ca="1">'ETF price'!AB634-'ETF price'!AB633</f>
        <v>1.0599999999999952</v>
      </c>
      <c r="AB632" s="3">
        <f ca="1">'ETF price'!AC634-'ETF price'!AC633</f>
        <v>1.1400000000000006</v>
      </c>
      <c r="AC632" s="3">
        <f ca="1">'ETF price'!AD634-'ETF price'!AD633</f>
        <v>5.0000000000000711E-2</v>
      </c>
      <c r="AD632" s="3">
        <f ca="1">'ETF price'!AE634-'ETF price'!AE633</f>
        <v>-0.19000000000000128</v>
      </c>
      <c r="AE632" s="3">
        <f ca="1">'ETF price'!AF634-'ETF price'!AF633</f>
        <v>0.15000000000000036</v>
      </c>
      <c r="AF632" s="3">
        <f ca="1">'ETF price'!AG634-'ETF price'!AG633</f>
        <v>6.0000000000002274E-2</v>
      </c>
    </row>
    <row r="633" spans="1:32" ht="12.75" x14ac:dyDescent="0.2">
      <c r="A633" s="3">
        <f ca="1">'ETF price'!B635-'ETF price'!B634</f>
        <v>-5.9500000000000171</v>
      </c>
      <c r="B633" s="3">
        <f ca="1">'ETF price'!C635-'ETF price'!C634</f>
        <v>-11.690000000000055</v>
      </c>
      <c r="C633" s="3">
        <f ca="1">'ETF price'!D635-'ETF price'!D634</f>
        <v>-0.45000000000001705</v>
      </c>
      <c r="D633" s="3">
        <f ca="1">'ETF price'!E635-'ETF price'!E634</f>
        <v>-8.7300000000000182</v>
      </c>
      <c r="E633" s="3">
        <f ca="1">'ETF price'!F635-'ETF price'!F634</f>
        <v>0.15000000000000568</v>
      </c>
      <c r="F633" s="3">
        <f ca="1">'ETF price'!G635-'ETF price'!G634</f>
        <v>-1.9999999999999574E-2</v>
      </c>
      <c r="G633" s="3">
        <f ca="1">'ETF price'!H635-'ETF price'!H634</f>
        <v>0.23000000000000043</v>
      </c>
      <c r="H633" s="3">
        <f ca="1">'ETF price'!I635-'ETF price'!I634</f>
        <v>1.0300000000000011</v>
      </c>
      <c r="I633" s="3">
        <f ca="1">'ETF price'!J635-'ETF price'!J634</f>
        <v>2.5999999999999659</v>
      </c>
      <c r="J633" s="3">
        <f ca="1">'ETF price'!K635-'ETF price'!K634</f>
        <v>3.3199999999999932</v>
      </c>
      <c r="K633" s="3">
        <f ca="1">'ETF price'!L635-'ETF price'!L634</f>
        <v>2.4799999999999898</v>
      </c>
      <c r="L633" s="3">
        <f ca="1">'ETF price'!M635-'ETF price'!M634</f>
        <v>1.5099999999999909</v>
      </c>
      <c r="M633" s="3">
        <f ca="1">'ETF price'!N635-'ETF price'!N634</f>
        <v>0.75999999999999091</v>
      </c>
      <c r="N633" s="3">
        <f ca="1">'ETF price'!O635-'ETF price'!O634</f>
        <v>1.6799999999999997</v>
      </c>
      <c r="O633" s="3">
        <f ca="1">'ETF price'!P635-'ETF price'!P634</f>
        <v>0.93000000000000682</v>
      </c>
      <c r="P633" s="3">
        <f ca="1">'ETF price'!Q635-'ETF price'!Q634</f>
        <v>1.6099999999999994</v>
      </c>
      <c r="Q633" s="3">
        <f ca="1">'ETF price'!R635-'ETF price'!R634</f>
        <v>1.2099999999999937</v>
      </c>
      <c r="R633" s="3">
        <f ca="1">'ETF price'!S635-'ETF price'!S634</f>
        <v>1.6799999999999997</v>
      </c>
      <c r="S633" s="3">
        <f ca="1">'ETF price'!T635-'ETF price'!T634</f>
        <v>7.9999999999998295E-2</v>
      </c>
      <c r="T633" s="3">
        <f ca="1">'ETF price'!U635-'ETF price'!U634</f>
        <v>0.45999999999999375</v>
      </c>
      <c r="U633" s="3">
        <f ca="1">'ETF price'!V635-'ETF price'!V634</f>
        <v>1.8800000000000026</v>
      </c>
      <c r="V633" s="3">
        <f ca="1">'ETF price'!W635-'ETF price'!W634</f>
        <v>0.3300000000000054</v>
      </c>
      <c r="W633" s="3">
        <f ca="1">'ETF price'!X635-'ETF price'!X634</f>
        <v>1.2000000000000028</v>
      </c>
      <c r="X633" s="3">
        <f ca="1">'ETF price'!Y635-'ETF price'!Y634</f>
        <v>1.7100000000000009</v>
      </c>
      <c r="Y633" s="3">
        <f ca="1">'ETF price'!Z635-'ETF price'!Z634</f>
        <v>1.0099999999999909</v>
      </c>
      <c r="Z633" s="3">
        <f ca="1">'ETF price'!AA635-'ETF price'!AA634</f>
        <v>1.0300000000000011</v>
      </c>
      <c r="AA633" s="3">
        <f ca="1">'ETF price'!AB635-'ETF price'!AB634</f>
        <v>2.1000000000000014</v>
      </c>
      <c r="AB633" s="3">
        <f ca="1">'ETF price'!AC635-'ETF price'!AC634</f>
        <v>1.0799999999999983</v>
      </c>
      <c r="AC633" s="3">
        <f ca="1">'ETF price'!AD635-'ETF price'!AD634</f>
        <v>-4.00000000000027E-2</v>
      </c>
      <c r="AD633" s="3">
        <f ca="1">'ETF price'!AE635-'ETF price'!AE634</f>
        <v>0</v>
      </c>
      <c r="AE633" s="3">
        <f ca="1">'ETF price'!AF635-'ETF price'!AF634</f>
        <v>0.12999999999999989</v>
      </c>
      <c r="AF633" s="3">
        <f ca="1">'ETF price'!AG635-'ETF price'!AG634</f>
        <v>-0.71999999999999886</v>
      </c>
    </row>
    <row r="634" spans="1:32" ht="12.75" x14ac:dyDescent="0.2">
      <c r="A634" s="3">
        <f ca="1">'ETF price'!B636-'ETF price'!B635</f>
        <v>2.0700000000000216</v>
      </c>
      <c r="B634" s="3">
        <f ca="1">'ETF price'!C636-'ETF price'!C635</f>
        <v>5.5400000000000773</v>
      </c>
      <c r="C634" s="3">
        <f ca="1">'ETF price'!D636-'ETF price'!D635</f>
        <v>-5.8899999999999864</v>
      </c>
      <c r="D634" s="3">
        <f ca="1">'ETF price'!E636-'ETF price'!E635</f>
        <v>3.1299999999999955</v>
      </c>
      <c r="E634" s="3">
        <f ca="1">'ETF price'!F636-'ETF price'!F635</f>
        <v>0.54999999999999716</v>
      </c>
      <c r="F634" s="3">
        <f ca="1">'ETF price'!G636-'ETF price'!G635</f>
        <v>0.53999999999999915</v>
      </c>
      <c r="G634" s="3">
        <f ca="1">'ETF price'!H636-'ETF price'!H635</f>
        <v>0.42000000000000171</v>
      </c>
      <c r="H634" s="3">
        <f ca="1">'ETF price'!I636-'ETF price'!I635</f>
        <v>0.92000000000001592</v>
      </c>
      <c r="I634" s="3">
        <f ca="1">'ETF price'!J636-'ETF price'!J635</f>
        <v>1.9700000000000273</v>
      </c>
      <c r="J634" s="3">
        <f ca="1">'ETF price'!K636-'ETF price'!K635</f>
        <v>1.1800000000000068</v>
      </c>
      <c r="K634" s="3">
        <f ca="1">'ETF price'!L636-'ETF price'!L635</f>
        <v>1</v>
      </c>
      <c r="L634" s="3">
        <f ca="1">'ETF price'!M636-'ETF price'!M635</f>
        <v>0.32999999999999829</v>
      </c>
      <c r="M634" s="3">
        <f ca="1">'ETF price'!N636-'ETF price'!N635</f>
        <v>0.43000000000000682</v>
      </c>
      <c r="N634" s="3">
        <f ca="1">'ETF price'!O636-'ETF price'!O635</f>
        <v>0.92000000000000171</v>
      </c>
      <c r="O634" s="3">
        <f ca="1">'ETF price'!P636-'ETF price'!P635</f>
        <v>0.22999999999998977</v>
      </c>
      <c r="P634" s="3">
        <f ca="1">'ETF price'!Q636-'ETF price'!Q635</f>
        <v>0.36999999999999034</v>
      </c>
      <c r="Q634" s="3">
        <f ca="1">'ETF price'!R636-'ETF price'!R635</f>
        <v>0.85999999999999943</v>
      </c>
      <c r="R634" s="3">
        <f ca="1">'ETF price'!S636-'ETF price'!S635</f>
        <v>0.70000000000000284</v>
      </c>
      <c r="S634" s="3">
        <f ca="1">'ETF price'!T636-'ETF price'!T635</f>
        <v>-8.9999999999999858E-2</v>
      </c>
      <c r="T634" s="3">
        <f ca="1">'ETF price'!U636-'ETF price'!U635</f>
        <v>-0.68999999999999773</v>
      </c>
      <c r="U634" s="3">
        <f ca="1">'ETF price'!V636-'ETF price'!V635</f>
        <v>1.2299999999999969</v>
      </c>
      <c r="V634" s="3">
        <f ca="1">'ETF price'!W636-'ETF price'!W635</f>
        <v>0.14000000000000057</v>
      </c>
      <c r="W634" s="3">
        <f ca="1">'ETF price'!X636-'ETF price'!X635</f>
        <v>0.25999999999999091</v>
      </c>
      <c r="X634" s="3">
        <f ca="1">'ETF price'!Y636-'ETF price'!Y635</f>
        <v>0.13000000000000256</v>
      </c>
      <c r="Y634" s="3">
        <f ca="1">'ETF price'!Z636-'ETF price'!Z635</f>
        <v>0.23000000000000398</v>
      </c>
      <c r="Z634" s="3">
        <f ca="1">'ETF price'!AA636-'ETF price'!AA635</f>
        <v>0.28999999999999915</v>
      </c>
      <c r="AA634" s="3">
        <f ca="1">'ETF price'!AB636-'ETF price'!AB635</f>
        <v>0.12000000000000455</v>
      </c>
      <c r="AB634" s="3">
        <f ca="1">'ETF price'!AC636-'ETF price'!AC635</f>
        <v>0.35000000000000853</v>
      </c>
      <c r="AC634" s="3">
        <f ca="1">'ETF price'!AD636-'ETF price'!AD635</f>
        <v>0.10000000000000142</v>
      </c>
      <c r="AD634" s="3">
        <f ca="1">'ETF price'!AE636-'ETF price'!AE635</f>
        <v>0.12999999999999901</v>
      </c>
      <c r="AE634" s="3">
        <f ca="1">'ETF price'!AF636-'ETF price'!AF635</f>
        <v>-0.10000000000000053</v>
      </c>
      <c r="AF634" s="3">
        <f ca="1">'ETF price'!AG636-'ETF price'!AG635</f>
        <v>3.1300000000000026</v>
      </c>
    </row>
    <row r="635" spans="1:32" ht="12.75" x14ac:dyDescent="0.2">
      <c r="A635" s="3">
        <f ca="1">'ETF price'!B637-'ETF price'!B636</f>
        <v>0.41999999999998749</v>
      </c>
      <c r="B635" s="3">
        <f ca="1">'ETF price'!C637-'ETF price'!C636</f>
        <v>3.0799999999999272</v>
      </c>
      <c r="C635" s="3">
        <f ca="1">'ETF price'!D637-'ETF price'!D636</f>
        <v>-0.71000000000000796</v>
      </c>
      <c r="D635" s="3">
        <f ca="1">'ETF price'!E637-'ETF price'!E636</f>
        <v>0.29000000000002046</v>
      </c>
      <c r="E635" s="3">
        <f ca="1">'ETF price'!F637-'ETF price'!F636</f>
        <v>0.62000000000000455</v>
      </c>
      <c r="F635" s="3">
        <f ca="1">'ETF price'!G637-'ETF price'!G636</f>
        <v>-0.17999999999999972</v>
      </c>
      <c r="G635" s="3">
        <f ca="1">'ETF price'!H637-'ETF price'!H636</f>
        <v>-5.0000000000000711E-2</v>
      </c>
      <c r="H635" s="3">
        <f ca="1">'ETF price'!I637-'ETF price'!I636</f>
        <v>-0.52000000000001023</v>
      </c>
      <c r="I635" s="3">
        <f ca="1">'ETF price'!J637-'ETF price'!J636</f>
        <v>-0.82999999999998408</v>
      </c>
      <c r="J635" s="3">
        <f ca="1">'ETF price'!K637-'ETF price'!K636</f>
        <v>0.12000000000000455</v>
      </c>
      <c r="K635" s="3">
        <f ca="1">'ETF price'!L637-'ETF price'!L636</f>
        <v>0.94000000000001194</v>
      </c>
      <c r="L635" s="3">
        <f ca="1">'ETF price'!M637-'ETF price'!M636</f>
        <v>0.15000000000000568</v>
      </c>
      <c r="M635" s="3">
        <f ca="1">'ETF price'!N637-'ETF price'!N636</f>
        <v>-0.21000000000000796</v>
      </c>
      <c r="N635" s="3">
        <f ca="1">'ETF price'!O637-'ETF price'!O636</f>
        <v>0.39999999999999858</v>
      </c>
      <c r="O635" s="3">
        <f ca="1">'ETF price'!P637-'ETF price'!P636</f>
        <v>1.3700000000000045</v>
      </c>
      <c r="P635" s="3">
        <f ca="1">'ETF price'!Q637-'ETF price'!Q636</f>
        <v>2.0999999999999943</v>
      </c>
      <c r="Q635" s="3">
        <f ca="1">'ETF price'!R637-'ETF price'!R636</f>
        <v>-0.23000000000000398</v>
      </c>
      <c r="R635" s="3">
        <f ca="1">'ETF price'!S637-'ETF price'!S636</f>
        <v>0.68999999999999773</v>
      </c>
      <c r="S635" s="3">
        <f ca="1">'ETF price'!T637-'ETF price'!T636</f>
        <v>-0.16999999999999815</v>
      </c>
      <c r="T635" s="3">
        <f ca="1">'ETF price'!U637-'ETF price'!U636</f>
        <v>-0.12999999999999545</v>
      </c>
      <c r="U635" s="3">
        <f ca="1">'ETF price'!V637-'ETF price'!V636</f>
        <v>-2.6099999999999994</v>
      </c>
      <c r="V635" s="3">
        <f ca="1">'ETF price'!W637-'ETF price'!W636</f>
        <v>0.61999999999999744</v>
      </c>
      <c r="W635" s="3">
        <f ca="1">'ETF price'!X637-'ETF price'!X636</f>
        <v>1.6300000000000097</v>
      </c>
      <c r="X635" s="3">
        <f ca="1">'ETF price'!Y637-'ETF price'!Y636</f>
        <v>1.3099999999999952</v>
      </c>
      <c r="Y635" s="3">
        <f ca="1">'ETF price'!Z637-'ETF price'!Z636</f>
        <v>1.5</v>
      </c>
      <c r="Z635" s="3">
        <f ca="1">'ETF price'!AA637-'ETF price'!AA636</f>
        <v>0.1699999999999946</v>
      </c>
      <c r="AA635" s="3">
        <f ca="1">'ETF price'!AB637-'ETF price'!AB636</f>
        <v>1.519999999999996</v>
      </c>
      <c r="AB635" s="3">
        <f ca="1">'ETF price'!AC637-'ETF price'!AC636</f>
        <v>-1.0900000000000034</v>
      </c>
      <c r="AC635" s="3">
        <f ca="1">'ETF price'!AD637-'ETF price'!AD636</f>
        <v>1.6700000000000017</v>
      </c>
      <c r="AD635" s="3">
        <f ca="1">'ETF price'!AE637-'ETF price'!AE636</f>
        <v>1.990000000000002</v>
      </c>
      <c r="AE635" s="3">
        <f ca="1">'ETF price'!AF637-'ETF price'!AF636</f>
        <v>-6.9999999999999396E-2</v>
      </c>
      <c r="AF635" s="3">
        <f ca="1">'ETF price'!AG637-'ETF price'!AG636</f>
        <v>6.6400000000000006</v>
      </c>
    </row>
    <row r="636" spans="1:32" ht="12.75" x14ac:dyDescent="0.2">
      <c r="A636" s="3">
        <f ca="1">'ETF price'!B638-'ETF price'!B637</f>
        <v>-0.78000000000000114</v>
      </c>
      <c r="B636" s="3">
        <f ca="1">'ETF price'!C638-'ETF price'!C637</f>
        <v>0.73000000000001819</v>
      </c>
      <c r="C636" s="3">
        <f ca="1">'ETF price'!D638-'ETF price'!D637</f>
        <v>-1.6200000000000045</v>
      </c>
      <c r="D636" s="3">
        <f ca="1">'ETF price'!E638-'ETF price'!E637</f>
        <v>1.6100000000000136</v>
      </c>
      <c r="E636" s="3">
        <f ca="1">'ETF price'!F638-'ETF price'!F637</f>
        <v>0.43999999999999773</v>
      </c>
      <c r="F636" s="3">
        <f ca="1">'ETF price'!G638-'ETF price'!G637</f>
        <v>0.19999999999999574</v>
      </c>
      <c r="G636" s="3">
        <f ca="1">'ETF price'!H638-'ETF price'!H637</f>
        <v>0.48000000000000043</v>
      </c>
      <c r="H636" s="3">
        <f ca="1">'ETF price'!I638-'ETF price'!I637</f>
        <v>2.1100000000000136</v>
      </c>
      <c r="I636" s="3">
        <f ca="1">'ETF price'!J638-'ETF price'!J637</f>
        <v>4.4399999999999977</v>
      </c>
      <c r="J636" s="3">
        <f ca="1">'ETF price'!K638-'ETF price'!K637</f>
        <v>2.7800000000000011</v>
      </c>
      <c r="K636" s="3">
        <f ca="1">'ETF price'!L638-'ETF price'!L637</f>
        <v>1.9499999999999886</v>
      </c>
      <c r="L636" s="3">
        <f ca="1">'ETF price'!M638-'ETF price'!M637</f>
        <v>1.8299999999999983</v>
      </c>
      <c r="M636" s="3">
        <f ca="1">'ETF price'!N638-'ETF price'!N637</f>
        <v>1.1600000000000108</v>
      </c>
      <c r="N636" s="3">
        <f ca="1">'ETF price'!O638-'ETF price'!O637</f>
        <v>1.7000000000000028</v>
      </c>
      <c r="O636" s="3">
        <f ca="1">'ETF price'!P638-'ETF price'!P637</f>
        <v>0.40999999999999659</v>
      </c>
      <c r="P636" s="3">
        <f ca="1">'ETF price'!Q638-'ETF price'!Q637</f>
        <v>0.52000000000001023</v>
      </c>
      <c r="Q636" s="3">
        <f ca="1">'ETF price'!R638-'ETF price'!R637</f>
        <v>1.75</v>
      </c>
      <c r="R636" s="3">
        <f ca="1">'ETF price'!S638-'ETF price'!S637</f>
        <v>0.92000000000000171</v>
      </c>
      <c r="S636" s="3">
        <f ca="1">'ETF price'!T638-'ETF price'!T637</f>
        <v>-6.0000000000002274E-2</v>
      </c>
      <c r="T636" s="3">
        <f ca="1">'ETF price'!U638-'ETF price'!U637</f>
        <v>-1.0600000000000023</v>
      </c>
      <c r="U636" s="3">
        <f ca="1">'ETF price'!V638-'ETF price'!V637</f>
        <v>1.5799999999999983</v>
      </c>
      <c r="V636" s="3">
        <f ca="1">'ETF price'!W638-'ETF price'!W637</f>
        <v>0.49000000000000199</v>
      </c>
      <c r="W636" s="3">
        <f ca="1">'ETF price'!X638-'ETF price'!X637</f>
        <v>1.5300000000000011</v>
      </c>
      <c r="X636" s="3">
        <f ca="1">'ETF price'!Y638-'ETF price'!Y637</f>
        <v>2.0500000000000043</v>
      </c>
      <c r="Y636" s="3">
        <f ca="1">'ETF price'!Z638-'ETF price'!Z637</f>
        <v>1.3400000000000034</v>
      </c>
      <c r="Z636" s="3">
        <f ca="1">'ETF price'!AA638-'ETF price'!AA637</f>
        <v>0.38000000000000256</v>
      </c>
      <c r="AA636" s="3">
        <f ca="1">'ETF price'!AB638-'ETF price'!AB637</f>
        <v>2.4500000000000028</v>
      </c>
      <c r="AB636" s="3">
        <f ca="1">'ETF price'!AC638-'ETF price'!AC637</f>
        <v>-0.39000000000000057</v>
      </c>
      <c r="AC636" s="3">
        <f ca="1">'ETF price'!AD638-'ETF price'!AD637</f>
        <v>0.44999999999999929</v>
      </c>
      <c r="AD636" s="3">
        <f ca="1">'ETF price'!AE638-'ETF price'!AE637</f>
        <v>0.64000000000000057</v>
      </c>
      <c r="AE636" s="3">
        <f ca="1">'ETF price'!AF638-'ETF price'!AF637</f>
        <v>-0.11000000000000032</v>
      </c>
      <c r="AF636" s="3">
        <f ca="1">'ETF price'!AG638-'ETF price'!AG637</f>
        <v>2.7199999999999989</v>
      </c>
    </row>
    <row r="637" spans="1:32" ht="12.75" x14ac:dyDescent="0.2">
      <c r="A637" s="3">
        <f ca="1">'ETF price'!B639-'ETF price'!B638</f>
        <v>-9.0799999999999841</v>
      </c>
      <c r="B637" s="3">
        <f ca="1">'ETF price'!C639-'ETF price'!C638</f>
        <v>-21.779999999999973</v>
      </c>
      <c r="C637" s="3">
        <f ca="1">'ETF price'!D639-'ETF price'!D638</f>
        <v>3.0100000000000193</v>
      </c>
      <c r="D637" s="3">
        <f ca="1">'ETF price'!E639-'ETF price'!E638</f>
        <v>-18.620000000000033</v>
      </c>
      <c r="E637" s="3">
        <f ca="1">'ETF price'!F639-'ETF price'!F638</f>
        <v>-1.3400000000000034</v>
      </c>
      <c r="F637" s="3">
        <f ca="1">'ETF price'!G639-'ETF price'!G638</f>
        <v>-0.80999999999999517</v>
      </c>
      <c r="G637" s="3">
        <f ca="1">'ETF price'!H639-'ETF price'!H638</f>
        <v>-0.66000000000000014</v>
      </c>
      <c r="H637" s="3">
        <f ca="1">'ETF price'!I639-'ETF price'!I638</f>
        <v>0.6799999999999784</v>
      </c>
      <c r="I637" s="3">
        <f ca="1">'ETF price'!J639-'ETF price'!J638</f>
        <v>0.46999999999997044</v>
      </c>
      <c r="J637" s="3">
        <f ca="1">'ETF price'!K639-'ETF price'!K638</f>
        <v>-1.5600000000000023</v>
      </c>
      <c r="K637" s="3">
        <f ca="1">'ETF price'!L639-'ETF price'!L638</f>
        <v>-2.0499999999999972</v>
      </c>
      <c r="L637" s="3">
        <f ca="1">'ETF price'!M639-'ETF price'!M638</f>
        <v>-0.70999999999999375</v>
      </c>
      <c r="M637" s="3">
        <f ca="1">'ETF price'!N639-'ETF price'!N638</f>
        <v>8.99999999999892E-2</v>
      </c>
      <c r="N637" s="3">
        <f ca="1">'ETF price'!O639-'ETF price'!O638</f>
        <v>-0.78000000000000114</v>
      </c>
      <c r="O637" s="3">
        <f ca="1">'ETF price'!P639-'ETF price'!P638</f>
        <v>0.92000000000000171</v>
      </c>
      <c r="P637" s="3">
        <f ca="1">'ETF price'!Q639-'ETF price'!Q638</f>
        <v>1.0099999999999909</v>
      </c>
      <c r="Q637" s="3">
        <f ca="1">'ETF price'!R639-'ETF price'!R638</f>
        <v>-0.18999999999999773</v>
      </c>
      <c r="R637" s="3">
        <f ca="1">'ETF price'!S639-'ETF price'!S638</f>
        <v>-1.3399999999999963</v>
      </c>
      <c r="S637" s="3">
        <f ca="1">'ETF price'!T639-'ETF price'!T638</f>
        <v>0</v>
      </c>
      <c r="T637" s="3">
        <f ca="1">'ETF price'!U639-'ETF price'!U638</f>
        <v>1.5600000000000023</v>
      </c>
      <c r="U637" s="3">
        <f ca="1">'ETF price'!V639-'ETF price'!V638</f>
        <v>-1.2299999999999969</v>
      </c>
      <c r="V637" s="3">
        <f ca="1">'ETF price'!W639-'ETF price'!W638</f>
        <v>0.32999999999999829</v>
      </c>
      <c r="W637" s="3">
        <f ca="1">'ETF price'!X639-'ETF price'!X638</f>
        <v>0.75</v>
      </c>
      <c r="X637" s="3">
        <f ca="1">'ETF price'!Y639-'ETF price'!Y638</f>
        <v>0.46000000000000085</v>
      </c>
      <c r="Y637" s="3">
        <f ca="1">'ETF price'!Z639-'ETF price'!Z638</f>
        <v>0.57999999999999829</v>
      </c>
      <c r="Z637" s="3">
        <f ca="1">'ETF price'!AA639-'ETF price'!AA638</f>
        <v>0.35999999999999943</v>
      </c>
      <c r="AA637" s="3">
        <f ca="1">'ETF price'!AB639-'ETF price'!AB638</f>
        <v>0.67999999999999972</v>
      </c>
      <c r="AB637" s="3">
        <f ca="1">'ETF price'!AC639-'ETF price'!AC638</f>
        <v>0.46999999999999886</v>
      </c>
      <c r="AC637" s="3">
        <f ca="1">'ETF price'!AD639-'ETF price'!AD638</f>
        <v>-0.24000000000000199</v>
      </c>
      <c r="AD637" s="3">
        <f ca="1">'ETF price'!AE639-'ETF price'!AE638</f>
        <v>-0.23000000000000043</v>
      </c>
      <c r="AE637" s="3">
        <f ca="1">'ETF price'!AF639-'ETF price'!AF638</f>
        <v>0.61000000000000032</v>
      </c>
      <c r="AF637" s="3">
        <f ca="1">'ETF price'!AG639-'ETF price'!AG638</f>
        <v>-2.5800000000000054</v>
      </c>
    </row>
    <row r="638" spans="1:32" ht="12.75" x14ac:dyDescent="0.2">
      <c r="A638" s="3">
        <f ca="1">'ETF price'!B640-'ETF price'!B639</f>
        <v>1.999999999998181E-2</v>
      </c>
      <c r="B638" s="3">
        <f ca="1">'ETF price'!C640-'ETF price'!C639</f>
        <v>-3.0299999999999727</v>
      </c>
      <c r="C638" s="3">
        <f ca="1">'ETF price'!D640-'ETF price'!D639</f>
        <v>-0.29000000000002046</v>
      </c>
      <c r="D638" s="3">
        <f ca="1">'ETF price'!E640-'ETF price'!E639</f>
        <v>0.73000000000001819</v>
      </c>
      <c r="E638" s="3">
        <f ca="1">'ETF price'!F640-'ETF price'!F639</f>
        <v>-0.89000000000000057</v>
      </c>
      <c r="F638" s="3">
        <f ca="1">'ETF price'!G640-'ETF price'!G639</f>
        <v>-0.61000000000000298</v>
      </c>
      <c r="G638" s="3">
        <f ca="1">'ETF price'!H640-'ETF price'!H639</f>
        <v>-0.35999999999999943</v>
      </c>
      <c r="H638" s="3">
        <f ca="1">'ETF price'!I640-'ETF price'!I639</f>
        <v>-3.4199999999999875</v>
      </c>
      <c r="I638" s="3">
        <f ca="1">'ETF price'!J640-'ETF price'!J639</f>
        <v>-6.6700000000000159</v>
      </c>
      <c r="J638" s="3">
        <f ca="1">'ETF price'!K640-'ETF price'!K639</f>
        <v>-2.25</v>
      </c>
      <c r="K638" s="3">
        <f ca="1">'ETF price'!L640-'ETF price'!L639</f>
        <v>-2.2599999999999909</v>
      </c>
      <c r="L638" s="3">
        <f ca="1">'ETF price'!M640-'ETF price'!M639</f>
        <v>-0.88000000000000966</v>
      </c>
      <c r="M638" s="3">
        <f ca="1">'ETF price'!N640-'ETF price'!N639</f>
        <v>-1.6799999999999926</v>
      </c>
      <c r="N638" s="3">
        <f ca="1">'ETF price'!O640-'ETF price'!O639</f>
        <v>-1.4799999999999969</v>
      </c>
      <c r="O638" s="3">
        <f ca="1">'ETF price'!P640-'ETF price'!P639</f>
        <v>0.17000000000000171</v>
      </c>
      <c r="P638" s="3">
        <f ca="1">'ETF price'!Q640-'ETF price'!Q639</f>
        <v>0.11000000000001364</v>
      </c>
      <c r="Q638" s="3">
        <f ca="1">'ETF price'!R640-'ETF price'!R639</f>
        <v>-0.90999999999999659</v>
      </c>
      <c r="R638" s="3">
        <f ca="1">'ETF price'!S640-'ETF price'!S639</f>
        <v>-1.1400000000000006</v>
      </c>
      <c r="S638" s="3">
        <f ca="1">'ETF price'!T640-'ETF price'!T639</f>
        <v>-0.16999999999999815</v>
      </c>
      <c r="T638" s="3">
        <f ca="1">'ETF price'!U640-'ETF price'!U639</f>
        <v>-0.71999999999999886</v>
      </c>
      <c r="U638" s="3">
        <f ca="1">'ETF price'!V640-'ETF price'!V639</f>
        <v>-0.51000000000000512</v>
      </c>
      <c r="V638" s="3">
        <f ca="1">'ETF price'!W640-'ETF price'!W639</f>
        <v>-0.53000000000000114</v>
      </c>
      <c r="W638" s="3">
        <f ca="1">'ETF price'!X640-'ETF price'!X639</f>
        <v>-1.4900000000000091</v>
      </c>
      <c r="X638" s="3">
        <f ca="1">'ETF price'!Y640-'ETF price'!Y639</f>
        <v>-0.85000000000000142</v>
      </c>
      <c r="Y638" s="3">
        <f ca="1">'ETF price'!Z640-'ETF price'!Z639</f>
        <v>-1.4000000000000057</v>
      </c>
      <c r="Z638" s="3">
        <f ca="1">'ETF price'!AA640-'ETF price'!AA639</f>
        <v>-0.33999999999999631</v>
      </c>
      <c r="AA638" s="3">
        <f ca="1">'ETF price'!AB640-'ETF price'!AB639</f>
        <v>-1.0300000000000011</v>
      </c>
      <c r="AB638" s="3">
        <f ca="1">'ETF price'!AC640-'ETF price'!AC639</f>
        <v>7.9999999999998295E-2</v>
      </c>
      <c r="AC638" s="3">
        <f ca="1">'ETF price'!AD640-'ETF price'!AD639</f>
        <v>-0.2099999999999973</v>
      </c>
      <c r="AD638" s="3">
        <f ca="1">'ETF price'!AE640-'ETF price'!AE639</f>
        <v>-0.40000000000000213</v>
      </c>
      <c r="AE638" s="3">
        <f ca="1">'ETF price'!AF640-'ETF price'!AF639</f>
        <v>0.27999999999999936</v>
      </c>
      <c r="AF638" s="3">
        <f ca="1">'ETF price'!AG640-'ETF price'!AG639</f>
        <v>-4.6499999999999986</v>
      </c>
    </row>
    <row r="639" spans="1:32" ht="12.75" x14ac:dyDescent="0.2">
      <c r="A639" s="3">
        <f ca="1">'ETF price'!B641-'ETF price'!B640</f>
        <v>-3.5099999999999909</v>
      </c>
      <c r="B639" s="3">
        <f ca="1">'ETF price'!C641-'ETF price'!C640</f>
        <v>-6.8799999999999955</v>
      </c>
      <c r="C639" s="3">
        <f ca="1">'ETF price'!D641-'ETF price'!D640</f>
        <v>-6.4599999999999795</v>
      </c>
      <c r="D639" s="3">
        <f ca="1">'ETF price'!E641-'ETF price'!E640</f>
        <v>-7.460000000000008</v>
      </c>
      <c r="E639" s="3">
        <f ca="1">'ETF price'!F641-'ETF price'!F640</f>
        <v>-0.58999999999999631</v>
      </c>
      <c r="F639" s="3">
        <f ca="1">'ETF price'!G641-'ETF price'!G640</f>
        <v>4.00000000000027E-2</v>
      </c>
      <c r="G639" s="3">
        <f ca="1">'ETF price'!H641-'ETF price'!H640</f>
        <v>-0.13000000000000256</v>
      </c>
      <c r="H639" s="3">
        <f ca="1">'ETF price'!I641-'ETF price'!I640</f>
        <v>0.75</v>
      </c>
      <c r="I639" s="3">
        <f ca="1">'ETF price'!J641-'ETF price'!J640</f>
        <v>1.3700000000000045</v>
      </c>
      <c r="J639" s="3">
        <f ca="1">'ETF price'!K641-'ETF price'!K640</f>
        <v>-9.9999999999994316E-2</v>
      </c>
      <c r="K639" s="3">
        <f ca="1">'ETF price'!L641-'ETF price'!L640</f>
        <v>-3.0000000000001137E-2</v>
      </c>
      <c r="L639" s="3">
        <f ca="1">'ETF price'!M641-'ETF price'!M640</f>
        <v>-0.23999999999999488</v>
      </c>
      <c r="M639" s="3">
        <f ca="1">'ETF price'!N641-'ETF price'!N640</f>
        <v>0.34999999999999432</v>
      </c>
      <c r="N639" s="3">
        <f ca="1">'ETF price'!O641-'ETF price'!O640</f>
        <v>-0.17000000000000171</v>
      </c>
      <c r="O639" s="3">
        <f ca="1">'ETF price'!P641-'ETF price'!P640</f>
        <v>-1.019999999999996</v>
      </c>
      <c r="P639" s="3">
        <f ca="1">'ETF price'!Q641-'ETF price'!Q640</f>
        <v>-1.4499999999999886</v>
      </c>
      <c r="Q639" s="3">
        <f ca="1">'ETF price'!R641-'ETF price'!R640</f>
        <v>-0.81000000000000227</v>
      </c>
      <c r="R639" s="3">
        <f ca="1">'ETF price'!S641-'ETF price'!S640</f>
        <v>-0.67000000000000171</v>
      </c>
      <c r="S639" s="3">
        <f ca="1">'ETF price'!T641-'ETF price'!T640</f>
        <v>-0.31000000000000227</v>
      </c>
      <c r="T639" s="3">
        <f ca="1">'ETF price'!U641-'ETF price'!U640</f>
        <v>-1.9000000000000057</v>
      </c>
      <c r="U639" s="3">
        <f ca="1">'ETF price'!V641-'ETF price'!V640</f>
        <v>-0.32999999999999829</v>
      </c>
      <c r="V639" s="3">
        <f ca="1">'ETF price'!W641-'ETF price'!W640</f>
        <v>-0.43999999999999773</v>
      </c>
      <c r="W639" s="3">
        <f ca="1">'ETF price'!X641-'ETF price'!X640</f>
        <v>-0.86999999999999034</v>
      </c>
      <c r="X639" s="3">
        <f ca="1">'ETF price'!Y641-'ETF price'!Y640</f>
        <v>6.0000000000002274E-2</v>
      </c>
      <c r="Y639" s="3">
        <f ca="1">'ETF price'!Z641-'ETF price'!Z640</f>
        <v>-0.71999999999999886</v>
      </c>
      <c r="Z639" s="3">
        <f ca="1">'ETF price'!AA641-'ETF price'!AA640</f>
        <v>-5.0000000000004263E-2</v>
      </c>
      <c r="AA639" s="3">
        <f ca="1">'ETF price'!AB641-'ETF price'!AB640</f>
        <v>0.28000000000000114</v>
      </c>
      <c r="AB639" s="3">
        <f ca="1">'ETF price'!AC641-'ETF price'!AC640</f>
        <v>-1</v>
      </c>
      <c r="AC639" s="3">
        <f ca="1">'ETF price'!AD641-'ETF price'!AD640</f>
        <v>0.91999999999999815</v>
      </c>
      <c r="AD639" s="3">
        <f ca="1">'ETF price'!AE641-'ETF price'!AE640</f>
        <v>1.3200000000000003</v>
      </c>
      <c r="AE639" s="3">
        <f ca="1">'ETF price'!AF641-'ETF price'!AF640</f>
        <v>0.30000000000000071</v>
      </c>
      <c r="AF639" s="3">
        <f ca="1">'ETF price'!AG641-'ETF price'!AG640</f>
        <v>2.8700000000000045</v>
      </c>
    </row>
    <row r="640" spans="1:32" ht="12.75" x14ac:dyDescent="0.2">
      <c r="A640" s="3">
        <f ca="1">'ETF price'!B642-'ETF price'!B641</f>
        <v>5.2299999999999898</v>
      </c>
      <c r="B640" s="3">
        <f ca="1">'ETF price'!C642-'ETF price'!C641</f>
        <v>11.409999999999968</v>
      </c>
      <c r="C640" s="3">
        <f ca="1">'ETF price'!D642-'ETF price'!D641</f>
        <v>-1.3200000000000216</v>
      </c>
      <c r="D640" s="3">
        <f ca="1">'ETF price'!E642-'ETF price'!E641</f>
        <v>9.8000000000000114</v>
      </c>
      <c r="E640" s="3">
        <f ca="1">'ETF price'!F642-'ETF price'!F641</f>
        <v>7.0000000000000284E-2</v>
      </c>
      <c r="F640" s="3">
        <f ca="1">'ETF price'!G642-'ETF price'!G641</f>
        <v>0.38999999999999702</v>
      </c>
      <c r="G640" s="3">
        <f ca="1">'ETF price'!H642-'ETF price'!H641</f>
        <v>0.35000000000000142</v>
      </c>
      <c r="H640" s="3">
        <f ca="1">'ETF price'!I642-'ETF price'!I641</f>
        <v>0.84999999999999432</v>
      </c>
      <c r="I640" s="3">
        <f ca="1">'ETF price'!J642-'ETF price'!J641</f>
        <v>1.8400000000000318</v>
      </c>
      <c r="J640" s="3">
        <f ca="1">'ETF price'!K642-'ETF price'!K641</f>
        <v>2.2199999999999989</v>
      </c>
      <c r="K640" s="3">
        <f ca="1">'ETF price'!L642-'ETF price'!L641</f>
        <v>1.3799999999999955</v>
      </c>
      <c r="L640" s="3">
        <f ca="1">'ETF price'!M642-'ETF price'!M641</f>
        <v>1</v>
      </c>
      <c r="M640" s="3">
        <f ca="1">'ETF price'!N642-'ETF price'!N641</f>
        <v>0.53000000000000114</v>
      </c>
      <c r="N640" s="3">
        <f ca="1">'ETF price'!O642-'ETF price'!O641</f>
        <v>1.0900000000000034</v>
      </c>
      <c r="O640" s="3">
        <f ca="1">'ETF price'!P642-'ETF price'!P641</f>
        <v>-0.57999999999999829</v>
      </c>
      <c r="P640" s="3">
        <f ca="1">'ETF price'!Q642-'ETF price'!Q641</f>
        <v>-0.66000000000002501</v>
      </c>
      <c r="Q640" s="3">
        <f ca="1">'ETF price'!R642-'ETF price'!R641</f>
        <v>0.29999999999999716</v>
      </c>
      <c r="R640" s="3">
        <f ca="1">'ETF price'!S642-'ETF price'!S641</f>
        <v>0</v>
      </c>
      <c r="S640" s="3">
        <f ca="1">'ETF price'!T642-'ETF price'!T641</f>
        <v>6.0000000000002274E-2</v>
      </c>
      <c r="T640" s="3">
        <f ca="1">'ETF price'!U642-'ETF price'!U641</f>
        <v>-0.37999999999999545</v>
      </c>
      <c r="U640" s="3">
        <f ca="1">'ETF price'!V642-'ETF price'!V641</f>
        <v>0.21999999999999886</v>
      </c>
      <c r="V640" s="3">
        <f ca="1">'ETF price'!W642-'ETF price'!W641</f>
        <v>0.24000000000000199</v>
      </c>
      <c r="W640" s="3">
        <f ca="1">'ETF price'!X642-'ETF price'!X641</f>
        <v>0.78999999999999204</v>
      </c>
      <c r="X640" s="3">
        <f ca="1">'ETF price'!Y642-'ETF price'!Y641</f>
        <v>0.82999999999999829</v>
      </c>
      <c r="Y640" s="3">
        <f ca="1">'ETF price'!Z642-'ETF price'!Z641</f>
        <v>0.65000000000000568</v>
      </c>
      <c r="Z640" s="3">
        <f ca="1">'ETF price'!AA642-'ETF price'!AA641</f>
        <v>0.39999999999999858</v>
      </c>
      <c r="AA640" s="3">
        <f ca="1">'ETF price'!AB642-'ETF price'!AB641</f>
        <v>0.93999999999999773</v>
      </c>
      <c r="AB640" s="3">
        <f ca="1">'ETF price'!AC642-'ETF price'!AC641</f>
        <v>0.43000000000000682</v>
      </c>
      <c r="AC640" s="3">
        <f ca="1">'ETF price'!AD642-'ETF price'!AD641</f>
        <v>3.0000000000001137E-2</v>
      </c>
      <c r="AD640" s="3">
        <f ca="1">'ETF price'!AE642-'ETF price'!AE641</f>
        <v>0.33999999999999986</v>
      </c>
      <c r="AE640" s="3">
        <f ca="1">'ETF price'!AF642-'ETF price'!AF641</f>
        <v>-0.24000000000000021</v>
      </c>
      <c r="AF640" s="3">
        <f ca="1">'ETF price'!AG642-'ETF price'!AG641</f>
        <v>1.1400000000000006</v>
      </c>
    </row>
    <row r="641" spans="1:32" ht="12.75" x14ac:dyDescent="0.2">
      <c r="A641" s="3">
        <f ca="1">'ETF price'!B643-'ETF price'!B642</f>
        <v>-0.90000000000000568</v>
      </c>
      <c r="B641" s="3">
        <f ca="1">'ETF price'!C643-'ETF price'!C642</f>
        <v>-1.0800000000000409</v>
      </c>
      <c r="C641" s="3">
        <f ca="1">'ETF price'!D643-'ETF price'!D642</f>
        <v>1.5900000000000034</v>
      </c>
      <c r="D641" s="3">
        <f ca="1">'ETF price'!E643-'ETF price'!E642</f>
        <v>-3.6700000000000159</v>
      </c>
      <c r="E641" s="3">
        <f ca="1">'ETF price'!F643-'ETF price'!F642</f>
        <v>0.64000000000000057</v>
      </c>
      <c r="F641" s="3">
        <f ca="1">'ETF price'!G643-'ETF price'!G642</f>
        <v>-0.11999999999999744</v>
      </c>
      <c r="G641" s="3">
        <f ca="1">'ETF price'!H643-'ETF price'!H642</f>
        <v>-0.10000000000000142</v>
      </c>
      <c r="H641" s="3">
        <f ca="1">'ETF price'!I643-'ETF price'!I642</f>
        <v>-9.0000000000003411E-2</v>
      </c>
      <c r="I641" s="3">
        <f ca="1">'ETF price'!J643-'ETF price'!J642</f>
        <v>0.15999999999996817</v>
      </c>
      <c r="J641" s="3">
        <f ca="1">'ETF price'!K643-'ETF price'!K642</f>
        <v>-0.89000000000001478</v>
      </c>
      <c r="K641" s="3">
        <f ca="1">'ETF price'!L643-'ETF price'!L642</f>
        <v>0.87000000000000455</v>
      </c>
      <c r="L641" s="3">
        <f ca="1">'ETF price'!M643-'ETF price'!M642</f>
        <v>0.10999999999999943</v>
      </c>
      <c r="M641" s="3">
        <f ca="1">'ETF price'!N643-'ETF price'!N642</f>
        <v>1.0000000000005116E-2</v>
      </c>
      <c r="N641" s="3">
        <f ca="1">'ETF price'!O643-'ETF price'!O642</f>
        <v>0.39999999999999858</v>
      </c>
      <c r="O641" s="3">
        <f ca="1">'ETF price'!P643-'ETF price'!P642</f>
        <v>-1.460000000000008</v>
      </c>
      <c r="P641" s="3">
        <f ca="1">'ETF price'!Q643-'ETF price'!Q642</f>
        <v>-1.9099999999999824</v>
      </c>
      <c r="Q641" s="3">
        <f ca="1">'ETF price'!R643-'ETF price'!R642</f>
        <v>0.35999999999999943</v>
      </c>
      <c r="R641" s="3">
        <f ca="1">'ETF price'!S643-'ETF price'!S642</f>
        <v>0.42999999999999972</v>
      </c>
      <c r="S641" s="3">
        <f ca="1">'ETF price'!T643-'ETF price'!T642</f>
        <v>-0.21000000000000085</v>
      </c>
      <c r="T641" s="3">
        <f ca="1">'ETF price'!U643-'ETF price'!U642</f>
        <v>-1</v>
      </c>
      <c r="U641" s="3">
        <f ca="1">'ETF price'!V643-'ETF price'!V642</f>
        <v>-0.17999999999999972</v>
      </c>
      <c r="V641" s="3">
        <f ca="1">'ETF price'!W643-'ETF price'!W642</f>
        <v>7.9999999999998295E-2</v>
      </c>
      <c r="W641" s="3">
        <f ca="1">'ETF price'!X643-'ETF price'!X642</f>
        <v>0.23999999999999488</v>
      </c>
      <c r="X641" s="3">
        <f ca="1">'ETF price'!Y643-'ETF price'!Y642</f>
        <v>0.68999999999999773</v>
      </c>
      <c r="Y641" s="3">
        <f ca="1">'ETF price'!Z643-'ETF price'!Z642</f>
        <v>0.32999999999999829</v>
      </c>
      <c r="Z641" s="3">
        <f ca="1">'ETF price'!AA643-'ETF price'!AA642</f>
        <v>-6.9999999999993179E-2</v>
      </c>
      <c r="AA641" s="3">
        <f ca="1">'ETF price'!AB643-'ETF price'!AB642</f>
        <v>0.89000000000000057</v>
      </c>
      <c r="AB641" s="3">
        <f ca="1">'ETF price'!AC643-'ETF price'!AC642</f>
        <v>0.86999999999999034</v>
      </c>
      <c r="AC641" s="3">
        <f ca="1">'ETF price'!AD643-'ETF price'!AD642</f>
        <v>-0.5</v>
      </c>
      <c r="AD641" s="3">
        <f ca="1">'ETF price'!AE643-'ETF price'!AE642</f>
        <v>-0.9599999999999973</v>
      </c>
      <c r="AE641" s="3">
        <f ca="1">'ETF price'!AF643-'ETF price'!AF642</f>
        <v>-0.25999999999999979</v>
      </c>
      <c r="AF641" s="3">
        <f ca="1">'ETF price'!AG643-'ETF price'!AG642</f>
        <v>-2.6400000000000006</v>
      </c>
    </row>
    <row r="642" spans="1:32" ht="12.75" x14ac:dyDescent="0.2">
      <c r="A642" s="3">
        <f ca="1">'ETF price'!B644-'ETF price'!B643</f>
        <v>-9.3199999999999932</v>
      </c>
      <c r="B642" s="3">
        <f ca="1">'ETF price'!C644-'ETF price'!C643</f>
        <v>-22.889999999999986</v>
      </c>
      <c r="C642" s="3">
        <f ca="1">'ETF price'!D644-'ETF price'!D643</f>
        <v>-0.40000000000000568</v>
      </c>
      <c r="D642" s="3">
        <f ca="1">'ETF price'!E644-'ETF price'!E643</f>
        <v>-12.900000000000006</v>
      </c>
      <c r="E642" s="3">
        <f ca="1">'ETF price'!F644-'ETF price'!F643</f>
        <v>-1.8599999999999994</v>
      </c>
      <c r="F642" s="3">
        <f ca="1">'ETF price'!G644-'ETF price'!G643</f>
        <v>-0.91000000000000014</v>
      </c>
      <c r="G642" s="3">
        <f ca="1">'ETF price'!H644-'ETF price'!H643</f>
        <v>-0.36999999999999744</v>
      </c>
      <c r="H642" s="3">
        <f ca="1">'ETF price'!I644-'ETF price'!I643</f>
        <v>1.2400000000000091</v>
      </c>
      <c r="I642" s="3">
        <f ca="1">'ETF price'!J644-'ETF price'!J643</f>
        <v>1.8500000000000227</v>
      </c>
      <c r="J642" s="3">
        <f ca="1">'ETF price'!K644-'ETF price'!K643</f>
        <v>0.30000000000001137</v>
      </c>
      <c r="K642" s="3">
        <f ca="1">'ETF price'!L644-'ETF price'!L643</f>
        <v>-0.71999999999999886</v>
      </c>
      <c r="L642" s="3">
        <f ca="1">'ETF price'!M644-'ETF price'!M643</f>
        <v>-0.25</v>
      </c>
      <c r="M642" s="3">
        <f ca="1">'ETF price'!N644-'ETF price'!N643</f>
        <v>0.45999999999999375</v>
      </c>
      <c r="N642" s="3">
        <f ca="1">'ETF price'!O644-'ETF price'!O643</f>
        <v>-0.30000000000000426</v>
      </c>
      <c r="O642" s="3">
        <f ca="1">'ETF price'!P644-'ETF price'!P643</f>
        <v>1.0000000000005116E-2</v>
      </c>
      <c r="P642" s="3">
        <f ca="1">'ETF price'!Q644-'ETF price'!Q643</f>
        <v>-0.22000000000001307</v>
      </c>
      <c r="Q642" s="3">
        <f ca="1">'ETF price'!R644-'ETF price'!R643</f>
        <v>-1.1599999999999966</v>
      </c>
      <c r="R642" s="3">
        <f ca="1">'ETF price'!S644-'ETF price'!S643</f>
        <v>-1.25</v>
      </c>
      <c r="S642" s="3">
        <f ca="1">'ETF price'!T644-'ETF price'!T643</f>
        <v>-9.9999999999980105E-3</v>
      </c>
      <c r="T642" s="3">
        <f ca="1">'ETF price'!U644-'ETF price'!U643</f>
        <v>0.18999999999999773</v>
      </c>
      <c r="U642" s="3">
        <f ca="1">'ETF price'!V644-'ETF price'!V643</f>
        <v>0.35999999999999943</v>
      </c>
      <c r="V642" s="3">
        <f ca="1">'ETF price'!W644-'ETF price'!W643</f>
        <v>-0.59000000000000341</v>
      </c>
      <c r="W642" s="3">
        <f ca="1">'ETF price'!X644-'ETF price'!X643</f>
        <v>-1.5</v>
      </c>
      <c r="X642" s="3">
        <f ca="1">'ETF price'!Y644-'ETF price'!Y643</f>
        <v>-0.92000000000000171</v>
      </c>
      <c r="Y642" s="3">
        <f ca="1">'ETF price'!Z644-'ETF price'!Z643</f>
        <v>-1.0999999999999943</v>
      </c>
      <c r="Z642" s="3">
        <f ca="1">'ETF price'!AA644-'ETF price'!AA643</f>
        <v>-0.56000000000000227</v>
      </c>
      <c r="AA642" s="3">
        <f ca="1">'ETF price'!AB644-'ETF price'!AB643</f>
        <v>-1.0600000000000023</v>
      </c>
      <c r="AB642" s="3">
        <f ca="1">'ETF price'!AC644-'ETF price'!AC643</f>
        <v>-0.21999999999999886</v>
      </c>
      <c r="AC642" s="3">
        <f ca="1">'ETF price'!AD644-'ETF price'!AD643</f>
        <v>-0.26999999999999957</v>
      </c>
      <c r="AD642" s="3">
        <f ca="1">'ETF price'!AE644-'ETF price'!AE643</f>
        <v>3.9999999999999147E-2</v>
      </c>
      <c r="AE642" s="3">
        <f ca="1">'ETF price'!AF644-'ETF price'!AF643</f>
        <v>0.29000000000000004</v>
      </c>
      <c r="AF642" s="3">
        <f ca="1">'ETF price'!AG644-'ETF price'!AG643</f>
        <v>-3.1700000000000017</v>
      </c>
    </row>
    <row r="643" spans="1:32" ht="12.75" x14ac:dyDescent="0.2">
      <c r="A643" s="3">
        <f ca="1">'ETF price'!B645-'ETF price'!B644</f>
        <v>-2.3100000000000023</v>
      </c>
      <c r="B643" s="3">
        <f ca="1">'ETF price'!C645-'ETF price'!C644</f>
        <v>-5.2699999999999818</v>
      </c>
      <c r="C643" s="3">
        <f ca="1">'ETF price'!D645-'ETF price'!D644</f>
        <v>-2.75</v>
      </c>
      <c r="D643" s="3">
        <f ca="1">'ETF price'!E645-'ETF price'!E644</f>
        <v>-5.1199999999999761</v>
      </c>
      <c r="E643" s="3">
        <f ca="1">'ETF price'!F645-'ETF price'!F644</f>
        <v>0.45000000000000284</v>
      </c>
      <c r="F643" s="3">
        <f ca="1">'ETF price'!G645-'ETF price'!G644</f>
        <v>-0.40000000000000213</v>
      </c>
      <c r="G643" s="3">
        <f ca="1">'ETF price'!H645-'ETF price'!H644</f>
        <v>-0.10000000000000142</v>
      </c>
      <c r="H643" s="3">
        <f ca="1">'ETF price'!I645-'ETF price'!I644</f>
        <v>-0.75</v>
      </c>
      <c r="I643" s="3">
        <f ca="1">'ETF price'!J645-'ETF price'!J644</f>
        <v>-1.1999999999999886</v>
      </c>
      <c r="J643" s="3">
        <f ca="1">'ETF price'!K645-'ETF price'!K644</f>
        <v>1.3799999999999955</v>
      </c>
      <c r="K643" s="3">
        <f ca="1">'ETF price'!L645-'ETF price'!L644</f>
        <v>1.9399999999999977</v>
      </c>
      <c r="L643" s="3">
        <f ca="1">'ETF price'!M645-'ETF price'!M644</f>
        <v>0.84999999999999432</v>
      </c>
      <c r="M643" s="3">
        <f ca="1">'ETF price'!N645-'ETF price'!N644</f>
        <v>-0.23999999999999488</v>
      </c>
      <c r="N643" s="3">
        <f ca="1">'ETF price'!O645-'ETF price'!O644</f>
        <v>0.5</v>
      </c>
      <c r="O643" s="3">
        <f ca="1">'ETF price'!P645-'ETF price'!P644</f>
        <v>1.5600000000000023</v>
      </c>
      <c r="P643" s="3">
        <f ca="1">'ETF price'!Q645-'ETF price'!Q644</f>
        <v>1.8300000000000125</v>
      </c>
      <c r="Q643" s="3">
        <f ca="1">'ETF price'!R645-'ETF price'!R644</f>
        <v>0.25</v>
      </c>
      <c r="R643" s="3">
        <f ca="1">'ETF price'!S645-'ETF price'!S644</f>
        <v>0.49000000000000199</v>
      </c>
      <c r="S643" s="3">
        <f ca="1">'ETF price'!T645-'ETF price'!T644</f>
        <v>4.9999999999997158E-2</v>
      </c>
      <c r="T643" s="3">
        <f ca="1">'ETF price'!U645-'ETF price'!U644</f>
        <v>0.64999999999999147</v>
      </c>
      <c r="U643" s="3">
        <f ca="1">'ETF price'!V645-'ETF price'!V644</f>
        <v>0.28000000000000114</v>
      </c>
      <c r="V643" s="3">
        <f ca="1">'ETF price'!W645-'ETF price'!W644</f>
        <v>0.16000000000000369</v>
      </c>
      <c r="W643" s="3">
        <f ca="1">'ETF price'!X645-'ETF price'!X644</f>
        <v>0.6600000000000108</v>
      </c>
      <c r="X643" s="3">
        <f ca="1">'ETF price'!Y645-'ETF price'!Y644</f>
        <v>1.1900000000000048</v>
      </c>
      <c r="Y643" s="3">
        <f ca="1">'ETF price'!Z645-'ETF price'!Z644</f>
        <v>0.64999999999999147</v>
      </c>
      <c r="Z643" s="3">
        <f ca="1">'ETF price'!AA645-'ETF price'!AA644</f>
        <v>-0.21999999999999886</v>
      </c>
      <c r="AA643" s="3">
        <f ca="1">'ETF price'!AB645-'ETF price'!AB644</f>
        <v>1.4600000000000009</v>
      </c>
      <c r="AB643" s="3">
        <f ca="1">'ETF price'!AC645-'ETF price'!AC644</f>
        <v>0.65000000000000568</v>
      </c>
      <c r="AC643" s="3">
        <f ca="1">'ETF price'!AD645-'ETF price'!AD644</f>
        <v>-0.85000000000000142</v>
      </c>
      <c r="AD643" s="3">
        <f ca="1">'ETF price'!AE645-'ETF price'!AE644</f>
        <v>-0.39000000000000057</v>
      </c>
      <c r="AE643" s="3">
        <f ca="1">'ETF price'!AF645-'ETF price'!AF644</f>
        <v>-9.0000000000000746E-2</v>
      </c>
      <c r="AF643" s="3">
        <f ca="1">'ETF price'!AG645-'ETF price'!AG644</f>
        <v>-3.1099999999999994</v>
      </c>
    </row>
    <row r="644" spans="1:32" ht="12.75" x14ac:dyDescent="0.2">
      <c r="A644" s="3">
        <f ca="1">'ETF price'!B646-'ETF price'!B645</f>
        <v>2.710000000000008</v>
      </c>
      <c r="B644" s="3">
        <f ca="1">'ETF price'!C646-'ETF price'!C645</f>
        <v>6.5699999999999363</v>
      </c>
      <c r="C644" s="3">
        <f ca="1">'ETF price'!D646-'ETF price'!D645</f>
        <v>4.9400000000000261</v>
      </c>
      <c r="D644" s="3">
        <f ca="1">'ETF price'!E646-'ETF price'!E645</f>
        <v>4.8199999999999932</v>
      </c>
      <c r="E644" s="3">
        <f ca="1">'ETF price'!F646-'ETF price'!F645</f>
        <v>0.36999999999999744</v>
      </c>
      <c r="F644" s="3">
        <f ca="1">'ETF price'!G646-'ETF price'!G645</f>
        <v>0.58000000000000185</v>
      </c>
      <c r="G644" s="3">
        <f ca="1">'ETF price'!H646-'ETF price'!H645</f>
        <v>0.35999999999999943</v>
      </c>
      <c r="H644" s="3">
        <f ca="1">'ETF price'!I646-'ETF price'!I645</f>
        <v>0.84000000000000341</v>
      </c>
      <c r="I644" s="3">
        <f ca="1">'ETF price'!J646-'ETF price'!J645</f>
        <v>1.8799999999999955</v>
      </c>
      <c r="J644" s="3">
        <f ca="1">'ETF price'!K646-'ETF price'!K645</f>
        <v>1.2299999999999898</v>
      </c>
      <c r="K644" s="3">
        <f ca="1">'ETF price'!L646-'ETF price'!L645</f>
        <v>0.56000000000000227</v>
      </c>
      <c r="L644" s="3">
        <f ca="1">'ETF price'!M646-'ETF price'!M645</f>
        <v>0.74000000000000909</v>
      </c>
      <c r="M644" s="3">
        <f ca="1">'ETF price'!N646-'ETF price'!N645</f>
        <v>0.40999999999999659</v>
      </c>
      <c r="N644" s="3">
        <f ca="1">'ETF price'!O646-'ETF price'!O645</f>
        <v>0.44000000000000483</v>
      </c>
      <c r="O644" s="3">
        <f ca="1">'ETF price'!P646-'ETF price'!P645</f>
        <v>0.28999999999999204</v>
      </c>
      <c r="P644" s="3">
        <f ca="1">'ETF price'!Q646-'ETF price'!Q645</f>
        <v>0.54999999999998295</v>
      </c>
      <c r="Q644" s="3">
        <f ca="1">'ETF price'!R646-'ETF price'!R645</f>
        <v>1.4699999999999989</v>
      </c>
      <c r="R644" s="3">
        <f ca="1">'ETF price'!S646-'ETF price'!S645</f>
        <v>0.93999999999999773</v>
      </c>
      <c r="S644" s="3">
        <f ca="1">'ETF price'!T646-'ETF price'!T645</f>
        <v>-0.23000000000000043</v>
      </c>
      <c r="T644" s="3">
        <f ca="1">'ETF price'!U646-'ETF price'!U645</f>
        <v>-1.3499999999999943</v>
      </c>
      <c r="U644" s="3">
        <f ca="1">'ETF price'!V646-'ETF price'!V645</f>
        <v>0.60999999999999943</v>
      </c>
      <c r="V644" s="3">
        <f ca="1">'ETF price'!W646-'ETF price'!W645</f>
        <v>0.6699999999999946</v>
      </c>
      <c r="W644" s="3">
        <f ca="1">'ETF price'!X646-'ETF price'!X645</f>
        <v>1.5600000000000023</v>
      </c>
      <c r="X644" s="3">
        <f ca="1">'ETF price'!Y646-'ETF price'!Y645</f>
        <v>0.89999999999999858</v>
      </c>
      <c r="Y644" s="3">
        <f ca="1">'ETF price'!Z646-'ETF price'!Z645</f>
        <v>1.4200000000000017</v>
      </c>
      <c r="Z644" s="3">
        <f ca="1">'ETF price'!AA646-'ETF price'!AA645</f>
        <v>0.6699999999999946</v>
      </c>
      <c r="AA644" s="3">
        <f ca="1">'ETF price'!AB646-'ETF price'!AB645</f>
        <v>1.009999999999998</v>
      </c>
      <c r="AB644" s="3">
        <f ca="1">'ETF price'!AC646-'ETF price'!AC645</f>
        <v>-0.13000000000000966</v>
      </c>
      <c r="AC644" s="3">
        <f ca="1">'ETF price'!AD646-'ETF price'!AD645</f>
        <v>0.94999999999999929</v>
      </c>
      <c r="AD644" s="3">
        <f ca="1">'ETF price'!AE646-'ETF price'!AE645</f>
        <v>1.1900000000000013</v>
      </c>
      <c r="AE644" s="3">
        <f ca="1">'ETF price'!AF646-'ETF price'!AF645</f>
        <v>-9.9999999999999645E-2</v>
      </c>
      <c r="AF644" s="3">
        <f ca="1">'ETF price'!AG646-'ETF price'!AG645</f>
        <v>2.009999999999998</v>
      </c>
    </row>
    <row r="645" spans="1:32" ht="12.75" x14ac:dyDescent="0.2">
      <c r="A645" s="3">
        <f ca="1">'ETF price'!B647-'ETF price'!B646</f>
        <v>-0.96000000000000796</v>
      </c>
      <c r="B645" s="3">
        <f ca="1">'ETF price'!C647-'ETF price'!C646</f>
        <v>-2.0699999999999363</v>
      </c>
      <c r="C645" s="3">
        <f ca="1">'ETF price'!D647-'ETF price'!D646</f>
        <v>-4.5600000000000023</v>
      </c>
      <c r="D645" s="3">
        <f ca="1">'ETF price'!E647-'ETF price'!E646</f>
        <v>-0.48000000000001819</v>
      </c>
      <c r="E645" s="3">
        <f ca="1">'ETF price'!F647-'ETF price'!F646</f>
        <v>-0.13000000000000256</v>
      </c>
      <c r="F645" s="3">
        <f ca="1">'ETF price'!G647-'ETF price'!G646</f>
        <v>-0.21999999999999886</v>
      </c>
      <c r="G645" s="3">
        <f ca="1">'ETF price'!H647-'ETF price'!H646</f>
        <v>1.0000000000001563E-2</v>
      </c>
      <c r="H645" s="3">
        <f ca="1">'ETF price'!I647-'ETF price'!I646</f>
        <v>9.0000000000003411E-2</v>
      </c>
      <c r="I645" s="3">
        <f ca="1">'ETF price'!J647-'ETF price'!J646</f>
        <v>4.0000000000020464E-2</v>
      </c>
      <c r="J645" s="3">
        <f ca="1">'ETF price'!K647-'ETF price'!K646</f>
        <v>-0.34999999999999432</v>
      </c>
      <c r="K645" s="3">
        <f ca="1">'ETF price'!L647-'ETF price'!L646</f>
        <v>-1.2700000000000102</v>
      </c>
      <c r="L645" s="3">
        <f ca="1">'ETF price'!M647-'ETF price'!M646</f>
        <v>-0.68000000000000682</v>
      </c>
      <c r="M645" s="3">
        <f ca="1">'ETF price'!N647-'ETF price'!N646</f>
        <v>1.9999999999996021E-2</v>
      </c>
      <c r="N645" s="3">
        <f ca="1">'ETF price'!O647-'ETF price'!O646</f>
        <v>-0.35999999999999943</v>
      </c>
      <c r="O645" s="3">
        <f ca="1">'ETF price'!P647-'ETF price'!P646</f>
        <v>-0.78999999999999204</v>
      </c>
      <c r="P645" s="3">
        <f ca="1">'ETF price'!Q647-'ETF price'!Q646</f>
        <v>-1.1899999999999977</v>
      </c>
      <c r="Q645" s="3">
        <f ca="1">'ETF price'!R647-'ETF price'!R646</f>
        <v>0.15999999999999659</v>
      </c>
      <c r="R645" s="3">
        <f ca="1">'ETF price'!S647-'ETF price'!S646</f>
        <v>-0.60000000000000142</v>
      </c>
      <c r="S645" s="3">
        <f ca="1">'ETF price'!T647-'ETF price'!T646</f>
        <v>-9.9999999999997868E-2</v>
      </c>
      <c r="T645" s="3">
        <f ca="1">'ETF price'!U647-'ETF price'!U646</f>
        <v>-0.92000000000000171</v>
      </c>
      <c r="U645" s="3">
        <f ca="1">'ETF price'!V647-'ETF price'!V646</f>
        <v>-1.0300000000000011</v>
      </c>
      <c r="V645" s="3">
        <f ca="1">'ETF price'!W647-'ETF price'!W646</f>
        <v>-5.9999999999995168E-2</v>
      </c>
      <c r="W645" s="3">
        <f ca="1">'ETF price'!X647-'ETF price'!X646</f>
        <v>-0.39000000000000057</v>
      </c>
      <c r="X645" s="3">
        <f ca="1">'ETF price'!Y647-'ETF price'!Y646</f>
        <v>-1</v>
      </c>
      <c r="Y645" s="3">
        <f ca="1">'ETF price'!Z647-'ETF price'!Z646</f>
        <v>-0.53999999999999204</v>
      </c>
      <c r="Z645" s="3">
        <f ca="1">'ETF price'!AA647-'ETF price'!AA646</f>
        <v>0.26000000000000512</v>
      </c>
      <c r="AA645" s="3">
        <f ca="1">'ETF price'!AB647-'ETF price'!AB646</f>
        <v>-1.259999999999998</v>
      </c>
      <c r="AB645" s="3">
        <f ca="1">'ETF price'!AC647-'ETF price'!AC646</f>
        <v>-1.269999999999996</v>
      </c>
      <c r="AC645" s="3">
        <f ca="1">'ETF price'!AD647-'ETF price'!AD646</f>
        <v>-7.9999999999998295E-2</v>
      </c>
      <c r="AD645" s="3">
        <f ca="1">'ETF price'!AE647-'ETF price'!AE646</f>
        <v>-0.33000000000000185</v>
      </c>
      <c r="AE645" s="3">
        <f ca="1">'ETF price'!AF647-'ETF price'!AF646</f>
        <v>-0.25</v>
      </c>
      <c r="AF645" s="3">
        <f ca="1">'ETF price'!AG647-'ETF price'!AG646</f>
        <v>-1.7199999999999989</v>
      </c>
    </row>
    <row r="646" spans="1:32" ht="12.75" x14ac:dyDescent="0.2">
      <c r="A646" s="3">
        <f ca="1">'ETF price'!B648-'ETF price'!B647</f>
        <v>-5.4099999999999966</v>
      </c>
      <c r="B646" s="3">
        <f ca="1">'ETF price'!C648-'ETF price'!C647</f>
        <v>-10.680000000000064</v>
      </c>
      <c r="C646" s="3">
        <f ca="1">'ETF price'!D648-'ETF price'!D647</f>
        <v>-3.5900000000000034</v>
      </c>
      <c r="D646" s="3">
        <f ca="1">'ETF price'!E648-'ETF price'!E647</f>
        <v>-8.3099999999999739</v>
      </c>
      <c r="E646" s="3">
        <f ca="1">'ETF price'!F648-'ETF price'!F647</f>
        <v>7.0000000000000284E-2</v>
      </c>
      <c r="F646" s="3">
        <f ca="1">'ETF price'!G648-'ETF price'!G647</f>
        <v>-0.39000000000000057</v>
      </c>
      <c r="G646" s="3">
        <f ca="1">'ETF price'!H648-'ETF price'!H647</f>
        <v>-0.14000000000000057</v>
      </c>
      <c r="H646" s="3">
        <f ca="1">'ETF price'!I648-'ETF price'!I647</f>
        <v>0.12999999999999545</v>
      </c>
      <c r="I646" s="3">
        <f ca="1">'ETF price'!J648-'ETF price'!J647</f>
        <v>0.26999999999998181</v>
      </c>
      <c r="J646" s="3">
        <f ca="1">'ETF price'!K648-'ETF price'!K647</f>
        <v>-3.0000000000001137E-2</v>
      </c>
      <c r="K646" s="3">
        <f ca="1">'ETF price'!L648-'ETF price'!L647</f>
        <v>-1.2800000000000011</v>
      </c>
      <c r="L646" s="3">
        <f ca="1">'ETF price'!M648-'ETF price'!M647</f>
        <v>0.27000000000001023</v>
      </c>
      <c r="M646" s="3">
        <f ca="1">'ETF price'!N648-'ETF price'!N647</f>
        <v>5.0000000000011369E-2</v>
      </c>
      <c r="N646" s="3">
        <f ca="1">'ETF price'!O648-'ETF price'!O647</f>
        <v>-0.24000000000000199</v>
      </c>
      <c r="O646" s="3">
        <f ca="1">'ETF price'!P648-'ETF price'!P647</f>
        <v>1.4199999999999875</v>
      </c>
      <c r="P646" s="3">
        <f ca="1">'ETF price'!Q648-'ETF price'!Q647</f>
        <v>1.9200000000000159</v>
      </c>
      <c r="Q646" s="3">
        <f ca="1">'ETF price'!R648-'ETF price'!R647</f>
        <v>-0.29999999999999716</v>
      </c>
      <c r="R646" s="3">
        <f ca="1">'ETF price'!S648-'ETF price'!S647</f>
        <v>-0.25</v>
      </c>
      <c r="S646" s="3">
        <f ca="1">'ETF price'!T648-'ETF price'!T647</f>
        <v>-7.0000000000000284E-2</v>
      </c>
      <c r="T646" s="3">
        <f ca="1">'ETF price'!U648-'ETF price'!U647</f>
        <v>-0.73000000000000398</v>
      </c>
      <c r="U646" s="3">
        <f ca="1">'ETF price'!V648-'ETF price'!V647</f>
        <v>-0.67999999999999972</v>
      </c>
      <c r="V646" s="3">
        <f ca="1">'ETF price'!W648-'ETF price'!W647</f>
        <v>0.5</v>
      </c>
      <c r="W646" s="3">
        <f ca="1">'ETF price'!X648-'ETF price'!X647</f>
        <v>1.1199999999999903</v>
      </c>
      <c r="X646" s="3">
        <f ca="1">'ETF price'!Y648-'ETF price'!Y647</f>
        <v>0.42999999999999972</v>
      </c>
      <c r="Y646" s="3">
        <f ca="1">'ETF price'!Z648-'ETF price'!Z647</f>
        <v>1.0699999999999932</v>
      </c>
      <c r="Z646" s="3">
        <f ca="1">'ETF price'!AA648-'ETF price'!AA647</f>
        <v>0.29999999999999716</v>
      </c>
      <c r="AA646" s="3">
        <f ca="1">'ETF price'!AB648-'ETF price'!AB647</f>
        <v>0.55000000000000426</v>
      </c>
      <c r="AB646" s="3">
        <f ca="1">'ETF price'!AC648-'ETF price'!AC647</f>
        <v>-2.0099999999999909</v>
      </c>
      <c r="AC646" s="3">
        <f ca="1">'ETF price'!AD648-'ETF price'!AD647</f>
        <v>-0.31000000000000227</v>
      </c>
      <c r="AD646" s="3">
        <f ca="1">'ETF price'!AE648-'ETF price'!AE647</f>
        <v>-0.48000000000000043</v>
      </c>
      <c r="AE646" s="3">
        <f ca="1">'ETF price'!AF648-'ETF price'!AF647</f>
        <v>3.0000000000000249E-2</v>
      </c>
      <c r="AF646" s="3">
        <f ca="1">'ETF price'!AG648-'ETF price'!AG647</f>
        <v>-1.8900000000000006</v>
      </c>
    </row>
    <row r="647" spans="1:32" ht="12.75" x14ac:dyDescent="0.2">
      <c r="A647" s="3">
        <f ca="1">'ETF price'!B649-'ETF price'!B648</f>
        <v>8.8900000000000148</v>
      </c>
      <c r="B647" s="3">
        <f ca="1">'ETF price'!C649-'ETF price'!C648</f>
        <v>19.200000000000045</v>
      </c>
      <c r="C647" s="3">
        <f ca="1">'ETF price'!D649-'ETF price'!D648</f>
        <v>-4.8600000000000136</v>
      </c>
      <c r="D647" s="3">
        <f ca="1">'ETF price'!E649-'ETF price'!E648</f>
        <v>14.799999999999983</v>
      </c>
      <c r="E647" s="3">
        <f ca="1">'ETF price'!F649-'ETF price'!F648</f>
        <v>1.0599999999999952</v>
      </c>
      <c r="F647" s="3">
        <f ca="1">'ETF price'!G649-'ETF price'!G648</f>
        <v>1.0199999999999996</v>
      </c>
      <c r="G647" s="3">
        <f ca="1">'ETF price'!H649-'ETF price'!H648</f>
        <v>0.26999999999999957</v>
      </c>
      <c r="H647" s="3">
        <f ca="1">'ETF price'!I649-'ETF price'!I648</f>
        <v>-0.55000000000001137</v>
      </c>
      <c r="I647" s="3">
        <f ca="1">'ETF price'!J649-'ETF price'!J648</f>
        <v>-1.0600000000000023</v>
      </c>
      <c r="J647" s="3">
        <f ca="1">'ETF price'!K649-'ETF price'!K648</f>
        <v>9.0000000000003411E-2</v>
      </c>
      <c r="K647" s="3">
        <f ca="1">'ETF price'!L649-'ETF price'!L648</f>
        <v>7.000000000000739E-2</v>
      </c>
      <c r="L647" s="3">
        <f ca="1">'ETF price'!M649-'ETF price'!M648</f>
        <v>-0.26000000000000512</v>
      </c>
      <c r="M647" s="3">
        <f ca="1">'ETF price'!N649-'ETF price'!N648</f>
        <v>-0.29000000000000625</v>
      </c>
      <c r="N647" s="3">
        <f ca="1">'ETF price'!O649-'ETF price'!O648</f>
        <v>0.24000000000000199</v>
      </c>
      <c r="O647" s="3">
        <f ca="1">'ETF price'!P649-'ETF price'!P648</f>
        <v>0.39000000000000057</v>
      </c>
      <c r="P647" s="3">
        <f ca="1">'ETF price'!Q649-'ETF price'!Q648</f>
        <v>0.73999999999998067</v>
      </c>
      <c r="Q647" s="3">
        <f ca="1">'ETF price'!R649-'ETF price'!R648</f>
        <v>0.95000000000000284</v>
      </c>
      <c r="R647" s="3">
        <f ca="1">'ETF price'!S649-'ETF price'!S648</f>
        <v>1.6400000000000006</v>
      </c>
      <c r="S647" s="3">
        <f ca="1">'ETF price'!T649-'ETF price'!T648</f>
        <v>0.50999999999999801</v>
      </c>
      <c r="T647" s="3">
        <f ca="1">'ETF price'!U649-'ETF price'!U648</f>
        <v>3.2800000000000011</v>
      </c>
      <c r="U647" s="3">
        <f ca="1">'ETF price'!V649-'ETF price'!V648</f>
        <v>1.1500000000000057</v>
      </c>
      <c r="V647" s="3">
        <f ca="1">'ETF price'!W649-'ETF price'!W648</f>
        <v>-0.10999999999999943</v>
      </c>
      <c r="W647" s="3">
        <f ca="1">'ETF price'!X649-'ETF price'!X648</f>
        <v>-0.12999999999999545</v>
      </c>
      <c r="X647" s="3">
        <f ca="1">'ETF price'!Y649-'ETF price'!Y648</f>
        <v>-0.18999999999999773</v>
      </c>
      <c r="Y647" s="3">
        <f ca="1">'ETF price'!Z649-'ETF price'!Z648</f>
        <v>-0.42999999999999261</v>
      </c>
      <c r="Z647" s="3">
        <f ca="1">'ETF price'!AA649-'ETF price'!AA648</f>
        <v>-0.10000000000000142</v>
      </c>
      <c r="AA647" s="3">
        <f ca="1">'ETF price'!AB649-'ETF price'!AB648</f>
        <v>-0.24000000000000199</v>
      </c>
      <c r="AB647" s="3">
        <f ca="1">'ETF price'!AC649-'ETF price'!AC648</f>
        <v>-1.980000000000004</v>
      </c>
      <c r="AC647" s="3">
        <f ca="1">'ETF price'!AD649-'ETF price'!AD648</f>
        <v>-0.11999999999999744</v>
      </c>
      <c r="AD647" s="3">
        <f ca="1">'ETF price'!AE649-'ETF price'!AE648</f>
        <v>-0.25999999999999801</v>
      </c>
      <c r="AE647" s="3">
        <f ca="1">'ETF price'!AF649-'ETF price'!AF648</f>
        <v>0.23999999999999932</v>
      </c>
      <c r="AF647" s="3">
        <f ca="1">'ETF price'!AG649-'ETF price'!AG648</f>
        <v>1.5900000000000034</v>
      </c>
    </row>
    <row r="648" spans="1:32" ht="12.75" x14ac:dyDescent="0.2">
      <c r="A648" s="3">
        <f ca="1">'ETF price'!B650-'ETF price'!B649</f>
        <v>-8.160000000000025</v>
      </c>
      <c r="B648" s="3">
        <f ca="1">'ETF price'!C650-'ETF price'!C649</f>
        <v>-20.529999999999973</v>
      </c>
      <c r="C648" s="3">
        <f ca="1">'ETF price'!D650-'ETF price'!D649</f>
        <v>1.2700000000000102</v>
      </c>
      <c r="D648" s="3">
        <f ca="1">'ETF price'!E650-'ETF price'!E649</f>
        <v>-16.960000000000008</v>
      </c>
      <c r="E648" s="3">
        <f ca="1">'ETF price'!F650-'ETF price'!F649</f>
        <v>-2.1499999999999915</v>
      </c>
      <c r="F648" s="3">
        <f ca="1">'ETF price'!G650-'ETF price'!G649</f>
        <v>-1.3399999999999999</v>
      </c>
      <c r="G648" s="3">
        <f ca="1">'ETF price'!H650-'ETF price'!H649</f>
        <v>-0.5</v>
      </c>
      <c r="H648" s="3">
        <f ca="1">'ETF price'!I650-'ETF price'!I649</f>
        <v>1.5300000000000011</v>
      </c>
      <c r="I648" s="3">
        <f ca="1">'ETF price'!J650-'ETF price'!J649</f>
        <v>2.5299999999999727</v>
      </c>
      <c r="J648" s="3">
        <f ca="1">'ETF price'!K650-'ETF price'!K649</f>
        <v>-0.87000000000000455</v>
      </c>
      <c r="K648" s="3">
        <f ca="1">'ETF price'!L650-'ETF price'!L649</f>
        <v>-0.39000000000000057</v>
      </c>
      <c r="L648" s="3">
        <f ca="1">'ETF price'!M650-'ETF price'!M649</f>
        <v>-0.28000000000000114</v>
      </c>
      <c r="M648" s="3">
        <f ca="1">'ETF price'!N650-'ETF price'!N649</f>
        <v>0.70999999999999375</v>
      </c>
      <c r="N648" s="3">
        <f ca="1">'ETF price'!O650-'ETF price'!O649</f>
        <v>-0.96000000000000085</v>
      </c>
      <c r="O648" s="3">
        <f ca="1">'ETF price'!P650-'ETF price'!P649</f>
        <v>-2.4699999999999989</v>
      </c>
      <c r="P648" s="3">
        <f ca="1">'ETF price'!Q650-'ETF price'!Q649</f>
        <v>-3.4799999999999898</v>
      </c>
      <c r="Q648" s="3">
        <f ca="1">'ETF price'!R650-'ETF price'!R649</f>
        <v>-0.37000000000000455</v>
      </c>
      <c r="R648" s="3">
        <f ca="1">'ETF price'!S650-'ETF price'!S649</f>
        <v>-2.5799999999999983</v>
      </c>
      <c r="S648" s="3">
        <f ca="1">'ETF price'!T650-'ETF price'!T649</f>
        <v>-0.26999999999999957</v>
      </c>
      <c r="T648" s="3">
        <f ca="1">'ETF price'!U650-'ETF price'!U649</f>
        <v>-1.4499999999999886</v>
      </c>
      <c r="U648" s="3">
        <f ca="1">'ETF price'!V650-'ETF price'!V649</f>
        <v>-0.72000000000000597</v>
      </c>
      <c r="V648" s="3">
        <f ca="1">'ETF price'!W650-'ETF price'!W649</f>
        <v>-0.62000000000000455</v>
      </c>
      <c r="W648" s="3">
        <f ca="1">'ETF price'!X650-'ETF price'!X649</f>
        <v>-1.8700000000000045</v>
      </c>
      <c r="X648" s="3">
        <f ca="1">'ETF price'!Y650-'ETF price'!Y649</f>
        <v>-2.25</v>
      </c>
      <c r="Y648" s="3">
        <f ca="1">'ETF price'!Z650-'ETF price'!Z649</f>
        <v>-1.8000000000000114</v>
      </c>
      <c r="Z648" s="3">
        <f ca="1">'ETF price'!AA650-'ETF price'!AA649</f>
        <v>0.64000000000000057</v>
      </c>
      <c r="AA648" s="3">
        <f ca="1">'ETF price'!AB650-'ETF price'!AB649</f>
        <v>-2.6099999999999994</v>
      </c>
      <c r="AB648" s="3">
        <f ca="1">'ETF price'!AC650-'ETF price'!AC649</f>
        <v>0.98000000000000398</v>
      </c>
      <c r="AC648" s="3">
        <f ca="1">'ETF price'!AD650-'ETF price'!AD649</f>
        <v>-0.69000000000000128</v>
      </c>
      <c r="AD648" s="3">
        <f ca="1">'ETF price'!AE650-'ETF price'!AE649</f>
        <v>-2.0800000000000018</v>
      </c>
      <c r="AE648" s="3">
        <f ca="1">'ETF price'!AF650-'ETF price'!AF649</f>
        <v>-0.38999999999999968</v>
      </c>
      <c r="AF648" s="3">
        <f ca="1">'ETF price'!AG650-'ETF price'!AG649</f>
        <v>-3.1800000000000068</v>
      </c>
    </row>
    <row r="649" spans="1:32" ht="12.75" x14ac:dyDescent="0.2">
      <c r="A649" s="3">
        <f ca="1">'ETF price'!B651-'ETF price'!B650</f>
        <v>-5.9199999999999875</v>
      </c>
      <c r="B649" s="3">
        <f ca="1">'ETF price'!C651-'ETF price'!C650</f>
        <v>-13.430000000000064</v>
      </c>
      <c r="C649" s="3">
        <f ca="1">'ETF price'!D651-'ETF price'!D650</f>
        <v>-1.4300000000000068</v>
      </c>
      <c r="D649" s="3">
        <f ca="1">'ETF price'!E651-'ETF price'!E650</f>
        <v>-11.609999999999985</v>
      </c>
      <c r="E649" s="3">
        <f ca="1">'ETF price'!F651-'ETF price'!F650</f>
        <v>-0.85000000000000142</v>
      </c>
      <c r="F649" s="3">
        <f ca="1">'ETF price'!G651-'ETF price'!G650</f>
        <v>-0.85999999999999943</v>
      </c>
      <c r="G649" s="3">
        <f ca="1">'ETF price'!H651-'ETF price'!H650</f>
        <v>-0.64999999999999858</v>
      </c>
      <c r="H649" s="3">
        <f ca="1">'ETF price'!I651-'ETF price'!I650</f>
        <v>-0.29999999999998295</v>
      </c>
      <c r="I649" s="3">
        <f ca="1">'ETF price'!J651-'ETF price'!J650</f>
        <v>-1.2999999999999545</v>
      </c>
      <c r="J649" s="3">
        <f ca="1">'ETF price'!K651-'ETF price'!K650</f>
        <v>-2.9300000000000068</v>
      </c>
      <c r="K649" s="3">
        <f ca="1">'ETF price'!L651-'ETF price'!L650</f>
        <v>-2.2000000000000028</v>
      </c>
      <c r="L649" s="3">
        <f ca="1">'ETF price'!M651-'ETF price'!M650</f>
        <v>-1.4200000000000017</v>
      </c>
      <c r="M649" s="3">
        <f ca="1">'ETF price'!N651-'ETF price'!N650</f>
        <v>-0.29999999999999716</v>
      </c>
      <c r="N649" s="3">
        <f ca="1">'ETF price'!O651-'ETF price'!O650</f>
        <v>-1.240000000000002</v>
      </c>
      <c r="O649" s="3">
        <f ca="1">'ETF price'!P651-'ETF price'!P650</f>
        <v>-2.3399999999999892</v>
      </c>
      <c r="P649" s="3">
        <f ca="1">'ETF price'!Q651-'ETF price'!Q650</f>
        <v>-3.7800000000000011</v>
      </c>
      <c r="Q649" s="3">
        <f ca="1">'ETF price'!R651-'ETF price'!R650</f>
        <v>-1.7299999999999898</v>
      </c>
      <c r="R649" s="3">
        <f ca="1">'ETF price'!S651-'ETF price'!S650</f>
        <v>-3.009999999999998</v>
      </c>
      <c r="S649" s="3">
        <f ca="1">'ETF price'!T651-'ETF price'!T650</f>
        <v>-0.41000000000000014</v>
      </c>
      <c r="T649" s="3">
        <f ca="1">'ETF price'!U651-'ETF price'!U650</f>
        <v>-2.9000000000000057</v>
      </c>
      <c r="U649" s="3">
        <f ca="1">'ETF price'!V651-'ETF price'!V650</f>
        <v>-1.2199999999999989</v>
      </c>
      <c r="V649" s="3">
        <f ca="1">'ETF price'!W651-'ETF price'!W650</f>
        <v>-1.0599999999999952</v>
      </c>
      <c r="W649" s="3">
        <f ca="1">'ETF price'!X651-'ETF price'!X650</f>
        <v>-2.6700000000000017</v>
      </c>
      <c r="X649" s="3">
        <f ca="1">'ETF price'!Y651-'ETF price'!Y650</f>
        <v>-1.7700000000000031</v>
      </c>
      <c r="Y649" s="3">
        <f ca="1">'ETF price'!Z651-'ETF price'!Z650</f>
        <v>-2.8499999999999943</v>
      </c>
      <c r="Z649" s="3">
        <f ca="1">'ETF price'!AA651-'ETF price'!AA650</f>
        <v>3.0000000000001137E-2</v>
      </c>
      <c r="AA649" s="3">
        <f ca="1">'ETF price'!AB651-'ETF price'!AB650</f>
        <v>-1.8400000000000034</v>
      </c>
      <c r="AB649" s="3">
        <f ca="1">'ETF price'!AC651-'ETF price'!AC650</f>
        <v>-1.0000000000005116E-2</v>
      </c>
      <c r="AC649" s="3">
        <f ca="1">'ETF price'!AD651-'ETF price'!AD650</f>
        <v>-0.46000000000000085</v>
      </c>
      <c r="AD649" s="3">
        <f ca="1">'ETF price'!AE651-'ETF price'!AE650</f>
        <v>-0.25999999999999801</v>
      </c>
      <c r="AE649" s="3">
        <f ca="1">'ETF price'!AF651-'ETF price'!AF650</f>
        <v>4.9999999999999822E-2</v>
      </c>
      <c r="AF649" s="3">
        <f ca="1">'ETF price'!AG651-'ETF price'!AG650</f>
        <v>-3.8599999999999994</v>
      </c>
    </row>
    <row r="650" spans="1:32" ht="12.75" x14ac:dyDescent="0.2">
      <c r="A650" s="3">
        <f ca="1">'ETF price'!B652-'ETF price'!B651</f>
        <v>-6.8199999999999932</v>
      </c>
      <c r="B650" s="3">
        <f ca="1">'ETF price'!C652-'ETF price'!C651</f>
        <v>-18.689999999999941</v>
      </c>
      <c r="C650" s="3">
        <f ca="1">'ETF price'!D652-'ETF price'!D651</f>
        <v>4.7599999999999909</v>
      </c>
      <c r="D650" s="3">
        <f ca="1">'ETF price'!E652-'ETF price'!E651</f>
        <v>-3.6500000000000057</v>
      </c>
      <c r="E650" s="3">
        <f ca="1">'ETF price'!F652-'ETF price'!F651</f>
        <v>-1.3599999999999994</v>
      </c>
      <c r="F650" s="3">
        <f ca="1">'ETF price'!G652-'ETF price'!G651</f>
        <v>-0.92000000000000171</v>
      </c>
      <c r="G650" s="3">
        <f ca="1">'ETF price'!H652-'ETF price'!H651</f>
        <v>-0.63000000000000256</v>
      </c>
      <c r="H650" s="3">
        <f ca="1">'ETF price'!I652-'ETF price'!I651</f>
        <v>-4.0300000000000011</v>
      </c>
      <c r="I650" s="3">
        <f ca="1">'ETF price'!J652-'ETF price'!J651</f>
        <v>-6.9600000000000364</v>
      </c>
      <c r="J650" s="3">
        <f ca="1">'ETF price'!K652-'ETF price'!K651</f>
        <v>-4.0699999999999932</v>
      </c>
      <c r="K650" s="3">
        <f ca="1">'ETF price'!L652-'ETF price'!L651</f>
        <v>-3.039999999999992</v>
      </c>
      <c r="L650" s="3">
        <f ca="1">'ETF price'!M652-'ETF price'!M651</f>
        <v>-2.2199999999999989</v>
      </c>
      <c r="M650" s="3">
        <f ca="1">'ETF price'!N652-'ETF price'!N651</f>
        <v>-1.8999999999999915</v>
      </c>
      <c r="N650" s="3">
        <f ca="1">'ETF price'!O652-'ETF price'!O651</f>
        <v>-1.3200000000000003</v>
      </c>
      <c r="O650" s="3">
        <f ca="1">'ETF price'!P652-'ETF price'!P651</f>
        <v>-1.9500000000000028</v>
      </c>
      <c r="P650" s="3">
        <f ca="1">'ETF price'!Q652-'ETF price'!Q651</f>
        <v>-2.6099999999999994</v>
      </c>
      <c r="Q650" s="3">
        <f ca="1">'ETF price'!R652-'ETF price'!R651</f>
        <v>-2.0100000000000051</v>
      </c>
      <c r="R650" s="3">
        <f ca="1">'ETF price'!S652-'ETF price'!S651</f>
        <v>-1.740000000000002</v>
      </c>
      <c r="S650" s="3">
        <f ca="1">'ETF price'!T652-'ETF price'!T651</f>
        <v>-3.9999999999999147E-2</v>
      </c>
      <c r="T650" s="3">
        <f ca="1">'ETF price'!U652-'ETF price'!U651</f>
        <v>-0.17000000000000171</v>
      </c>
      <c r="U650" s="3">
        <f ca="1">'ETF price'!V652-'ETF price'!V651</f>
        <v>-1.0700000000000003</v>
      </c>
      <c r="V650" s="3">
        <f ca="1">'ETF price'!W652-'ETF price'!W651</f>
        <v>-1.2199999999999989</v>
      </c>
      <c r="W650" s="3">
        <f ca="1">'ETF price'!X652-'ETF price'!X651</f>
        <v>-3.0799999999999983</v>
      </c>
      <c r="X650" s="3">
        <f ca="1">'ETF price'!Y652-'ETF price'!Y651</f>
        <v>-1.4200000000000017</v>
      </c>
      <c r="Y650" s="3">
        <f ca="1">'ETF price'!Z652-'ETF price'!Z651</f>
        <v>-2.8100000000000023</v>
      </c>
      <c r="Z650" s="3">
        <f ca="1">'ETF price'!AA652-'ETF price'!AA651</f>
        <v>-1.2100000000000009</v>
      </c>
      <c r="AA650" s="3">
        <f ca="1">'ETF price'!AB652-'ETF price'!AB651</f>
        <v>-1.4799999999999969</v>
      </c>
      <c r="AB650" s="3">
        <f ca="1">'ETF price'!AC652-'ETF price'!AC651</f>
        <v>1.1299999999999955</v>
      </c>
      <c r="AC650" s="3">
        <f ca="1">'ETF price'!AD652-'ETF price'!AD651</f>
        <v>-3.0499999999999989</v>
      </c>
      <c r="AD650" s="3">
        <f ca="1">'ETF price'!AE652-'ETF price'!AE651</f>
        <v>-2.9400000000000013</v>
      </c>
      <c r="AE650" s="3">
        <f ca="1">'ETF price'!AF652-'ETF price'!AF651</f>
        <v>-6.9999999999999396E-2</v>
      </c>
      <c r="AF650" s="3">
        <f ca="1">'ETF price'!AG652-'ETF price'!AG651</f>
        <v>-3.1099999999999994</v>
      </c>
    </row>
    <row r="651" spans="1:32" ht="12.75" x14ac:dyDescent="0.2">
      <c r="A651" s="3">
        <f ca="1">'ETF price'!B653-'ETF price'!B652</f>
        <v>2.6899999999999977</v>
      </c>
      <c r="B651" s="3">
        <f ca="1">'ETF price'!C653-'ETF price'!C652</f>
        <v>5.1200000000000045</v>
      </c>
      <c r="C651" s="3">
        <f ca="1">'ETF price'!D653-'ETF price'!D652</f>
        <v>0.96000000000000796</v>
      </c>
      <c r="D651" s="3">
        <f ca="1">'ETF price'!E653-'ETF price'!E652</f>
        <v>1.8400000000000034</v>
      </c>
      <c r="E651" s="3">
        <f ca="1">'ETF price'!F653-'ETF price'!F652</f>
        <v>0.28000000000000114</v>
      </c>
      <c r="F651" s="3">
        <f ca="1">'ETF price'!G653-'ETF price'!G652</f>
        <v>0.51000000000000156</v>
      </c>
      <c r="G651" s="3">
        <f ca="1">'ETF price'!H653-'ETF price'!H652</f>
        <v>0.24000000000000199</v>
      </c>
      <c r="H651" s="3">
        <f ca="1">'ETF price'!I653-'ETF price'!I652</f>
        <v>0.6799999999999784</v>
      </c>
      <c r="I651" s="3">
        <f ca="1">'ETF price'!J653-'ETF price'!J652</f>
        <v>1.1800000000000068</v>
      </c>
      <c r="J651" s="3">
        <f ca="1">'ETF price'!K653-'ETF price'!K652</f>
        <v>0.62999999999999545</v>
      </c>
      <c r="K651" s="3">
        <f ca="1">'ETF price'!L653-'ETF price'!L652</f>
        <v>1.0099999999999909</v>
      </c>
      <c r="L651" s="3">
        <f ca="1">'ETF price'!M653-'ETF price'!M652</f>
        <v>0.68000000000000682</v>
      </c>
      <c r="M651" s="3">
        <f ca="1">'ETF price'!N653-'ETF price'!N652</f>
        <v>0.29999999999999716</v>
      </c>
      <c r="N651" s="3">
        <f ca="1">'ETF price'!O653-'ETF price'!O652</f>
        <v>0.84000000000000341</v>
      </c>
      <c r="O651" s="3">
        <f ca="1">'ETF price'!P653-'ETF price'!P652</f>
        <v>0.53000000000000114</v>
      </c>
      <c r="P651" s="3">
        <f ca="1">'ETF price'!Q653-'ETF price'!Q652</f>
        <v>0.48000000000000398</v>
      </c>
      <c r="Q651" s="3">
        <f ca="1">'ETF price'!R653-'ETF price'!R652</f>
        <v>0.45000000000000284</v>
      </c>
      <c r="R651" s="3">
        <f ca="1">'ETF price'!S653-'ETF price'!S652</f>
        <v>0.57999999999999829</v>
      </c>
      <c r="S651" s="3">
        <f ca="1">'ETF price'!T653-'ETF price'!T652</f>
        <v>-0.17999999999999972</v>
      </c>
      <c r="T651" s="3">
        <f ca="1">'ETF price'!U653-'ETF price'!U652</f>
        <v>-0.76999999999999602</v>
      </c>
      <c r="U651" s="3">
        <f ca="1">'ETF price'!V653-'ETF price'!V652</f>
        <v>6.0000000000002274E-2</v>
      </c>
      <c r="V651" s="3">
        <f ca="1">'ETF price'!W653-'ETF price'!W652</f>
        <v>0.65999999999999659</v>
      </c>
      <c r="W651" s="3">
        <f ca="1">'ETF price'!X653-'ETF price'!X652</f>
        <v>1.4000000000000057</v>
      </c>
      <c r="X651" s="3">
        <f ca="1">'ETF price'!Y653-'ETF price'!Y652</f>
        <v>0.26000000000000512</v>
      </c>
      <c r="Y651" s="3">
        <f ca="1">'ETF price'!Z653-'ETF price'!Z652</f>
        <v>1.3700000000000045</v>
      </c>
      <c r="Z651" s="3">
        <f ca="1">'ETF price'!AA653-'ETF price'!AA652</f>
        <v>0.89999999999999858</v>
      </c>
      <c r="AA651" s="3">
        <f ca="1">'ETF price'!AB653-'ETF price'!AB652</f>
        <v>0.11999999999999744</v>
      </c>
      <c r="AB651" s="3">
        <f ca="1">'ETF price'!AC653-'ETF price'!AC652</f>
        <v>0.32999999999999829</v>
      </c>
      <c r="AC651" s="3">
        <f ca="1">'ETF price'!AD653-'ETF price'!AD652</f>
        <v>0.75999999999999979</v>
      </c>
      <c r="AD651" s="3">
        <f ca="1">'ETF price'!AE653-'ETF price'!AE652</f>
        <v>1.0899999999999999</v>
      </c>
      <c r="AE651" s="3">
        <f ca="1">'ETF price'!AF653-'ETF price'!AF652</f>
        <v>-0.28000000000000025</v>
      </c>
      <c r="AF651" s="3">
        <f ca="1">'ETF price'!AG653-'ETF price'!AG652</f>
        <v>1.2600000000000051</v>
      </c>
    </row>
    <row r="652" spans="1:32" ht="12.75" x14ac:dyDescent="0.2">
      <c r="A652" s="3">
        <f ca="1">'ETF price'!B654-'ETF price'!B653</f>
        <v>-3.25</v>
      </c>
      <c r="B652" s="3">
        <f ca="1">'ETF price'!C654-'ETF price'!C653</f>
        <v>-6.0500000000000682</v>
      </c>
      <c r="C652" s="3">
        <f ca="1">'ETF price'!D654-'ETF price'!D653</f>
        <v>0.78000000000000114</v>
      </c>
      <c r="D652" s="3">
        <f ca="1">'ETF price'!E654-'ETF price'!E653</f>
        <v>-5.710000000000008</v>
      </c>
      <c r="E652" s="3">
        <f ca="1">'ETF price'!F654-'ETF price'!F653</f>
        <v>0.53000000000000114</v>
      </c>
      <c r="F652" s="3">
        <f ca="1">'ETF price'!G654-'ETF price'!G653</f>
        <v>7.9999999999998295E-2</v>
      </c>
      <c r="G652" s="3">
        <f ca="1">'ETF price'!H654-'ETF price'!H653</f>
        <v>-0.21999999999999886</v>
      </c>
      <c r="H652" s="3">
        <f ca="1">'ETF price'!I654-'ETF price'!I653</f>
        <v>-1.5</v>
      </c>
      <c r="I652" s="3">
        <f ca="1">'ETF price'!J654-'ETF price'!J653</f>
        <v>-2.839999999999975</v>
      </c>
      <c r="J652" s="3">
        <f ca="1">'ETF price'!K654-'ETF price'!K653</f>
        <v>-2.539999999999992</v>
      </c>
      <c r="K652" s="3">
        <f ca="1">'ETF price'!L654-'ETF price'!L653</f>
        <v>-2.0799999999999983</v>
      </c>
      <c r="L652" s="3">
        <f ca="1">'ETF price'!M654-'ETF price'!M653</f>
        <v>-5.0000000000011369E-2</v>
      </c>
      <c r="M652" s="3">
        <f ca="1">'ETF price'!N654-'ETF price'!N653</f>
        <v>-0.74000000000000909</v>
      </c>
      <c r="N652" s="3">
        <f ca="1">'ETF price'!O654-'ETF price'!O653</f>
        <v>-0.60000000000000142</v>
      </c>
      <c r="O652" s="3">
        <f ca="1">'ETF price'!P654-'ETF price'!P653</f>
        <v>0.34999999999999432</v>
      </c>
      <c r="P652" s="3">
        <f ca="1">'ETF price'!Q654-'ETF price'!Q653</f>
        <v>0.56999999999999318</v>
      </c>
      <c r="Q652" s="3">
        <f ca="1">'ETF price'!R654-'ETF price'!R653</f>
        <v>-1.2000000000000028</v>
      </c>
      <c r="R652" s="3">
        <f ca="1">'ETF price'!S654-'ETF price'!S653</f>
        <v>-0.68999999999999773</v>
      </c>
      <c r="S652" s="3">
        <f ca="1">'ETF price'!T654-'ETF price'!T653</f>
        <v>0.19999999999999929</v>
      </c>
      <c r="T652" s="3">
        <f ca="1">'ETF price'!U654-'ETF price'!U653</f>
        <v>2.2399999999999949</v>
      </c>
      <c r="U652" s="3">
        <f ca="1">'ETF price'!V654-'ETF price'!V653</f>
        <v>0.28000000000000114</v>
      </c>
      <c r="V652" s="3">
        <f ca="1">'ETF price'!W654-'ETF price'!W653</f>
        <v>4.9999999999997158E-2</v>
      </c>
      <c r="W652" s="3">
        <f ca="1">'ETF price'!X654-'ETF price'!X653</f>
        <v>-6.0000000000002274E-2</v>
      </c>
      <c r="X652" s="3">
        <f ca="1">'ETF price'!Y654-'ETF price'!Y653</f>
        <v>-0.25</v>
      </c>
      <c r="Y652" s="3">
        <f ca="1">'ETF price'!Z654-'ETF price'!Z653</f>
        <v>3.0000000000001137E-2</v>
      </c>
      <c r="Z652" s="3">
        <f ca="1">'ETF price'!AA654-'ETF price'!AA653</f>
        <v>-0.29999999999999716</v>
      </c>
      <c r="AA652" s="3">
        <f ca="1">'ETF price'!AB654-'ETF price'!AB653</f>
        <v>-0.32999999999999829</v>
      </c>
      <c r="AB652" s="3">
        <f ca="1">'ETF price'!AC654-'ETF price'!AC653</f>
        <v>-0.43999999999999773</v>
      </c>
      <c r="AC652" s="3">
        <f ca="1">'ETF price'!AD654-'ETF price'!AD653</f>
        <v>-0.75999999999999979</v>
      </c>
      <c r="AD652" s="3">
        <f ca="1">'ETF price'!AE654-'ETF price'!AE653</f>
        <v>-0.69999999999999929</v>
      </c>
      <c r="AE652" s="3">
        <f ca="1">'ETF price'!AF654-'ETF price'!AF653</f>
        <v>-1.08</v>
      </c>
      <c r="AF652" s="3">
        <f ca="1">'ETF price'!AG654-'ETF price'!AG653</f>
        <v>-2.8800000000000026</v>
      </c>
    </row>
    <row r="653" spans="1:32" ht="12.75" x14ac:dyDescent="0.2">
      <c r="A653" s="3">
        <f ca="1">'ETF price'!B655-'ETF price'!B654</f>
        <v>7.3700000000000045</v>
      </c>
      <c r="B653" s="3">
        <f ca="1">'ETF price'!C655-'ETF price'!C654</f>
        <v>17.82000000000005</v>
      </c>
      <c r="C653" s="3">
        <f ca="1">'ETF price'!D655-'ETF price'!D654</f>
        <v>3.9200000000000159</v>
      </c>
      <c r="D653" s="3">
        <f ca="1">'ETF price'!E655-'ETF price'!E654</f>
        <v>13.75</v>
      </c>
      <c r="E653" s="3">
        <f ca="1">'ETF price'!F655-'ETF price'!F654</f>
        <v>1.6199999999999974</v>
      </c>
      <c r="F653" s="3">
        <f ca="1">'ETF price'!G655-'ETF price'!G654</f>
        <v>0.78999999999999915</v>
      </c>
      <c r="G653" s="3">
        <f ca="1">'ETF price'!H655-'ETF price'!H654</f>
        <v>0.82999999999999829</v>
      </c>
      <c r="H653" s="3">
        <f ca="1">'ETF price'!I655-'ETF price'!I654</f>
        <v>3.2300000000000182</v>
      </c>
      <c r="I653" s="3">
        <f ca="1">'ETF price'!J655-'ETF price'!J654</f>
        <v>5.9499999999999886</v>
      </c>
      <c r="J653" s="3">
        <f ca="1">'ETF price'!K655-'ETF price'!K654</f>
        <v>3.9900000000000091</v>
      </c>
      <c r="K653" s="3">
        <f ca="1">'ETF price'!L655-'ETF price'!L654</f>
        <v>2.6400000000000006</v>
      </c>
      <c r="L653" s="3">
        <f ca="1">'ETF price'!M655-'ETF price'!M654</f>
        <v>1.230000000000004</v>
      </c>
      <c r="M653" s="3">
        <f ca="1">'ETF price'!N655-'ETF price'!N654</f>
        <v>1.5700000000000074</v>
      </c>
      <c r="N653" s="3">
        <f ca="1">'ETF price'!O655-'ETF price'!O654</f>
        <v>1.1599999999999966</v>
      </c>
      <c r="O653" s="3">
        <f ca="1">'ETF price'!P655-'ETF price'!P654</f>
        <v>1.8799999999999955</v>
      </c>
      <c r="P653" s="3">
        <f ca="1">'ETF price'!Q655-'ETF price'!Q654</f>
        <v>2.6900000000000119</v>
      </c>
      <c r="Q653" s="3">
        <f ca="1">'ETF price'!R655-'ETF price'!R654</f>
        <v>1.3499999999999943</v>
      </c>
      <c r="R653" s="3">
        <f ca="1">'ETF price'!S655-'ETF price'!S654</f>
        <v>1.259999999999998</v>
      </c>
      <c r="S653" s="3">
        <f ca="1">'ETF price'!T655-'ETF price'!T654</f>
        <v>0.19999999999999929</v>
      </c>
      <c r="T653" s="3">
        <f ca="1">'ETF price'!U655-'ETF price'!U654</f>
        <v>0.67000000000000171</v>
      </c>
      <c r="U653" s="3">
        <f ca="1">'ETF price'!V655-'ETF price'!V654</f>
        <v>0.74000000000000199</v>
      </c>
      <c r="V653" s="3">
        <f ca="1">'ETF price'!W655-'ETF price'!W654</f>
        <v>0.67000000000000171</v>
      </c>
      <c r="W653" s="3">
        <f ca="1">'ETF price'!X655-'ETF price'!X654</f>
        <v>1.769999999999996</v>
      </c>
      <c r="X653" s="3">
        <f ca="1">'ETF price'!Y655-'ETF price'!Y654</f>
        <v>0.95999999999999375</v>
      </c>
      <c r="Y653" s="3">
        <f ca="1">'ETF price'!Z655-'ETF price'!Z654</f>
        <v>1.6099999999999994</v>
      </c>
      <c r="Z653" s="3">
        <f ca="1">'ETF price'!AA655-'ETF price'!AA654</f>
        <v>0.35000000000000142</v>
      </c>
      <c r="AA653" s="3">
        <f ca="1">'ETF price'!AB655-'ETF price'!AB654</f>
        <v>0.92999999999999972</v>
      </c>
      <c r="AB653" s="3">
        <f ca="1">'ETF price'!AC655-'ETF price'!AC654</f>
        <v>0.74000000000000909</v>
      </c>
      <c r="AC653" s="3">
        <f ca="1">'ETF price'!AD655-'ETF price'!AD654</f>
        <v>1.33</v>
      </c>
      <c r="AD653" s="3">
        <f ca="1">'ETF price'!AE655-'ETF price'!AE654</f>
        <v>1.5999999999999979</v>
      </c>
      <c r="AE653" s="3">
        <f ca="1">'ETF price'!AF655-'ETF price'!AF654</f>
        <v>0.66000000000000014</v>
      </c>
      <c r="AF653" s="3">
        <f ca="1">'ETF price'!AG655-'ETF price'!AG654</f>
        <v>4.1499999999999986</v>
      </c>
    </row>
    <row r="654" spans="1:32" ht="12.75" x14ac:dyDescent="0.2">
      <c r="A654" s="3">
        <f ca="1">'ETF price'!B656-'ETF price'!B655</f>
        <v>0.91999999999998749</v>
      </c>
      <c r="B654" s="3">
        <f ca="1">'ETF price'!C656-'ETF price'!C655</f>
        <v>3.3899999999999864</v>
      </c>
      <c r="C654" s="3">
        <f ca="1">'ETF price'!D656-'ETF price'!D655</f>
        <v>0.5</v>
      </c>
      <c r="D654" s="3">
        <f ca="1">'ETF price'!E656-'ETF price'!E655</f>
        <v>-1.2599999999999909</v>
      </c>
      <c r="E654" s="3">
        <f ca="1">'ETF price'!F656-'ETF price'!F655</f>
        <v>0.83999999999999631</v>
      </c>
      <c r="F654" s="3">
        <f ca="1">'ETF price'!G656-'ETF price'!G655</f>
        <v>-2.9999999999997584E-2</v>
      </c>
      <c r="G654" s="3">
        <f ca="1">'ETF price'!H656-'ETF price'!H655</f>
        <v>1.0000000000001563E-2</v>
      </c>
      <c r="H654" s="3">
        <f ca="1">'ETF price'!I656-'ETF price'!I655</f>
        <v>0.73999999999998067</v>
      </c>
      <c r="I654" s="3">
        <f ca="1">'ETF price'!J656-'ETF price'!J655</f>
        <v>1.2300000000000182</v>
      </c>
      <c r="J654" s="3">
        <f ca="1">'ETF price'!K656-'ETF price'!K655</f>
        <v>-1.0000000000019327E-2</v>
      </c>
      <c r="K654" s="3">
        <f ca="1">'ETF price'!L656-'ETF price'!L655</f>
        <v>0.54000000000000625</v>
      </c>
      <c r="L654" s="3">
        <f ca="1">'ETF price'!M656-'ETF price'!M655</f>
        <v>-6.0000000000002274E-2</v>
      </c>
      <c r="M654" s="3">
        <f ca="1">'ETF price'!N656-'ETF price'!N655</f>
        <v>0.37999999999999545</v>
      </c>
      <c r="N654" s="3">
        <f ca="1">'ETF price'!O656-'ETF price'!O655</f>
        <v>0</v>
      </c>
      <c r="O654" s="3">
        <f ca="1">'ETF price'!P656-'ETF price'!P655</f>
        <v>0.20000000000000284</v>
      </c>
      <c r="P654" s="3">
        <f ca="1">'ETF price'!Q656-'ETF price'!Q655</f>
        <v>0.11999999999999034</v>
      </c>
      <c r="Q654" s="3">
        <f ca="1">'ETF price'!R656-'ETF price'!R655</f>
        <v>-6.9999999999993179E-2</v>
      </c>
      <c r="R654" s="3">
        <f ca="1">'ETF price'!S656-'ETF price'!S655</f>
        <v>0.10000000000000142</v>
      </c>
      <c r="S654" s="3">
        <f ca="1">'ETF price'!T656-'ETF price'!T655</f>
        <v>0.13000000000000256</v>
      </c>
      <c r="T654" s="3">
        <f ca="1">'ETF price'!U656-'ETF price'!U655</f>
        <v>0.85999999999999943</v>
      </c>
      <c r="U654" s="3">
        <f ca="1">'ETF price'!V656-'ETF price'!V655</f>
        <v>-0.81000000000000227</v>
      </c>
      <c r="V654" s="3">
        <f ca="1">'ETF price'!W656-'ETF price'!W655</f>
        <v>0.17999999999999972</v>
      </c>
      <c r="W654" s="3">
        <f ca="1">'ETF price'!X656-'ETF price'!X655</f>
        <v>0.38000000000000966</v>
      </c>
      <c r="X654" s="3">
        <f ca="1">'ETF price'!Y656-'ETF price'!Y655</f>
        <v>-9.9999999999994316E-2</v>
      </c>
      <c r="Y654" s="3">
        <f ca="1">'ETF price'!Z656-'ETF price'!Z655</f>
        <v>0.51999999999999602</v>
      </c>
      <c r="Z654" s="3">
        <f ca="1">'ETF price'!AA656-'ETF price'!AA655</f>
        <v>0.21000000000000085</v>
      </c>
      <c r="AA654" s="3">
        <f ca="1">'ETF price'!AB656-'ETF price'!AB655</f>
        <v>-0.25999999999999801</v>
      </c>
      <c r="AB654" s="3">
        <f ca="1">'ETF price'!AC656-'ETF price'!AC655</f>
        <v>0.64999999999999147</v>
      </c>
      <c r="AC654" s="3">
        <f ca="1">'ETF price'!AD656-'ETF price'!AD655</f>
        <v>0.25</v>
      </c>
      <c r="AD654" s="3">
        <f ca="1">'ETF price'!AE656-'ETF price'!AE655</f>
        <v>0.40000000000000213</v>
      </c>
      <c r="AE654" s="3">
        <f ca="1">'ETF price'!AF656-'ETF price'!AF655</f>
        <v>-2.0000000000000462E-2</v>
      </c>
      <c r="AF654" s="3">
        <f ca="1">'ETF price'!AG656-'ETF price'!AG655</f>
        <v>-0.75999999999999801</v>
      </c>
    </row>
    <row r="655" spans="1:32" ht="12.75" x14ac:dyDescent="0.2">
      <c r="A655" s="3">
        <f ca="1">'ETF price'!B657-'ETF price'!B656</f>
        <v>1.6800000000000068</v>
      </c>
      <c r="B655" s="3">
        <f ca="1">'ETF price'!C657-'ETF price'!C656</f>
        <v>2.7799999999999727</v>
      </c>
      <c r="C655" s="3">
        <f ca="1">'ETF price'!D657-'ETF price'!D656</f>
        <v>3.6299999999999955</v>
      </c>
      <c r="D655" s="3">
        <f ca="1">'ETF price'!E657-'ETF price'!E656</f>
        <v>1.2199999999999989</v>
      </c>
      <c r="E655" s="3">
        <f ca="1">'ETF price'!F657-'ETF price'!F656</f>
        <v>-0.35999999999999943</v>
      </c>
      <c r="F655" s="3">
        <f ca="1">'ETF price'!G657-'ETF price'!G656</f>
        <v>0.14999999999999858</v>
      </c>
      <c r="G655" s="3">
        <f ca="1">'ETF price'!H657-'ETF price'!H656</f>
        <v>-0.15000000000000213</v>
      </c>
      <c r="H655" s="3">
        <f ca="1">'ETF price'!I657-'ETF price'!I656</f>
        <v>-0.56999999999999318</v>
      </c>
      <c r="I655" s="3">
        <f ca="1">'ETF price'!J657-'ETF price'!J656</f>
        <v>-0.96000000000003638</v>
      </c>
      <c r="J655" s="3">
        <f ca="1">'ETF price'!K657-'ETF price'!K656</f>
        <v>-0.60999999999998522</v>
      </c>
      <c r="K655" s="3">
        <f ca="1">'ETF price'!L657-'ETF price'!L656</f>
        <v>0.26999999999999602</v>
      </c>
      <c r="L655" s="3">
        <f ca="1">'ETF price'!M657-'ETF price'!M656</f>
        <v>0.17000000000000171</v>
      </c>
      <c r="M655" s="3">
        <f ca="1">'ETF price'!N657-'ETF price'!N656</f>
        <v>-0.31000000000000227</v>
      </c>
      <c r="N655" s="3">
        <f ca="1">'ETF price'!O657-'ETF price'!O656</f>
        <v>-0.35999999999999943</v>
      </c>
      <c r="O655" s="3">
        <f ca="1">'ETF price'!P657-'ETF price'!P656</f>
        <v>0.43999999999999773</v>
      </c>
      <c r="P655" s="3">
        <f ca="1">'ETF price'!Q657-'ETF price'!Q656</f>
        <v>0.82999999999999829</v>
      </c>
      <c r="Q655" s="3">
        <f ca="1">'ETF price'!R657-'ETF price'!R656</f>
        <v>-0.39000000000000057</v>
      </c>
      <c r="R655" s="3">
        <f ca="1">'ETF price'!S657-'ETF price'!S656</f>
        <v>-9.9999999999980105E-3</v>
      </c>
      <c r="S655" s="3">
        <f ca="1">'ETF price'!T657-'ETF price'!T656</f>
        <v>0.30999999999999872</v>
      </c>
      <c r="T655" s="3">
        <f ca="1">'ETF price'!U657-'ETF price'!U656</f>
        <v>2.4099999999999966</v>
      </c>
      <c r="U655" s="3">
        <f ca="1">'ETF price'!V657-'ETF price'!V656</f>
        <v>-0.13000000000000256</v>
      </c>
      <c r="V655" s="3">
        <f ca="1">'ETF price'!W657-'ETF price'!W656</f>
        <v>-0.21999999999999886</v>
      </c>
      <c r="W655" s="3">
        <f ca="1">'ETF price'!X657-'ETF price'!X656</f>
        <v>-0.57000000000000739</v>
      </c>
      <c r="X655" s="3">
        <f ca="1">'ETF price'!Y657-'ETF price'!Y656</f>
        <v>-0.5</v>
      </c>
      <c r="Y655" s="3">
        <f ca="1">'ETF price'!Z657-'ETF price'!Z656</f>
        <v>-0.57999999999999829</v>
      </c>
      <c r="Z655" s="3">
        <f ca="1">'ETF price'!AA657-'ETF price'!AA656</f>
        <v>-0.25</v>
      </c>
      <c r="AA655" s="3">
        <f ca="1">'ETF price'!AB657-'ETF price'!AB656</f>
        <v>-0.55000000000000426</v>
      </c>
      <c r="AB655" s="3">
        <f ca="1">'ETF price'!AC657-'ETF price'!AC656</f>
        <v>0.76999999999999602</v>
      </c>
      <c r="AC655" s="3">
        <f ca="1">'ETF price'!AD657-'ETF price'!AD656</f>
        <v>-7.0000000000000284E-2</v>
      </c>
      <c r="AD655" s="3">
        <f ca="1">'ETF price'!AE657-'ETF price'!AE656</f>
        <v>-0.60000000000000142</v>
      </c>
      <c r="AE655" s="3">
        <f ca="1">'ETF price'!AF657-'ETF price'!AF656</f>
        <v>-0.16999999999999993</v>
      </c>
      <c r="AF655" s="3">
        <f ca="1">'ETF price'!AG657-'ETF price'!AG656</f>
        <v>-1.0300000000000011</v>
      </c>
    </row>
    <row r="656" spans="1:32" ht="12.75" x14ac:dyDescent="0.2">
      <c r="A656" s="3">
        <f ca="1">'ETF price'!B658-'ETF price'!B657</f>
        <v>6.3700000000000045</v>
      </c>
      <c r="B656" s="3">
        <f ca="1">'ETF price'!C658-'ETF price'!C657</f>
        <v>15.560000000000059</v>
      </c>
      <c r="C656" s="3">
        <f ca="1">'ETF price'!D658-'ETF price'!D657</f>
        <v>0.26999999999998181</v>
      </c>
      <c r="D656" s="3">
        <f ca="1">'ETF price'!E658-'ETF price'!E657</f>
        <v>8.6500000000000057</v>
      </c>
      <c r="E656" s="3">
        <f ca="1">'ETF price'!F658-'ETF price'!F657</f>
        <v>1.3500000000000014</v>
      </c>
      <c r="F656" s="3">
        <f ca="1">'ETF price'!G658-'ETF price'!G657</f>
        <v>0.71000000000000085</v>
      </c>
      <c r="G656" s="3">
        <f ca="1">'ETF price'!H658-'ETF price'!H657</f>
        <v>0.48000000000000043</v>
      </c>
      <c r="H656" s="3">
        <f ca="1">'ETF price'!I658-'ETF price'!I657</f>
        <v>1.8100000000000023</v>
      </c>
      <c r="I656" s="3">
        <f ca="1">'ETF price'!J658-'ETF price'!J657</f>
        <v>3.2800000000000296</v>
      </c>
      <c r="J656" s="3">
        <f ca="1">'ETF price'!K658-'ETF price'!K657</f>
        <v>1.9900000000000091</v>
      </c>
      <c r="K656" s="3">
        <f ca="1">'ETF price'!L658-'ETF price'!L657</f>
        <v>1.1400000000000006</v>
      </c>
      <c r="L656" s="3">
        <f ca="1">'ETF price'!M658-'ETF price'!M657</f>
        <v>0.79999999999999716</v>
      </c>
      <c r="M656" s="3">
        <f ca="1">'ETF price'!N658-'ETF price'!N657</f>
        <v>0.84000000000000341</v>
      </c>
      <c r="N656" s="3">
        <f ca="1">'ETF price'!O658-'ETF price'!O657</f>
        <v>0.92000000000000171</v>
      </c>
      <c r="O656" s="3">
        <f ca="1">'ETF price'!P658-'ETF price'!P657</f>
        <v>-0.86999999999999034</v>
      </c>
      <c r="P656" s="3">
        <f ca="1">'ETF price'!Q658-'ETF price'!Q657</f>
        <v>-1.1700000000000017</v>
      </c>
      <c r="Q656" s="3">
        <f ca="1">'ETF price'!R658-'ETF price'!R657</f>
        <v>0.87999999999999545</v>
      </c>
      <c r="R656" s="3">
        <f ca="1">'ETF price'!S658-'ETF price'!S657</f>
        <v>0.64999999999999858</v>
      </c>
      <c r="S656" s="3">
        <f ca="1">'ETF price'!T658-'ETF price'!T657</f>
        <v>-0.21000000000000085</v>
      </c>
      <c r="T656" s="3">
        <f ca="1">'ETF price'!U658-'ETF price'!U657</f>
        <v>-0.98999999999999488</v>
      </c>
      <c r="U656" s="3">
        <f ca="1">'ETF price'!V658-'ETF price'!V657</f>
        <v>1.3999999999999986</v>
      </c>
      <c r="V656" s="3">
        <f ca="1">'ETF price'!W658-'ETF price'!W657</f>
        <v>0.35000000000000142</v>
      </c>
      <c r="W656" s="3">
        <f ca="1">'ETF price'!X658-'ETF price'!X657</f>
        <v>1</v>
      </c>
      <c r="X656" s="3">
        <f ca="1">'ETF price'!Y658-'ETF price'!Y657</f>
        <v>0.59999999999999432</v>
      </c>
      <c r="Y656" s="3">
        <f ca="1">'ETF price'!Z658-'ETF price'!Z657</f>
        <v>0.85999999999999943</v>
      </c>
      <c r="Z656" s="3">
        <f ca="1">'ETF price'!AA658-'ETF price'!AA657</f>
        <v>0.28999999999999915</v>
      </c>
      <c r="AA656" s="3">
        <f ca="1">'ETF price'!AB658-'ETF price'!AB657</f>
        <v>0.64000000000000057</v>
      </c>
      <c r="AB656" s="3">
        <f ca="1">'ETF price'!AC658-'ETF price'!AC657</f>
        <v>0.44000000000001194</v>
      </c>
      <c r="AC656" s="3">
        <f ca="1">'ETF price'!AD658-'ETF price'!AD657</f>
        <v>0.41000000000000014</v>
      </c>
      <c r="AD656" s="3">
        <f ca="1">'ETF price'!AE658-'ETF price'!AE657</f>
        <v>0.60000000000000142</v>
      </c>
      <c r="AE656" s="3">
        <f ca="1">'ETF price'!AF658-'ETF price'!AF657</f>
        <v>0.23000000000000043</v>
      </c>
      <c r="AF656" s="3">
        <f ca="1">'ETF price'!AG658-'ETF price'!AG657</f>
        <v>-2.0000000000003126E-2</v>
      </c>
    </row>
    <row r="657" spans="1:32" ht="12.75" x14ac:dyDescent="0.2">
      <c r="A657" s="3">
        <f ca="1">'ETF price'!B659-'ETF price'!B658</f>
        <v>1.1699999999999875</v>
      </c>
      <c r="B657" s="3">
        <f ca="1">'ETF price'!C659-'ETF price'!C658</f>
        <v>2.4399999999999409</v>
      </c>
      <c r="C657" s="3">
        <f ca="1">'ETF price'!D659-'ETF price'!D658</f>
        <v>2.0200000000000102</v>
      </c>
      <c r="D657" s="3">
        <f ca="1">'ETF price'!E659-'ETF price'!E658</f>
        <v>-0.56000000000000227</v>
      </c>
      <c r="E657" s="3">
        <f ca="1">'ETF price'!F659-'ETF price'!F658</f>
        <v>0.67000000000000171</v>
      </c>
      <c r="F657" s="3">
        <f ca="1">'ETF price'!G659-'ETF price'!G658</f>
        <v>3.0000000000001137E-2</v>
      </c>
      <c r="G657" s="3">
        <f ca="1">'ETF price'!H659-'ETF price'!H658</f>
        <v>-7.9999999999998295E-2</v>
      </c>
      <c r="H657" s="3">
        <f ca="1">'ETF price'!I659-'ETF price'!I658</f>
        <v>0.53999999999999204</v>
      </c>
      <c r="I657" s="3">
        <f ca="1">'ETF price'!J659-'ETF price'!J658</f>
        <v>0.62000000000000455</v>
      </c>
      <c r="J657" s="3">
        <f ca="1">'ETF price'!K659-'ETF price'!K658</f>
        <v>-0.76000000000001933</v>
      </c>
      <c r="K657" s="3">
        <f ca="1">'ETF price'!L659-'ETF price'!L658</f>
        <v>-0.85999999999999943</v>
      </c>
      <c r="L657" s="3">
        <f ca="1">'ETF price'!M659-'ETF price'!M658</f>
        <v>-0.37999999999999545</v>
      </c>
      <c r="M657" s="3">
        <f ca="1">'ETF price'!N659-'ETF price'!N658</f>
        <v>0.24000000000000909</v>
      </c>
      <c r="N657" s="3">
        <f ca="1">'ETF price'!O659-'ETF price'!O658</f>
        <v>-1.0399999999999991</v>
      </c>
      <c r="O657" s="3">
        <f ca="1">'ETF price'!P659-'ETF price'!P658</f>
        <v>0.51999999999999602</v>
      </c>
      <c r="P657" s="3">
        <f ca="1">'ETF price'!Q659-'ETF price'!Q658</f>
        <v>0.63000000000000966</v>
      </c>
      <c r="Q657" s="3">
        <f ca="1">'ETF price'!R659-'ETF price'!R658</f>
        <v>0</v>
      </c>
      <c r="R657" s="3">
        <f ca="1">'ETF price'!S659-'ETF price'!S658</f>
        <v>-1.0200000000000031</v>
      </c>
      <c r="S657" s="3">
        <f ca="1">'ETF price'!T659-'ETF price'!T658</f>
        <v>-0.13999999999999702</v>
      </c>
      <c r="T657" s="3">
        <f ca="1">'ETF price'!U659-'ETF price'!U658</f>
        <v>-1.0499999999999972</v>
      </c>
      <c r="U657" s="3">
        <f ca="1">'ETF price'!V659-'ETF price'!V658</f>
        <v>-0.58999999999999631</v>
      </c>
      <c r="V657" s="3">
        <f ca="1">'ETF price'!W659-'ETF price'!W658</f>
        <v>0.51999999999999602</v>
      </c>
      <c r="W657" s="3">
        <f ca="1">'ETF price'!X659-'ETF price'!X658</f>
        <v>1.0600000000000023</v>
      </c>
      <c r="X657" s="3">
        <f ca="1">'ETF price'!Y659-'ETF price'!Y658</f>
        <v>-5.9999999999995168E-2</v>
      </c>
      <c r="Y657" s="3">
        <f ca="1">'ETF price'!Z659-'ETF price'!Z658</f>
        <v>1.4000000000000057</v>
      </c>
      <c r="Z657" s="3">
        <f ca="1">'ETF price'!AA659-'ETF price'!AA658</f>
        <v>0.14999999999999858</v>
      </c>
      <c r="AA657" s="3">
        <f ca="1">'ETF price'!AB659-'ETF price'!AB658</f>
        <v>-0.11999999999999744</v>
      </c>
      <c r="AB657" s="3">
        <f ca="1">'ETF price'!AC659-'ETF price'!AC658</f>
        <v>0.43999999999999773</v>
      </c>
      <c r="AC657" s="3">
        <f ca="1">'ETF price'!AD659-'ETF price'!AD658</f>
        <v>-0.39999999999999858</v>
      </c>
      <c r="AD657" s="3">
        <f ca="1">'ETF price'!AE659-'ETF price'!AE658</f>
        <v>-0.66000000000000014</v>
      </c>
      <c r="AE657" s="3">
        <f ca="1">'ETF price'!AF659-'ETF price'!AF658</f>
        <v>-0.21999999999999975</v>
      </c>
      <c r="AF657" s="3">
        <f ca="1">'ETF price'!AG659-'ETF price'!AG658</f>
        <v>-0.52999999999999403</v>
      </c>
    </row>
    <row r="658" spans="1:32" ht="12.75" x14ac:dyDescent="0.2">
      <c r="A658" s="3">
        <f ca="1">'ETF price'!B660-'ETF price'!B659</f>
        <v>6.1800000000000068</v>
      </c>
      <c r="B658" s="3">
        <f ca="1">'ETF price'!C660-'ETF price'!C659</f>
        <v>14.970000000000027</v>
      </c>
      <c r="C658" s="3">
        <f ca="1">'ETF price'!D660-'ETF price'!D659</f>
        <v>-0.46999999999999886</v>
      </c>
      <c r="D658" s="3">
        <f ca="1">'ETF price'!E660-'ETF price'!E659</f>
        <v>10.629999999999995</v>
      </c>
      <c r="E658" s="3">
        <f ca="1">'ETF price'!F660-'ETF price'!F659</f>
        <v>1.0999999999999943</v>
      </c>
      <c r="F658" s="3">
        <f ca="1">'ETF price'!G660-'ETF price'!G659</f>
        <v>0.35999999999999943</v>
      </c>
      <c r="G658" s="3">
        <f ca="1">'ETF price'!H660-'ETF price'!H659</f>
        <v>0.54999999999999716</v>
      </c>
      <c r="H658" s="3">
        <f ca="1">'ETF price'!I660-'ETF price'!I659</f>
        <v>0.95000000000001705</v>
      </c>
      <c r="I658" s="3">
        <f ca="1">'ETF price'!J660-'ETF price'!J659</f>
        <v>2.3699999999999477</v>
      </c>
      <c r="J658" s="3">
        <f ca="1">'ETF price'!K660-'ETF price'!K659</f>
        <v>2.1599999999999966</v>
      </c>
      <c r="K658" s="3">
        <f ca="1">'ETF price'!L660-'ETF price'!L659</f>
        <v>1.6199999999999903</v>
      </c>
      <c r="L658" s="3">
        <f ca="1">'ETF price'!M660-'ETF price'!M659</f>
        <v>0.92000000000000171</v>
      </c>
      <c r="M658" s="3">
        <f ca="1">'ETF price'!N660-'ETF price'!N659</f>
        <v>0.5</v>
      </c>
      <c r="N658" s="3">
        <f ca="1">'ETF price'!O660-'ETF price'!O659</f>
        <v>1.269999999999996</v>
      </c>
      <c r="O658" s="3">
        <f ca="1">'ETF price'!P660-'ETF price'!P659</f>
        <v>1.0699999999999932</v>
      </c>
      <c r="P658" s="3">
        <f ca="1">'ETF price'!Q660-'ETF price'!Q659</f>
        <v>1.6700000000000017</v>
      </c>
      <c r="Q658" s="3">
        <f ca="1">'ETF price'!R660-'ETF price'!R659</f>
        <v>1.4099999999999966</v>
      </c>
      <c r="R658" s="3">
        <f ca="1">'ETF price'!S660-'ETF price'!S659</f>
        <v>1.1499999999999986</v>
      </c>
      <c r="S658" s="3">
        <f ca="1">'ETF price'!T660-'ETF price'!T659</f>
        <v>0.17999999999999972</v>
      </c>
      <c r="T658" s="3">
        <f ca="1">'ETF price'!U660-'ETF price'!U659</f>
        <v>0.81999999999999318</v>
      </c>
      <c r="U658" s="3">
        <f ca="1">'ETF price'!V660-'ETF price'!V659</f>
        <v>1.0399999999999991</v>
      </c>
      <c r="V658" s="3">
        <f ca="1">'ETF price'!W660-'ETF price'!W659</f>
        <v>0.40000000000000568</v>
      </c>
      <c r="W658" s="3">
        <f ca="1">'ETF price'!X660-'ETF price'!X659</f>
        <v>1.269999999999996</v>
      </c>
      <c r="X658" s="3">
        <f ca="1">'ETF price'!Y660-'ETF price'!Y659</f>
        <v>1.0899999999999963</v>
      </c>
      <c r="Y658" s="3">
        <f ca="1">'ETF price'!Z660-'ETF price'!Z659</f>
        <v>0.86999999999999034</v>
      </c>
      <c r="Z658" s="3">
        <f ca="1">'ETF price'!AA660-'ETF price'!AA659</f>
        <v>-0.11999999999999744</v>
      </c>
      <c r="AA658" s="3">
        <f ca="1">'ETF price'!AB660-'ETF price'!AB659</f>
        <v>1.2100000000000009</v>
      </c>
      <c r="AB658" s="3">
        <f ca="1">'ETF price'!AC660-'ETF price'!AC659</f>
        <v>-0.31000000000000227</v>
      </c>
      <c r="AC658" s="3">
        <f ca="1">'ETF price'!AD660-'ETF price'!AD659</f>
        <v>-0.62000000000000099</v>
      </c>
      <c r="AD658" s="3">
        <f ca="1">'ETF price'!AE660-'ETF price'!AE659</f>
        <v>-0.58000000000000185</v>
      </c>
      <c r="AE658" s="3">
        <f ca="1">'ETF price'!AF660-'ETF price'!AF659</f>
        <v>9.9999999999997868E-3</v>
      </c>
      <c r="AF658" s="3">
        <f ca="1">'ETF price'!AG660-'ETF price'!AG659</f>
        <v>1.3099999999999952</v>
      </c>
    </row>
    <row r="659" spans="1:32" ht="12.75" x14ac:dyDescent="0.2">
      <c r="A659" s="3">
        <f ca="1">'ETF price'!B661-'ETF price'!B660</f>
        <v>0.37000000000000455</v>
      </c>
      <c r="B659" s="3">
        <f ca="1">'ETF price'!C661-'ETF price'!C660</f>
        <v>1.32000000000005</v>
      </c>
      <c r="C659" s="3">
        <f ca="1">'ETF price'!D661-'ETF price'!D660</f>
        <v>0.85999999999998522</v>
      </c>
      <c r="D659" s="3">
        <f ca="1">'ETF price'!E661-'ETF price'!E660</f>
        <v>-0.49000000000000909</v>
      </c>
      <c r="E659" s="3">
        <f ca="1">'ETF price'!F661-'ETF price'!F660</f>
        <v>0.29000000000000625</v>
      </c>
      <c r="F659" s="3">
        <f ca="1">'ETF price'!G661-'ETF price'!G660</f>
        <v>0.21999999999999886</v>
      </c>
      <c r="G659" s="3">
        <f ca="1">'ETF price'!H661-'ETF price'!H660</f>
        <v>8.0000000000001847E-2</v>
      </c>
      <c r="H659" s="3">
        <f ca="1">'ETF price'!I661-'ETF price'!I660</f>
        <v>0.15999999999999659</v>
      </c>
      <c r="I659" s="3">
        <f ca="1">'ETF price'!J661-'ETF price'!J660</f>
        <v>0.16000000000002501</v>
      </c>
      <c r="J659" s="3">
        <f ca="1">'ETF price'!K661-'ETF price'!K660</f>
        <v>-9.9999999999994316E-2</v>
      </c>
      <c r="K659" s="3">
        <f ca="1">'ETF price'!L661-'ETF price'!L660</f>
        <v>6.0000000000002274E-2</v>
      </c>
      <c r="L659" s="3">
        <f ca="1">'ETF price'!M661-'ETF price'!M660</f>
        <v>-9.0000000000003411E-2</v>
      </c>
      <c r="M659" s="3">
        <f ca="1">'ETF price'!N661-'ETF price'!N660</f>
        <v>6.9999999999993179E-2</v>
      </c>
      <c r="N659" s="3">
        <f ca="1">'ETF price'!O661-'ETF price'!O660</f>
        <v>0.28999999999999915</v>
      </c>
      <c r="O659" s="3">
        <f ca="1">'ETF price'!P661-'ETF price'!P660</f>
        <v>-9.9999999999994316E-2</v>
      </c>
      <c r="P659" s="3">
        <f ca="1">'ETF price'!Q661-'ETF price'!Q660</f>
        <v>-9.0000000000003411E-2</v>
      </c>
      <c r="Q659" s="3">
        <f ca="1">'ETF price'!R661-'ETF price'!R660</f>
        <v>0.10999999999999943</v>
      </c>
      <c r="R659" s="3">
        <f ca="1">'ETF price'!S661-'ETF price'!S660</f>
        <v>0.39000000000000057</v>
      </c>
      <c r="S659" s="3">
        <f ca="1">'ETF price'!T661-'ETF price'!T660</f>
        <v>-0.14000000000000057</v>
      </c>
      <c r="T659" s="3">
        <f ca="1">'ETF price'!U661-'ETF price'!U660</f>
        <v>-1.0900000000000034</v>
      </c>
      <c r="U659" s="3">
        <f ca="1">'ETF price'!V661-'ETF price'!V660</f>
        <v>-0.40999999999999659</v>
      </c>
      <c r="V659" s="3">
        <f ca="1">'ETF price'!W661-'ETF price'!W660</f>
        <v>0.32000000000000028</v>
      </c>
      <c r="W659" s="3">
        <f ca="1">'ETF price'!X661-'ETF price'!X660</f>
        <v>0.68000000000000682</v>
      </c>
      <c r="X659" s="3">
        <f ca="1">'ETF price'!Y661-'ETF price'!Y660</f>
        <v>0.75</v>
      </c>
      <c r="Y659" s="3">
        <f ca="1">'ETF price'!Z661-'ETF price'!Z660</f>
        <v>0.70000000000000284</v>
      </c>
      <c r="Z659" s="3">
        <f ca="1">'ETF price'!AA661-'ETF price'!AA660</f>
        <v>-2.0000000000003126E-2</v>
      </c>
      <c r="AA659" s="3">
        <f ca="1">'ETF price'!AB661-'ETF price'!AB660</f>
        <v>0.87999999999999545</v>
      </c>
      <c r="AB659" s="3">
        <f ca="1">'ETF price'!AC661-'ETF price'!AC660</f>
        <v>-0.15000000000000568</v>
      </c>
      <c r="AC659" s="3">
        <f ca="1">'ETF price'!AD661-'ETF price'!AD660</f>
        <v>0.64999999999999858</v>
      </c>
      <c r="AD659" s="3">
        <f ca="1">'ETF price'!AE661-'ETF price'!AE660</f>
        <v>0.89000000000000057</v>
      </c>
      <c r="AE659" s="3">
        <f ca="1">'ETF price'!AF661-'ETF price'!AF660</f>
        <v>4.0000000000000036E-2</v>
      </c>
      <c r="AF659" s="3">
        <f ca="1">'ETF price'!AG661-'ETF price'!AG660</f>
        <v>1.6200000000000045</v>
      </c>
    </row>
    <row r="660" spans="1:32" ht="12.75" x14ac:dyDescent="0.2">
      <c r="A660" s="3">
        <f ca="1">'ETF price'!B662-'ETF price'!B661</f>
        <v>3.6500000000000057</v>
      </c>
      <c r="B660" s="3">
        <f ca="1">'ETF price'!C662-'ETF price'!C661</f>
        <v>7.9800000000000182</v>
      </c>
      <c r="C660" s="3">
        <f ca="1">'ETF price'!D662-'ETF price'!D661</f>
        <v>-3.0299999999999727</v>
      </c>
      <c r="D660" s="3">
        <f ca="1">'ETF price'!E662-'ETF price'!E661</f>
        <v>3.9300000000000068</v>
      </c>
      <c r="E660" s="3">
        <f ca="1">'ETF price'!F662-'ETF price'!F661</f>
        <v>0.76000000000000512</v>
      </c>
      <c r="F660" s="3">
        <f ca="1">'ETF price'!G662-'ETF price'!G661</f>
        <v>0.57000000000000028</v>
      </c>
      <c r="G660" s="3">
        <f ca="1">'ETF price'!H662-'ETF price'!H661</f>
        <v>0.37999999999999901</v>
      </c>
      <c r="H660" s="3">
        <f ca="1">'ETF price'!I662-'ETF price'!I661</f>
        <v>0.93000000000000682</v>
      </c>
      <c r="I660" s="3">
        <f ca="1">'ETF price'!J662-'ETF price'!J661</f>
        <v>2.2099999999999795</v>
      </c>
      <c r="J660" s="3">
        <f ca="1">'ETF price'!K662-'ETF price'!K661</f>
        <v>2.9500000000000171</v>
      </c>
      <c r="K660" s="3">
        <f ca="1">'ETF price'!L662-'ETF price'!L661</f>
        <v>3.0799999999999983</v>
      </c>
      <c r="L660" s="3">
        <f ca="1">'ETF price'!M662-'ETF price'!M661</f>
        <v>1.9899999999999949</v>
      </c>
      <c r="M660" s="3">
        <f ca="1">'ETF price'!N662-'ETF price'!N661</f>
        <v>0.62000000000000455</v>
      </c>
      <c r="N660" s="3">
        <f ca="1">'ETF price'!O662-'ETF price'!O661</f>
        <v>0.84000000000000341</v>
      </c>
      <c r="O660" s="3">
        <f ca="1">'ETF price'!P662-'ETF price'!P661</f>
        <v>0.60999999999999943</v>
      </c>
      <c r="P660" s="3">
        <f ca="1">'ETF price'!Q662-'ETF price'!Q661</f>
        <v>0.75</v>
      </c>
      <c r="Q660" s="3">
        <f ca="1">'ETF price'!R662-'ETF price'!R661</f>
        <v>0.43000000000000682</v>
      </c>
      <c r="R660" s="3">
        <f ca="1">'ETF price'!S662-'ETF price'!S661</f>
        <v>0.55000000000000426</v>
      </c>
      <c r="S660" s="3">
        <f ca="1">'ETF price'!T662-'ETF price'!T661</f>
        <v>-0.12000000000000099</v>
      </c>
      <c r="T660" s="3">
        <f ca="1">'ETF price'!U662-'ETF price'!U661</f>
        <v>-1.9399999999999977</v>
      </c>
      <c r="U660" s="3">
        <f ca="1">'ETF price'!V662-'ETF price'!V661</f>
        <v>0.89999999999999858</v>
      </c>
      <c r="V660" s="3">
        <f ca="1">'ETF price'!W662-'ETF price'!W661</f>
        <v>0.23999999999999488</v>
      </c>
      <c r="W660" s="3">
        <f ca="1">'ETF price'!X662-'ETF price'!X661</f>
        <v>0.70000000000000284</v>
      </c>
      <c r="X660" s="3">
        <f ca="1">'ETF price'!Y662-'ETF price'!Y661</f>
        <v>0.46999999999999886</v>
      </c>
      <c r="Y660" s="3">
        <f ca="1">'ETF price'!Z662-'ETF price'!Z661</f>
        <v>0.68999999999999773</v>
      </c>
      <c r="Z660" s="3">
        <f ca="1">'ETF price'!AA662-'ETF price'!AA661</f>
        <v>0.25</v>
      </c>
      <c r="AA660" s="3">
        <f ca="1">'ETF price'!AB662-'ETF price'!AB661</f>
        <v>0.63000000000000256</v>
      </c>
      <c r="AB660" s="3">
        <f ca="1">'ETF price'!AC662-'ETF price'!AC661</f>
        <v>0.29999999999999716</v>
      </c>
      <c r="AC660" s="3">
        <f ca="1">'ETF price'!AD662-'ETF price'!AD661</f>
        <v>-0.18999999999999773</v>
      </c>
      <c r="AD660" s="3">
        <f ca="1">'ETF price'!AE662-'ETF price'!AE661</f>
        <v>-0.25</v>
      </c>
      <c r="AE660" s="3">
        <f ca="1">'ETF price'!AF662-'ETF price'!AF661</f>
        <v>-8.0000000000000071E-2</v>
      </c>
      <c r="AF660" s="3">
        <f ca="1">'ETF price'!AG662-'ETF price'!AG661</f>
        <v>1.0700000000000003</v>
      </c>
    </row>
    <row r="661" spans="1:32" ht="12.75" x14ac:dyDescent="0.2">
      <c r="A661" s="3">
        <f ca="1">'ETF price'!B663-'ETF price'!B662</f>
        <v>-0.79000000000002046</v>
      </c>
      <c r="B661" s="3">
        <f ca="1">'ETF price'!C663-'ETF price'!C662</f>
        <v>-1.9400000000000546</v>
      </c>
      <c r="C661" s="3">
        <f ca="1">'ETF price'!D663-'ETF price'!D662</f>
        <v>2.0199999999999818</v>
      </c>
      <c r="D661" s="3">
        <f ca="1">'ETF price'!E663-'ETF price'!E662</f>
        <v>-3.1099999999999852</v>
      </c>
      <c r="E661" s="3">
        <f ca="1">'ETF price'!F663-'ETF price'!F662</f>
        <v>0.27999999999998693</v>
      </c>
      <c r="F661" s="3">
        <f ca="1">'ETF price'!G663-'ETF price'!G662</f>
        <v>-0.17000000000000171</v>
      </c>
      <c r="G661" s="3">
        <f ca="1">'ETF price'!H663-'ETF price'!H662</f>
        <v>-0.23000000000000043</v>
      </c>
      <c r="H661" s="3">
        <f ca="1">'ETF price'!I663-'ETF price'!I662</f>
        <v>0.61999999999997613</v>
      </c>
      <c r="I661" s="3">
        <f ca="1">'ETF price'!J663-'ETF price'!J662</f>
        <v>0.74000000000000909</v>
      </c>
      <c r="J661" s="3">
        <f ca="1">'ETF price'!K663-'ETF price'!K662</f>
        <v>-0.42000000000001592</v>
      </c>
      <c r="K661" s="3">
        <f ca="1">'ETF price'!L663-'ETF price'!L662</f>
        <v>-1.9999999999996021E-2</v>
      </c>
      <c r="L661" s="3">
        <f ca="1">'ETF price'!M663-'ETF price'!M662</f>
        <v>-0.14999999999999147</v>
      </c>
      <c r="M661" s="3">
        <f ca="1">'ETF price'!N663-'ETF price'!N662</f>
        <v>0.20000000000000284</v>
      </c>
      <c r="N661" s="3">
        <f ca="1">'ETF price'!O663-'ETF price'!O662</f>
        <v>-0.35999999999999943</v>
      </c>
      <c r="O661" s="3">
        <f ca="1">'ETF price'!P663-'ETF price'!P662</f>
        <v>-2.3999999999999915</v>
      </c>
      <c r="P661" s="3">
        <f ca="1">'ETF price'!Q663-'ETF price'!Q662</f>
        <v>-3.2199999999999989</v>
      </c>
      <c r="Q661" s="3">
        <f ca="1">'ETF price'!R663-'ETF price'!R662</f>
        <v>-0.32999999999999829</v>
      </c>
      <c r="R661" s="3">
        <f ca="1">'ETF price'!S663-'ETF price'!S662</f>
        <v>-0.50999999999999801</v>
      </c>
      <c r="S661" s="3">
        <f ca="1">'ETF price'!T663-'ETF price'!T662</f>
        <v>-8.9999999999999858E-2</v>
      </c>
      <c r="T661" s="3">
        <f ca="1">'ETF price'!U663-'ETF price'!U662</f>
        <v>-0.54999999999999716</v>
      </c>
      <c r="U661" s="3">
        <f ca="1">'ETF price'!V663-'ETF price'!V662</f>
        <v>-0.85999999999999943</v>
      </c>
      <c r="V661" s="3">
        <f ca="1">'ETF price'!W663-'ETF price'!W662</f>
        <v>-0.14000000000000057</v>
      </c>
      <c r="W661" s="3">
        <f ca="1">'ETF price'!X663-'ETF price'!X662</f>
        <v>-0.57000000000000739</v>
      </c>
      <c r="X661" s="3">
        <f ca="1">'ETF price'!Y663-'ETF price'!Y662</f>
        <v>-0.83999999999999631</v>
      </c>
      <c r="Y661" s="3">
        <f ca="1">'ETF price'!Z663-'ETF price'!Z662</f>
        <v>-0.57999999999999829</v>
      </c>
      <c r="Z661" s="3">
        <f ca="1">'ETF price'!AA663-'ETF price'!AA662</f>
        <v>3.9999999999999147E-2</v>
      </c>
      <c r="AA661" s="3">
        <f ca="1">'ETF price'!AB663-'ETF price'!AB662</f>
        <v>-1.0399999999999991</v>
      </c>
      <c r="AB661" s="3">
        <f ca="1">'ETF price'!AC663-'ETF price'!AC662</f>
        <v>0.85000000000000853</v>
      </c>
      <c r="AC661" s="3">
        <f ca="1">'ETF price'!AD663-'ETF price'!AD662</f>
        <v>3.9999999999999147E-2</v>
      </c>
      <c r="AD661" s="3">
        <f ca="1">'ETF price'!AE663-'ETF price'!AE662</f>
        <v>0.15000000000000213</v>
      </c>
      <c r="AE661" s="3">
        <f ca="1">'ETF price'!AF663-'ETF price'!AF662</f>
        <v>0.17999999999999972</v>
      </c>
      <c r="AF661" s="3">
        <f ca="1">'ETF price'!AG663-'ETF price'!AG662</f>
        <v>0.34999999999999432</v>
      </c>
    </row>
    <row r="662" spans="1:32" ht="12.75" x14ac:dyDescent="0.2">
      <c r="A662" s="3">
        <f ca="1">'ETF price'!B664-'ETF price'!B663</f>
        <v>1.3200000000000216</v>
      </c>
      <c r="B662" s="3">
        <f ca="1">'ETF price'!C664-'ETF price'!C663</f>
        <v>3.2899999999999636</v>
      </c>
      <c r="C662" s="3">
        <f ca="1">'ETF price'!D664-'ETF price'!D663</f>
        <v>-1.4199999999999875</v>
      </c>
      <c r="D662" s="3">
        <f ca="1">'ETF price'!E664-'ETF price'!E663</f>
        <v>3.289999999999992</v>
      </c>
      <c r="E662" s="3">
        <f ca="1">'ETF price'!F664-'ETF price'!F663</f>
        <v>0.26000000000000512</v>
      </c>
      <c r="F662" s="3">
        <f ca="1">'ETF price'!G664-'ETF price'!G663</f>
        <v>0.74000000000000199</v>
      </c>
      <c r="G662" s="3">
        <f ca="1">'ETF price'!H664-'ETF price'!H663</f>
        <v>0.31000000000000227</v>
      </c>
      <c r="H662" s="3">
        <f ca="1">'ETF price'!I664-'ETF price'!I663</f>
        <v>0.26000000000001933</v>
      </c>
      <c r="I662" s="3">
        <f ca="1">'ETF price'!J664-'ETF price'!J663</f>
        <v>1.0500000000000114</v>
      </c>
      <c r="J662" s="3">
        <f ca="1">'ETF price'!K664-'ETF price'!K663</f>
        <v>0.77000000000001023</v>
      </c>
      <c r="K662" s="3">
        <f ca="1">'ETF price'!L664-'ETF price'!L663</f>
        <v>0.98999999999999488</v>
      </c>
      <c r="L662" s="3">
        <f ca="1">'ETF price'!M664-'ETF price'!M663</f>
        <v>0.31000000000000227</v>
      </c>
      <c r="M662" s="3">
        <f ca="1">'ETF price'!N664-'ETF price'!N663</f>
        <v>0.25</v>
      </c>
      <c r="N662" s="3">
        <f ca="1">'ETF price'!O664-'ETF price'!O663</f>
        <v>0.64000000000000057</v>
      </c>
      <c r="O662" s="3">
        <f ca="1">'ETF price'!P664-'ETF price'!P663</f>
        <v>0.14999999999999147</v>
      </c>
      <c r="P662" s="3">
        <f ca="1">'ETF price'!Q664-'ETF price'!Q663</f>
        <v>-4.0000000000006253E-2</v>
      </c>
      <c r="Q662" s="3">
        <f ca="1">'ETF price'!R664-'ETF price'!R663</f>
        <v>1.039999999999992</v>
      </c>
      <c r="R662" s="3">
        <f ca="1">'ETF price'!S664-'ETF price'!S663</f>
        <v>0.98999999999999488</v>
      </c>
      <c r="S662" s="3">
        <f ca="1">'ETF price'!T664-'ETF price'!T663</f>
        <v>-0.10999999999999943</v>
      </c>
      <c r="T662" s="3">
        <f ca="1">'ETF price'!U664-'ETF price'!U663</f>
        <v>-1.230000000000004</v>
      </c>
      <c r="U662" s="3">
        <f ca="1">'ETF price'!V664-'ETF price'!V663</f>
        <v>0.39000000000000057</v>
      </c>
      <c r="V662" s="3">
        <f ca="1">'ETF price'!W664-'ETF price'!W663</f>
        <v>-7.0000000000000284E-2</v>
      </c>
      <c r="W662" s="3">
        <f ca="1">'ETF price'!X664-'ETF price'!X663</f>
        <v>-3.0000000000001137E-2</v>
      </c>
      <c r="X662" s="3">
        <f ca="1">'ETF price'!Y664-'ETF price'!Y663</f>
        <v>0.17999999999999972</v>
      </c>
      <c r="Y662" s="3">
        <f ca="1">'ETF price'!Z664-'ETF price'!Z663</f>
        <v>0</v>
      </c>
      <c r="Z662" s="3">
        <f ca="1">'ETF price'!AA664-'ETF price'!AA663</f>
        <v>0.14000000000000057</v>
      </c>
      <c r="AA662" s="3">
        <f ca="1">'ETF price'!AB664-'ETF price'!AB663</f>
        <v>0.32000000000000028</v>
      </c>
      <c r="AB662" s="3">
        <f ca="1">'ETF price'!AC664-'ETF price'!AC663</f>
        <v>0.14000000000000057</v>
      </c>
      <c r="AC662" s="3">
        <f ca="1">'ETF price'!AD664-'ETF price'!AD663</f>
        <v>0.41999999999999815</v>
      </c>
      <c r="AD662" s="3">
        <f ca="1">'ETF price'!AE664-'ETF price'!AE663</f>
        <v>0.67999999999999972</v>
      </c>
      <c r="AE662" s="3">
        <f ca="1">'ETF price'!AF664-'ETF price'!AF663</f>
        <v>-3.0000000000000249E-2</v>
      </c>
      <c r="AF662" s="3">
        <f ca="1">'ETF price'!AG664-'ETF price'!AG663</f>
        <v>1.8200000000000003</v>
      </c>
    </row>
    <row r="663" spans="1:32" ht="12.75" x14ac:dyDescent="0.2">
      <c r="A663" s="3">
        <f ca="1">'ETF price'!B665-'ETF price'!B664</f>
        <v>-5.1900000000000261</v>
      </c>
      <c r="B663" s="3">
        <f ca="1">'ETF price'!C665-'ETF price'!C664</f>
        <v>-12.17999999999995</v>
      </c>
      <c r="C663" s="3">
        <f ca="1">'ETF price'!D665-'ETF price'!D664</f>
        <v>0.62000000000000455</v>
      </c>
      <c r="D663" s="3">
        <f ca="1">'ETF price'!E665-'ETF price'!E664</f>
        <v>-8.039999999999992</v>
      </c>
      <c r="E663" s="3">
        <f ca="1">'ETF price'!F665-'ETF price'!F664</f>
        <v>-0.68999999999999773</v>
      </c>
      <c r="F663" s="3">
        <f ca="1">'ETF price'!G665-'ETF price'!G664</f>
        <v>-0.51000000000000156</v>
      </c>
      <c r="G663" s="3">
        <f ca="1">'ETF price'!H665-'ETF price'!H664</f>
        <v>-0.26999999999999957</v>
      </c>
      <c r="H663" s="3">
        <f ca="1">'ETF price'!I665-'ETF price'!I664</f>
        <v>9.9999999999994316E-2</v>
      </c>
      <c r="I663" s="3">
        <f ca="1">'ETF price'!J665-'ETF price'!J664</f>
        <v>-0.36000000000001364</v>
      </c>
      <c r="J663" s="3">
        <f ca="1">'ETF price'!K665-'ETF price'!K664</f>
        <v>-1.7000000000000171</v>
      </c>
      <c r="K663" s="3">
        <f ca="1">'ETF price'!L665-'ETF price'!L664</f>
        <v>-1.6799999999999926</v>
      </c>
      <c r="L663" s="3">
        <f ca="1">'ETF price'!M665-'ETF price'!M664</f>
        <v>-1.0300000000000011</v>
      </c>
      <c r="M663" s="3">
        <f ca="1">'ETF price'!N665-'ETF price'!N664</f>
        <v>-0.15000000000000568</v>
      </c>
      <c r="N663" s="3">
        <f ca="1">'ETF price'!O665-'ETF price'!O664</f>
        <v>-1.240000000000002</v>
      </c>
      <c r="O663" s="3">
        <f ca="1">'ETF price'!P665-'ETF price'!P664</f>
        <v>0.23000000000000398</v>
      </c>
      <c r="P663" s="3">
        <f ca="1">'ETF price'!Q665-'ETF price'!Q664</f>
        <v>0.25</v>
      </c>
      <c r="Q663" s="3">
        <f ca="1">'ETF price'!R665-'ETF price'!R664</f>
        <v>-0.18999999999999773</v>
      </c>
      <c r="R663" s="3">
        <f ca="1">'ETF price'!S665-'ETF price'!S664</f>
        <v>-1.1499999999999986</v>
      </c>
      <c r="S663" s="3">
        <f ca="1">'ETF price'!T665-'ETF price'!T664</f>
        <v>-1.9999999999999574E-2</v>
      </c>
      <c r="T663" s="3">
        <f ca="1">'ETF price'!U665-'ETF price'!U664</f>
        <v>0.98000000000000398</v>
      </c>
      <c r="U663" s="3">
        <f ca="1">'ETF price'!V665-'ETF price'!V664</f>
        <v>-1.0500000000000043</v>
      </c>
      <c r="V663" s="3">
        <f ca="1">'ETF price'!W665-'ETF price'!W664</f>
        <v>0.25</v>
      </c>
      <c r="W663" s="3">
        <f ca="1">'ETF price'!X665-'ETF price'!X664</f>
        <v>0.43000000000000682</v>
      </c>
      <c r="X663" s="3">
        <f ca="1">'ETF price'!Y665-'ETF price'!Y664</f>
        <v>0.21999999999999886</v>
      </c>
      <c r="Y663" s="3">
        <f ca="1">'ETF price'!Z665-'ETF price'!Z664</f>
        <v>0.54000000000000625</v>
      </c>
      <c r="Z663" s="3">
        <f ca="1">'ETF price'!AA665-'ETF price'!AA664</f>
        <v>0.25999999999999801</v>
      </c>
      <c r="AA663" s="3">
        <f ca="1">'ETF price'!AB665-'ETF price'!AB664</f>
        <v>0.15999999999999659</v>
      </c>
      <c r="AB663" s="3">
        <f ca="1">'ETF price'!AC665-'ETF price'!AC664</f>
        <v>0.28000000000000114</v>
      </c>
      <c r="AC663" s="3">
        <f ca="1">'ETF price'!AD665-'ETF price'!AD664</f>
        <v>-0.29999999999999716</v>
      </c>
      <c r="AD663" s="3">
        <f ca="1">'ETF price'!AE665-'ETF price'!AE664</f>
        <v>-0.42999999999999972</v>
      </c>
      <c r="AE663" s="3">
        <f ca="1">'ETF price'!AF665-'ETF price'!AF664</f>
        <v>0.27000000000000046</v>
      </c>
      <c r="AF663" s="3">
        <f ca="1">'ETF price'!AG665-'ETF price'!AG664</f>
        <v>-1.6599999999999966</v>
      </c>
    </row>
    <row r="664" spans="1:32" ht="12.75" x14ac:dyDescent="0.2">
      <c r="A664" s="3">
        <f ca="1">'ETF price'!B666-'ETF price'!B665</f>
        <v>3.5700000000000216</v>
      </c>
      <c r="B664" s="3">
        <f ca="1">'ETF price'!C666-'ETF price'!C665</f>
        <v>10.149999999999977</v>
      </c>
      <c r="C664" s="3">
        <f ca="1">'ETF price'!D666-'ETF price'!D665</f>
        <v>-1.8700000000000045</v>
      </c>
      <c r="D664" s="3">
        <f ca="1">'ETF price'!E666-'ETF price'!E665</f>
        <v>6.089999999999975</v>
      </c>
      <c r="E664" s="3">
        <f ca="1">'ETF price'!F666-'ETF price'!F665</f>
        <v>0.82999999999999829</v>
      </c>
      <c r="F664" s="3">
        <f ca="1">'ETF price'!G666-'ETF price'!G665</f>
        <v>0.74000000000000199</v>
      </c>
      <c r="G664" s="3">
        <f ca="1">'ETF price'!H666-'ETF price'!H665</f>
        <v>0.4599999999999973</v>
      </c>
      <c r="H664" s="3">
        <f ca="1">'ETF price'!I666-'ETF price'!I665</f>
        <v>0.66999999999998749</v>
      </c>
      <c r="I664" s="3">
        <f ca="1">'ETF price'!J666-'ETF price'!J665</f>
        <v>1.8199999999999932</v>
      </c>
      <c r="J664" s="3">
        <f ca="1">'ETF price'!K666-'ETF price'!K665</f>
        <v>1.5</v>
      </c>
      <c r="K664" s="3">
        <f ca="1">'ETF price'!L666-'ETF price'!L665</f>
        <v>1.3700000000000045</v>
      </c>
      <c r="L664" s="3">
        <f ca="1">'ETF price'!M666-'ETF price'!M665</f>
        <v>0.75999999999999091</v>
      </c>
      <c r="M664" s="3">
        <f ca="1">'ETF price'!N666-'ETF price'!N665</f>
        <v>0.51000000000000512</v>
      </c>
      <c r="N664" s="3">
        <f ca="1">'ETF price'!O666-'ETF price'!O665</f>
        <v>0.84000000000000341</v>
      </c>
      <c r="O664" s="3">
        <f ca="1">'ETF price'!P666-'ETF price'!P665</f>
        <v>1.3299999999999983</v>
      </c>
      <c r="P664" s="3">
        <f ca="1">'ETF price'!Q666-'ETF price'!Q665</f>
        <v>2.1000000000000085</v>
      </c>
      <c r="Q664" s="3">
        <f ca="1">'ETF price'!R666-'ETF price'!R665</f>
        <v>1.210000000000008</v>
      </c>
      <c r="R664" s="3">
        <f ca="1">'ETF price'!S666-'ETF price'!S665</f>
        <v>1.3699999999999974</v>
      </c>
      <c r="S664" s="3">
        <f ca="1">'ETF price'!T666-'ETF price'!T665</f>
        <v>0.39000000000000057</v>
      </c>
      <c r="T664" s="3">
        <f ca="1">'ETF price'!U666-'ETF price'!U665</f>
        <v>1.9699999999999989</v>
      </c>
      <c r="U664" s="3">
        <f ca="1">'ETF price'!V666-'ETF price'!V665</f>
        <v>2.0900000000000034</v>
      </c>
      <c r="V664" s="3">
        <f ca="1">'ETF price'!W666-'ETF price'!W665</f>
        <v>0.38000000000000256</v>
      </c>
      <c r="W664" s="3">
        <f ca="1">'ETF price'!X666-'ETF price'!X665</f>
        <v>1.289999999999992</v>
      </c>
      <c r="X664" s="3">
        <f ca="1">'ETF price'!Y666-'ETF price'!Y665</f>
        <v>2.1899999999999977</v>
      </c>
      <c r="Y664" s="3">
        <f ca="1">'ETF price'!Z666-'ETF price'!Z665</f>
        <v>1.1499999999999915</v>
      </c>
      <c r="Z664" s="3">
        <f ca="1">'ETF price'!AA666-'ETF price'!AA665</f>
        <v>0.82000000000000028</v>
      </c>
      <c r="AA664" s="3">
        <f ca="1">'ETF price'!AB666-'ETF price'!AB665</f>
        <v>2.7899999999999991</v>
      </c>
      <c r="AB664" s="3">
        <f ca="1">'ETF price'!AC666-'ETF price'!AC665</f>
        <v>0.14000000000000057</v>
      </c>
      <c r="AC664" s="3">
        <f ca="1">'ETF price'!AD666-'ETF price'!AD665</f>
        <v>0.88999999999999702</v>
      </c>
      <c r="AD664" s="3">
        <f ca="1">'ETF price'!AE666-'ETF price'!AE665</f>
        <v>1.0899999999999999</v>
      </c>
      <c r="AE664" s="3">
        <f ca="1">'ETF price'!AF666-'ETF price'!AF665</f>
        <v>-0.19000000000000039</v>
      </c>
      <c r="AF664" s="3">
        <f ca="1">'ETF price'!AG666-'ETF price'!AG665</f>
        <v>3.0600000000000023</v>
      </c>
    </row>
    <row r="665" spans="1:32" ht="12.75" x14ac:dyDescent="0.2">
      <c r="A665" s="3">
        <f ca="1">'ETF price'!B667-'ETF price'!B666</f>
        <v>-2.8100000000000023</v>
      </c>
      <c r="B665" s="3">
        <f ca="1">'ETF price'!C667-'ETF price'!C666</f>
        <v>-5.4900000000000091</v>
      </c>
      <c r="C665" s="3">
        <f ca="1">'ETF price'!D667-'ETF price'!D666</f>
        <v>-0.59999999999999432</v>
      </c>
      <c r="D665" s="3">
        <f ca="1">'ETF price'!E667-'ETF price'!E666</f>
        <v>-5.8599999999999852</v>
      </c>
      <c r="E665" s="3">
        <f ca="1">'ETF price'!F667-'ETF price'!F666</f>
        <v>-0.51999999999999602</v>
      </c>
      <c r="F665" s="3">
        <f ca="1">'ETF price'!G667-'ETF price'!G666</f>
        <v>-0.38000000000000256</v>
      </c>
      <c r="G665" s="3">
        <f ca="1">'ETF price'!H667-'ETF price'!H666</f>
        <v>-8.9999999999999858E-2</v>
      </c>
      <c r="H665" s="3">
        <f ca="1">'ETF price'!I667-'ETF price'!I666</f>
        <v>-7.9999999999984084E-2</v>
      </c>
      <c r="I665" s="3">
        <f ca="1">'ETF price'!J667-'ETF price'!J666</f>
        <v>-0.43999999999999773</v>
      </c>
      <c r="J665" s="3">
        <f ca="1">'ETF price'!K667-'ETF price'!K666</f>
        <v>-6.9999999999993179E-2</v>
      </c>
      <c r="K665" s="3">
        <f ca="1">'ETF price'!L667-'ETF price'!L666</f>
        <v>0.18999999999999773</v>
      </c>
      <c r="L665" s="3">
        <f ca="1">'ETF price'!M667-'ETF price'!M666</f>
        <v>-4.9999999999997158E-2</v>
      </c>
      <c r="M665" s="3">
        <f ca="1">'ETF price'!N667-'ETF price'!N666</f>
        <v>-6.0000000000002274E-2</v>
      </c>
      <c r="N665" s="3">
        <f ca="1">'ETF price'!O667-'ETF price'!O666</f>
        <v>-0.12000000000000455</v>
      </c>
      <c r="O665" s="3">
        <f ca="1">'ETF price'!P667-'ETF price'!P666</f>
        <v>0.81000000000000227</v>
      </c>
      <c r="P665" s="3">
        <f ca="1">'ETF price'!Q667-'ETF price'!Q666</f>
        <v>1.1899999999999977</v>
      </c>
      <c r="Q665" s="3">
        <f ca="1">'ETF price'!R667-'ETF price'!R666</f>
        <v>0.40999999999999659</v>
      </c>
      <c r="R665" s="3">
        <f ca="1">'ETF price'!S667-'ETF price'!S666</f>
        <v>0.17000000000000171</v>
      </c>
      <c r="S665" s="3">
        <f ca="1">'ETF price'!T667-'ETF price'!T666</f>
        <v>0.22999999999999687</v>
      </c>
      <c r="T665" s="3">
        <f ca="1">'ETF price'!U667-'ETF price'!U666</f>
        <v>2.2800000000000011</v>
      </c>
      <c r="U665" s="3">
        <f ca="1">'ETF price'!V667-'ETF price'!V666</f>
        <v>-0.49000000000000199</v>
      </c>
      <c r="V665" s="3">
        <f ca="1">'ETF price'!W667-'ETF price'!W666</f>
        <v>0.14000000000000057</v>
      </c>
      <c r="W665" s="3">
        <f ca="1">'ETF price'!X667-'ETF price'!X666</f>
        <v>0.28000000000000114</v>
      </c>
      <c r="X665" s="3">
        <f ca="1">'ETF price'!Y667-'ETF price'!Y666</f>
        <v>-0.26999999999999602</v>
      </c>
      <c r="Y665" s="3">
        <f ca="1">'ETF price'!Z667-'ETF price'!Z666</f>
        <v>0.32000000000000739</v>
      </c>
      <c r="Z665" s="3">
        <f ca="1">'ETF price'!AA667-'ETF price'!AA666</f>
        <v>-2.9999999999994031E-2</v>
      </c>
      <c r="AA665" s="3">
        <f ca="1">'ETF price'!AB667-'ETF price'!AB666</f>
        <v>-0.42999999999999972</v>
      </c>
      <c r="AB665" s="3">
        <f ca="1">'ETF price'!AC667-'ETF price'!AC666</f>
        <v>0.53000000000000114</v>
      </c>
      <c r="AC665" s="3">
        <f ca="1">'ETF price'!AD667-'ETF price'!AD666</f>
        <v>-0.25999999999999801</v>
      </c>
      <c r="AD665" s="3">
        <f ca="1">'ETF price'!AE667-'ETF price'!AE666</f>
        <v>-0.11000000000000298</v>
      </c>
      <c r="AE665" s="3">
        <f ca="1">'ETF price'!AF667-'ETF price'!AF666</f>
        <v>0.19000000000000039</v>
      </c>
      <c r="AF665" s="3">
        <f ca="1">'ETF price'!AG667-'ETF price'!AG666</f>
        <v>-1.0200000000000031</v>
      </c>
    </row>
    <row r="666" spans="1:32" ht="12.75" x14ac:dyDescent="0.2">
      <c r="A666" s="3">
        <f ca="1">'ETF price'!B668-'ETF price'!B667</f>
        <v>1.3400000000000034</v>
      </c>
      <c r="B666" s="3">
        <f ca="1">'ETF price'!C668-'ETF price'!C667</f>
        <v>2.6800000000000637</v>
      </c>
      <c r="C666" s="3">
        <f ca="1">'ETF price'!D668-'ETF price'!D667</f>
        <v>1.6499999999999773</v>
      </c>
      <c r="D666" s="3">
        <f ca="1">'ETF price'!E668-'ETF price'!E667</f>
        <v>2.5200000000000102</v>
      </c>
      <c r="E666" s="3">
        <f ca="1">'ETF price'!F668-'ETF price'!F667</f>
        <v>0.20999999999999375</v>
      </c>
      <c r="F666" s="3">
        <f ca="1">'ETF price'!G668-'ETF price'!G667</f>
        <v>0.20000000000000284</v>
      </c>
      <c r="G666" s="3">
        <f ca="1">'ETF price'!H668-'ETF price'!H667</f>
        <v>0.13000000000000256</v>
      </c>
      <c r="H666" s="3">
        <f ca="1">'ETF price'!I668-'ETF price'!I667</f>
        <v>0.24000000000000909</v>
      </c>
      <c r="I666" s="3">
        <f ca="1">'ETF price'!J668-'ETF price'!J667</f>
        <v>0.54000000000002046</v>
      </c>
      <c r="J666" s="3">
        <f ca="1">'ETF price'!K668-'ETF price'!K667</f>
        <v>-9.9999999999909051E-3</v>
      </c>
      <c r="K666" s="3">
        <f ca="1">'ETF price'!L668-'ETF price'!L667</f>
        <v>-0.63000000000000966</v>
      </c>
      <c r="L666" s="3">
        <f ca="1">'ETF price'!M668-'ETF price'!M667</f>
        <v>0.13000000000000966</v>
      </c>
      <c r="M666" s="3">
        <f ca="1">'ETF price'!N668-'ETF price'!N667</f>
        <v>1.9999999999996021E-2</v>
      </c>
      <c r="N666" s="3">
        <f ca="1">'ETF price'!O668-'ETF price'!O667</f>
        <v>-0.15999999999999659</v>
      </c>
      <c r="O666" s="3">
        <f ca="1">'ETF price'!P668-'ETF price'!P667</f>
        <v>-0.85000000000000853</v>
      </c>
      <c r="P666" s="3">
        <f ca="1">'ETF price'!Q668-'ETF price'!Q667</f>
        <v>-1.2199999999999989</v>
      </c>
      <c r="Q666" s="3">
        <f ca="1">'ETF price'!R668-'ETF price'!R667</f>
        <v>1.0000000000005116E-2</v>
      </c>
      <c r="R666" s="3">
        <f ca="1">'ETF price'!S668-'ETF price'!S667</f>
        <v>0.25</v>
      </c>
      <c r="S666" s="3">
        <f ca="1">'ETF price'!T668-'ETF price'!T667</f>
        <v>-0.10999999999999943</v>
      </c>
      <c r="T666" s="3">
        <f ca="1">'ETF price'!U668-'ETF price'!U667</f>
        <v>-1.3400000000000034</v>
      </c>
      <c r="U666" s="3">
        <f ca="1">'ETF price'!V668-'ETF price'!V667</f>
        <v>-0.14999999999999858</v>
      </c>
      <c r="V666" s="3">
        <f ca="1">'ETF price'!W668-'ETF price'!W667</f>
        <v>0.22999999999999687</v>
      </c>
      <c r="W666" s="3">
        <f ca="1">'ETF price'!X668-'ETF price'!X667</f>
        <v>0.34000000000000341</v>
      </c>
      <c r="X666" s="3">
        <f ca="1">'ETF price'!Y668-'ETF price'!Y667</f>
        <v>-0.39000000000000057</v>
      </c>
      <c r="Y666" s="3">
        <f ca="1">'ETF price'!Z668-'ETF price'!Z667</f>
        <v>0.23999999999999488</v>
      </c>
      <c r="Z666" s="3">
        <f ca="1">'ETF price'!AA668-'ETF price'!AA667</f>
        <v>0.10999999999999943</v>
      </c>
      <c r="AA666" s="3">
        <f ca="1">'ETF price'!AB668-'ETF price'!AB667</f>
        <v>-0.54999999999999716</v>
      </c>
      <c r="AB666" s="3">
        <f ca="1">'ETF price'!AC668-'ETF price'!AC667</f>
        <v>0.75</v>
      </c>
      <c r="AC666" s="3">
        <f ca="1">'ETF price'!AD668-'ETF price'!AD667</f>
        <v>-0.46999999999999886</v>
      </c>
      <c r="AD666" s="3">
        <f ca="1">'ETF price'!AE668-'ETF price'!AE667</f>
        <v>-0.40999999999999659</v>
      </c>
      <c r="AE666" s="3">
        <f ca="1">'ETF price'!AF668-'ETF price'!AF667</f>
        <v>-4.9999999999999822E-2</v>
      </c>
      <c r="AF666" s="3">
        <f ca="1">'ETF price'!AG668-'ETF price'!AG667</f>
        <v>-1.6899999999999977</v>
      </c>
    </row>
    <row r="667" spans="1:32" ht="12.75" x14ac:dyDescent="0.2">
      <c r="A667" s="3">
        <f ca="1">'ETF price'!B669-'ETF price'!B668</f>
        <v>-3.0700000000000216</v>
      </c>
      <c r="B667" s="3">
        <f ca="1">'ETF price'!C669-'ETF price'!C668</f>
        <v>-7.6100000000000136</v>
      </c>
      <c r="C667" s="3">
        <f ca="1">'ETF price'!D669-'ETF price'!D668</f>
        <v>-6.1799999999999784</v>
      </c>
      <c r="D667" s="3">
        <f ca="1">'ETF price'!E669-'ETF price'!E668</f>
        <v>-4.1500000000000057</v>
      </c>
      <c r="E667" s="3">
        <f ca="1">'ETF price'!F669-'ETF price'!F668</f>
        <v>-0.50999999999999091</v>
      </c>
      <c r="F667" s="3">
        <f ca="1">'ETF price'!G669-'ETF price'!G668</f>
        <v>-0.38000000000000256</v>
      </c>
      <c r="G667" s="3">
        <f ca="1">'ETF price'!H669-'ETF price'!H668</f>
        <v>-0.28000000000000114</v>
      </c>
      <c r="H667" s="3">
        <f ca="1">'ETF price'!I669-'ETF price'!I668</f>
        <v>0.1799999999999784</v>
      </c>
      <c r="I667" s="3">
        <f ca="1">'ETF price'!J669-'ETF price'!J668</f>
        <v>-8.9999999999974989E-2</v>
      </c>
      <c r="J667" s="3">
        <f ca="1">'ETF price'!K669-'ETF price'!K668</f>
        <v>-9.0000000000003411E-2</v>
      </c>
      <c r="K667" s="3">
        <f ca="1">'ETF price'!L669-'ETF price'!L668</f>
        <v>-0.52999999999998693</v>
      </c>
      <c r="L667" s="3">
        <f ca="1">'ETF price'!M669-'ETF price'!M668</f>
        <v>-0.28000000000000114</v>
      </c>
      <c r="M667" s="3">
        <f ca="1">'ETF price'!N669-'ETF price'!N668</f>
        <v>4.9999999999997158E-2</v>
      </c>
      <c r="N667" s="3">
        <f ca="1">'ETF price'!O669-'ETF price'!O668</f>
        <v>-0.32000000000000028</v>
      </c>
      <c r="O667" s="3">
        <f ca="1">'ETF price'!P669-'ETF price'!P668</f>
        <v>-0.57999999999999829</v>
      </c>
      <c r="P667" s="3">
        <f ca="1">'ETF price'!Q669-'ETF price'!Q668</f>
        <v>-0.87000000000000455</v>
      </c>
      <c r="Q667" s="3">
        <f ca="1">'ETF price'!R669-'ETF price'!R668</f>
        <v>-0.40000000000000568</v>
      </c>
      <c r="R667" s="3">
        <f ca="1">'ETF price'!S669-'ETF price'!S668</f>
        <v>-1.1299999999999955</v>
      </c>
      <c r="S667" s="3">
        <f ca="1">'ETF price'!T669-'ETF price'!T668</f>
        <v>-0.26999999999999957</v>
      </c>
      <c r="T667" s="3">
        <f ca="1">'ETF price'!U669-'ETF price'!U668</f>
        <v>-1.0099999999999909</v>
      </c>
      <c r="U667" s="3">
        <f ca="1">'ETF price'!V669-'ETF price'!V668</f>
        <v>-0.60999999999999943</v>
      </c>
      <c r="V667" s="3">
        <f ca="1">'ETF price'!W669-'ETF price'!W668</f>
        <v>0.10999999999999943</v>
      </c>
      <c r="W667" s="3">
        <f ca="1">'ETF price'!X669-'ETF price'!X668</f>
        <v>0.29000000000000625</v>
      </c>
      <c r="X667" s="3">
        <f ca="1">'ETF price'!Y669-'ETF price'!Y668</f>
        <v>0.42000000000000171</v>
      </c>
      <c r="Y667" s="3">
        <f ca="1">'ETF price'!Z669-'ETF price'!Z668</f>
        <v>0.34000000000000341</v>
      </c>
      <c r="Z667" s="3">
        <f ca="1">'ETF price'!AA669-'ETF price'!AA668</f>
        <v>-0.15000000000000568</v>
      </c>
      <c r="AA667" s="3">
        <f ca="1">'ETF price'!AB669-'ETF price'!AB668</f>
        <v>0.49000000000000199</v>
      </c>
      <c r="AB667" s="3">
        <f ca="1">'ETF price'!AC669-'ETF price'!AC668</f>
        <v>-0.71999999999999886</v>
      </c>
      <c r="AC667" s="3">
        <f ca="1">'ETF price'!AD669-'ETF price'!AD668</f>
        <v>-0.65000000000000213</v>
      </c>
      <c r="AD667" s="3">
        <f ca="1">'ETF price'!AE669-'ETF price'!AE668</f>
        <v>-1.0700000000000003</v>
      </c>
      <c r="AE667" s="3">
        <f ca="1">'ETF price'!AF669-'ETF price'!AF668</f>
        <v>0.17999999999999972</v>
      </c>
      <c r="AF667" s="3">
        <f ca="1">'ETF price'!AG669-'ETF price'!AG668</f>
        <v>-2.2899999999999991</v>
      </c>
    </row>
    <row r="668" spans="1:32" ht="12.75" x14ac:dyDescent="0.2">
      <c r="A668" s="3">
        <f ca="1">'ETF price'!B670-'ETF price'!B669</f>
        <v>-1.9799999999999898</v>
      </c>
      <c r="B668" s="3">
        <f ca="1">'ETF price'!C670-'ETF price'!C669</f>
        <v>-1.5199999999999818</v>
      </c>
      <c r="C668" s="3">
        <f ca="1">'ETF price'!D670-'ETF price'!D669</f>
        <v>-0.54000000000002046</v>
      </c>
      <c r="D668" s="3">
        <f ca="1">'ETF price'!E670-'ETF price'!E669</f>
        <v>-0.65000000000000568</v>
      </c>
      <c r="E668" s="3">
        <f ca="1">'ETF price'!F670-'ETF price'!F669</f>
        <v>0.19999999999998863</v>
      </c>
      <c r="F668" s="3">
        <f ca="1">'ETF price'!G670-'ETF price'!G669</f>
        <v>8.9999999999999858E-2</v>
      </c>
      <c r="G668" s="3">
        <f ca="1">'ETF price'!H670-'ETF price'!H669</f>
        <v>0.12999999999999901</v>
      </c>
      <c r="H668" s="3">
        <f ca="1">'ETF price'!I670-'ETF price'!I669</f>
        <v>0.33000000000001251</v>
      </c>
      <c r="I668" s="3">
        <f ca="1">'ETF price'!J670-'ETF price'!J669</f>
        <v>1.0600000000000023</v>
      </c>
      <c r="J668" s="3">
        <f ca="1">'ETF price'!K670-'ETF price'!K669</f>
        <v>0.5</v>
      </c>
      <c r="K668" s="3">
        <f ca="1">'ETF price'!L670-'ETF price'!L669</f>
        <v>0.36999999999999034</v>
      </c>
      <c r="L668" s="3">
        <f ca="1">'ETF price'!M670-'ETF price'!M669</f>
        <v>0.67999999999999261</v>
      </c>
      <c r="M668" s="3">
        <f ca="1">'ETF price'!N670-'ETF price'!N669</f>
        <v>0.26999999999999602</v>
      </c>
      <c r="N668" s="3">
        <f ca="1">'ETF price'!O670-'ETF price'!O669</f>
        <v>0.35999999999999943</v>
      </c>
      <c r="O668" s="3">
        <f ca="1">'ETF price'!P670-'ETF price'!P669</f>
        <v>1.1700000000000017</v>
      </c>
      <c r="P668" s="3">
        <f ca="1">'ETF price'!Q670-'ETF price'!Q669</f>
        <v>1.6200000000000045</v>
      </c>
      <c r="Q668" s="3">
        <f ca="1">'ETF price'!R670-'ETF price'!R669</f>
        <v>0.51000000000000512</v>
      </c>
      <c r="R668" s="3">
        <f ca="1">'ETF price'!S670-'ETF price'!S669</f>
        <v>0.72999999999999687</v>
      </c>
      <c r="S668" s="3">
        <f ca="1">'ETF price'!T670-'ETF price'!T669</f>
        <v>0.25</v>
      </c>
      <c r="T668" s="3">
        <f ca="1">'ETF price'!U670-'ETF price'!U669</f>
        <v>1.289999999999992</v>
      </c>
      <c r="U668" s="3">
        <f ca="1">'ETF price'!V670-'ETF price'!V669</f>
        <v>-0.14000000000000057</v>
      </c>
      <c r="V668" s="3">
        <f ca="1">'ETF price'!W670-'ETF price'!W669</f>
        <v>0.40000000000000568</v>
      </c>
      <c r="W668" s="3">
        <f ca="1">'ETF price'!X670-'ETF price'!X669</f>
        <v>0.85999999999999943</v>
      </c>
      <c r="X668" s="3">
        <f ca="1">'ETF price'!Y670-'ETF price'!Y669</f>
        <v>0.12999999999999545</v>
      </c>
      <c r="Y668" s="3">
        <f ca="1">'ETF price'!Z670-'ETF price'!Z669</f>
        <v>0.59000000000000341</v>
      </c>
      <c r="Z668" s="3">
        <f ca="1">'ETF price'!AA670-'ETF price'!AA669</f>
        <v>-0.1699999999999946</v>
      </c>
      <c r="AA668" s="3">
        <f ca="1">'ETF price'!AB670-'ETF price'!AB669</f>
        <v>0.15999999999999659</v>
      </c>
      <c r="AB668" s="3">
        <f ca="1">'ETF price'!AC670-'ETF price'!AC669</f>
        <v>-9.0000000000003411E-2</v>
      </c>
      <c r="AC668" s="3">
        <f ca="1">'ETF price'!AD670-'ETF price'!AD669</f>
        <v>0.10000000000000142</v>
      </c>
      <c r="AD668" s="3">
        <f ca="1">'ETF price'!AE670-'ETF price'!AE669</f>
        <v>0.10999999999999943</v>
      </c>
      <c r="AE668" s="3">
        <f ca="1">'ETF price'!AF670-'ETF price'!AF669</f>
        <v>-0.11000000000000032</v>
      </c>
      <c r="AF668" s="3">
        <f ca="1">'ETF price'!AG670-'ETF price'!AG669</f>
        <v>0.36999999999999744</v>
      </c>
    </row>
    <row r="669" spans="1:32" ht="12.75" x14ac:dyDescent="0.2">
      <c r="A669" s="3">
        <f ca="1">'ETF price'!B671-'ETF price'!B670</f>
        <v>2.8900000000000148</v>
      </c>
      <c r="B669" s="3">
        <f ca="1">'ETF price'!C671-'ETF price'!C670</f>
        <v>5.8999999999999773</v>
      </c>
      <c r="C669" s="3">
        <f ca="1">'ETF price'!D671-'ETF price'!D670</f>
        <v>0</v>
      </c>
      <c r="D669" s="3">
        <f ca="1">'ETF price'!E671-'ETF price'!E670</f>
        <v>5.8899999999999864</v>
      </c>
      <c r="E669" s="3">
        <f ca="1">'ETF price'!F671-'ETF price'!F670</f>
        <v>0.48000000000000398</v>
      </c>
      <c r="F669" s="3">
        <f ca="1">'ETF price'!G671-'ETF price'!G670</f>
        <v>0.16000000000000014</v>
      </c>
      <c r="G669" s="3">
        <f ca="1">'ETF price'!H671-'ETF price'!H670</f>
        <v>5.9999999999998721E-2</v>
      </c>
      <c r="H669" s="3">
        <f ca="1">'ETF price'!I671-'ETF price'!I670</f>
        <v>1.0799999999999841</v>
      </c>
      <c r="I669" s="3">
        <f ca="1">'ETF price'!J671-'ETF price'!J670</f>
        <v>1.6299999999999955</v>
      </c>
      <c r="J669" s="3">
        <f ca="1">'ETF price'!K671-'ETF price'!K670</f>
        <v>-0.11000000000001364</v>
      </c>
      <c r="K669" s="3">
        <f ca="1">'ETF price'!L671-'ETF price'!L670</f>
        <v>0.35000000000000853</v>
      </c>
      <c r="L669" s="3">
        <f ca="1">'ETF price'!M671-'ETF price'!M670</f>
        <v>4.0000000000006253E-2</v>
      </c>
      <c r="M669" s="3">
        <f ca="1">'ETF price'!N671-'ETF price'!N670</f>
        <v>0.35000000000000853</v>
      </c>
      <c r="N669" s="3">
        <f ca="1">'ETF price'!O671-'ETF price'!O670</f>
        <v>-0.43999999999999773</v>
      </c>
      <c r="O669" s="3">
        <f ca="1">'ETF price'!P671-'ETF price'!P670</f>
        <v>0.34000000000000341</v>
      </c>
      <c r="P669" s="3">
        <f ca="1">'ETF price'!Q671-'ETF price'!Q670</f>
        <v>0.34000000000000341</v>
      </c>
      <c r="Q669" s="3">
        <f ca="1">'ETF price'!R671-'ETF price'!R670</f>
        <v>1.019999999999996</v>
      </c>
      <c r="R669" s="3">
        <f ca="1">'ETF price'!S671-'ETF price'!S670</f>
        <v>2.0000000000003126E-2</v>
      </c>
      <c r="S669" s="3">
        <f ca="1">'ETF price'!T671-'ETF price'!T670</f>
        <v>-0.25</v>
      </c>
      <c r="T669" s="3">
        <f ca="1">'ETF price'!U671-'ETF price'!U670</f>
        <v>-2.4299999999999926</v>
      </c>
      <c r="U669" s="3">
        <f ca="1">'ETF price'!V671-'ETF price'!V670</f>
        <v>0.5</v>
      </c>
      <c r="V669" s="3">
        <f ca="1">'ETF price'!W671-'ETF price'!W670</f>
        <v>0.42999999999999972</v>
      </c>
      <c r="W669" s="3">
        <f ca="1">'ETF price'!X671-'ETF price'!X670</f>
        <v>1.0599999999999881</v>
      </c>
      <c r="X669" s="3">
        <f ca="1">'ETF price'!Y671-'ETF price'!Y670</f>
        <v>0.49000000000000199</v>
      </c>
      <c r="Y669" s="3">
        <f ca="1">'ETF price'!Z671-'ETF price'!Z670</f>
        <v>1.1499999999999915</v>
      </c>
      <c r="Z669" s="3">
        <f ca="1">'ETF price'!AA671-'ETF price'!AA670</f>
        <v>0.4199999999999946</v>
      </c>
      <c r="AA669" s="3">
        <f ca="1">'ETF price'!AB671-'ETF price'!AB670</f>
        <v>0.42999999999999972</v>
      </c>
      <c r="AB669" s="3">
        <f ca="1">'ETF price'!AC671-'ETF price'!AC670</f>
        <v>-0.76000000000000512</v>
      </c>
      <c r="AC669" s="3">
        <f ca="1">'ETF price'!AD671-'ETF price'!AD670</f>
        <v>-0.14000000000000057</v>
      </c>
      <c r="AD669" s="3">
        <f ca="1">'ETF price'!AE671-'ETF price'!AE670</f>
        <v>-0.21000000000000085</v>
      </c>
      <c r="AE669" s="3">
        <f ca="1">'ETF price'!AF671-'ETF price'!AF670</f>
        <v>-0.25999999999999979</v>
      </c>
      <c r="AF669" s="3">
        <f ca="1">'ETF price'!AG671-'ETF price'!AG670</f>
        <v>-0.86999999999999744</v>
      </c>
    </row>
    <row r="670" spans="1:32" ht="12.75" x14ac:dyDescent="0.2">
      <c r="A670" s="3">
        <f ca="1">'ETF price'!B672-'ETF price'!B671</f>
        <v>-10.120000000000005</v>
      </c>
      <c r="B670" s="3">
        <f ca="1">'ETF price'!C672-'ETF price'!C671</f>
        <v>-25.279999999999973</v>
      </c>
      <c r="C670" s="3">
        <f ca="1">'ETF price'!D672-'ETF price'!D671</f>
        <v>-3.3400000000000034</v>
      </c>
      <c r="D670" s="3">
        <f ca="1">'ETF price'!E672-'ETF price'!E671</f>
        <v>-17.639999999999986</v>
      </c>
      <c r="E670" s="3">
        <f ca="1">'ETF price'!F672-'ETF price'!F671</f>
        <v>-1.519999999999996</v>
      </c>
      <c r="F670" s="3">
        <f ca="1">'ETF price'!G672-'ETF price'!G671</f>
        <v>-1.389999999999997</v>
      </c>
      <c r="G670" s="3">
        <f ca="1">'ETF price'!H672-'ETF price'!H671</f>
        <v>-0.71999999999999886</v>
      </c>
      <c r="H670" s="3">
        <f ca="1">'ETF price'!I672-'ETF price'!I671</f>
        <v>-0.29999999999998295</v>
      </c>
      <c r="I670" s="3">
        <f ca="1">'ETF price'!J672-'ETF price'!J671</f>
        <v>-1.1500000000000341</v>
      </c>
      <c r="J670" s="3">
        <f ca="1">'ETF price'!K672-'ETF price'!K671</f>
        <v>-2.5099999999999909</v>
      </c>
      <c r="K670" s="3">
        <f ca="1">'ETF price'!L672-'ETF price'!L671</f>
        <v>-2.6000000000000085</v>
      </c>
      <c r="L670" s="3">
        <f ca="1">'ETF price'!M672-'ETF price'!M671</f>
        <v>-1.6200000000000045</v>
      </c>
      <c r="M670" s="3">
        <f ca="1">'ETF price'!N672-'ETF price'!N671</f>
        <v>-0.21999999999999886</v>
      </c>
      <c r="N670" s="3">
        <f ca="1">'ETF price'!O672-'ETF price'!O671</f>
        <v>-1.240000000000002</v>
      </c>
      <c r="O670" s="3">
        <f ca="1">'ETF price'!P672-'ETF price'!P671</f>
        <v>-2.269999999999996</v>
      </c>
      <c r="P670" s="3">
        <f ca="1">'ETF price'!Q672-'ETF price'!Q671</f>
        <v>-3.480000000000004</v>
      </c>
      <c r="Q670" s="3">
        <f ca="1">'ETF price'!R672-'ETF price'!R671</f>
        <v>-2.1400000000000006</v>
      </c>
      <c r="R670" s="3">
        <f ca="1">'ETF price'!S672-'ETF price'!S671</f>
        <v>-3.6200000000000045</v>
      </c>
      <c r="S670" s="3">
        <f ca="1">'ETF price'!T672-'ETF price'!T671</f>
        <v>-0.43999999999999773</v>
      </c>
      <c r="T670" s="3">
        <f ca="1">'ETF price'!U672-'ETF price'!U671</f>
        <v>-3.25</v>
      </c>
      <c r="U670" s="3">
        <f ca="1">'ETF price'!V672-'ETF price'!V671</f>
        <v>-1.4600000000000009</v>
      </c>
      <c r="V670" s="3">
        <f ca="1">'ETF price'!W672-'ETF price'!W671</f>
        <v>-0.34000000000000341</v>
      </c>
      <c r="W670" s="3">
        <f ca="1">'ETF price'!X672-'ETF price'!X671</f>
        <v>-1.0999999999999943</v>
      </c>
      <c r="X670" s="3">
        <f ca="1">'ETF price'!Y672-'ETF price'!Y671</f>
        <v>-0.72999999999999687</v>
      </c>
      <c r="Y670" s="3">
        <f ca="1">'ETF price'!Z672-'ETF price'!Z671</f>
        <v>-1.1299999999999955</v>
      </c>
      <c r="Z670" s="3">
        <f ca="1">'ETF price'!AA672-'ETF price'!AA671</f>
        <v>0.10000000000000142</v>
      </c>
      <c r="AA670" s="3">
        <f ca="1">'ETF price'!AB672-'ETF price'!AB671</f>
        <v>-0.73999999999999488</v>
      </c>
      <c r="AB670" s="3">
        <f ca="1">'ETF price'!AC672-'ETF price'!AC671</f>
        <v>-1.1899999999999977</v>
      </c>
      <c r="AC670" s="3">
        <f ca="1">'ETF price'!AD672-'ETF price'!AD671</f>
        <v>-0.29000000000000092</v>
      </c>
      <c r="AD670" s="3">
        <f ca="1">'ETF price'!AE672-'ETF price'!AE671</f>
        <v>-1.4100000000000001</v>
      </c>
      <c r="AE670" s="3">
        <f ca="1">'ETF price'!AF672-'ETF price'!AF671</f>
        <v>-1.9999999999999574E-2</v>
      </c>
      <c r="AF670" s="3">
        <f ca="1">'ETF price'!AG672-'ETF price'!AG671</f>
        <v>-4.2700000000000031</v>
      </c>
    </row>
    <row r="671" spans="1:32" ht="12.75" x14ac:dyDescent="0.2">
      <c r="A671" s="3">
        <f ca="1">'ETF price'!B673-'ETF price'!B672</f>
        <v>-0.54000000000002046</v>
      </c>
      <c r="B671" s="3">
        <f ca="1">'ETF price'!C673-'ETF price'!C672</f>
        <v>-1.1800000000000637</v>
      </c>
      <c r="C671" s="3">
        <f ca="1">'ETF price'!D673-'ETF price'!D672</f>
        <v>1.710000000000008</v>
      </c>
      <c r="D671" s="3">
        <f ca="1">'ETF price'!E673-'ETF price'!E672</f>
        <v>0.69999999999998863</v>
      </c>
      <c r="E671" s="3">
        <f ca="1">'ETF price'!F673-'ETF price'!F672</f>
        <v>-0.71999999999999886</v>
      </c>
      <c r="F671" s="3">
        <f ca="1">'ETF price'!G673-'ETF price'!G672</f>
        <v>-0.20000000000000284</v>
      </c>
      <c r="G671" s="3">
        <f ca="1">'ETF price'!H673-'ETF price'!H672</f>
        <v>7.0000000000000284E-2</v>
      </c>
      <c r="H671" s="3">
        <f ca="1">'ETF price'!I673-'ETF price'!I672</f>
        <v>-0.27000000000001023</v>
      </c>
      <c r="I671" s="3">
        <f ca="1">'ETF price'!J673-'ETF price'!J672</f>
        <v>-0.45999999999997954</v>
      </c>
      <c r="J671" s="3">
        <f ca="1">'ETF price'!K673-'ETF price'!K672</f>
        <v>-0.15999999999999659</v>
      </c>
      <c r="K671" s="3">
        <f ca="1">'ETF price'!L673-'ETF price'!L672</f>
        <v>-0.14000000000000057</v>
      </c>
      <c r="L671" s="3">
        <f ca="1">'ETF price'!M673-'ETF price'!M672</f>
        <v>-0.32999999999999829</v>
      </c>
      <c r="M671" s="3">
        <f ca="1">'ETF price'!N673-'ETF price'!N672</f>
        <v>-0.18999999999999773</v>
      </c>
      <c r="N671" s="3">
        <f ca="1">'ETF price'!O673-'ETF price'!O672</f>
        <v>-0.39999999999999858</v>
      </c>
      <c r="O671" s="3">
        <f ca="1">'ETF price'!P673-'ETF price'!P672</f>
        <v>-1.230000000000004</v>
      </c>
      <c r="P671" s="3">
        <f ca="1">'ETF price'!Q673-'ETF price'!Q672</f>
        <v>-1.8100000000000023</v>
      </c>
      <c r="Q671" s="3">
        <f ca="1">'ETF price'!R673-'ETF price'!R672</f>
        <v>-0.37999999999999545</v>
      </c>
      <c r="R671" s="3">
        <f ca="1">'ETF price'!S673-'ETF price'!S672</f>
        <v>-0.44999999999999574</v>
      </c>
      <c r="S671" s="3">
        <f ca="1">'ETF price'!T673-'ETF price'!T672</f>
        <v>-0.16000000000000014</v>
      </c>
      <c r="T671" s="3">
        <f ca="1">'ETF price'!U673-'ETF price'!U672</f>
        <v>-1.480000000000004</v>
      </c>
      <c r="U671" s="3">
        <f ca="1">'ETF price'!V673-'ETF price'!V672</f>
        <v>0.46000000000000085</v>
      </c>
      <c r="V671" s="3">
        <f ca="1">'ETF price'!W673-'ETF price'!W672</f>
        <v>5.0000000000004263E-2</v>
      </c>
      <c r="W671" s="3">
        <f ca="1">'ETF price'!X673-'ETF price'!X672</f>
        <v>-0.14000000000000057</v>
      </c>
      <c r="X671" s="3">
        <f ca="1">'ETF price'!Y673-'ETF price'!Y672</f>
        <v>-0.47000000000000597</v>
      </c>
      <c r="Y671" s="3">
        <f ca="1">'ETF price'!Z673-'ETF price'!Z672</f>
        <v>-0.12000000000000455</v>
      </c>
      <c r="Z671" s="3">
        <f ca="1">'ETF price'!AA673-'ETF price'!AA672</f>
        <v>0.10000000000000142</v>
      </c>
      <c r="AA671" s="3">
        <f ca="1">'ETF price'!AB673-'ETF price'!AB672</f>
        <v>-0.69000000000000483</v>
      </c>
      <c r="AB671" s="3">
        <f ca="1">'ETF price'!AC673-'ETF price'!AC672</f>
        <v>0.95999999999999375</v>
      </c>
      <c r="AC671" s="3">
        <f ca="1">'ETF price'!AD673-'ETF price'!AD672</f>
        <v>1.0000000000001563E-2</v>
      </c>
      <c r="AD671" s="3">
        <f ca="1">'ETF price'!AE673-'ETF price'!AE672</f>
        <v>3.0000000000001137E-2</v>
      </c>
      <c r="AE671" s="3">
        <f ca="1">'ETF price'!AF673-'ETF price'!AF672</f>
        <v>-1.0000000000000675E-2</v>
      </c>
      <c r="AF671" s="3">
        <f ca="1">'ETF price'!AG673-'ETF price'!AG672</f>
        <v>7.0000000000000284E-2</v>
      </c>
    </row>
    <row r="672" spans="1:32" ht="12.75" x14ac:dyDescent="0.2">
      <c r="A672" s="3">
        <f ca="1">'ETF price'!B674-'ETF price'!B673</f>
        <v>-0.31999999999999318</v>
      </c>
      <c r="B672" s="3">
        <f ca="1">'ETF price'!C674-'ETF price'!C673</f>
        <v>-1.2200000000000273</v>
      </c>
      <c r="C672" s="3">
        <f ca="1">'ETF price'!D674-'ETF price'!D673</f>
        <v>1.539999999999992</v>
      </c>
      <c r="D672" s="3">
        <f ca="1">'ETF price'!E674-'ETF price'!E673</f>
        <v>-1.1499999999999773</v>
      </c>
      <c r="E672" s="3">
        <f ca="1">'ETF price'!F674-'ETF price'!F673</f>
        <v>-0.46999999999999886</v>
      </c>
      <c r="F672" s="3">
        <f ca="1">'ETF price'!G674-'ETF price'!G673</f>
        <v>-3.9999999999999147E-2</v>
      </c>
      <c r="G672" s="3">
        <f ca="1">'ETF price'!H674-'ETF price'!H673</f>
        <v>-7.0000000000000284E-2</v>
      </c>
      <c r="H672" s="3">
        <f ca="1">'ETF price'!I674-'ETF price'!I673</f>
        <v>-2.1500000000000057</v>
      </c>
      <c r="I672" s="3">
        <f ca="1">'ETF price'!J674-'ETF price'!J673</f>
        <v>-3.6500000000000341</v>
      </c>
      <c r="J672" s="3">
        <f ca="1">'ETF price'!K674-'ETF price'!K673</f>
        <v>-0.71000000000000796</v>
      </c>
      <c r="K672" s="3">
        <f ca="1">'ETF price'!L674-'ETF price'!L673</f>
        <v>-0.43999999999999773</v>
      </c>
      <c r="L672" s="3">
        <f ca="1">'ETF price'!M674-'ETF price'!M673</f>
        <v>-0.65000000000000568</v>
      </c>
      <c r="M672" s="3">
        <f ca="1">'ETF price'!N674-'ETF price'!N673</f>
        <v>-0.82000000000000739</v>
      </c>
      <c r="N672" s="3">
        <f ca="1">'ETF price'!O674-'ETF price'!O673</f>
        <v>3.9999999999999147E-2</v>
      </c>
      <c r="O672" s="3">
        <f ca="1">'ETF price'!P674-'ETF price'!P673</f>
        <v>-0.68000000000000682</v>
      </c>
      <c r="P672" s="3">
        <f ca="1">'ETF price'!Q674-'ETF price'!Q673</f>
        <v>-0.84999999999999432</v>
      </c>
      <c r="Q672" s="3">
        <f ca="1">'ETF price'!R674-'ETF price'!R673</f>
        <v>-0.71999999999999886</v>
      </c>
      <c r="R672" s="3">
        <f ca="1">'ETF price'!S674-'ETF price'!S673</f>
        <v>-0.36000000000000654</v>
      </c>
      <c r="S672" s="3">
        <f ca="1">'ETF price'!T674-'ETF price'!T673</f>
        <v>4.9999999999997158E-2</v>
      </c>
      <c r="T672" s="3">
        <f ca="1">'ETF price'!U674-'ETF price'!U673</f>
        <v>0.28000000000000114</v>
      </c>
      <c r="U672" s="3">
        <f ca="1">'ETF price'!V674-'ETF price'!V673</f>
        <v>-0.28999999999999915</v>
      </c>
      <c r="V672" s="3">
        <f ca="1">'ETF price'!W674-'ETF price'!W673</f>
        <v>-0.5</v>
      </c>
      <c r="W672" s="3">
        <f ca="1">'ETF price'!X674-'ETF price'!X673</f>
        <v>-0.95999999999999375</v>
      </c>
      <c r="X672" s="3">
        <f ca="1">'ETF price'!Y674-'ETF price'!Y673</f>
        <v>-0.5</v>
      </c>
      <c r="Y672" s="3">
        <f ca="1">'ETF price'!Z674-'ETF price'!Z673</f>
        <v>-0.92999999999999261</v>
      </c>
      <c r="Z672" s="3">
        <f ca="1">'ETF price'!AA674-'ETF price'!AA673</f>
        <v>-0.11999999999999744</v>
      </c>
      <c r="AA672" s="3">
        <f ca="1">'ETF price'!AB674-'ETF price'!AB673</f>
        <v>-0.54999999999999716</v>
      </c>
      <c r="AB672" s="3">
        <f ca="1">'ETF price'!AC674-'ETF price'!AC673</f>
        <v>-0.77999999999998693</v>
      </c>
      <c r="AC672" s="3">
        <f ca="1">'ETF price'!AD674-'ETF price'!AD673</f>
        <v>-0.5600000000000005</v>
      </c>
      <c r="AD672" s="3">
        <f ca="1">'ETF price'!AE674-'ETF price'!AE673</f>
        <v>-0.65000000000000213</v>
      </c>
      <c r="AE672" s="3">
        <f ca="1">'ETF price'!AF674-'ETF price'!AF673</f>
        <v>-8.9999999999999858E-2</v>
      </c>
      <c r="AF672" s="3">
        <f ca="1">'ETF price'!AG674-'ETF price'!AG673</f>
        <v>0.61999999999999744</v>
      </c>
    </row>
    <row r="673" spans="1:32" ht="12.75" x14ac:dyDescent="0.2">
      <c r="A673" s="3">
        <f ca="1">'ETF price'!B675-'ETF price'!B674</f>
        <v>-5.4300000000000068</v>
      </c>
      <c r="B673" s="3">
        <f ca="1">'ETF price'!C675-'ETF price'!C674</f>
        <v>-13.120000000000005</v>
      </c>
      <c r="C673" s="3">
        <f ca="1">'ETF price'!D675-'ETF price'!D674</f>
        <v>3.960000000000008</v>
      </c>
      <c r="D673" s="3">
        <f ca="1">'ETF price'!E675-'ETF price'!E674</f>
        <v>-9.1200000000000045</v>
      </c>
      <c r="E673" s="3">
        <f ca="1">'ETF price'!F675-'ETF price'!F674</f>
        <v>-1.8100000000000023</v>
      </c>
      <c r="F673" s="3">
        <f ca="1">'ETF price'!G675-'ETF price'!G674</f>
        <v>-0.92999999999999972</v>
      </c>
      <c r="G673" s="3">
        <f ca="1">'ETF price'!H675-'ETF price'!H674</f>
        <v>-0.44999999999999929</v>
      </c>
      <c r="H673" s="3">
        <f ca="1">'ETF price'!I675-'ETF price'!I674</f>
        <v>-0.53000000000000114</v>
      </c>
      <c r="I673" s="3">
        <f ca="1">'ETF price'!J675-'ETF price'!J674</f>
        <v>-1.4499999999999886</v>
      </c>
      <c r="J673" s="3">
        <f ca="1">'ETF price'!K675-'ETF price'!K674</f>
        <v>-2.039999999999992</v>
      </c>
      <c r="K673" s="3">
        <f ca="1">'ETF price'!L675-'ETF price'!L674</f>
        <v>-1.5600000000000023</v>
      </c>
      <c r="L673" s="3">
        <f ca="1">'ETF price'!M675-'ETF price'!M674</f>
        <v>-1.25</v>
      </c>
      <c r="M673" s="3">
        <f ca="1">'ETF price'!N675-'ETF price'!N674</f>
        <v>-0.43999999999999773</v>
      </c>
      <c r="N673" s="3">
        <f ca="1">'ETF price'!O675-'ETF price'!O674</f>
        <v>-1.2000000000000028</v>
      </c>
      <c r="O673" s="3">
        <f ca="1">'ETF price'!P675-'ETF price'!P674</f>
        <v>-1.0899999999999892</v>
      </c>
      <c r="P673" s="3">
        <f ca="1">'ETF price'!Q675-'ETF price'!Q674</f>
        <v>-1.5700000000000074</v>
      </c>
      <c r="Q673" s="3">
        <f ca="1">'ETF price'!R675-'ETF price'!R674</f>
        <v>-1.1500000000000057</v>
      </c>
      <c r="R673" s="3">
        <f ca="1">'ETF price'!S675-'ETF price'!S674</f>
        <v>-1.2099999999999937</v>
      </c>
      <c r="S673" s="3">
        <f ca="1">'ETF price'!T675-'ETF price'!T674</f>
        <v>-0.28999999999999915</v>
      </c>
      <c r="T673" s="3">
        <f ca="1">'ETF price'!U675-'ETF price'!U674</f>
        <v>-0.95999999999999375</v>
      </c>
      <c r="U673" s="3">
        <f ca="1">'ETF price'!V675-'ETF price'!V674</f>
        <v>-1.0200000000000031</v>
      </c>
      <c r="V673" s="3">
        <f ca="1">'ETF price'!W675-'ETF price'!W674</f>
        <v>-0.66000000000000369</v>
      </c>
      <c r="W673" s="3">
        <f ca="1">'ETF price'!X675-'ETF price'!X674</f>
        <v>-1.7199999999999989</v>
      </c>
      <c r="X673" s="3">
        <f ca="1">'ETF price'!Y675-'ETF price'!Y674</f>
        <v>-1</v>
      </c>
      <c r="Y673" s="3">
        <f ca="1">'ETF price'!Z675-'ETF price'!Z674</f>
        <v>-1.8500000000000085</v>
      </c>
      <c r="Z673" s="3">
        <f ca="1">'ETF price'!AA675-'ETF price'!AA674</f>
        <v>0</v>
      </c>
      <c r="AA673" s="3">
        <f ca="1">'ETF price'!AB675-'ETF price'!AB674</f>
        <v>-1.009999999999998</v>
      </c>
      <c r="AB673" s="3">
        <f ca="1">'ETF price'!AC675-'ETF price'!AC674</f>
        <v>-0.15000000000000568</v>
      </c>
      <c r="AC673" s="3">
        <f ca="1">'ETF price'!AD675-'ETF price'!AD674</f>
        <v>-0.76999999999999957</v>
      </c>
      <c r="AD673" s="3">
        <f ca="1">'ETF price'!AE675-'ETF price'!AE674</f>
        <v>-0.77999999999999758</v>
      </c>
      <c r="AE673" s="3">
        <f ca="1">'ETF price'!AF675-'ETF price'!AF674</f>
        <v>8.0000000000000071E-2</v>
      </c>
      <c r="AF673" s="3">
        <f ca="1">'ETF price'!AG675-'ETF price'!AG674</f>
        <v>-2.0700000000000003</v>
      </c>
    </row>
    <row r="674" spans="1:32" ht="12.75" x14ac:dyDescent="0.2">
      <c r="A674" s="3">
        <f ca="1">'ETF price'!B676-'ETF price'!B675</f>
        <v>3.3400000000000034</v>
      </c>
      <c r="B674" s="3">
        <f ca="1">'ETF price'!C676-'ETF price'!C675</f>
        <v>7.2000000000000455</v>
      </c>
      <c r="C674" s="3">
        <f ca="1">'ETF price'!D676-'ETF price'!D675</f>
        <v>1.25</v>
      </c>
      <c r="D674" s="3">
        <f ca="1">'ETF price'!E676-'ETF price'!E675</f>
        <v>4.0300000000000011</v>
      </c>
      <c r="E674" s="3">
        <f ca="1">'ETF price'!F676-'ETF price'!F675</f>
        <v>0.39000000000000057</v>
      </c>
      <c r="F674" s="3">
        <f ca="1">'ETF price'!G676-'ETF price'!G675</f>
        <v>0.44999999999999929</v>
      </c>
      <c r="G674" s="3">
        <f ca="1">'ETF price'!H676-'ETF price'!H675</f>
        <v>0.21999999999999886</v>
      </c>
      <c r="H674" s="3">
        <f ca="1">'ETF price'!I676-'ETF price'!I675</f>
        <v>1.0800000000000125</v>
      </c>
      <c r="I674" s="3">
        <f ca="1">'ETF price'!J676-'ETF price'!J675</f>
        <v>1.9499999999999886</v>
      </c>
      <c r="J674" s="3">
        <f ca="1">'ETF price'!K676-'ETF price'!K675</f>
        <v>1.7800000000000011</v>
      </c>
      <c r="K674" s="3">
        <f ca="1">'ETF price'!L676-'ETF price'!L675</f>
        <v>1.3700000000000045</v>
      </c>
      <c r="L674" s="3">
        <f ca="1">'ETF price'!M676-'ETF price'!M675</f>
        <v>1.25</v>
      </c>
      <c r="M674" s="3">
        <f ca="1">'ETF price'!N676-'ETF price'!N675</f>
        <v>0.54999999999999716</v>
      </c>
      <c r="N674" s="3">
        <f ca="1">'ETF price'!O676-'ETF price'!O675</f>
        <v>0.64000000000000057</v>
      </c>
      <c r="O674" s="3">
        <f ca="1">'ETF price'!P676-'ETF price'!P675</f>
        <v>0.61999999999999034</v>
      </c>
      <c r="P674" s="3">
        <f ca="1">'ETF price'!Q676-'ETF price'!Q675</f>
        <v>0.59000000000000341</v>
      </c>
      <c r="Q674" s="3">
        <f ca="1">'ETF price'!R676-'ETF price'!R675</f>
        <v>0.87000000000000455</v>
      </c>
      <c r="R674" s="3">
        <f ca="1">'ETF price'!S676-'ETF price'!S675</f>
        <v>0.32999999999999829</v>
      </c>
      <c r="S674" s="3">
        <f ca="1">'ETF price'!T676-'ETF price'!T675</f>
        <v>5.9999999999998721E-2</v>
      </c>
      <c r="T674" s="3">
        <f ca="1">'ETF price'!U676-'ETF price'!U675</f>
        <v>0.3399999999999892</v>
      </c>
      <c r="U674" s="3">
        <f ca="1">'ETF price'!V676-'ETF price'!V675</f>
        <v>-0.79999999999999716</v>
      </c>
      <c r="V674" s="3">
        <f ca="1">'ETF price'!W676-'ETF price'!W675</f>
        <v>0.66000000000000369</v>
      </c>
      <c r="W674" s="3">
        <f ca="1">'ETF price'!X676-'ETF price'!X675</f>
        <v>1.4099999999999966</v>
      </c>
      <c r="X674" s="3">
        <f ca="1">'ETF price'!Y676-'ETF price'!Y675</f>
        <v>0.3300000000000054</v>
      </c>
      <c r="Y674" s="3">
        <f ca="1">'ETF price'!Z676-'ETF price'!Z675</f>
        <v>1.210000000000008</v>
      </c>
      <c r="Z674" s="3">
        <f ca="1">'ETF price'!AA676-'ETF price'!AA675</f>
        <v>0.51999999999999602</v>
      </c>
      <c r="AA674" s="3">
        <f ca="1">'ETF price'!AB676-'ETF price'!AB675</f>
        <v>0.42999999999999972</v>
      </c>
      <c r="AB674" s="3">
        <f ca="1">'ETF price'!AC676-'ETF price'!AC675</f>
        <v>3.9999999999992042E-2</v>
      </c>
      <c r="AC674" s="3">
        <f ca="1">'ETF price'!AD676-'ETF price'!AD675</f>
        <v>0.87999999999999901</v>
      </c>
      <c r="AD674" s="3">
        <f ca="1">'ETF price'!AE676-'ETF price'!AE675</f>
        <v>1.1499999999999986</v>
      </c>
      <c r="AE674" s="3">
        <f ca="1">'ETF price'!AF676-'ETF price'!AF675</f>
        <v>-0.39999999999999947</v>
      </c>
      <c r="AF674" s="3">
        <f ca="1">'ETF price'!AG676-'ETF price'!AG675</f>
        <v>3.2000000000000028</v>
      </c>
    </row>
    <row r="675" spans="1:32" ht="12.75" x14ac:dyDescent="0.2">
      <c r="A675" s="3">
        <f ca="1">'ETF price'!B677-'ETF price'!B676</f>
        <v>3.1000000000000227</v>
      </c>
      <c r="B675" s="3">
        <f ca="1">'ETF price'!C677-'ETF price'!C676</f>
        <v>5.4800000000000182</v>
      </c>
      <c r="C675" s="3">
        <f ca="1">'ETF price'!D677-'ETF price'!D676</f>
        <v>0.78000000000000114</v>
      </c>
      <c r="D675" s="3">
        <f ca="1">'ETF price'!E677-'ETF price'!E676</f>
        <v>2.1899999999999977</v>
      </c>
      <c r="E675" s="3">
        <f ca="1">'ETF price'!F677-'ETF price'!F676</f>
        <v>0.44999999999999574</v>
      </c>
      <c r="F675" s="3">
        <f ca="1">'ETF price'!G677-'ETF price'!G676</f>
        <v>-3.9999999999999147E-2</v>
      </c>
      <c r="G675" s="3">
        <f ca="1">'ETF price'!H677-'ETF price'!H676</f>
        <v>1.9999999999999574E-2</v>
      </c>
      <c r="H675" s="3">
        <f ca="1">'ETF price'!I677-'ETF price'!I676</f>
        <v>0.71000000000000796</v>
      </c>
      <c r="I675" s="3">
        <f ca="1">'ETF price'!J677-'ETF price'!J676</f>
        <v>1.160000000000025</v>
      </c>
      <c r="J675" s="3">
        <f ca="1">'ETF price'!K677-'ETF price'!K676</f>
        <v>0.38999999999998636</v>
      </c>
      <c r="K675" s="3">
        <f ca="1">'ETF price'!L677-'ETF price'!L676</f>
        <v>0.20999999999999375</v>
      </c>
      <c r="L675" s="3">
        <f ca="1">'ETF price'!M677-'ETF price'!M676</f>
        <v>0.18999999999999773</v>
      </c>
      <c r="M675" s="3">
        <f ca="1">'ETF price'!N677-'ETF price'!N676</f>
        <v>0.31000000000000227</v>
      </c>
      <c r="N675" s="3">
        <f ca="1">'ETF price'!O677-'ETF price'!O676</f>
        <v>0.32000000000000028</v>
      </c>
      <c r="O675" s="3">
        <f ca="1">'ETF price'!P677-'ETF price'!P676</f>
        <v>-1.4899999999999949</v>
      </c>
      <c r="P675" s="3">
        <f ca="1">'ETF price'!Q677-'ETF price'!Q676</f>
        <v>-2.0700000000000074</v>
      </c>
      <c r="Q675" s="3">
        <f ca="1">'ETF price'!R677-'ETF price'!R676</f>
        <v>3.9999999999992042E-2</v>
      </c>
      <c r="R675" s="3">
        <f ca="1">'ETF price'!S677-'ETF price'!S676</f>
        <v>-0.24000000000000199</v>
      </c>
      <c r="S675" s="3">
        <f ca="1">'ETF price'!T677-'ETF price'!T676</f>
        <v>-0.30999999999999872</v>
      </c>
      <c r="T675" s="3">
        <f ca="1">'ETF price'!U677-'ETF price'!U676</f>
        <v>-2.3100000000000023</v>
      </c>
      <c r="U675" s="3">
        <f ca="1">'ETF price'!V677-'ETF price'!V676</f>
        <v>-7.0000000000000284E-2</v>
      </c>
      <c r="V675" s="3">
        <f ca="1">'ETF price'!W677-'ETF price'!W676</f>
        <v>-0.46000000000000085</v>
      </c>
      <c r="W675" s="3">
        <f ca="1">'ETF price'!X677-'ETF price'!X676</f>
        <v>-1.0700000000000074</v>
      </c>
      <c r="X675" s="3">
        <f ca="1">'ETF price'!Y677-'ETF price'!Y676</f>
        <v>-0.44000000000000483</v>
      </c>
      <c r="Y675" s="3">
        <f ca="1">'ETF price'!Z677-'ETF price'!Z676</f>
        <v>-1.0200000000000102</v>
      </c>
      <c r="Z675" s="3">
        <f ca="1">'ETF price'!AA677-'ETF price'!AA676</f>
        <v>0.78000000000000114</v>
      </c>
      <c r="AA675" s="3">
        <f ca="1">'ETF price'!AB677-'ETF price'!AB676</f>
        <v>-0.48000000000000398</v>
      </c>
      <c r="AB675" s="3">
        <f ca="1">'ETF price'!AC677-'ETF price'!AC676</f>
        <v>0.34000000000000341</v>
      </c>
      <c r="AC675" s="3">
        <f ca="1">'ETF price'!AD677-'ETF price'!AD676</f>
        <v>0.20000000000000107</v>
      </c>
      <c r="AD675" s="3">
        <f ca="1">'ETF price'!AE677-'ETF price'!AE676</f>
        <v>0.25</v>
      </c>
      <c r="AE675" s="3">
        <f ca="1">'ETF price'!AF677-'ETF price'!AF676</f>
        <v>9.9999999999997868E-3</v>
      </c>
      <c r="AF675" s="3">
        <f ca="1">'ETF price'!AG677-'ETF price'!AG676</f>
        <v>1.490000000000002</v>
      </c>
    </row>
    <row r="676" spans="1:32" ht="12.75" x14ac:dyDescent="0.2">
      <c r="A676" s="3">
        <f ca="1">'ETF price'!B678-'ETF price'!B677</f>
        <v>7.1799999999999784</v>
      </c>
      <c r="B676" s="3">
        <f ca="1">'ETF price'!C678-'ETF price'!C677</f>
        <v>15.730000000000018</v>
      </c>
      <c r="C676" s="3">
        <f ca="1">'ETF price'!D678-'ETF price'!D677</f>
        <v>-0.90000000000000568</v>
      </c>
      <c r="D676" s="3">
        <f ca="1">'ETF price'!E678-'ETF price'!E677</f>
        <v>9.7599999999999909</v>
      </c>
      <c r="E676" s="3">
        <f ca="1">'ETF price'!F678-'ETF price'!F677</f>
        <v>0.75999999999999801</v>
      </c>
      <c r="F676" s="3">
        <f ca="1">'ETF price'!G678-'ETF price'!G677</f>
        <v>0.58999999999999986</v>
      </c>
      <c r="G676" s="3">
        <f ca="1">'ETF price'!H678-'ETF price'!H677</f>
        <v>0.45000000000000284</v>
      </c>
      <c r="H676" s="3">
        <f ca="1">'ETF price'!I678-'ETF price'!I677</f>
        <v>-0.46000000000000796</v>
      </c>
      <c r="I676" s="3">
        <f ca="1">'ETF price'!J678-'ETF price'!J677</f>
        <v>-0.68000000000000682</v>
      </c>
      <c r="J676" s="3">
        <f ca="1">'ETF price'!K678-'ETF price'!K677</f>
        <v>0.70000000000001705</v>
      </c>
      <c r="K676" s="3">
        <f ca="1">'ETF price'!L678-'ETF price'!L677</f>
        <v>0.80000000000001137</v>
      </c>
      <c r="L676" s="3">
        <f ca="1">'ETF price'!M678-'ETF price'!M677</f>
        <v>0.31000000000000227</v>
      </c>
      <c r="M676" s="3">
        <f ca="1">'ETF price'!N678-'ETF price'!N677</f>
        <v>-0.21999999999999886</v>
      </c>
      <c r="N676" s="3">
        <f ca="1">'ETF price'!O678-'ETF price'!O677</f>
        <v>0.24000000000000199</v>
      </c>
      <c r="O676" s="3">
        <f ca="1">'ETF price'!P678-'ETF price'!P677</f>
        <v>-0.79000000000000625</v>
      </c>
      <c r="P676" s="3">
        <f ca="1">'ETF price'!Q678-'ETF price'!Q677</f>
        <v>-0.79999999999999716</v>
      </c>
      <c r="Q676" s="3">
        <f ca="1">'ETF price'!R678-'ETF price'!R677</f>
        <v>0.21999999999999886</v>
      </c>
      <c r="R676" s="3">
        <f ca="1">'ETF price'!S678-'ETF price'!S677</f>
        <v>1.0600000000000023</v>
      </c>
      <c r="S676" s="3">
        <f ca="1">'ETF price'!T678-'ETF price'!T677</f>
        <v>0.19000000000000128</v>
      </c>
      <c r="T676" s="3">
        <f ca="1">'ETF price'!U678-'ETF price'!U677</f>
        <v>0.89000000000000057</v>
      </c>
      <c r="U676" s="3">
        <f ca="1">'ETF price'!V678-'ETF price'!V677</f>
        <v>2.3900000000000006</v>
      </c>
      <c r="V676" s="3">
        <f ca="1">'ETF price'!W678-'ETF price'!W677</f>
        <v>-0.21000000000000085</v>
      </c>
      <c r="W676" s="3">
        <f ca="1">'ETF price'!X678-'ETF price'!X677</f>
        <v>-0.37999999999999545</v>
      </c>
      <c r="X676" s="3">
        <f ca="1">'ETF price'!Y678-'ETF price'!Y677</f>
        <v>-0.52999999999999403</v>
      </c>
      <c r="Y676" s="3">
        <f ca="1">'ETF price'!Z678-'ETF price'!Z677</f>
        <v>-0.60999999999999943</v>
      </c>
      <c r="Z676" s="3">
        <f ca="1">'ETF price'!AA678-'ETF price'!AA677</f>
        <v>-0.11999999999999744</v>
      </c>
      <c r="AA676" s="3">
        <f ca="1">'ETF price'!AB678-'ETF price'!AB677</f>
        <v>-0.64000000000000057</v>
      </c>
      <c r="AB676" s="3">
        <f ca="1">'ETF price'!AC678-'ETF price'!AC677</f>
        <v>0.92000000000000171</v>
      </c>
      <c r="AC676" s="3">
        <f ca="1">'ETF price'!AD678-'ETF price'!AD677</f>
        <v>-0.16999999999999993</v>
      </c>
      <c r="AD676" s="3">
        <f ca="1">'ETF price'!AE678-'ETF price'!AE677</f>
        <v>-0.12000000000000099</v>
      </c>
      <c r="AE676" s="3">
        <f ca="1">'ETF price'!AF678-'ETF price'!AF677</f>
        <v>6.9999999999999396E-2</v>
      </c>
      <c r="AF676" s="3">
        <f ca="1">'ETF price'!AG678-'ETF price'!AG677</f>
        <v>-0.16000000000000369</v>
      </c>
    </row>
    <row r="677" spans="1:32" ht="12.75" x14ac:dyDescent="0.2">
      <c r="A677" s="3">
        <f ca="1">'ETF price'!B679-'ETF price'!B678</f>
        <v>1.8000000000000114</v>
      </c>
      <c r="B677" s="3">
        <f ca="1">'ETF price'!C679-'ETF price'!C678</f>
        <v>4.3199999999999363</v>
      </c>
      <c r="C677" s="3">
        <f ca="1">'ETF price'!D679-'ETF price'!D678</f>
        <v>7.00000000000216E-2</v>
      </c>
      <c r="D677" s="3">
        <f ca="1">'ETF price'!E679-'ETF price'!E678</f>
        <v>-0.96999999999999886</v>
      </c>
      <c r="E677" s="3">
        <f ca="1">'ETF price'!F679-'ETF price'!F678</f>
        <v>0.85999999999999943</v>
      </c>
      <c r="F677" s="3">
        <f ca="1">'ETF price'!G679-'ETF price'!G678</f>
        <v>0.44999999999999929</v>
      </c>
      <c r="G677" s="3">
        <f ca="1">'ETF price'!H679-'ETF price'!H678</f>
        <v>9.9999999999997868E-2</v>
      </c>
      <c r="H677" s="3">
        <f ca="1">'ETF price'!I679-'ETF price'!I678</f>
        <v>0.56000000000000227</v>
      </c>
      <c r="I677" s="3">
        <f ca="1">'ETF price'!J679-'ETF price'!J678</f>
        <v>1.4399999999999977</v>
      </c>
      <c r="J677" s="3">
        <f ca="1">'ETF price'!K679-'ETF price'!K678</f>
        <v>-6.0000000000002274E-2</v>
      </c>
      <c r="K677" s="3">
        <f ca="1">'ETF price'!L679-'ETF price'!L678</f>
        <v>0.15999999999999659</v>
      </c>
      <c r="L677" s="3">
        <f ca="1">'ETF price'!M679-'ETF price'!M678</f>
        <v>0.1600000000000108</v>
      </c>
      <c r="M677" s="3">
        <f ca="1">'ETF price'!N679-'ETF price'!N678</f>
        <v>0.39000000000000057</v>
      </c>
      <c r="N677" s="3">
        <f ca="1">'ETF price'!O679-'ETF price'!O678</f>
        <v>7.9999999999998295E-2</v>
      </c>
      <c r="O677" s="3">
        <f ca="1">'ETF price'!P679-'ETF price'!P678</f>
        <v>0.76000000000000512</v>
      </c>
      <c r="P677" s="3">
        <f ca="1">'ETF price'!Q679-'ETF price'!Q678</f>
        <v>1.0600000000000023</v>
      </c>
      <c r="Q677" s="3">
        <f ca="1">'ETF price'!R679-'ETF price'!R678</f>
        <v>0.84000000000000341</v>
      </c>
      <c r="R677" s="3">
        <f ca="1">'ETF price'!S679-'ETF price'!S678</f>
        <v>1.8399999999999963</v>
      </c>
      <c r="S677" s="3">
        <f ca="1">'ETF price'!T679-'ETF price'!T678</f>
        <v>0.41000000000000014</v>
      </c>
      <c r="T677" s="3">
        <f ca="1">'ETF price'!U679-'ETF price'!U678</f>
        <v>2.0400000000000063</v>
      </c>
      <c r="U677" s="3">
        <f ca="1">'ETF price'!V679-'ETF price'!V678</f>
        <v>-0.45000000000000284</v>
      </c>
      <c r="V677" s="3">
        <f ca="1">'ETF price'!W679-'ETF price'!W678</f>
        <v>0.10000000000000142</v>
      </c>
      <c r="W677" s="3">
        <f ca="1">'ETF price'!X679-'ETF price'!X678</f>
        <v>0.43999999999999773</v>
      </c>
      <c r="X677" s="3">
        <f ca="1">'ETF price'!Y679-'ETF price'!Y678</f>
        <v>0.27999999999999403</v>
      </c>
      <c r="Y677" s="3">
        <f ca="1">'ETF price'!Z679-'ETF price'!Z678</f>
        <v>0.32000000000000739</v>
      </c>
      <c r="Z677" s="3">
        <f ca="1">'ETF price'!AA679-'ETF price'!AA678</f>
        <v>7.9999999999998295E-2</v>
      </c>
      <c r="AA677" s="3">
        <f ca="1">'ETF price'!AB679-'ETF price'!AB678</f>
        <v>0.21000000000000085</v>
      </c>
      <c r="AB677" s="3">
        <f ca="1">'ETF price'!AC679-'ETF price'!AC678</f>
        <v>0.46000000000000796</v>
      </c>
      <c r="AC677" s="3">
        <f ca="1">'ETF price'!AD679-'ETF price'!AD678</f>
        <v>0.15999999999999837</v>
      </c>
      <c r="AD677" s="3">
        <f ca="1">'ETF price'!AE679-'ETF price'!AE678</f>
        <v>0.23000000000000043</v>
      </c>
      <c r="AE677" s="3">
        <f ca="1">'ETF price'!AF679-'ETF price'!AF678</f>
        <v>-0.10999999999999943</v>
      </c>
      <c r="AF677" s="3">
        <f ca="1">'ETF price'!AG679-'ETF price'!AG678</f>
        <v>0.44000000000000483</v>
      </c>
    </row>
    <row r="678" spans="1:32" ht="12.75" x14ac:dyDescent="0.2">
      <c r="A678" s="3">
        <f ca="1">'ETF price'!B680-'ETF price'!B679</f>
        <v>1.0999999999999943</v>
      </c>
      <c r="B678" s="3">
        <f ca="1">'ETF price'!C680-'ETF price'!C679</f>
        <v>3.3400000000000318</v>
      </c>
      <c r="C678" s="3">
        <f ca="1">'ETF price'!D680-'ETF price'!D679</f>
        <v>-0.68000000000000682</v>
      </c>
      <c r="D678" s="3">
        <f ca="1">'ETF price'!E680-'ETF price'!E679</f>
        <v>3.9099999999999966</v>
      </c>
      <c r="E678" s="3">
        <f ca="1">'ETF price'!F680-'ETF price'!F679</f>
        <v>0.76000000000000512</v>
      </c>
      <c r="F678" s="3">
        <f ca="1">'ETF price'!G680-'ETF price'!G679</f>
        <v>8.9999999999999858E-2</v>
      </c>
      <c r="G678" s="3">
        <f ca="1">'ETF price'!H680-'ETF price'!H679</f>
        <v>0.40000000000000213</v>
      </c>
      <c r="H678" s="3">
        <f ca="1">'ETF price'!I680-'ETF price'!I679</f>
        <v>0.31999999999999318</v>
      </c>
      <c r="I678" s="3">
        <f ca="1">'ETF price'!J680-'ETF price'!J679</f>
        <v>0.87999999999999545</v>
      </c>
      <c r="J678" s="3">
        <f ca="1">'ETF price'!K680-'ETF price'!K679</f>
        <v>2.25</v>
      </c>
      <c r="K678" s="3">
        <f ca="1">'ETF price'!L680-'ETF price'!L679</f>
        <v>2.1499999999999915</v>
      </c>
      <c r="L678" s="3">
        <f ca="1">'ETF price'!M680-'ETF price'!M679</f>
        <v>1.1999999999999886</v>
      </c>
      <c r="M678" s="3">
        <f ca="1">'ETF price'!N680-'ETF price'!N679</f>
        <v>0.18999999999999773</v>
      </c>
      <c r="N678" s="3">
        <f ca="1">'ETF price'!O680-'ETF price'!O679</f>
        <v>1.3599999999999994</v>
      </c>
      <c r="O678" s="3">
        <f ca="1">'ETF price'!P680-'ETF price'!P679</f>
        <v>0.48000000000000398</v>
      </c>
      <c r="P678" s="3">
        <f ca="1">'ETF price'!Q680-'ETF price'!Q679</f>
        <v>0.73000000000000398</v>
      </c>
      <c r="Q678" s="3">
        <f ca="1">'ETF price'!R680-'ETF price'!R679</f>
        <v>0.82999999999999829</v>
      </c>
      <c r="R678" s="3">
        <f ca="1">'ETF price'!S680-'ETF price'!S679</f>
        <v>1.4600000000000009</v>
      </c>
      <c r="S678" s="3">
        <f ca="1">'ETF price'!T680-'ETF price'!T679</f>
        <v>3.9999999999999147E-2</v>
      </c>
      <c r="T678" s="3">
        <f ca="1">'ETF price'!U680-'ETF price'!U679</f>
        <v>-4.9999999999997158E-2</v>
      </c>
      <c r="U678" s="3">
        <f ca="1">'ETF price'!V680-'ETF price'!V679</f>
        <v>0.53999999999999915</v>
      </c>
      <c r="V678" s="3">
        <f ca="1">'ETF price'!W680-'ETF price'!W679</f>
        <v>0.12999999999999545</v>
      </c>
      <c r="W678" s="3">
        <f ca="1">'ETF price'!X680-'ETF price'!X679</f>
        <v>0.67000000000000171</v>
      </c>
      <c r="X678" s="3">
        <f ca="1">'ETF price'!Y680-'ETF price'!Y679</f>
        <v>1.240000000000002</v>
      </c>
      <c r="Y678" s="3">
        <f ca="1">'ETF price'!Z680-'ETF price'!Z679</f>
        <v>0.45999999999999375</v>
      </c>
      <c r="Z678" s="3">
        <f ca="1">'ETF price'!AA680-'ETF price'!AA679</f>
        <v>0.32000000000000028</v>
      </c>
      <c r="AA678" s="3">
        <f ca="1">'ETF price'!AB680-'ETF price'!AB679</f>
        <v>1.4600000000000009</v>
      </c>
      <c r="AB678" s="3">
        <f ca="1">'ETF price'!AC680-'ETF price'!AC679</f>
        <v>-0.18000000000000682</v>
      </c>
      <c r="AC678" s="3">
        <f ca="1">'ETF price'!AD680-'ETF price'!AD679</f>
        <v>0.35000000000000142</v>
      </c>
      <c r="AD678" s="3">
        <f ca="1">'ETF price'!AE680-'ETF price'!AE679</f>
        <v>0.42000000000000171</v>
      </c>
      <c r="AE678" s="3">
        <f ca="1">'ETF price'!AF680-'ETF price'!AF679</f>
        <v>0.12999999999999989</v>
      </c>
      <c r="AF678" s="3">
        <f ca="1">'ETF price'!AG680-'ETF price'!AG679</f>
        <v>0.51999999999999602</v>
      </c>
    </row>
    <row r="679" spans="1:32" ht="12.75" x14ac:dyDescent="0.2">
      <c r="A679" s="3">
        <f ca="1">'ETF price'!B681-'ETF price'!B680</f>
        <v>-0.84000000000000341</v>
      </c>
      <c r="B679" s="3">
        <f ca="1">'ETF price'!C681-'ETF price'!C680</f>
        <v>-3.3400000000000318</v>
      </c>
      <c r="C679" s="3">
        <f ca="1">'ETF price'!D681-'ETF price'!D680</f>
        <v>4.4599999999999795</v>
      </c>
      <c r="D679" s="3">
        <f ca="1">'ETF price'!E681-'ETF price'!E680</f>
        <v>-2.9699999999999989</v>
      </c>
      <c r="E679" s="3">
        <f ca="1">'ETF price'!F681-'ETF price'!F680</f>
        <v>0.42999999999999261</v>
      </c>
      <c r="F679" s="3">
        <f ca="1">'ETF price'!G681-'ETF price'!G680</f>
        <v>-1.9999999999999574E-2</v>
      </c>
      <c r="G679" s="3">
        <f ca="1">'ETF price'!H681-'ETF price'!H680</f>
        <v>3.9999999999999147E-2</v>
      </c>
      <c r="H679" s="3">
        <f ca="1">'ETF price'!I681-'ETF price'!I680</f>
        <v>1.0800000000000125</v>
      </c>
      <c r="I679" s="3">
        <f ca="1">'ETF price'!J681-'ETF price'!J680</f>
        <v>1.7200000000000273</v>
      </c>
      <c r="J679" s="3">
        <f ca="1">'ETF price'!K681-'ETF price'!K680</f>
        <v>0.28000000000000114</v>
      </c>
      <c r="K679" s="3">
        <f ca="1">'ETF price'!L681-'ETF price'!L680</f>
        <v>7.000000000000739E-2</v>
      </c>
      <c r="L679" s="3">
        <f ca="1">'ETF price'!M681-'ETF price'!M680</f>
        <v>9.0000000000003411E-2</v>
      </c>
      <c r="M679" s="3">
        <f ca="1">'ETF price'!N681-'ETF price'!N680</f>
        <v>0.51000000000000512</v>
      </c>
      <c r="N679" s="3">
        <f ca="1">'ETF price'!O681-'ETF price'!O680</f>
        <v>-0.35999999999999943</v>
      </c>
      <c r="O679" s="3">
        <f ca="1">'ETF price'!P681-'ETF price'!P680</f>
        <v>0.97999999999998977</v>
      </c>
      <c r="P679" s="3">
        <f ca="1">'ETF price'!Q681-'ETF price'!Q680</f>
        <v>1.6099999999999994</v>
      </c>
      <c r="Q679" s="3">
        <f ca="1">'ETF price'!R681-'ETF price'!R680</f>
        <v>0.85999999999999943</v>
      </c>
      <c r="R679" s="3">
        <f ca="1">'ETF price'!S681-'ETF price'!S680</f>
        <v>-3.9999999999999147E-2</v>
      </c>
      <c r="S679" s="3">
        <f ca="1">'ETF price'!T681-'ETF price'!T680</f>
        <v>0.16000000000000014</v>
      </c>
      <c r="T679" s="3">
        <f ca="1">'ETF price'!U681-'ETF price'!U680</f>
        <v>1.039999999999992</v>
      </c>
      <c r="U679" s="3">
        <f ca="1">'ETF price'!V681-'ETF price'!V680</f>
        <v>-9.9999999999980105E-3</v>
      </c>
      <c r="V679" s="3">
        <f ca="1">'ETF price'!W681-'ETF price'!W680</f>
        <v>0.5800000000000054</v>
      </c>
      <c r="W679" s="3">
        <f ca="1">'ETF price'!X681-'ETF price'!X680</f>
        <v>1.3400000000000034</v>
      </c>
      <c r="X679" s="3">
        <f ca="1">'ETF price'!Y681-'ETF price'!Y680</f>
        <v>0.64999999999999858</v>
      </c>
      <c r="Y679" s="3">
        <f ca="1">'ETF price'!Z681-'ETF price'!Z680</f>
        <v>1.4200000000000017</v>
      </c>
      <c r="Z679" s="3">
        <f ca="1">'ETF price'!AA681-'ETF price'!AA680</f>
        <v>0.14999999999999858</v>
      </c>
      <c r="AA679" s="3">
        <f ca="1">'ETF price'!AB681-'ETF price'!AB680</f>
        <v>0.71999999999999886</v>
      </c>
      <c r="AB679" s="3">
        <f ca="1">'ETF price'!AC681-'ETF price'!AC680</f>
        <v>1.0600000000000023</v>
      </c>
      <c r="AC679" s="3">
        <f ca="1">'ETF price'!AD681-'ETF price'!AD680</f>
        <v>-0.66999999999999993</v>
      </c>
      <c r="AD679" s="3">
        <f ca="1">'ETF price'!AE681-'ETF price'!AE680</f>
        <v>-0.57000000000000028</v>
      </c>
      <c r="AE679" s="3">
        <f ca="1">'ETF price'!AF681-'ETF price'!AF680</f>
        <v>7.0000000000000284E-2</v>
      </c>
      <c r="AF679" s="3">
        <f ca="1">'ETF price'!AG681-'ETF price'!AG680</f>
        <v>-1.259999999999998</v>
      </c>
    </row>
    <row r="680" spans="1:32" ht="12.75" x14ac:dyDescent="0.2">
      <c r="A680" s="3">
        <f ca="1">'ETF price'!B682-'ETF price'!B681</f>
        <v>-0.43000000000000682</v>
      </c>
      <c r="B680" s="3">
        <f ca="1">'ETF price'!C682-'ETF price'!C681</f>
        <v>-0.28999999999996362</v>
      </c>
      <c r="C680" s="3">
        <f ca="1">'ETF price'!D682-'ETF price'!D681</f>
        <v>-0.46999999999999886</v>
      </c>
      <c r="D680" s="3">
        <f ca="1">'ETF price'!E682-'ETF price'!E681</f>
        <v>0.27000000000001023</v>
      </c>
      <c r="E680" s="3">
        <f ca="1">'ETF price'!F682-'ETF price'!F681</f>
        <v>-0.14999999999999147</v>
      </c>
      <c r="F680" s="3">
        <f ca="1">'ETF price'!G682-'ETF price'!G681</f>
        <v>-5.0000000000000711E-2</v>
      </c>
      <c r="G680" s="3">
        <f ca="1">'ETF price'!H682-'ETF price'!H681</f>
        <v>0.21000000000000085</v>
      </c>
      <c r="H680" s="3">
        <f ca="1">'ETF price'!I682-'ETF price'!I681</f>
        <v>-1.6200000000000045</v>
      </c>
      <c r="I680" s="3">
        <f ca="1">'ETF price'!J682-'ETF price'!J681</f>
        <v>-2.5</v>
      </c>
      <c r="J680" s="3">
        <f ca="1">'ETF price'!K682-'ETF price'!K681</f>
        <v>-0.25999999999999091</v>
      </c>
      <c r="K680" s="3">
        <f ca="1">'ETF price'!L682-'ETF price'!L681</f>
        <v>-0.32999999999999829</v>
      </c>
      <c r="L680" s="3">
        <f ca="1">'ETF price'!M682-'ETF price'!M681</f>
        <v>-4.9999999999997158E-2</v>
      </c>
      <c r="M680" s="3">
        <f ca="1">'ETF price'!N682-'ETF price'!N681</f>
        <v>-0.75</v>
      </c>
      <c r="N680" s="3">
        <f ca="1">'ETF price'!O682-'ETF price'!O681</f>
        <v>0.75999999999999801</v>
      </c>
      <c r="O680" s="3">
        <f ca="1">'ETF price'!P682-'ETF price'!P681</f>
        <v>1.1700000000000017</v>
      </c>
      <c r="P680" s="3">
        <f ca="1">'ETF price'!Q682-'ETF price'!Q681</f>
        <v>1.7599999999999909</v>
      </c>
      <c r="Q680" s="3">
        <f ca="1">'ETF price'!R682-'ETF price'!R681</f>
        <v>0.18000000000000682</v>
      </c>
      <c r="R680" s="3">
        <f ca="1">'ETF price'!S682-'ETF price'!S681</f>
        <v>4.9999999999997158E-2</v>
      </c>
      <c r="S680" s="3">
        <f ca="1">'ETF price'!T682-'ETF price'!T681</f>
        <v>0.14999999999999858</v>
      </c>
      <c r="T680" s="3">
        <f ca="1">'ETF price'!U682-'ETF price'!U681</f>
        <v>0.84000000000000341</v>
      </c>
      <c r="U680" s="3">
        <f ca="1">'ETF price'!V682-'ETF price'!V681</f>
        <v>0.89000000000000057</v>
      </c>
      <c r="V680" s="3">
        <f ca="1">'ETF price'!W682-'ETF price'!W681</f>
        <v>0.23999999999999488</v>
      </c>
      <c r="W680" s="3">
        <f ca="1">'ETF price'!X682-'ETF price'!X681</f>
        <v>0.60999999999999943</v>
      </c>
      <c r="X680" s="3">
        <f ca="1">'ETF price'!Y682-'ETF price'!Y681</f>
        <v>0.39000000000000057</v>
      </c>
      <c r="Y680" s="3">
        <f ca="1">'ETF price'!Z682-'ETF price'!Z681</f>
        <v>0.49000000000000909</v>
      </c>
      <c r="Z680" s="3">
        <f ca="1">'ETF price'!AA682-'ETF price'!AA681</f>
        <v>-0.35999999999999943</v>
      </c>
      <c r="AA680" s="3">
        <f ca="1">'ETF price'!AB682-'ETF price'!AB681</f>
        <v>0.46999999999999886</v>
      </c>
      <c r="AB680" s="3">
        <f ca="1">'ETF price'!AC682-'ETF price'!AC681</f>
        <v>-0.26999999999999602</v>
      </c>
      <c r="AC680" s="3">
        <f ca="1">'ETF price'!AD682-'ETF price'!AD681</f>
        <v>0.51999999999999957</v>
      </c>
      <c r="AD680" s="3">
        <f ca="1">'ETF price'!AE682-'ETF price'!AE681</f>
        <v>0.62999999999999901</v>
      </c>
      <c r="AE680" s="3">
        <f ca="1">'ETF price'!AF682-'ETF price'!AF681</f>
        <v>8.9999999999999858E-2</v>
      </c>
      <c r="AF680" s="3">
        <f ca="1">'ETF price'!AG682-'ETF price'!AG681</f>
        <v>1.2199999999999989</v>
      </c>
    </row>
    <row r="681" spans="1:32" ht="12.75" x14ac:dyDescent="0.2">
      <c r="A681" s="3">
        <f ca="1">'ETF price'!B683-'ETF price'!B682</f>
        <v>-2</v>
      </c>
      <c r="B681" s="3">
        <f ca="1">'ETF price'!C683-'ETF price'!C682</f>
        <v>-2.6100000000000136</v>
      </c>
      <c r="C681" s="3">
        <f ca="1">'ETF price'!D683-'ETF price'!D682</f>
        <v>-0.15999999999999659</v>
      </c>
      <c r="D681" s="3">
        <f ca="1">'ETF price'!E683-'ETF price'!E682</f>
        <v>-2.4300000000000068</v>
      </c>
      <c r="E681" s="3">
        <f ca="1">'ETF price'!F683-'ETF price'!F682</f>
        <v>-0.57000000000000739</v>
      </c>
      <c r="F681" s="3">
        <f ca="1">'ETF price'!G683-'ETF price'!G682</f>
        <v>-0.10999999999999943</v>
      </c>
      <c r="G681" s="3">
        <f ca="1">'ETF price'!H683-'ETF price'!H682</f>
        <v>-6.0000000000002274E-2</v>
      </c>
      <c r="H681" s="3">
        <f ca="1">'ETF price'!I683-'ETF price'!I682</f>
        <v>-0.25999999999999091</v>
      </c>
      <c r="I681" s="3">
        <f ca="1">'ETF price'!J683-'ETF price'!J682</f>
        <v>-0.53000000000002956</v>
      </c>
      <c r="J681" s="3">
        <f ca="1">'ETF price'!K683-'ETF price'!K682</f>
        <v>-0.31000000000000227</v>
      </c>
      <c r="K681" s="3">
        <f ca="1">'ETF price'!L683-'ETF price'!L682</f>
        <v>-0.14000000000000057</v>
      </c>
      <c r="L681" s="3">
        <f ca="1">'ETF price'!M683-'ETF price'!M682</f>
        <v>3.0000000000001137E-2</v>
      </c>
      <c r="M681" s="3">
        <f ca="1">'ETF price'!N683-'ETF price'!N682</f>
        <v>-2.0000000000010232E-2</v>
      </c>
      <c r="N681" s="3">
        <f ca="1">'ETF price'!O683-'ETF price'!O682</f>
        <v>-0.35999999999999943</v>
      </c>
      <c r="O681" s="3">
        <f ca="1">'ETF price'!P683-'ETF price'!P682</f>
        <v>0.17000000000000171</v>
      </c>
      <c r="P681" s="3">
        <f ca="1">'ETF price'!Q683-'ETF price'!Q682</f>
        <v>0.1600000000000108</v>
      </c>
      <c r="Q681" s="3">
        <f ca="1">'ETF price'!R683-'ETF price'!R682</f>
        <v>-0.40000000000000568</v>
      </c>
      <c r="R681" s="3">
        <f ca="1">'ETF price'!S683-'ETF price'!S682</f>
        <v>-0.22999999999999687</v>
      </c>
      <c r="S681" s="3">
        <f ca="1">'ETF price'!T683-'ETF price'!T682</f>
        <v>-0.14000000000000057</v>
      </c>
      <c r="T681" s="3">
        <f ca="1">'ETF price'!U683-'ETF price'!U682</f>
        <v>-1.0600000000000023</v>
      </c>
      <c r="U681" s="3">
        <f ca="1">'ETF price'!V683-'ETF price'!V682</f>
        <v>-9.9999999999980105E-3</v>
      </c>
      <c r="V681" s="3">
        <f ca="1">'ETF price'!W683-'ETF price'!W682</f>
        <v>-0.14000000000000057</v>
      </c>
      <c r="W681" s="3">
        <f ca="1">'ETF price'!X683-'ETF price'!X682</f>
        <v>-0.18000000000000682</v>
      </c>
      <c r="X681" s="3">
        <f ca="1">'ETF price'!Y683-'ETF price'!Y682</f>
        <v>0.21000000000000085</v>
      </c>
      <c r="Y681" s="3">
        <f ca="1">'ETF price'!Z683-'ETF price'!Z682</f>
        <v>-0.1600000000000108</v>
      </c>
      <c r="Z681" s="3">
        <f ca="1">'ETF price'!AA683-'ETF price'!AA682</f>
        <v>-0.13000000000000256</v>
      </c>
      <c r="AA681" s="3">
        <f ca="1">'ETF price'!AB683-'ETF price'!AB682</f>
        <v>0.25</v>
      </c>
      <c r="AB681" s="3">
        <f ca="1">'ETF price'!AC683-'ETF price'!AC682</f>
        <v>-2.0000000000010232E-2</v>
      </c>
      <c r="AC681" s="3">
        <f ca="1">'ETF price'!AD683-'ETF price'!AD682</f>
        <v>-0.16000000000000014</v>
      </c>
      <c r="AD681" s="3">
        <f ca="1">'ETF price'!AE683-'ETF price'!AE682</f>
        <v>1.0000000000001563E-2</v>
      </c>
      <c r="AE681" s="3">
        <f ca="1">'ETF price'!AF683-'ETF price'!AF682</f>
        <v>-9.9999999999997868E-3</v>
      </c>
      <c r="AF681" s="3">
        <f ca="1">'ETF price'!AG683-'ETF price'!AG682</f>
        <v>-0.54999999999999716</v>
      </c>
    </row>
    <row r="682" spans="1:32" ht="12.75" x14ac:dyDescent="0.2">
      <c r="A682" s="3">
        <f ca="1">'ETF price'!B684-'ETF price'!B683</f>
        <v>6.4500000000000171</v>
      </c>
      <c r="B682" s="3">
        <f ca="1">'ETF price'!C684-'ETF price'!C683</f>
        <v>16.649999999999977</v>
      </c>
      <c r="C682" s="3">
        <f ca="1">'ETF price'!D684-'ETF price'!D683</f>
        <v>1.0600000000000023</v>
      </c>
      <c r="D682" s="3">
        <f ca="1">'ETF price'!E684-'ETF price'!E683</f>
        <v>9.2700000000000102</v>
      </c>
      <c r="E682" s="3">
        <f ca="1">'ETF price'!F684-'ETF price'!F683</f>
        <v>1.1500000000000057</v>
      </c>
      <c r="F682" s="3">
        <f ca="1">'ETF price'!G684-'ETF price'!G683</f>
        <v>0.69000000000000128</v>
      </c>
      <c r="G682" s="3">
        <f ca="1">'ETF price'!H684-'ETF price'!H683</f>
        <v>0.47000000000000242</v>
      </c>
      <c r="H682" s="3">
        <f ca="1">'ETF price'!I684-'ETF price'!I683</f>
        <v>0.55999999999997385</v>
      </c>
      <c r="I682" s="3">
        <f ca="1">'ETF price'!J684-'ETF price'!J683</f>
        <v>1.6200000000000045</v>
      </c>
      <c r="J682" s="3">
        <f ca="1">'ETF price'!K684-'ETF price'!K683</f>
        <v>1.9499999999999886</v>
      </c>
      <c r="K682" s="3">
        <f ca="1">'ETF price'!L684-'ETF price'!L683</f>
        <v>1.6200000000000045</v>
      </c>
      <c r="L682" s="3">
        <f ca="1">'ETF price'!M684-'ETF price'!M683</f>
        <v>0.76999999999999602</v>
      </c>
      <c r="M682" s="3">
        <f ca="1">'ETF price'!N684-'ETF price'!N683</f>
        <v>0.29000000000000625</v>
      </c>
      <c r="N682" s="3">
        <f ca="1">'ETF price'!O684-'ETF price'!O683</f>
        <v>0.84000000000000341</v>
      </c>
      <c r="O682" s="3">
        <f ca="1">'ETF price'!P684-'ETF price'!P683</f>
        <v>1.0499999999999972</v>
      </c>
      <c r="P682" s="3">
        <f ca="1">'ETF price'!Q684-'ETF price'!Q683</f>
        <v>1.5799999999999983</v>
      </c>
      <c r="Q682" s="3">
        <f ca="1">'ETF price'!R684-'ETF price'!R683</f>
        <v>1.4099999999999966</v>
      </c>
      <c r="R682" s="3">
        <f ca="1">'ETF price'!S684-'ETF price'!S683</f>
        <v>1.9799999999999969</v>
      </c>
      <c r="S682" s="3">
        <f ca="1">'ETF price'!T684-'ETF price'!T683</f>
        <v>0.39000000000000057</v>
      </c>
      <c r="T682" s="3">
        <f ca="1">'ETF price'!U684-'ETF price'!U683</f>
        <v>2.0900000000000034</v>
      </c>
      <c r="U682" s="3">
        <f ca="1">'ETF price'!V684-'ETF price'!V683</f>
        <v>-0.31000000000000227</v>
      </c>
      <c r="V682" s="3">
        <f ca="1">'ETF price'!W684-'ETF price'!W683</f>
        <v>0.5</v>
      </c>
      <c r="W682" s="3">
        <f ca="1">'ETF price'!X684-'ETF price'!X683</f>
        <v>1.4399999999999977</v>
      </c>
      <c r="X682" s="3">
        <f ca="1">'ETF price'!Y684-'ETF price'!Y683</f>
        <v>1.3200000000000003</v>
      </c>
      <c r="Y682" s="3">
        <f ca="1">'ETF price'!Z684-'ETF price'!Z683</f>
        <v>1.3700000000000045</v>
      </c>
      <c r="Z682" s="3">
        <f ca="1">'ETF price'!AA684-'ETF price'!AA683</f>
        <v>-0.10999999999999943</v>
      </c>
      <c r="AA682" s="3">
        <f ca="1">'ETF price'!AB684-'ETF price'!AB683</f>
        <v>1.6200000000000045</v>
      </c>
      <c r="AB682" s="3">
        <f ca="1">'ETF price'!AC684-'ETF price'!AC683</f>
        <v>-0.67999999999999261</v>
      </c>
      <c r="AC682" s="3">
        <f ca="1">'ETF price'!AD684-'ETF price'!AD683</f>
        <v>0.80000000000000071</v>
      </c>
      <c r="AD682" s="3">
        <f ca="1">'ETF price'!AE684-'ETF price'!AE683</f>
        <v>0.98000000000000043</v>
      </c>
      <c r="AE682" s="3">
        <f ca="1">'ETF price'!AF684-'ETF price'!AF683</f>
        <v>5.9999999999999609E-2</v>
      </c>
      <c r="AF682" s="3">
        <f ca="1">'ETF price'!AG684-'ETF price'!AG683</f>
        <v>1.259999999999998</v>
      </c>
    </row>
    <row r="683" spans="1:32" ht="12.75" x14ac:dyDescent="0.2">
      <c r="A683" s="3">
        <f ca="1">'ETF price'!B685-'ETF price'!B684</f>
        <v>-1.0900000000000034</v>
      </c>
      <c r="B683" s="3">
        <f ca="1">'ETF price'!C685-'ETF price'!C684</f>
        <v>-2.0299999999999727</v>
      </c>
      <c r="C683" s="3">
        <f ca="1">'ETF price'!D685-'ETF price'!D684</f>
        <v>0.40999999999999659</v>
      </c>
      <c r="D683" s="3">
        <f ca="1">'ETF price'!E685-'ETF price'!E684</f>
        <v>-3.3200000000000216</v>
      </c>
      <c r="E683" s="3">
        <f ca="1">'ETF price'!F685-'ETF price'!F684</f>
        <v>0.85999999999999943</v>
      </c>
      <c r="F683" s="3">
        <f ca="1">'ETF price'!G685-'ETF price'!G684</f>
        <v>-6.0000000000002274E-2</v>
      </c>
      <c r="G683" s="3">
        <f ca="1">'ETF price'!H685-'ETF price'!H684</f>
        <v>-0.20000000000000284</v>
      </c>
      <c r="H683" s="3">
        <f ca="1">'ETF price'!I685-'ETF price'!I684</f>
        <v>-0.63999999999998636</v>
      </c>
      <c r="I683" s="3">
        <f ca="1">'ETF price'!J685-'ETF price'!J684</f>
        <v>-1.3799999999999955</v>
      </c>
      <c r="J683" s="3">
        <f ca="1">'ETF price'!K685-'ETF price'!K684</f>
        <v>-1.4900000000000091</v>
      </c>
      <c r="K683" s="3">
        <f ca="1">'ETF price'!L685-'ETF price'!L684</f>
        <v>-0.82000000000000739</v>
      </c>
      <c r="L683" s="3">
        <f ca="1">'ETF price'!M685-'ETF price'!M684</f>
        <v>-0.62000000000000455</v>
      </c>
      <c r="M683" s="3">
        <f ca="1">'ETF price'!N685-'ETF price'!N684</f>
        <v>-0.5</v>
      </c>
      <c r="N683" s="3">
        <f ca="1">'ETF price'!O685-'ETF price'!O684</f>
        <v>-0.96000000000000085</v>
      </c>
      <c r="O683" s="3">
        <f ca="1">'ETF price'!P685-'ETF price'!P684</f>
        <v>-0.19999999999998863</v>
      </c>
      <c r="P683" s="3">
        <f ca="1">'ETF price'!Q685-'ETF price'!Q684</f>
        <v>-0.17000000000000171</v>
      </c>
      <c r="Q683" s="3">
        <f ca="1">'ETF price'!R685-'ETF price'!R684</f>
        <v>-0.67000000000000171</v>
      </c>
      <c r="R683" s="3">
        <f ca="1">'ETF price'!S685-'ETF price'!S684</f>
        <v>-2.9999999999994031E-2</v>
      </c>
      <c r="S683" s="3">
        <f ca="1">'ETF price'!T685-'ETF price'!T684</f>
        <v>0</v>
      </c>
      <c r="T683" s="3">
        <f ca="1">'ETF price'!U685-'ETF price'!U684</f>
        <v>0.17000000000000171</v>
      </c>
      <c r="U683" s="3">
        <f ca="1">'ETF price'!V685-'ETF price'!V684</f>
        <v>-0.48000000000000398</v>
      </c>
      <c r="V683" s="3">
        <f ca="1">'ETF price'!W685-'ETF price'!W684</f>
        <v>-3.0000000000001137E-2</v>
      </c>
      <c r="W683" s="3">
        <f ca="1">'ETF price'!X685-'ETF price'!X684</f>
        <v>-0.48999999999999488</v>
      </c>
      <c r="X683" s="3">
        <f ca="1">'ETF price'!Y685-'ETF price'!Y684</f>
        <v>-0.89000000000000057</v>
      </c>
      <c r="Y683" s="3">
        <f ca="1">'ETF price'!Z685-'ETF price'!Z684</f>
        <v>-0.23999999999999488</v>
      </c>
      <c r="Z683" s="3">
        <f ca="1">'ETF price'!AA685-'ETF price'!AA684</f>
        <v>-7.9999999999998295E-2</v>
      </c>
      <c r="AA683" s="3">
        <f ca="1">'ETF price'!AB685-'ETF price'!AB684</f>
        <v>-1.1900000000000048</v>
      </c>
      <c r="AB683" s="3">
        <f ca="1">'ETF price'!AC685-'ETF price'!AC684</f>
        <v>-0.70000000000000284</v>
      </c>
      <c r="AC683" s="3">
        <f ca="1">'ETF price'!AD685-'ETF price'!AD684</f>
        <v>0.19999999999999929</v>
      </c>
      <c r="AD683" s="3">
        <f ca="1">'ETF price'!AE685-'ETF price'!AE684</f>
        <v>-0.13000000000000256</v>
      </c>
      <c r="AE683" s="3">
        <f ca="1">'ETF price'!AF685-'ETF price'!AF684</f>
        <v>-9.9999999999997868E-3</v>
      </c>
      <c r="AF683" s="3">
        <f ca="1">'ETF price'!AG685-'ETF price'!AG684</f>
        <v>-0.32000000000000028</v>
      </c>
    </row>
    <row r="684" spans="1:32" ht="12.75" x14ac:dyDescent="0.2">
      <c r="A684" s="3">
        <f ca="1">'ETF price'!B686-'ETF price'!B685</f>
        <v>-0.43999999999999773</v>
      </c>
      <c r="B684" s="3">
        <f ca="1">'ETF price'!C686-'ETF price'!C685</f>
        <v>-0.20000000000004547</v>
      </c>
      <c r="C684" s="3">
        <f ca="1">'ETF price'!D686-'ETF price'!D685</f>
        <v>1.4699999999999989</v>
      </c>
      <c r="D684" s="3">
        <f ca="1">'ETF price'!E686-'ETF price'!E685</f>
        <v>0.87000000000000455</v>
      </c>
      <c r="E684" s="3">
        <f ca="1">'ETF price'!F686-'ETF price'!F685</f>
        <v>0.56000000000000227</v>
      </c>
      <c r="F684" s="3">
        <f ca="1">'ETF price'!G686-'ETF price'!G685</f>
        <v>0.15000000000000213</v>
      </c>
      <c r="G684" s="3">
        <f ca="1">'ETF price'!H686-'ETF price'!H685</f>
        <v>7.0000000000000284E-2</v>
      </c>
      <c r="H684" s="3">
        <f ca="1">'ETF price'!I686-'ETF price'!I685</f>
        <v>-0.87999999999999545</v>
      </c>
      <c r="I684" s="3">
        <f ca="1">'ETF price'!J686-'ETF price'!J685</f>
        <v>-0.96999999999997044</v>
      </c>
      <c r="J684" s="3">
        <f ca="1">'ETF price'!K686-'ETF price'!K685</f>
        <v>-2.3999999999999773</v>
      </c>
      <c r="K684" s="3">
        <f ca="1">'ETF price'!L686-'ETF price'!L685</f>
        <v>-2.4200000000000017</v>
      </c>
      <c r="L684" s="3">
        <f ca="1">'ETF price'!M686-'ETF price'!M685</f>
        <v>-1.2299999999999898</v>
      </c>
      <c r="M684" s="3">
        <f ca="1">'ETF price'!N686-'ETF price'!N685</f>
        <v>-0.31000000000000227</v>
      </c>
      <c r="N684" s="3">
        <f ca="1">'ETF price'!O686-'ETF price'!O685</f>
        <v>-1.0399999999999991</v>
      </c>
      <c r="O684" s="3">
        <f ca="1">'ETF price'!P686-'ETF price'!P685</f>
        <v>0.35999999999999943</v>
      </c>
      <c r="P684" s="3">
        <f ca="1">'ETF price'!Q686-'ETF price'!Q685</f>
        <v>1.480000000000004</v>
      </c>
      <c r="Q684" s="3">
        <f ca="1">'ETF price'!R686-'ETF price'!R685</f>
        <v>0.40000000000000568</v>
      </c>
      <c r="R684" s="3">
        <f ca="1">'ETF price'!S686-'ETF price'!S685</f>
        <v>0.30999999999999517</v>
      </c>
      <c r="S684" s="3">
        <f ca="1">'ETF price'!T686-'ETF price'!T685</f>
        <v>1.0000000000001563E-2</v>
      </c>
      <c r="T684" s="3">
        <f ca="1">'ETF price'!U686-'ETF price'!U685</f>
        <v>-0.67000000000000171</v>
      </c>
      <c r="U684" s="3">
        <f ca="1">'ETF price'!V686-'ETF price'!V685</f>
        <v>0.28000000000000114</v>
      </c>
      <c r="V684" s="3">
        <f ca="1">'ETF price'!W686-'ETF price'!W685</f>
        <v>-0.21999999999999886</v>
      </c>
      <c r="W684" s="3">
        <f ca="1">'ETF price'!X686-'ETF price'!X685</f>
        <v>0.15999999999999659</v>
      </c>
      <c r="X684" s="3">
        <f ca="1">'ETF price'!Y686-'ETF price'!Y685</f>
        <v>-0.50999999999999801</v>
      </c>
      <c r="Y684" s="3">
        <f ca="1">'ETF price'!Z686-'ETF price'!Z685</f>
        <v>-0.13000000000000966</v>
      </c>
      <c r="Z684" s="3">
        <f ca="1">'ETF price'!AA686-'ETF price'!AA685</f>
        <v>0.17999999999999972</v>
      </c>
      <c r="AA684" s="3">
        <f ca="1">'ETF price'!AB686-'ETF price'!AB685</f>
        <v>-0.83999999999999631</v>
      </c>
      <c r="AB684" s="3">
        <f ca="1">'ETF price'!AC686-'ETF price'!AC685</f>
        <v>0.46999999999999886</v>
      </c>
      <c r="AC684" s="3">
        <f ca="1">'ETF price'!AD686-'ETF price'!AD685</f>
        <v>0.48999999999999844</v>
      </c>
      <c r="AD684" s="3">
        <f ca="1">'ETF price'!AE686-'ETF price'!AE685</f>
        <v>0.14000000000000057</v>
      </c>
      <c r="AE684" s="3">
        <f ca="1">'ETF price'!AF686-'ETF price'!AF685</f>
        <v>1.9999999999999574E-2</v>
      </c>
      <c r="AF684" s="3">
        <f ca="1">'ETF price'!AG686-'ETF price'!AG685</f>
        <v>1.1599999999999966</v>
      </c>
    </row>
    <row r="685" spans="1:32" ht="12.75" x14ac:dyDescent="0.2">
      <c r="A685" s="3">
        <f ca="1">'ETF price'!B687-'ETF price'!B686</f>
        <v>1.5200000000000102</v>
      </c>
      <c r="B685" s="3">
        <f ca="1">'ETF price'!C687-'ETF price'!C686</f>
        <v>5.2100000000000364</v>
      </c>
      <c r="C685" s="3">
        <f ca="1">'ETF price'!D687-'ETF price'!D686</f>
        <v>-1.1899999999999977</v>
      </c>
      <c r="D685" s="3">
        <f ca="1">'ETF price'!E687-'ETF price'!E686</f>
        <v>2.7199999999999989</v>
      </c>
      <c r="E685" s="3">
        <f ca="1">'ETF price'!F687-'ETF price'!F686</f>
        <v>0</v>
      </c>
      <c r="F685" s="3">
        <f ca="1">'ETF price'!G687-'ETF price'!G686</f>
        <v>0.18999999999999773</v>
      </c>
      <c r="G685" s="3">
        <f ca="1">'ETF price'!H687-'ETF price'!H686</f>
        <v>0.32000000000000028</v>
      </c>
      <c r="H685" s="3">
        <f ca="1">'ETF price'!I687-'ETF price'!I686</f>
        <v>-0.31000000000000227</v>
      </c>
      <c r="I685" s="3">
        <f ca="1">'ETF price'!J687-'ETF price'!J686</f>
        <v>-0.70000000000004547</v>
      </c>
      <c r="J685" s="3">
        <f ca="1">'ETF price'!K687-'ETF price'!K686</f>
        <v>-0.5</v>
      </c>
      <c r="K685" s="3">
        <f ca="1">'ETF price'!L687-'ETF price'!L686</f>
        <v>-0.48000000000000398</v>
      </c>
      <c r="L685" s="3">
        <f ca="1">'ETF price'!M687-'ETF price'!M686</f>
        <v>-0.43999999999999773</v>
      </c>
      <c r="M685" s="3">
        <f ca="1">'ETF price'!N687-'ETF price'!N686</f>
        <v>-0.12000000000000455</v>
      </c>
      <c r="N685" s="3">
        <f ca="1">'ETF price'!O687-'ETF price'!O686</f>
        <v>-2.0000000000003126E-2</v>
      </c>
      <c r="O685" s="3">
        <f ca="1">'ETF price'!P687-'ETF price'!P686</f>
        <v>-0.21999999999999886</v>
      </c>
      <c r="P685" s="3">
        <f ca="1">'ETF price'!Q687-'ETF price'!Q686</f>
        <v>-0.35999999999999943</v>
      </c>
      <c r="Q685" s="3">
        <f ca="1">'ETF price'!R687-'ETF price'!R686</f>
        <v>1.2900000000000063</v>
      </c>
      <c r="R685" s="3">
        <f ca="1">'ETF price'!S687-'ETF price'!S686</f>
        <v>2.5600000000000023</v>
      </c>
      <c r="S685" s="3">
        <f ca="1">'ETF price'!T687-'ETF price'!T686</f>
        <v>0.37000000000000099</v>
      </c>
      <c r="T685" s="3">
        <f ca="1">'ETF price'!U687-'ETF price'!U686</f>
        <v>1.0400000000000063</v>
      </c>
      <c r="U685" s="3">
        <f ca="1">'ETF price'!V687-'ETF price'!V686</f>
        <v>0.57000000000000028</v>
      </c>
      <c r="V685" s="3">
        <f ca="1">'ETF price'!W687-'ETF price'!W686</f>
        <v>-0.37999999999999545</v>
      </c>
      <c r="W685" s="3">
        <f ca="1">'ETF price'!X687-'ETF price'!X686</f>
        <v>-1.0099999999999909</v>
      </c>
      <c r="X685" s="3">
        <f ca="1">'ETF price'!Y687-'ETF price'!Y686</f>
        <v>-0.68999999999999773</v>
      </c>
      <c r="Y685" s="3">
        <f ca="1">'ETF price'!Z687-'ETF price'!Z686</f>
        <v>-0.36999999999999034</v>
      </c>
      <c r="Z685" s="3">
        <f ca="1">'ETF price'!AA687-'ETF price'!AA686</f>
        <v>0</v>
      </c>
      <c r="AA685" s="3">
        <f ca="1">'ETF price'!AB687-'ETF price'!AB686</f>
        <v>-0.77000000000000313</v>
      </c>
      <c r="AB685" s="3">
        <f ca="1">'ETF price'!AC687-'ETF price'!AC686</f>
        <v>0.26999999999999602</v>
      </c>
      <c r="AC685" s="3">
        <f ca="1">'ETF price'!AD687-'ETF price'!AD686</f>
        <v>3.0000000000001137E-2</v>
      </c>
      <c r="AD685" s="3">
        <f ca="1">'ETF price'!AE687-'ETF price'!AE686</f>
        <v>0.32000000000000028</v>
      </c>
      <c r="AE685" s="3">
        <f ca="1">'ETF price'!AF687-'ETF price'!AF686</f>
        <v>0.12999999999999989</v>
      </c>
      <c r="AF685" s="3">
        <f ca="1">'ETF price'!AG687-'ETF price'!AG686</f>
        <v>2.2000000000000028</v>
      </c>
    </row>
    <row r="686" spans="1:32" ht="12.75" x14ac:dyDescent="0.2">
      <c r="A686" s="3">
        <f ca="1">'ETF price'!B688-'ETF price'!B687</f>
        <v>0.63999999999998636</v>
      </c>
      <c r="B686" s="3">
        <f ca="1">'ETF price'!C688-'ETF price'!C687</f>
        <v>0.38999999999998636</v>
      </c>
      <c r="C686" s="3">
        <f ca="1">'ETF price'!D688-'ETF price'!D687</f>
        <v>0.61000000000001364</v>
      </c>
      <c r="D686" s="3">
        <f ca="1">'ETF price'!E688-'ETF price'!E687</f>
        <v>1.0100000000000193</v>
      </c>
      <c r="E686" s="3">
        <f ca="1">'ETF price'!F688-'ETF price'!F687</f>
        <v>-0.51000000000000512</v>
      </c>
      <c r="F686" s="3">
        <f ca="1">'ETF price'!G688-'ETF price'!G687</f>
        <v>0.23000000000000043</v>
      </c>
      <c r="G686" s="3">
        <f ca="1">'ETF price'!H688-'ETF price'!H687</f>
        <v>-0.23000000000000043</v>
      </c>
      <c r="H686" s="3">
        <f ca="1">'ETF price'!I688-'ETF price'!I687</f>
        <v>-1.5</v>
      </c>
      <c r="I686" s="3">
        <f ca="1">'ETF price'!J688-'ETF price'!J687</f>
        <v>-2.8100000000000023</v>
      </c>
      <c r="J686" s="3">
        <f ca="1">'ETF price'!K688-'ETF price'!K687</f>
        <v>-2.4000000000000057</v>
      </c>
      <c r="K686" s="3">
        <f ca="1">'ETF price'!L688-'ETF price'!L687</f>
        <v>-0.95999999999999375</v>
      </c>
      <c r="L686" s="3">
        <f ca="1">'ETF price'!M688-'ETF price'!M687</f>
        <v>-1.2200000000000131</v>
      </c>
      <c r="M686" s="3">
        <f ca="1">'ETF price'!N688-'ETF price'!N687</f>
        <v>-0.75999999999999091</v>
      </c>
      <c r="N686" s="3">
        <f ca="1">'ETF price'!O688-'ETF price'!O687</f>
        <v>-0.78000000000000114</v>
      </c>
      <c r="O686" s="3">
        <f ca="1">'ETF price'!P688-'ETF price'!P687</f>
        <v>-1.7400000000000091</v>
      </c>
      <c r="P686" s="3">
        <f ca="1">'ETF price'!Q688-'ETF price'!Q687</f>
        <v>-2.5</v>
      </c>
      <c r="Q686" s="3">
        <f ca="1">'ETF price'!R688-'ETF price'!R687</f>
        <v>-0.64000000000000057</v>
      </c>
      <c r="R686" s="3">
        <f ca="1">'ETF price'!S688-'ETF price'!S687</f>
        <v>-0.40999999999999659</v>
      </c>
      <c r="S686" s="3">
        <f ca="1">'ETF price'!T688-'ETF price'!T687</f>
        <v>-0.19000000000000128</v>
      </c>
      <c r="T686" s="3">
        <f ca="1">'ETF price'!U688-'ETF price'!U687</f>
        <v>-1.8100000000000023</v>
      </c>
      <c r="U686" s="3">
        <f ca="1">'ETF price'!V688-'ETF price'!V687</f>
        <v>-0.92999999999999972</v>
      </c>
      <c r="V686" s="3">
        <f ca="1">'ETF price'!W688-'ETF price'!W687</f>
        <v>-0.27000000000000313</v>
      </c>
      <c r="W686" s="3">
        <f ca="1">'ETF price'!X688-'ETF price'!X687</f>
        <v>-0.74000000000000909</v>
      </c>
      <c r="X686" s="3">
        <f ca="1">'ETF price'!Y688-'ETF price'!Y687</f>
        <v>-0.67999999999999972</v>
      </c>
      <c r="Y686" s="3">
        <f ca="1">'ETF price'!Z688-'ETF price'!Z687</f>
        <v>-1.0100000000000051</v>
      </c>
      <c r="Z686" s="3">
        <f ca="1">'ETF price'!AA688-'ETF price'!AA687</f>
        <v>-0.18999999999999773</v>
      </c>
      <c r="AA686" s="3">
        <f ca="1">'ETF price'!AB688-'ETF price'!AB687</f>
        <v>-0.83999999999999631</v>
      </c>
      <c r="AB686" s="3">
        <f ca="1">'ETF price'!AC688-'ETF price'!AC687</f>
        <v>0.28000000000000114</v>
      </c>
      <c r="AC686" s="3">
        <f ca="1">'ETF price'!AD688-'ETF price'!AD687</f>
        <v>-0.39000000000000057</v>
      </c>
      <c r="AD686" s="3">
        <f ca="1">'ETF price'!AE688-'ETF price'!AE687</f>
        <v>-0.37000000000000099</v>
      </c>
      <c r="AE686" s="3">
        <f ca="1">'ETF price'!AF688-'ETF price'!AF687</f>
        <v>-8.0000000000000071E-2</v>
      </c>
      <c r="AF686" s="3">
        <f ca="1">'ETF price'!AG688-'ETF price'!AG687</f>
        <v>-0.21999999999999886</v>
      </c>
    </row>
    <row r="687" spans="1:32" ht="12.75" x14ac:dyDescent="0.2">
      <c r="A687" s="3">
        <f ca="1">'ETF price'!B689-'ETF price'!B688</f>
        <v>2.9699999999999989</v>
      </c>
      <c r="B687" s="3">
        <f ca="1">'ETF price'!C689-'ETF price'!C688</f>
        <v>7.2300000000000182</v>
      </c>
      <c r="C687" s="3">
        <f ca="1">'ETF price'!D689-'ETF price'!D688</f>
        <v>-3.4800000000000182</v>
      </c>
      <c r="D687" s="3">
        <f ca="1">'ETF price'!E689-'ETF price'!E688</f>
        <v>8.1599999999999966</v>
      </c>
      <c r="E687" s="3">
        <f ca="1">'ETF price'!F689-'ETF price'!F688</f>
        <v>0.24000000000000909</v>
      </c>
      <c r="F687" s="3">
        <f ca="1">'ETF price'!G689-'ETF price'!G688</f>
        <v>0.71000000000000441</v>
      </c>
      <c r="G687" s="3">
        <f ca="1">'ETF price'!H689-'ETF price'!H688</f>
        <v>0.56000000000000227</v>
      </c>
      <c r="H687" s="3">
        <f ca="1">'ETF price'!I689-'ETF price'!I688</f>
        <v>0.50999999999999091</v>
      </c>
      <c r="I687" s="3">
        <f ca="1">'ETF price'!J689-'ETF price'!J688</f>
        <v>1.0600000000000023</v>
      </c>
      <c r="J687" s="3">
        <f ca="1">'ETF price'!K689-'ETF price'!K688</f>
        <v>1.5600000000000023</v>
      </c>
      <c r="K687" s="3">
        <f ca="1">'ETF price'!L689-'ETF price'!L688</f>
        <v>0.43999999999999773</v>
      </c>
      <c r="L687" s="3">
        <f ca="1">'ETF price'!M689-'ETF price'!M688</f>
        <v>1.0700000000000074</v>
      </c>
      <c r="M687" s="3">
        <f ca="1">'ETF price'!N689-'ETF price'!N688</f>
        <v>0.25</v>
      </c>
      <c r="N687" s="3">
        <f ca="1">'ETF price'!O689-'ETF price'!O688</f>
        <v>0.64000000000000057</v>
      </c>
      <c r="O687" s="3">
        <f ca="1">'ETF price'!P689-'ETF price'!P688</f>
        <v>-1.7099999999999937</v>
      </c>
      <c r="P687" s="3">
        <f ca="1">'ETF price'!Q689-'ETF price'!Q688</f>
        <v>-2.5600000000000023</v>
      </c>
      <c r="Q687" s="3">
        <f ca="1">'ETF price'!R689-'ETF price'!R688</f>
        <v>1.9699999999999989</v>
      </c>
      <c r="R687" s="3">
        <f ca="1">'ETF price'!S689-'ETF price'!S688</f>
        <v>1.3999999999999915</v>
      </c>
      <c r="S687" s="3">
        <f ca="1">'ETF price'!T689-'ETF price'!T688</f>
        <v>-0.19999999999999929</v>
      </c>
      <c r="T687" s="3">
        <f ca="1">'ETF price'!U689-'ETF price'!U688</f>
        <v>-2.4699999999999989</v>
      </c>
      <c r="U687" s="3">
        <f ca="1">'ETF price'!V689-'ETF price'!V688</f>
        <v>1.3599999999999994</v>
      </c>
      <c r="V687" s="3">
        <f ca="1">'ETF price'!W689-'ETF price'!W688</f>
        <v>0.23000000000000398</v>
      </c>
      <c r="W687" s="3">
        <f ca="1">'ETF price'!X689-'ETF price'!X688</f>
        <v>0.57000000000000739</v>
      </c>
      <c r="X687" s="3">
        <f ca="1">'ETF price'!Y689-'ETF price'!Y688</f>
        <v>0.45999999999999375</v>
      </c>
      <c r="Y687" s="3">
        <f ca="1">'ETF price'!Z689-'ETF price'!Z688</f>
        <v>0.45999999999999375</v>
      </c>
      <c r="Z687" s="3">
        <f ca="1">'ETF price'!AA689-'ETF price'!AA688</f>
        <v>-0.44000000000000483</v>
      </c>
      <c r="AA687" s="3">
        <f ca="1">'ETF price'!AB689-'ETF price'!AB688</f>
        <v>0.60999999999999943</v>
      </c>
      <c r="AB687" s="3">
        <f ca="1">'ETF price'!AC689-'ETF price'!AC688</f>
        <v>-0.57999999999999829</v>
      </c>
      <c r="AC687" s="3">
        <f ca="1">'ETF price'!AD689-'ETF price'!AD688</f>
        <v>0.47000000000000242</v>
      </c>
      <c r="AD687" s="3">
        <f ca="1">'ETF price'!AE689-'ETF price'!AE688</f>
        <v>0.48000000000000043</v>
      </c>
      <c r="AE687" s="3">
        <f ca="1">'ETF price'!AF689-'ETF price'!AF688</f>
        <v>4.0000000000000036E-2</v>
      </c>
      <c r="AF687" s="3">
        <f ca="1">'ETF price'!AG689-'ETF price'!AG688</f>
        <v>2.5899999999999963</v>
      </c>
    </row>
    <row r="688" spans="1:32" ht="12.75" x14ac:dyDescent="0.2">
      <c r="A688" s="3">
        <f ca="1">'ETF price'!B690-'ETF price'!B689</f>
        <v>-2.1200000000000045</v>
      </c>
      <c r="B688" s="3">
        <f ca="1">'ETF price'!C690-'ETF price'!C689</f>
        <v>-5.2899999999999636</v>
      </c>
      <c r="C688" s="3">
        <f ca="1">'ETF price'!D690-'ETF price'!D689</f>
        <v>0.91000000000002501</v>
      </c>
      <c r="D688" s="3">
        <f ca="1">'ETF price'!E690-'ETF price'!E689</f>
        <v>-3.75</v>
      </c>
      <c r="E688" s="3">
        <f ca="1">'ETF price'!F690-'ETF price'!F689</f>
        <v>-0.21000000000000796</v>
      </c>
      <c r="F688" s="3">
        <f ca="1">'ETF price'!G690-'ETF price'!G689</f>
        <v>-0.27000000000000313</v>
      </c>
      <c r="G688" s="3">
        <f ca="1">'ETF price'!H690-'ETF price'!H689</f>
        <v>7.0000000000000284E-2</v>
      </c>
      <c r="H688" s="3">
        <f ca="1">'ETF price'!I690-'ETF price'!I689</f>
        <v>-7.9999999999984084E-2</v>
      </c>
      <c r="I688" s="3">
        <f ca="1">'ETF price'!J690-'ETF price'!J689</f>
        <v>-1.3599999999999568</v>
      </c>
      <c r="J688" s="3">
        <f ca="1">'ETF price'!K690-'ETF price'!K689</f>
        <v>0.65999999999999659</v>
      </c>
      <c r="K688" s="3">
        <f ca="1">'ETF price'!L690-'ETF price'!L689</f>
        <v>0.24000000000000909</v>
      </c>
      <c r="L688" s="3">
        <f ca="1">'ETF price'!M690-'ETF price'!M689</f>
        <v>0.28000000000000114</v>
      </c>
      <c r="M688" s="3">
        <f ca="1">'ETF price'!N690-'ETF price'!N689</f>
        <v>3.0000000000001137E-2</v>
      </c>
      <c r="N688" s="3">
        <f ca="1">'ETF price'!O690-'ETF price'!O689</f>
        <v>0.52000000000000313</v>
      </c>
      <c r="O688" s="3">
        <f ca="1">'ETF price'!P690-'ETF price'!P689</f>
        <v>1.7399999999999949</v>
      </c>
      <c r="P688" s="3">
        <f ca="1">'ETF price'!Q690-'ETF price'!Q689</f>
        <v>1.5</v>
      </c>
      <c r="Q688" s="3">
        <f ca="1">'ETF price'!R690-'ETF price'!R689</f>
        <v>-0.17000000000000171</v>
      </c>
      <c r="R688" s="3">
        <f ca="1">'ETF price'!S690-'ETF price'!S689</f>
        <v>-3.9999999999992042E-2</v>
      </c>
      <c r="S688" s="3">
        <f ca="1">'ETF price'!T690-'ETF price'!T689</f>
        <v>0.10999999999999943</v>
      </c>
      <c r="T688" s="3">
        <f ca="1">'ETF price'!U690-'ETF price'!U689</f>
        <v>1.2599999999999909</v>
      </c>
      <c r="U688" s="3">
        <f ca="1">'ETF price'!V690-'ETF price'!V689</f>
        <v>1.0600000000000023</v>
      </c>
      <c r="V688" s="3">
        <f ca="1">'ETF price'!W690-'ETF price'!W689</f>
        <v>0.12999999999999545</v>
      </c>
      <c r="W688" s="3">
        <f ca="1">'ETF price'!X690-'ETF price'!X689</f>
        <v>-0.10999999999999943</v>
      </c>
      <c r="X688" s="3">
        <f ca="1">'ETF price'!Y690-'ETF price'!Y689</f>
        <v>5.0000000000004263E-2</v>
      </c>
      <c r="Y688" s="3">
        <f ca="1">'ETF price'!Z690-'ETF price'!Z689</f>
        <v>0.26000000000000512</v>
      </c>
      <c r="Z688" s="3">
        <f ca="1">'ETF price'!AA690-'ETF price'!AA689</f>
        <v>6.0000000000002274E-2</v>
      </c>
      <c r="AA688" s="3">
        <f ca="1">'ETF price'!AB690-'ETF price'!AB689</f>
        <v>7.0000000000000284E-2</v>
      </c>
      <c r="AB688" s="3">
        <f ca="1">'ETF price'!AC690-'ETF price'!AC689</f>
        <v>4.9999999999997158E-2</v>
      </c>
      <c r="AC688" s="3">
        <f ca="1">'ETF price'!AD690-'ETF price'!AD689</f>
        <v>0.23999999999999844</v>
      </c>
      <c r="AD688" s="3">
        <f ca="1">'ETF price'!AE690-'ETF price'!AE689</f>
        <v>0.26999999999999957</v>
      </c>
      <c r="AE688" s="3">
        <f ca="1">'ETF price'!AF690-'ETF price'!AF689</f>
        <v>1.0000000000000675E-2</v>
      </c>
      <c r="AF688" s="3">
        <f ca="1">'ETF price'!AG690-'ETF price'!AG689</f>
        <v>-9.9999999999980105E-3</v>
      </c>
    </row>
    <row r="689" spans="1:32" ht="12.75" x14ac:dyDescent="0.2">
      <c r="A689" s="3">
        <f ca="1">'ETF price'!B691-'ETF price'!B690</f>
        <v>0.65999999999999659</v>
      </c>
      <c r="B689" s="3">
        <f ca="1">'ETF price'!C691-'ETF price'!C690</f>
        <v>1.5599999999999454</v>
      </c>
      <c r="C689" s="3">
        <f ca="1">'ETF price'!D691-'ETF price'!D690</f>
        <v>0.65999999999999659</v>
      </c>
      <c r="D689" s="3">
        <f ca="1">'ETF price'!E691-'ETF price'!E690</f>
        <v>-2.0900000000000034</v>
      </c>
      <c r="E689" s="3">
        <f ca="1">'ETF price'!F691-'ETF price'!F690</f>
        <v>0.20000000000000284</v>
      </c>
      <c r="F689" s="3">
        <f ca="1">'ETF price'!G691-'ETF price'!G690</f>
        <v>0.14999999999999858</v>
      </c>
      <c r="G689" s="3">
        <f ca="1">'ETF price'!H691-'ETF price'!H690</f>
        <v>1.9999999999999574E-2</v>
      </c>
      <c r="H689" s="3">
        <f ca="1">'ETF price'!I691-'ETF price'!I690</f>
        <v>1</v>
      </c>
      <c r="I689" s="3">
        <f ca="1">'ETF price'!J691-'ETF price'!J690</f>
        <v>1.9099999999999682</v>
      </c>
      <c r="J689" s="3">
        <f ca="1">'ETF price'!K691-'ETF price'!K690</f>
        <v>0.69999999999998863</v>
      </c>
      <c r="K689" s="3">
        <f ca="1">'ETF price'!L691-'ETF price'!L690</f>
        <v>0.36999999999999034</v>
      </c>
      <c r="L689" s="3">
        <f ca="1">'ETF price'!M691-'ETF price'!M690</f>
        <v>9.9999999999909051E-3</v>
      </c>
      <c r="M689" s="3">
        <f ca="1">'ETF price'!N691-'ETF price'!N690</f>
        <v>0.45999999999999375</v>
      </c>
      <c r="N689" s="3">
        <f ca="1">'ETF price'!O691-'ETF price'!O690</f>
        <v>0.39999999999999858</v>
      </c>
      <c r="O689" s="3">
        <f ca="1">'ETF price'!P691-'ETF price'!P690</f>
        <v>0.60999999999999943</v>
      </c>
      <c r="P689" s="3">
        <f ca="1">'ETF price'!Q691-'ETF price'!Q690</f>
        <v>0.73999999999999488</v>
      </c>
      <c r="Q689" s="3">
        <f ca="1">'ETF price'!R691-'ETF price'!R690</f>
        <v>-0.54000000000000625</v>
      </c>
      <c r="R689" s="3">
        <f ca="1">'ETF price'!S691-'ETF price'!S690</f>
        <v>-0.48000000000000398</v>
      </c>
      <c r="S689" s="3">
        <f ca="1">'ETF price'!T691-'ETF price'!T690</f>
        <v>-5.0000000000000711E-2</v>
      </c>
      <c r="T689" s="3">
        <f ca="1">'ETF price'!U691-'ETF price'!U690</f>
        <v>-0.34999999999999432</v>
      </c>
      <c r="U689" s="3">
        <f ca="1">'ETF price'!V691-'ETF price'!V690</f>
        <v>0.10999999999999943</v>
      </c>
      <c r="V689" s="3">
        <f ca="1">'ETF price'!W691-'ETF price'!W690</f>
        <v>0.17000000000000171</v>
      </c>
      <c r="W689" s="3">
        <f ca="1">'ETF price'!X691-'ETF price'!X690</f>
        <v>0.31999999999999318</v>
      </c>
      <c r="X689" s="3">
        <f ca="1">'ETF price'!Y691-'ETF price'!Y690</f>
        <v>0.53999999999999915</v>
      </c>
      <c r="Y689" s="3">
        <f ca="1">'ETF price'!Z691-'ETF price'!Z690</f>
        <v>0.43000000000000682</v>
      </c>
      <c r="Z689" s="3">
        <f ca="1">'ETF price'!AA691-'ETF price'!AA690</f>
        <v>0.38000000000000256</v>
      </c>
      <c r="AA689" s="3">
        <f ca="1">'ETF price'!AB691-'ETF price'!AB690</f>
        <v>0.67999999999999972</v>
      </c>
      <c r="AB689" s="3">
        <f ca="1">'ETF price'!AC691-'ETF price'!AC690</f>
        <v>-0.25</v>
      </c>
      <c r="AC689" s="3">
        <f ca="1">'ETF price'!AD691-'ETF price'!AD690</f>
        <v>-0.64000000000000057</v>
      </c>
      <c r="AD689" s="3">
        <f ca="1">'ETF price'!AE691-'ETF price'!AE690</f>
        <v>-0.68999999999999773</v>
      </c>
      <c r="AE689" s="3">
        <f ca="1">'ETF price'!AF691-'ETF price'!AF690</f>
        <v>0.12999999999999989</v>
      </c>
      <c r="AF689" s="3">
        <f ca="1">'ETF price'!AG691-'ETF price'!AG690</f>
        <v>-2.3599999999999994</v>
      </c>
    </row>
    <row r="690" spans="1:32" ht="12.75" x14ac:dyDescent="0.2">
      <c r="A690" s="3">
        <f ca="1">'ETF price'!B692-'ETF price'!B691</f>
        <v>-5.5</v>
      </c>
      <c r="B690" s="3">
        <f ca="1">'ETF price'!C692-'ETF price'!C691</f>
        <v>-14.740000000000009</v>
      </c>
      <c r="C690" s="3">
        <f ca="1">'ETF price'!D692-'ETF price'!D691</f>
        <v>1.9499999999999886</v>
      </c>
      <c r="D690" s="3">
        <f ca="1">'ETF price'!E692-'ETF price'!E691</f>
        <v>-6.460000000000008</v>
      </c>
      <c r="E690" s="3">
        <f ca="1">'ETF price'!F692-'ETF price'!F691</f>
        <v>-0.95000000000000284</v>
      </c>
      <c r="F690" s="3">
        <f ca="1">'ETF price'!G692-'ETF price'!G691</f>
        <v>-0.5</v>
      </c>
      <c r="G690" s="3">
        <f ca="1">'ETF price'!H692-'ETF price'!H691</f>
        <v>-0.26999999999999957</v>
      </c>
      <c r="H690" s="3">
        <f ca="1">'ETF price'!I692-'ETF price'!I691</f>
        <v>-0.81000000000000227</v>
      </c>
      <c r="I690" s="3">
        <f ca="1">'ETF price'!J692-'ETF price'!J691</f>
        <v>-1.839999999999975</v>
      </c>
      <c r="J690" s="3">
        <f ca="1">'ETF price'!K692-'ETF price'!K691</f>
        <v>-0.82999999999998408</v>
      </c>
      <c r="K690" s="3">
        <f ca="1">'ETF price'!L692-'ETF price'!L691</f>
        <v>-0.82999999999999829</v>
      </c>
      <c r="L690" s="3">
        <f ca="1">'ETF price'!M692-'ETF price'!M691</f>
        <v>-0.60999999999999943</v>
      </c>
      <c r="M690" s="3">
        <f ca="1">'ETF price'!N692-'ETF price'!N691</f>
        <v>-0.45999999999999375</v>
      </c>
      <c r="N690" s="3">
        <f ca="1">'ETF price'!O692-'ETF price'!O691</f>
        <v>-0.52000000000000313</v>
      </c>
      <c r="O690" s="3">
        <f ca="1">'ETF price'!P692-'ETF price'!P691</f>
        <v>2</v>
      </c>
      <c r="P690" s="3">
        <f ca="1">'ETF price'!Q692-'ETF price'!Q691</f>
        <v>2.6700000000000017</v>
      </c>
      <c r="Q690" s="3">
        <f ca="1">'ETF price'!R692-'ETF price'!R691</f>
        <v>-0.23999999999999488</v>
      </c>
      <c r="R690" s="3">
        <f ca="1">'ETF price'!S692-'ETF price'!S691</f>
        <v>0.12000000000000455</v>
      </c>
      <c r="S690" s="3">
        <f ca="1">'ETF price'!T692-'ETF price'!T691</f>
        <v>0.39000000000000057</v>
      </c>
      <c r="T690" s="3">
        <f ca="1">'ETF price'!U692-'ETF price'!U691</f>
        <v>2.1899999999999977</v>
      </c>
      <c r="U690" s="3">
        <f ca="1">'ETF price'!V692-'ETF price'!V691</f>
        <v>-0.43999999999999773</v>
      </c>
      <c r="V690" s="3">
        <f ca="1">'ETF price'!W692-'ETF price'!W691</f>
        <v>-0.24000000000000199</v>
      </c>
      <c r="W690" s="3">
        <f ca="1">'ETF price'!X692-'ETF price'!X691</f>
        <v>-0.70999999999999375</v>
      </c>
      <c r="X690" s="3">
        <f ca="1">'ETF price'!Y692-'ETF price'!Y691</f>
        <v>-1.4699999999999989</v>
      </c>
      <c r="Y690" s="3">
        <f ca="1">'ETF price'!Z692-'ETF price'!Z691</f>
        <v>-0.79000000000000625</v>
      </c>
      <c r="Z690" s="3">
        <f ca="1">'ETF price'!AA692-'ETF price'!AA691</f>
        <v>-0.27000000000000313</v>
      </c>
      <c r="AA690" s="3">
        <f ca="1">'ETF price'!AB692-'ETF price'!AB691</f>
        <v>-1.8900000000000006</v>
      </c>
      <c r="AB690" s="3">
        <f ca="1">'ETF price'!AC692-'ETF price'!AC691</f>
        <v>1.25</v>
      </c>
      <c r="AC690" s="3">
        <f ca="1">'ETF price'!AD692-'ETF price'!AD691</f>
        <v>-0.58000000000000007</v>
      </c>
      <c r="AD690" s="3">
        <f ca="1">'ETF price'!AE692-'ETF price'!AE691</f>
        <v>-1.6000000000000014</v>
      </c>
      <c r="AE690" s="3">
        <f ca="1">'ETF price'!AF692-'ETF price'!AF691</f>
        <v>1.9999999999999574E-2</v>
      </c>
      <c r="AF690" s="3">
        <f ca="1">'ETF price'!AG692-'ETF price'!AG691</f>
        <v>-2.5</v>
      </c>
    </row>
    <row r="691" spans="1:32" ht="12.75" x14ac:dyDescent="0.2">
      <c r="A691" s="3">
        <f ca="1">'ETF price'!B693-'ETF price'!B692</f>
        <v>1.6299999999999955</v>
      </c>
      <c r="B691" s="3">
        <f ca="1">'ETF price'!C693-'ETF price'!C692</f>
        <v>3.6000000000000227</v>
      </c>
      <c r="C691" s="3">
        <f ca="1">'ETF price'!D693-'ETF price'!D692</f>
        <v>-1.2999999999999829</v>
      </c>
      <c r="D691" s="3">
        <f ca="1">'ETF price'!E693-'ETF price'!E692</f>
        <v>3.0200000000000102</v>
      </c>
      <c r="E691" s="3">
        <f ca="1">'ETF price'!F693-'ETF price'!F692</f>
        <v>0.32999999999999829</v>
      </c>
      <c r="F691" s="3">
        <f ca="1">'ETF price'!G693-'ETF price'!G692</f>
        <v>0.11000000000000298</v>
      </c>
      <c r="G691" s="3">
        <f ca="1">'ETF price'!H693-'ETF price'!H692</f>
        <v>0.14999999999999858</v>
      </c>
      <c r="H691" s="3">
        <f ca="1">'ETF price'!I693-'ETF price'!I692</f>
        <v>-0.31000000000000227</v>
      </c>
      <c r="I691" s="3">
        <f ca="1">'ETF price'!J693-'ETF price'!J692</f>
        <v>-0.27000000000003865</v>
      </c>
      <c r="J691" s="3">
        <f ca="1">'ETF price'!K693-'ETF price'!K692</f>
        <v>3.0000000000001137E-2</v>
      </c>
      <c r="K691" s="3">
        <f ca="1">'ETF price'!L693-'ETF price'!L692</f>
        <v>0.12000000000000455</v>
      </c>
      <c r="L691" s="3">
        <f ca="1">'ETF price'!M693-'ETF price'!M692</f>
        <v>0.60999999999999943</v>
      </c>
      <c r="M691" s="3">
        <f ca="1">'ETF price'!N693-'ETF price'!N692</f>
        <v>-7.9999999999998295E-2</v>
      </c>
      <c r="N691" s="3">
        <f ca="1">'ETF price'!O693-'ETF price'!O692</f>
        <v>-7.9999999999998295E-2</v>
      </c>
      <c r="O691" s="3">
        <f ca="1">'ETF price'!P693-'ETF price'!P692</f>
        <v>0.92000000000000171</v>
      </c>
      <c r="P691" s="3">
        <f ca="1">'ETF price'!Q693-'ETF price'!Q692</f>
        <v>1.3799999999999955</v>
      </c>
      <c r="Q691" s="3">
        <f ca="1">'ETF price'!R693-'ETF price'!R692</f>
        <v>-0.37000000000000455</v>
      </c>
      <c r="R691" s="3">
        <f ca="1">'ETF price'!S693-'ETF price'!S692</f>
        <v>-0.34000000000000341</v>
      </c>
      <c r="S691" s="3">
        <f ca="1">'ETF price'!T693-'ETF price'!T692</f>
        <v>0.19000000000000128</v>
      </c>
      <c r="T691" s="3">
        <f ca="1">'ETF price'!U693-'ETF price'!U692</f>
        <v>0.65000000000000568</v>
      </c>
      <c r="U691" s="3">
        <f ca="1">'ETF price'!V693-'ETF price'!V692</f>
        <v>-0.21999999999999886</v>
      </c>
      <c r="V691" s="3">
        <f ca="1">'ETF price'!W693-'ETF price'!W692</f>
        <v>5.0000000000004263E-2</v>
      </c>
      <c r="W691" s="3">
        <f ca="1">'ETF price'!X693-'ETF price'!X692</f>
        <v>7.9999999999998295E-2</v>
      </c>
      <c r="X691" s="3">
        <f ca="1">'ETF price'!Y693-'ETF price'!Y692</f>
        <v>-9.0000000000003411E-2</v>
      </c>
      <c r="Y691" s="3">
        <f ca="1">'ETF price'!Z693-'ETF price'!Z692</f>
        <v>7.000000000000739E-2</v>
      </c>
      <c r="Z691" s="3">
        <f ca="1">'ETF price'!AA693-'ETF price'!AA692</f>
        <v>-0.15999999999999659</v>
      </c>
      <c r="AA691" s="3">
        <f ca="1">'ETF price'!AB693-'ETF price'!AB692</f>
        <v>-0.11999999999999744</v>
      </c>
      <c r="AB691" s="3">
        <f ca="1">'ETF price'!AC693-'ETF price'!AC692</f>
        <v>-0.55999999999998806</v>
      </c>
      <c r="AC691" s="3">
        <f ca="1">'ETF price'!AD693-'ETF price'!AD692</f>
        <v>-0.54999999999999893</v>
      </c>
      <c r="AD691" s="3">
        <f ca="1">'ETF price'!AE693-'ETF price'!AE692</f>
        <v>-0.44999999999999929</v>
      </c>
      <c r="AE691" s="3">
        <f ca="1">'ETF price'!AF693-'ETF price'!AF692</f>
        <v>0.23000000000000043</v>
      </c>
      <c r="AF691" s="3">
        <f ca="1">'ETF price'!AG693-'ETF price'!AG692</f>
        <v>0.59000000000000341</v>
      </c>
    </row>
    <row r="692" spans="1:32" ht="12.75" x14ac:dyDescent="0.2">
      <c r="A692" s="3">
        <f ca="1">'ETF price'!B694-'ETF price'!B693</f>
        <v>0.92000000000001592</v>
      </c>
      <c r="B692" s="3">
        <f ca="1">'ETF price'!C694-'ETF price'!C693</f>
        <v>2.2599999999999909</v>
      </c>
      <c r="C692" s="3">
        <f ca="1">'ETF price'!D694-'ETF price'!D693</f>
        <v>2.789999999999992</v>
      </c>
      <c r="D692" s="3">
        <f ca="1">'ETF price'!E694-'ETF price'!E693</f>
        <v>0.81000000000000227</v>
      </c>
      <c r="E692" s="3">
        <f ca="1">'ETF price'!F694-'ETF price'!F693</f>
        <v>-0.22999999999998977</v>
      </c>
      <c r="F692" s="3">
        <f ca="1">'ETF price'!G694-'ETF price'!G693</f>
        <v>-0.20000000000000284</v>
      </c>
      <c r="G692" s="3">
        <f ca="1">'ETF price'!H694-'ETF price'!H693</f>
        <v>-0.14000000000000057</v>
      </c>
      <c r="H692" s="3">
        <f ca="1">'ETF price'!I694-'ETF price'!I693</f>
        <v>-1.3799999999999955</v>
      </c>
      <c r="I692" s="3">
        <f ca="1">'ETF price'!J694-'ETF price'!J693</f>
        <v>-2.75</v>
      </c>
      <c r="J692" s="3">
        <f ca="1">'ETF price'!K694-'ETF price'!K693</f>
        <v>-2.1899999999999977</v>
      </c>
      <c r="K692" s="3">
        <f ca="1">'ETF price'!L694-'ETF price'!L693</f>
        <v>-1.4500000000000028</v>
      </c>
      <c r="L692" s="3">
        <f ca="1">'ETF price'!M694-'ETF price'!M693</f>
        <v>-0.87999999999999545</v>
      </c>
      <c r="M692" s="3">
        <f ca="1">'ETF price'!N694-'ETF price'!N693</f>
        <v>-0.71000000000000796</v>
      </c>
      <c r="N692" s="3">
        <f ca="1">'ETF price'!O694-'ETF price'!O693</f>
        <v>-0.96000000000000085</v>
      </c>
      <c r="O692" s="3">
        <f ca="1">'ETF price'!P694-'ETF price'!P693</f>
        <v>1.5999999999999943</v>
      </c>
      <c r="P692" s="3">
        <f ca="1">'ETF price'!Q694-'ETF price'!Q693</f>
        <v>2.2900000000000063</v>
      </c>
      <c r="Q692" s="3">
        <f ca="1">'ETF price'!R694-'ETF price'!R693</f>
        <v>-1.0600000000000023</v>
      </c>
      <c r="R692" s="3">
        <f ca="1">'ETF price'!S694-'ETF price'!S693</f>
        <v>-0.59000000000000341</v>
      </c>
      <c r="S692" s="3">
        <f ca="1">'ETF price'!T694-'ETF price'!T693</f>
        <v>0.32999999999999829</v>
      </c>
      <c r="T692" s="3">
        <f ca="1">'ETF price'!U694-'ETF price'!U693</f>
        <v>2.9699999999999989</v>
      </c>
      <c r="U692" s="3">
        <f ca="1">'ETF price'!V694-'ETF price'!V693</f>
        <v>-0.81000000000000227</v>
      </c>
      <c r="V692" s="3">
        <f ca="1">'ETF price'!W694-'ETF price'!W693</f>
        <v>-0.24000000000000199</v>
      </c>
      <c r="W692" s="3">
        <f ca="1">'ETF price'!X694-'ETF price'!X693</f>
        <v>-0.40999999999999659</v>
      </c>
      <c r="X692" s="3">
        <f ca="1">'ETF price'!Y694-'ETF price'!Y693</f>
        <v>7.0000000000000284E-2</v>
      </c>
      <c r="Y692" s="3">
        <f ca="1">'ETF price'!Z694-'ETF price'!Z693</f>
        <v>-0.48000000000000398</v>
      </c>
      <c r="Z692" s="3">
        <f ca="1">'ETF price'!AA694-'ETF price'!AA693</f>
        <v>-0.42999999999999972</v>
      </c>
      <c r="AA692" s="3">
        <f ca="1">'ETF price'!AB694-'ETF price'!AB693</f>
        <v>0.12999999999999545</v>
      </c>
      <c r="AB692" s="3">
        <f ca="1">'ETF price'!AC694-'ETF price'!AC693</f>
        <v>0.23999999999999488</v>
      </c>
      <c r="AC692" s="3">
        <f ca="1">'ETF price'!AD694-'ETF price'!AD693</f>
        <v>3.9999999999999147E-2</v>
      </c>
      <c r="AD692" s="3">
        <f ca="1">'ETF price'!AE694-'ETF price'!AE693</f>
        <v>0.23999999999999844</v>
      </c>
      <c r="AE692" s="3">
        <f ca="1">'ETF price'!AF694-'ETF price'!AF693</f>
        <v>-0.11000000000000032</v>
      </c>
      <c r="AF692" s="3">
        <f ca="1">'ETF price'!AG694-'ETF price'!AG693</f>
        <v>0.11999999999999744</v>
      </c>
    </row>
    <row r="693" spans="1:32" ht="12.75" x14ac:dyDescent="0.2">
      <c r="A693" s="3">
        <f ca="1">'ETF price'!B695-'ETF price'!B694</f>
        <v>2.4799999999999898</v>
      </c>
      <c r="B693" s="3">
        <f ca="1">'ETF price'!C695-'ETF price'!C694</f>
        <v>7.3999999999999773</v>
      </c>
      <c r="C693" s="3">
        <f ca="1">'ETF price'!D695-'ETF price'!D694</f>
        <v>1.3700000000000045</v>
      </c>
      <c r="D693" s="3">
        <f ca="1">'ETF price'!E695-'ETF price'!E694</f>
        <v>3.1200000000000045</v>
      </c>
      <c r="E693" s="3">
        <f ca="1">'ETF price'!F695-'ETF price'!F694</f>
        <v>1.1499999999999915</v>
      </c>
      <c r="F693" s="3">
        <f ca="1">'ETF price'!G695-'ETF price'!G694</f>
        <v>0.51000000000000156</v>
      </c>
      <c r="G693" s="3">
        <f ca="1">'ETF price'!H695-'ETF price'!H694</f>
        <v>0.28999999999999915</v>
      </c>
      <c r="H693" s="3">
        <f ca="1">'ETF price'!I695-'ETF price'!I694</f>
        <v>0.11999999999997613</v>
      </c>
      <c r="I693" s="3">
        <f ca="1">'ETF price'!J695-'ETF price'!J694</f>
        <v>0.47000000000002728</v>
      </c>
      <c r="J693" s="3">
        <f ca="1">'ETF price'!K695-'ETF price'!K694</f>
        <v>1.289999999999992</v>
      </c>
      <c r="K693" s="3">
        <f ca="1">'ETF price'!L695-'ETF price'!L694</f>
        <v>0.87000000000000455</v>
      </c>
      <c r="L693" s="3">
        <f ca="1">'ETF price'!M695-'ETF price'!M694</f>
        <v>0.57000000000000739</v>
      </c>
      <c r="M693" s="3">
        <f ca="1">'ETF price'!N695-'ETF price'!N694</f>
        <v>0.15000000000000568</v>
      </c>
      <c r="N693" s="3">
        <f ca="1">'ETF price'!O695-'ETF price'!O694</f>
        <v>0.64000000000000057</v>
      </c>
      <c r="O693" s="3">
        <f ca="1">'ETF price'!P695-'ETF price'!P694</f>
        <v>0.86000000000001364</v>
      </c>
      <c r="P693" s="3">
        <f ca="1">'ETF price'!Q695-'ETF price'!Q694</f>
        <v>1.2400000000000091</v>
      </c>
      <c r="Q693" s="3">
        <f ca="1">'ETF price'!R695-'ETF price'!R694</f>
        <v>0.46000000000000796</v>
      </c>
      <c r="R693" s="3">
        <f ca="1">'ETF price'!S695-'ETF price'!S694</f>
        <v>0.82000000000000028</v>
      </c>
      <c r="S693" s="3">
        <f ca="1">'ETF price'!T695-'ETF price'!T694</f>
        <v>5.9999999999998721E-2</v>
      </c>
      <c r="T693" s="3">
        <f ca="1">'ETF price'!U695-'ETF price'!U694</f>
        <v>0.61999999999999034</v>
      </c>
      <c r="U693" s="3">
        <f ca="1">'ETF price'!V695-'ETF price'!V694</f>
        <v>0.49000000000000199</v>
      </c>
      <c r="V693" s="3">
        <f ca="1">'ETF price'!W695-'ETF price'!W694</f>
        <v>0.75999999999999801</v>
      </c>
      <c r="W693" s="3">
        <f ca="1">'ETF price'!X695-'ETF price'!X694</f>
        <v>1.8699999999999903</v>
      </c>
      <c r="X693" s="3">
        <f ca="1">'ETF price'!Y695-'ETF price'!Y694</f>
        <v>0.95000000000000284</v>
      </c>
      <c r="Y693" s="3">
        <f ca="1">'ETF price'!Z695-'ETF price'!Z694</f>
        <v>1.9899999999999949</v>
      </c>
      <c r="Z693" s="3">
        <f ca="1">'ETF price'!AA695-'ETF price'!AA694</f>
        <v>-0.28999999999999915</v>
      </c>
      <c r="AA693" s="3">
        <f ca="1">'ETF price'!AB695-'ETF price'!AB694</f>
        <v>1.1200000000000045</v>
      </c>
      <c r="AB693" s="3">
        <f ca="1">'ETF price'!AC695-'ETF price'!AC694</f>
        <v>0.56999999999999318</v>
      </c>
      <c r="AC693" s="3">
        <f ca="1">'ETF price'!AD695-'ETF price'!AD694</f>
        <v>0.41000000000000014</v>
      </c>
      <c r="AD693" s="3">
        <f ca="1">'ETF price'!AE695-'ETF price'!AE694</f>
        <v>0.39000000000000057</v>
      </c>
      <c r="AE693" s="3">
        <f ca="1">'ETF price'!AF695-'ETF price'!AF694</f>
        <v>-0.12000000000000011</v>
      </c>
      <c r="AF693" s="3">
        <f ca="1">'ETF price'!AG695-'ETF price'!AG694</f>
        <v>1.4699999999999989</v>
      </c>
    </row>
    <row r="694" spans="1:32" ht="12.75" x14ac:dyDescent="0.2">
      <c r="A694" s="3">
        <f ca="1">'ETF price'!B696-'ETF price'!B695</f>
        <v>-1.5499999999999829</v>
      </c>
      <c r="B694" s="3">
        <f ca="1">'ETF price'!C696-'ETF price'!C695</f>
        <v>-4.1999999999999318</v>
      </c>
      <c r="C694" s="3">
        <f ca="1">'ETF price'!D696-'ETF price'!D695</f>
        <v>9.9999999999994316E-2</v>
      </c>
      <c r="D694" s="3">
        <f ca="1">'ETF price'!E696-'ETF price'!E695</f>
        <v>-0.63000000000002387</v>
      </c>
      <c r="E694" s="3">
        <f ca="1">'ETF price'!F696-'ETF price'!F695</f>
        <v>-0.75</v>
      </c>
      <c r="F694" s="3">
        <f ca="1">'ETF price'!G696-'ETF price'!G695</f>
        <v>-0.23000000000000043</v>
      </c>
      <c r="G694" s="3">
        <f ca="1">'ETF price'!H696-'ETF price'!H695</f>
        <v>-0.22999999999999687</v>
      </c>
      <c r="H694" s="3">
        <f ca="1">'ETF price'!I696-'ETF price'!I695</f>
        <v>-0.66999999999998749</v>
      </c>
      <c r="I694" s="3">
        <f ca="1">'ETF price'!J696-'ETF price'!J695</f>
        <v>-1.4499999999999886</v>
      </c>
      <c r="J694" s="3">
        <f ca="1">'ETF price'!K696-'ETF price'!K695</f>
        <v>-1.7199999999999989</v>
      </c>
      <c r="K694" s="3">
        <f ca="1">'ETF price'!L696-'ETF price'!L695</f>
        <v>-1.1800000000000068</v>
      </c>
      <c r="L694" s="3">
        <f ca="1">'ETF price'!M696-'ETF price'!M695</f>
        <v>-1.1300000000000097</v>
      </c>
      <c r="M694" s="3">
        <f ca="1">'ETF price'!N696-'ETF price'!N695</f>
        <v>-0.48000000000000398</v>
      </c>
      <c r="N694" s="3">
        <f ca="1">'ETF price'!O696-'ETF price'!O695</f>
        <v>-0.55999999999999517</v>
      </c>
      <c r="O694" s="3">
        <f ca="1">'ETF price'!P696-'ETF price'!P695</f>
        <v>0.32999999999999829</v>
      </c>
      <c r="P694" s="3">
        <f ca="1">'ETF price'!Q696-'ETF price'!Q695</f>
        <v>0.56000000000000227</v>
      </c>
      <c r="Q694" s="3">
        <f ca="1">'ETF price'!R696-'ETF price'!R695</f>
        <v>-0.28000000000000114</v>
      </c>
      <c r="R694" s="3">
        <f ca="1">'ETF price'!S696-'ETF price'!S695</f>
        <v>0.13000000000000256</v>
      </c>
      <c r="S694" s="3">
        <f ca="1">'ETF price'!T696-'ETF price'!T695</f>
        <v>0.32000000000000028</v>
      </c>
      <c r="T694" s="3">
        <f ca="1">'ETF price'!U696-'ETF price'!U695</f>
        <v>2.8500000000000085</v>
      </c>
      <c r="U694" s="3">
        <f ca="1">'ETF price'!V696-'ETF price'!V695</f>
        <v>0.75999999999999801</v>
      </c>
      <c r="V694" s="3">
        <f ca="1">'ETF price'!W696-'ETF price'!W695</f>
        <v>-0.55999999999999517</v>
      </c>
      <c r="W694" s="3">
        <f ca="1">'ETF price'!X696-'ETF price'!X695</f>
        <v>-1.3099999999999881</v>
      </c>
      <c r="X694" s="3">
        <f ca="1">'ETF price'!Y696-'ETF price'!Y695</f>
        <v>-0.30000000000000426</v>
      </c>
      <c r="Y694" s="3">
        <f ca="1">'ETF price'!Z696-'ETF price'!Z695</f>
        <v>-1.4099999999999966</v>
      </c>
      <c r="Z694" s="3">
        <f ca="1">'ETF price'!AA696-'ETF price'!AA695</f>
        <v>-0.32000000000000028</v>
      </c>
      <c r="AA694" s="3">
        <f ca="1">'ETF price'!AB696-'ETF price'!AB695</f>
        <v>-0.25</v>
      </c>
      <c r="AB694" s="3">
        <f ca="1">'ETF price'!AC696-'ETF price'!AC695</f>
        <v>-0.14000000000000057</v>
      </c>
      <c r="AC694" s="3">
        <f ca="1">'ETF price'!AD696-'ETF price'!AD695</f>
        <v>0.16999999999999993</v>
      </c>
      <c r="AD694" s="3">
        <f ca="1">'ETF price'!AE696-'ETF price'!AE695</f>
        <v>0.26000000000000156</v>
      </c>
      <c r="AE694" s="3">
        <f ca="1">'ETF price'!AF696-'ETF price'!AF695</f>
        <v>-0.17999999999999972</v>
      </c>
      <c r="AF694" s="3">
        <f ca="1">'ETF price'!AG696-'ETF price'!AG695</f>
        <v>-1.1300000000000026</v>
      </c>
    </row>
    <row r="695" spans="1:32" ht="12.75" x14ac:dyDescent="0.2">
      <c r="A695" s="3">
        <f ca="1">'ETF price'!B697-'ETF price'!B696</f>
        <v>4.1799999999999784</v>
      </c>
      <c r="B695" s="3">
        <f ca="1">'ETF price'!C697-'ETF price'!C696</f>
        <v>10.589999999999918</v>
      </c>
      <c r="C695" s="3">
        <f ca="1">'ETF price'!D697-'ETF price'!D696</f>
        <v>0.37999999999999545</v>
      </c>
      <c r="D695" s="3">
        <f ca="1">'ETF price'!E697-'ETF price'!E696</f>
        <v>2.2700000000000102</v>
      </c>
      <c r="E695" s="3">
        <f ca="1">'ETF price'!F697-'ETF price'!F696</f>
        <v>1.1000000000000085</v>
      </c>
      <c r="F695" s="3">
        <f ca="1">'ETF price'!G697-'ETF price'!G696</f>
        <v>0.10999999999999943</v>
      </c>
      <c r="G695" s="3">
        <f ca="1">'ETF price'!H697-'ETF price'!H696</f>
        <v>0</v>
      </c>
      <c r="H695" s="3">
        <f ca="1">'ETF price'!I697-'ETF price'!I696</f>
        <v>0.81999999999999318</v>
      </c>
      <c r="I695" s="3">
        <f ca="1">'ETF price'!J697-'ETF price'!J696</f>
        <v>1.4699999999999704</v>
      </c>
      <c r="J695" s="3">
        <f ca="1">'ETF price'!K697-'ETF price'!K696</f>
        <v>0.81999999999999318</v>
      </c>
      <c r="K695" s="3">
        <f ca="1">'ETF price'!L697-'ETF price'!L696</f>
        <v>0.76999999999999602</v>
      </c>
      <c r="L695" s="3">
        <f ca="1">'ETF price'!M697-'ETF price'!M696</f>
        <v>9.0000000000003411E-2</v>
      </c>
      <c r="M695" s="3">
        <f ca="1">'ETF price'!N697-'ETF price'!N696</f>
        <v>0.37999999999999545</v>
      </c>
      <c r="N695" s="3">
        <f ca="1">'ETF price'!O697-'ETF price'!O696</f>
        <v>7.9999999999998295E-2</v>
      </c>
      <c r="O695" s="3">
        <f ca="1">'ETF price'!P697-'ETF price'!P696</f>
        <v>-2.4400000000000119</v>
      </c>
      <c r="P695" s="3">
        <f ca="1">'ETF price'!Q697-'ETF price'!Q696</f>
        <v>-3.3700000000000188</v>
      </c>
      <c r="Q695" s="3">
        <f ca="1">'ETF price'!R697-'ETF price'!R696</f>
        <v>-0.43999999999999773</v>
      </c>
      <c r="R695" s="3">
        <f ca="1">'ETF price'!S697-'ETF price'!S696</f>
        <v>-1.1400000000000006</v>
      </c>
      <c r="S695" s="3">
        <f ca="1">'ETF price'!T697-'ETF price'!T696</f>
        <v>-0.54999999999999716</v>
      </c>
      <c r="T695" s="3">
        <f ca="1">'ETF price'!U697-'ETF price'!U696</f>
        <v>-3.4099999999999966</v>
      </c>
      <c r="U695" s="3">
        <f ca="1">'ETF price'!V697-'ETF price'!V696</f>
        <v>-2.3500000000000014</v>
      </c>
      <c r="V695" s="3">
        <f ca="1">'ETF price'!W697-'ETF price'!W696</f>
        <v>0.25999999999999801</v>
      </c>
      <c r="W695" s="3">
        <f ca="1">'ETF price'!X697-'ETF price'!X696</f>
        <v>0.5899999999999892</v>
      </c>
      <c r="X695" s="3">
        <f ca="1">'ETF price'!Y697-'ETF price'!Y696</f>
        <v>-7.0000000000000284E-2</v>
      </c>
      <c r="Y695" s="3">
        <f ca="1">'ETF price'!Z697-'ETF price'!Z696</f>
        <v>0.64000000000000057</v>
      </c>
      <c r="Z695" s="3">
        <f ca="1">'ETF price'!AA697-'ETF price'!AA696</f>
        <v>0.12999999999999545</v>
      </c>
      <c r="AA695" s="3">
        <f ca="1">'ETF price'!AB697-'ETF price'!AB696</f>
        <v>-0.17000000000000171</v>
      </c>
      <c r="AB695" s="3">
        <f ca="1">'ETF price'!AC697-'ETF price'!AC696</f>
        <v>1.5600000000000023</v>
      </c>
      <c r="AC695" s="3">
        <f ca="1">'ETF price'!AD697-'ETF price'!AD696</f>
        <v>-0.17999999999999972</v>
      </c>
      <c r="AD695" s="3">
        <f ca="1">'ETF price'!AE697-'ETF price'!AE696</f>
        <v>-0.31000000000000227</v>
      </c>
      <c r="AE695" s="3">
        <f ca="1">'ETF price'!AF697-'ETF price'!AF696</f>
        <v>8.0000000000000071E-2</v>
      </c>
      <c r="AF695" s="3">
        <f ca="1">'ETF price'!AG697-'ETF price'!AG696</f>
        <v>-0.5</v>
      </c>
    </row>
    <row r="696" spans="1:32" ht="12.75" x14ac:dyDescent="0.2">
      <c r="A696" s="3">
        <f ca="1">'ETF price'!B698-'ETF price'!B697</f>
        <v>2.5500000000000114</v>
      </c>
      <c r="B696" s="3">
        <f ca="1">'ETF price'!C698-'ETF price'!C697</f>
        <v>6.6200000000000045</v>
      </c>
      <c r="C696" s="3">
        <f ca="1">'ETF price'!D698-'ETF price'!D697</f>
        <v>2.0099999999999909</v>
      </c>
      <c r="D696" s="3">
        <f ca="1">'ETF price'!E698-'ETF price'!E697</f>
        <v>2.4300000000000068</v>
      </c>
      <c r="E696" s="3">
        <f ca="1">'ETF price'!F698-'ETF price'!F697</f>
        <v>1.4599999999999937</v>
      </c>
      <c r="F696" s="3">
        <f ca="1">'ETF price'!G698-'ETF price'!G697</f>
        <v>5.0000000000000711E-2</v>
      </c>
      <c r="G696" s="3">
        <f ca="1">'ETF price'!H698-'ETF price'!H697</f>
        <v>0.18999999999999773</v>
      </c>
      <c r="H696" s="3">
        <f ca="1">'ETF price'!I698-'ETF price'!I697</f>
        <v>1.5500000000000114</v>
      </c>
      <c r="I696" s="3">
        <f ca="1">'ETF price'!J698-'ETF price'!J697</f>
        <v>2.3799999999999955</v>
      </c>
      <c r="J696" s="3">
        <f ca="1">'ETF price'!K698-'ETF price'!K697</f>
        <v>0.13999999999998636</v>
      </c>
      <c r="K696" s="3">
        <f ca="1">'ETF price'!L698-'ETF price'!L697</f>
        <v>-0.78999999999999204</v>
      </c>
      <c r="L696" s="3">
        <f ca="1">'ETF price'!M698-'ETF price'!M697</f>
        <v>-0.45000000000000284</v>
      </c>
      <c r="M696" s="3">
        <f ca="1">'ETF price'!N698-'ETF price'!N697</f>
        <v>0.68000000000000682</v>
      </c>
      <c r="N696" s="3">
        <f ca="1">'ETF price'!O698-'ETF price'!O697</f>
        <v>-0.48000000000000398</v>
      </c>
      <c r="O696" s="3">
        <f ca="1">'ETF price'!P698-'ETF price'!P697</f>
        <v>0.55000000000001137</v>
      </c>
      <c r="P696" s="3">
        <f ca="1">'ETF price'!Q698-'ETF price'!Q697</f>
        <v>0.52000000000001023</v>
      </c>
      <c r="Q696" s="3">
        <f ca="1">'ETF price'!R698-'ETF price'!R697</f>
        <v>0.59999999999999432</v>
      </c>
      <c r="R696" s="3">
        <f ca="1">'ETF price'!S698-'ETF price'!S697</f>
        <v>0.37000000000000455</v>
      </c>
      <c r="S696" s="3">
        <f ca="1">'ETF price'!T698-'ETF price'!T697</f>
        <v>-0.20000000000000284</v>
      </c>
      <c r="T696" s="3">
        <f ca="1">'ETF price'!U698-'ETF price'!U697</f>
        <v>-0.54000000000000625</v>
      </c>
      <c r="U696" s="3">
        <f ca="1">'ETF price'!V698-'ETF price'!V697</f>
        <v>-0.49000000000000199</v>
      </c>
      <c r="V696" s="3">
        <f ca="1">'ETF price'!W698-'ETF price'!W697</f>
        <v>0.42000000000000171</v>
      </c>
      <c r="W696" s="3">
        <f ca="1">'ETF price'!X698-'ETF price'!X697</f>
        <v>0.98000000000000398</v>
      </c>
      <c r="X696" s="3">
        <f ca="1">'ETF price'!Y698-'ETF price'!Y697</f>
        <v>0.59000000000000341</v>
      </c>
      <c r="Y696" s="3">
        <f ca="1">'ETF price'!Z698-'ETF price'!Z697</f>
        <v>1.0300000000000011</v>
      </c>
      <c r="Z696" s="3">
        <f ca="1">'ETF price'!AA698-'ETF price'!AA697</f>
        <v>2.0000000000003126E-2</v>
      </c>
      <c r="AA696" s="3">
        <f ca="1">'ETF price'!AB698-'ETF price'!AB697</f>
        <v>0.71999999999999886</v>
      </c>
      <c r="AB696" s="3">
        <f ca="1">'ETF price'!AC698-'ETF price'!AC697</f>
        <v>0.53000000000000114</v>
      </c>
      <c r="AC696" s="3">
        <f ca="1">'ETF price'!AD698-'ETF price'!AD697</f>
        <v>-0.23000000000000043</v>
      </c>
      <c r="AD696" s="3">
        <f ca="1">'ETF price'!AE698-'ETF price'!AE697</f>
        <v>-0.36999999999999744</v>
      </c>
      <c r="AE696" s="3">
        <f ca="1">'ETF price'!AF698-'ETF price'!AF697</f>
        <v>-9.9999999999997868E-3</v>
      </c>
      <c r="AF696" s="3">
        <f ca="1">'ETF price'!AG698-'ETF price'!AG697</f>
        <v>-1.1999999999999957</v>
      </c>
    </row>
    <row r="697" spans="1:32" ht="12.75" x14ac:dyDescent="0.2">
      <c r="A697" s="3">
        <f ca="1">'ETF price'!B699-'ETF price'!B698</f>
        <v>-6.0000000000002274E-2</v>
      </c>
      <c r="B697" s="3">
        <f ca="1">'ETF price'!C699-'ETF price'!C698</f>
        <v>0.54000000000007731</v>
      </c>
      <c r="C697" s="3">
        <f ca="1">'ETF price'!D699-'ETF price'!D698</f>
        <v>-2.8499999999999943</v>
      </c>
      <c r="D697" s="3">
        <f ca="1">'ETF price'!E699-'ETF price'!E698</f>
        <v>-1.6500000000000057</v>
      </c>
      <c r="E697" s="3">
        <f ca="1">'ETF price'!F699-'ETF price'!F698</f>
        <v>1.0400000000000063</v>
      </c>
      <c r="F697" s="3">
        <f ca="1">'ETF price'!G699-'ETF price'!G698</f>
        <v>-1.0000000000001563E-2</v>
      </c>
      <c r="G697" s="3">
        <f ca="1">'ETF price'!H699-'ETF price'!H698</f>
        <v>-0.12000000000000099</v>
      </c>
      <c r="H697" s="3">
        <f ca="1">'ETF price'!I699-'ETF price'!I698</f>
        <v>-0.56999999999999318</v>
      </c>
      <c r="I697" s="3">
        <f ca="1">'ETF price'!J699-'ETF price'!J698</f>
        <v>-0.93999999999999773</v>
      </c>
      <c r="J697" s="3">
        <f ca="1">'ETF price'!K699-'ETF price'!K698</f>
        <v>1.0000000000019327E-2</v>
      </c>
      <c r="K697" s="3">
        <f ca="1">'ETF price'!L699-'ETF price'!L698</f>
        <v>-9.0000000000003411E-2</v>
      </c>
      <c r="L697" s="3">
        <f ca="1">'ETF price'!M699-'ETF price'!M698</f>
        <v>3.0000000000001137E-2</v>
      </c>
      <c r="M697" s="3">
        <f ca="1">'ETF price'!N699-'ETF price'!N698</f>
        <v>-0.31000000000000227</v>
      </c>
      <c r="N697" s="3">
        <f ca="1">'ETF price'!O699-'ETF price'!O698</f>
        <v>-0.32000000000000028</v>
      </c>
      <c r="O697" s="3">
        <f ca="1">'ETF price'!P699-'ETF price'!P698</f>
        <v>0.61999999999999034</v>
      </c>
      <c r="P697" s="3">
        <f ca="1">'ETF price'!Q699-'ETF price'!Q698</f>
        <v>0.98000000000000398</v>
      </c>
      <c r="Q697" s="3">
        <f ca="1">'ETF price'!R699-'ETF price'!R698</f>
        <v>0.21999999999999886</v>
      </c>
      <c r="R697" s="3">
        <f ca="1">'ETF price'!S699-'ETF price'!S698</f>
        <v>0.61999999999999744</v>
      </c>
      <c r="S697" s="3">
        <f ca="1">'ETF price'!T699-'ETF price'!T698</f>
        <v>0.45000000000000284</v>
      </c>
      <c r="T697" s="3">
        <f ca="1">'ETF price'!U699-'ETF price'!U698</f>
        <v>2.519999999999996</v>
      </c>
      <c r="U697" s="3">
        <f ca="1">'ETF price'!V699-'ETF price'!V698</f>
        <v>-1.4799999999999969</v>
      </c>
      <c r="V697" s="3">
        <f ca="1">'ETF price'!W699-'ETF price'!W698</f>
        <v>-0.14000000000000057</v>
      </c>
      <c r="W697" s="3">
        <f ca="1">'ETF price'!X699-'ETF price'!X698</f>
        <v>-0.23999999999999488</v>
      </c>
      <c r="X697" s="3">
        <f ca="1">'ETF price'!Y699-'ETF price'!Y698</f>
        <v>-9.0000000000003411E-2</v>
      </c>
      <c r="Y697" s="3">
        <f ca="1">'ETF price'!Z699-'ETF price'!Z698</f>
        <v>-0.39000000000000057</v>
      </c>
      <c r="Z697" s="3">
        <f ca="1">'ETF price'!AA699-'ETF price'!AA698</f>
        <v>-0.35999999999999943</v>
      </c>
      <c r="AA697" s="3">
        <f ca="1">'ETF price'!AB699-'ETF price'!AB698</f>
        <v>-4.9999999999997158E-2</v>
      </c>
      <c r="AB697" s="3">
        <f ca="1">'ETF price'!AC699-'ETF price'!AC698</f>
        <v>0.28000000000000114</v>
      </c>
      <c r="AC697" s="3">
        <f ca="1">'ETF price'!AD699-'ETF price'!AD698</f>
        <v>-0.32000000000000028</v>
      </c>
      <c r="AD697" s="3">
        <f ca="1">'ETF price'!AE699-'ETF price'!AE698</f>
        <v>-0.36000000000000298</v>
      </c>
      <c r="AE697" s="3">
        <f ca="1">'ETF price'!AF699-'ETF price'!AF698</f>
        <v>0.29999999999999982</v>
      </c>
      <c r="AF697" s="3">
        <f ca="1">'ETF price'!AG699-'ETF price'!AG698</f>
        <v>-0.38000000000000256</v>
      </c>
    </row>
    <row r="698" spans="1:32" ht="12.75" x14ac:dyDescent="0.2">
      <c r="A698" s="3">
        <f ca="1">'ETF price'!B700-'ETF price'!B699</f>
        <v>0.40000000000000568</v>
      </c>
      <c r="B698" s="3">
        <f ca="1">'ETF price'!C700-'ETF price'!C699</f>
        <v>1.8500000000000227</v>
      </c>
      <c r="C698" s="3">
        <f ca="1">'ETF price'!D700-'ETF price'!D699</f>
        <v>2.0000000000010232E-2</v>
      </c>
      <c r="D698" s="3">
        <f ca="1">'ETF price'!E700-'ETF price'!E699</f>
        <v>1.960000000000008</v>
      </c>
      <c r="E698" s="3">
        <f ca="1">'ETF price'!F700-'ETF price'!F699</f>
        <v>0.23999999999999488</v>
      </c>
      <c r="F698" s="3">
        <f ca="1">'ETF price'!G700-'ETF price'!G699</f>
        <v>0.21000000000000441</v>
      </c>
      <c r="G698" s="3">
        <f ca="1">'ETF price'!H700-'ETF price'!H699</f>
        <v>0.32000000000000028</v>
      </c>
      <c r="H698" s="3">
        <f ca="1">'ETF price'!I700-'ETF price'!I699</f>
        <v>1.1199999999999761</v>
      </c>
      <c r="I698" s="3">
        <f ca="1">'ETF price'!J700-'ETF price'!J699</f>
        <v>2.4900000000000091</v>
      </c>
      <c r="J698" s="3">
        <f ca="1">'ETF price'!K700-'ETF price'!K699</f>
        <v>2.4399999999999977</v>
      </c>
      <c r="K698" s="3">
        <f ca="1">'ETF price'!L700-'ETF price'!L699</f>
        <v>2.460000000000008</v>
      </c>
      <c r="L698" s="3">
        <f ca="1">'ETF price'!M700-'ETF price'!M699</f>
        <v>1.2999999999999972</v>
      </c>
      <c r="M698" s="3">
        <f ca="1">'ETF price'!N700-'ETF price'!N699</f>
        <v>0.64000000000000057</v>
      </c>
      <c r="N698" s="3">
        <f ca="1">'ETF price'!O700-'ETF price'!O699</f>
        <v>1.1400000000000006</v>
      </c>
      <c r="O698" s="3">
        <f ca="1">'ETF price'!P700-'ETF price'!P699</f>
        <v>0.57000000000000739</v>
      </c>
      <c r="P698" s="3">
        <f ca="1">'ETF price'!Q700-'ETF price'!Q699</f>
        <v>0.90999999999999659</v>
      </c>
      <c r="Q698" s="3">
        <f ca="1">'ETF price'!R700-'ETF price'!R699</f>
        <v>0.62000000000000455</v>
      </c>
      <c r="R698" s="3">
        <f ca="1">'ETF price'!S700-'ETF price'!S699</f>
        <v>0.96000000000000085</v>
      </c>
      <c r="S698" s="3">
        <f ca="1">'ETF price'!T700-'ETF price'!T699</f>
        <v>1.9999999999999574E-2</v>
      </c>
      <c r="T698" s="3">
        <f ca="1">'ETF price'!U700-'ETF price'!U699</f>
        <v>-0.28000000000000114</v>
      </c>
      <c r="U698" s="3">
        <f ca="1">'ETF price'!V700-'ETF price'!V699</f>
        <v>0.75</v>
      </c>
      <c r="V698" s="3">
        <f ca="1">'ETF price'!W700-'ETF price'!W699</f>
        <v>0.87999999999999545</v>
      </c>
      <c r="W698" s="3">
        <f ca="1">'ETF price'!X700-'ETF price'!X699</f>
        <v>2.25</v>
      </c>
      <c r="X698" s="3">
        <f ca="1">'ETF price'!Y700-'ETF price'!Y699</f>
        <v>1.5700000000000003</v>
      </c>
      <c r="Y698" s="3">
        <f ca="1">'ETF price'!Z700-'ETF price'!Z699</f>
        <v>2.3599999999999994</v>
      </c>
      <c r="Z698" s="3">
        <f ca="1">'ETF price'!AA700-'ETF price'!AA699</f>
        <v>0.43999999999999773</v>
      </c>
      <c r="AA698" s="3">
        <f ca="1">'ETF price'!AB700-'ETF price'!AB699</f>
        <v>1.9399999999999977</v>
      </c>
      <c r="AB698" s="3">
        <f ca="1">'ETF price'!AC700-'ETF price'!AC699</f>
        <v>0.95000000000000284</v>
      </c>
      <c r="AC698" s="3">
        <f ca="1">'ETF price'!AD700-'ETF price'!AD699</f>
        <v>0.73000000000000043</v>
      </c>
      <c r="AD698" s="3">
        <f ca="1">'ETF price'!AE700-'ETF price'!AE699</f>
        <v>0.99000000000000199</v>
      </c>
      <c r="AE698" s="3">
        <f ca="1">'ETF price'!AF700-'ETF price'!AF699</f>
        <v>-0.11000000000000032</v>
      </c>
      <c r="AF698" s="3">
        <f ca="1">'ETF price'!AG700-'ETF price'!AG699</f>
        <v>2.509999999999998</v>
      </c>
    </row>
    <row r="699" spans="1:32" ht="12.75" x14ac:dyDescent="0.2">
      <c r="A699" s="3">
        <f ca="1">'ETF price'!B701-'ETF price'!B700</f>
        <v>3.0099999999999909</v>
      </c>
      <c r="B699" s="3">
        <f ca="1">'ETF price'!C701-'ETF price'!C700</f>
        <v>7.4399999999999409</v>
      </c>
      <c r="C699" s="3">
        <f ca="1">'ETF price'!D701-'ETF price'!D700</f>
        <v>0.44999999999998863</v>
      </c>
      <c r="D699" s="3">
        <f ca="1">'ETF price'!E701-'ETF price'!E700</f>
        <v>4.3400000000000034</v>
      </c>
      <c r="E699" s="3">
        <f ca="1">'ETF price'!F701-'ETF price'!F700</f>
        <v>7.9999999999998295E-2</v>
      </c>
      <c r="F699" s="3">
        <f ca="1">'ETF price'!G701-'ETF price'!G700</f>
        <v>0.19999999999999574</v>
      </c>
      <c r="G699" s="3">
        <f ca="1">'ETF price'!H701-'ETF price'!H700</f>
        <v>8.9999999999999858E-2</v>
      </c>
      <c r="H699" s="3">
        <f ca="1">'ETF price'!I701-'ETF price'!I700</f>
        <v>0.85000000000002274</v>
      </c>
      <c r="I699" s="3">
        <f ca="1">'ETF price'!J701-'ETF price'!J700</f>
        <v>1.5400000000000205</v>
      </c>
      <c r="J699" s="3">
        <f ca="1">'ETF price'!K701-'ETF price'!K700</f>
        <v>0.12000000000000455</v>
      </c>
      <c r="K699" s="3">
        <f ca="1">'ETF price'!L701-'ETF price'!L700</f>
        <v>0.38999999999998636</v>
      </c>
      <c r="L699" s="3">
        <f ca="1">'ETF price'!M701-'ETF price'!M700</f>
        <v>0.60999999999999943</v>
      </c>
      <c r="M699" s="3">
        <f ca="1">'ETF price'!N701-'ETF price'!N700</f>
        <v>0.43000000000000682</v>
      </c>
      <c r="N699" s="3">
        <f ca="1">'ETF price'!O701-'ETF price'!O700</f>
        <v>0.5800000000000054</v>
      </c>
      <c r="O699" s="3">
        <f ca="1">'ETF price'!P701-'ETF price'!P700</f>
        <v>-4.0000000000006253E-2</v>
      </c>
      <c r="P699" s="3">
        <f ca="1">'ETF price'!Q701-'ETF price'!Q700</f>
        <v>-0.40000000000000568</v>
      </c>
      <c r="Q699" s="3">
        <f ca="1">'ETF price'!R701-'ETF price'!R700</f>
        <v>0.54999999999999716</v>
      </c>
      <c r="R699" s="3">
        <f ca="1">'ETF price'!S701-'ETF price'!S700</f>
        <v>-4.0000000000006253E-2</v>
      </c>
      <c r="S699" s="3">
        <f ca="1">'ETF price'!T701-'ETF price'!T700</f>
        <v>-0.35999999999999943</v>
      </c>
      <c r="T699" s="3">
        <f ca="1">'ETF price'!U701-'ETF price'!U700</f>
        <v>-1.5599999999999881</v>
      </c>
      <c r="U699" s="3">
        <f ca="1">'ETF price'!V701-'ETF price'!V700</f>
        <v>-0.43999999999999773</v>
      </c>
      <c r="V699" s="3">
        <f ca="1">'ETF price'!W701-'ETF price'!W700</f>
        <v>0.28999999999999915</v>
      </c>
      <c r="W699" s="3">
        <f ca="1">'ETF price'!X701-'ETF price'!X700</f>
        <v>0.86999999999999034</v>
      </c>
      <c r="X699" s="3">
        <f ca="1">'ETF price'!Y701-'ETF price'!Y700</f>
        <v>0.54000000000000625</v>
      </c>
      <c r="Y699" s="3">
        <f ca="1">'ETF price'!Z701-'ETF price'!Z700</f>
        <v>0.81000000000000227</v>
      </c>
      <c r="Z699" s="3">
        <f ca="1">'ETF price'!AA701-'ETF price'!AA700</f>
        <v>0.29999999999999716</v>
      </c>
      <c r="AA699" s="3">
        <f ca="1">'ETF price'!AB701-'ETF price'!AB700</f>
        <v>0.46000000000000085</v>
      </c>
      <c r="AB699" s="3">
        <f ca="1">'ETF price'!AC701-'ETF price'!AC700</f>
        <v>0.31999999999999318</v>
      </c>
      <c r="AC699" s="3">
        <f ca="1">'ETF price'!AD701-'ETF price'!AD700</f>
        <v>0.90000000000000036</v>
      </c>
      <c r="AD699" s="3">
        <f ca="1">'ETF price'!AE701-'ETF price'!AE700</f>
        <v>0.78999999999999915</v>
      </c>
      <c r="AE699" s="3">
        <f ca="1">'ETF price'!AF701-'ETF price'!AF700</f>
        <v>3.0000000000000249E-2</v>
      </c>
      <c r="AF699" s="3">
        <f ca="1">'ETF price'!AG701-'ETF price'!AG700</f>
        <v>2.3800000000000026</v>
      </c>
    </row>
    <row r="700" spans="1:32" ht="12.75" x14ac:dyDescent="0.2">
      <c r="A700" s="3">
        <f ca="1">'ETF price'!B702-'ETF price'!B701</f>
        <v>-5.1399999999999864</v>
      </c>
      <c r="B700" s="3">
        <f ca="1">'ETF price'!C702-'ETF price'!C701</f>
        <v>-10.960000000000036</v>
      </c>
      <c r="C700" s="3">
        <f ca="1">'ETF price'!D702-'ETF price'!D701</f>
        <v>0.56999999999999318</v>
      </c>
      <c r="D700" s="3">
        <f ca="1">'ETF price'!E702-'ETF price'!E701</f>
        <v>-12.439999999999998</v>
      </c>
      <c r="E700" s="3">
        <f ca="1">'ETF price'!F702-'ETF price'!F701</f>
        <v>-0.70000000000000284</v>
      </c>
      <c r="F700" s="3">
        <f ca="1">'ETF price'!G702-'ETF price'!G701</f>
        <v>-0.80999999999999872</v>
      </c>
      <c r="G700" s="3">
        <f ca="1">'ETF price'!H702-'ETF price'!H701</f>
        <v>-0.27999999999999758</v>
      </c>
      <c r="H700" s="3">
        <f ca="1">'ETF price'!I702-'ETF price'!I701</f>
        <v>-1.8900000000000148</v>
      </c>
      <c r="I700" s="3">
        <f ca="1">'ETF price'!J702-'ETF price'!J701</f>
        <v>-2.8199999999999932</v>
      </c>
      <c r="J700" s="3">
        <f ca="1">'ETF price'!K702-'ETF price'!K701</f>
        <v>0.10999999999998522</v>
      </c>
      <c r="K700" s="3">
        <f ca="1">'ETF price'!L702-'ETF price'!L701</f>
        <v>0.24000000000000909</v>
      </c>
      <c r="L700" s="3">
        <f ca="1">'ETF price'!M702-'ETF price'!M701</f>
        <v>0.17000000000000171</v>
      </c>
      <c r="M700" s="3">
        <f ca="1">'ETF price'!N702-'ETF price'!N701</f>
        <v>-0.67000000000000171</v>
      </c>
      <c r="N700" s="3">
        <f ca="1">'ETF price'!O702-'ETF price'!O701</f>
        <v>-0.60000000000000142</v>
      </c>
      <c r="O700" s="3">
        <f ca="1">'ETF price'!P702-'ETF price'!P701</f>
        <v>0</v>
      </c>
      <c r="P700" s="3">
        <f ca="1">'ETF price'!Q702-'ETF price'!Q701</f>
        <v>-4.0499999999999972</v>
      </c>
      <c r="Q700" s="3">
        <f ca="1">'ETF price'!R702-'ETF price'!R701</f>
        <v>-9.9999999999994316E-2</v>
      </c>
      <c r="R700" s="3">
        <f ca="1">'ETF price'!S702-'ETF price'!S701</f>
        <v>-0.43999999999999773</v>
      </c>
      <c r="S700" s="3">
        <f ca="1">'ETF price'!T702-'ETF price'!T701</f>
        <v>-0.44000000000000128</v>
      </c>
      <c r="T700" s="3">
        <f ca="1">'ETF price'!U702-'ETF price'!U701</f>
        <v>-3.1700000000000017</v>
      </c>
      <c r="U700" s="3">
        <f ca="1">'ETF price'!V702-'ETF price'!V701</f>
        <v>-1.3700000000000045</v>
      </c>
      <c r="V700" s="3">
        <f ca="1">'ETF price'!W702-'ETF price'!W701</f>
        <v>0.10000000000000142</v>
      </c>
      <c r="W700" s="3">
        <f ca="1">'ETF price'!X702-'ETF price'!X701</f>
        <v>0.34000000000000341</v>
      </c>
      <c r="X700" s="3">
        <f ca="1">'ETF price'!Y702-'ETF price'!Y701</f>
        <v>0.50999999999999801</v>
      </c>
      <c r="Y700" s="3">
        <f ca="1">'ETF price'!Z702-'ETF price'!Z701</f>
        <v>0</v>
      </c>
      <c r="Z700" s="3">
        <f ca="1">'ETF price'!AA702-'ETF price'!AA701</f>
        <v>0.55000000000000426</v>
      </c>
      <c r="AA700" s="3">
        <f ca="1">'ETF price'!AB702-'ETF price'!AB701</f>
        <v>0.64000000000000057</v>
      </c>
      <c r="AB700" s="3">
        <f ca="1">'ETF price'!AC702-'ETF price'!AC701</f>
        <v>-9.9999999999909051E-3</v>
      </c>
      <c r="AC700" s="3">
        <f ca="1">'ETF price'!AD702-'ETF price'!AD701</f>
        <v>1.9999999999999574E-2</v>
      </c>
      <c r="AD700" s="3">
        <f ca="1">'ETF price'!AE702-'ETF price'!AE701</f>
        <v>0.30999999999999872</v>
      </c>
      <c r="AE700" s="3">
        <f ca="1">'ETF price'!AF702-'ETF price'!AF701</f>
        <v>-7.0000000000000284E-2</v>
      </c>
      <c r="AF700" s="3">
        <f ca="1">'ETF price'!AG702-'ETF price'!AG701</f>
        <v>0.25</v>
      </c>
    </row>
    <row r="701" spans="1:32" ht="12.75" x14ac:dyDescent="0.2">
      <c r="A701" s="3">
        <f ca="1">'ETF price'!B703-'ETF price'!B702</f>
        <v>0.70999999999997954</v>
      </c>
      <c r="B701" s="3">
        <f ca="1">'ETF price'!C703-'ETF price'!C702</f>
        <v>2.2100000000000364</v>
      </c>
      <c r="C701" s="3">
        <f ca="1">'ETF price'!D703-'ETF price'!D702</f>
        <v>1.0400000000000205</v>
      </c>
      <c r="D701" s="3">
        <f ca="1">'ETF price'!E703-'ETF price'!E702</f>
        <v>0</v>
      </c>
      <c r="E701" s="3">
        <f ca="1">'ETF price'!F703-'ETF price'!F702</f>
        <v>0.23000000000000398</v>
      </c>
      <c r="F701" s="3">
        <f ca="1">'ETF price'!G703-'ETF price'!G702</f>
        <v>-3.0000000000001137E-2</v>
      </c>
      <c r="G701" s="3">
        <f ca="1">'ETF price'!H703-'ETF price'!H702</f>
        <v>0.16999999999999815</v>
      </c>
      <c r="H701" s="3">
        <f ca="1">'ETF price'!I703-'ETF price'!I702</f>
        <v>0.43000000000000682</v>
      </c>
      <c r="I701" s="3">
        <f ca="1">'ETF price'!J703-'ETF price'!J702</f>
        <v>1.0799999999999841</v>
      </c>
      <c r="J701" s="3">
        <f ca="1">'ETF price'!K703-'ETF price'!K702</f>
        <v>0.58000000000001251</v>
      </c>
      <c r="K701" s="3">
        <f ca="1">'ETF price'!L703-'ETF price'!L702</f>
        <v>0.93999999999999773</v>
      </c>
      <c r="L701" s="3">
        <f ca="1">'ETF price'!M703-'ETF price'!M702</f>
        <v>-0.31999999999999318</v>
      </c>
      <c r="M701" s="3">
        <f ca="1">'ETF price'!N703-'ETF price'!N702</f>
        <v>0.25</v>
      </c>
      <c r="N701" s="3">
        <f ca="1">'ETF price'!O703-'ETF price'!O702</f>
        <v>0.55999999999999517</v>
      </c>
      <c r="O701" s="3">
        <f ca="1">'ETF price'!P703-'ETF price'!P702</f>
        <v>-2.5600000000000023</v>
      </c>
      <c r="P701" s="3">
        <f ca="1">'ETF price'!Q703-'ETF price'!Q702</f>
        <v>0.75</v>
      </c>
      <c r="Q701" s="3">
        <f ca="1">'ETF price'!R703-'ETF price'!R702</f>
        <v>0.75</v>
      </c>
      <c r="R701" s="3">
        <f ca="1">'ETF price'!S703-'ETF price'!S702</f>
        <v>1.3299999999999983</v>
      </c>
      <c r="S701" s="3">
        <f ca="1">'ETF price'!T703-'ETF price'!T702</f>
        <v>-5.9999999999998721E-2</v>
      </c>
      <c r="T701" s="3">
        <f ca="1">'ETF price'!U703-'ETF price'!U702</f>
        <v>-0.35999999999999943</v>
      </c>
      <c r="U701" s="3">
        <f ca="1">'ETF price'!V703-'ETF price'!V702</f>
        <v>0.24000000000000199</v>
      </c>
      <c r="V701" s="3">
        <f ca="1">'ETF price'!W703-'ETF price'!W702</f>
        <v>0.57999999999999829</v>
      </c>
      <c r="W701" s="3">
        <f ca="1">'ETF price'!X703-'ETF price'!X702</f>
        <v>1.4000000000000057</v>
      </c>
      <c r="X701" s="3">
        <f ca="1">'ETF price'!Y703-'ETF price'!Y702</f>
        <v>0.78000000000000114</v>
      </c>
      <c r="Y701" s="3">
        <f ca="1">'ETF price'!Z703-'ETF price'!Z702</f>
        <v>1.4099999999999966</v>
      </c>
      <c r="Z701" s="3">
        <f ca="1">'ETF price'!AA703-'ETF price'!AA702</f>
        <v>0.43999999999999773</v>
      </c>
      <c r="AA701" s="3">
        <f ca="1">'ETF price'!AB703-'ETF price'!AB702</f>
        <v>0.80999999999999517</v>
      </c>
      <c r="AB701" s="3">
        <f ca="1">'ETF price'!AC703-'ETF price'!AC702</f>
        <v>-0.70000000000000284</v>
      </c>
      <c r="AC701" s="3">
        <f ca="1">'ETF price'!AD703-'ETF price'!AD702</f>
        <v>0.17999999999999972</v>
      </c>
      <c r="AD701" s="3">
        <f ca="1">'ETF price'!AE703-'ETF price'!AE702</f>
        <v>0.19000000000000128</v>
      </c>
      <c r="AE701" s="3">
        <f ca="1">'ETF price'!AF703-'ETF price'!AF702</f>
        <v>-3.0000000000000249E-2</v>
      </c>
      <c r="AF701" s="3">
        <f ca="1">'ETF price'!AG703-'ETF price'!AG702</f>
        <v>3.2100000000000009</v>
      </c>
    </row>
    <row r="702" spans="1:32" ht="12.75" x14ac:dyDescent="0.2">
      <c r="A702" s="3">
        <f ca="1">'ETF price'!B704-'ETF price'!B703</f>
        <v>0.70000000000001705</v>
      </c>
      <c r="B702" s="3">
        <f ca="1">'ETF price'!C704-'ETF price'!C703</f>
        <v>2.3600000000000136</v>
      </c>
      <c r="C702" s="3">
        <f ca="1">'ETF price'!D704-'ETF price'!D703</f>
        <v>3.0000000000001137E-2</v>
      </c>
      <c r="D702" s="3">
        <f ca="1">'ETF price'!E704-'ETF price'!E703</f>
        <v>1.789999999999992</v>
      </c>
      <c r="E702" s="3">
        <f ca="1">'ETF price'!F704-'ETF price'!F703</f>
        <v>-4.9999999999997158E-2</v>
      </c>
      <c r="F702" s="3">
        <f ca="1">'ETF price'!G704-'ETF price'!G703</f>
        <v>-7.0000000000000284E-2</v>
      </c>
      <c r="G702" s="3">
        <f ca="1">'ETF price'!H704-'ETF price'!H703</f>
        <v>-7.9999999999998295E-2</v>
      </c>
      <c r="H702" s="3">
        <f ca="1">'ETF price'!I704-'ETF price'!I703</f>
        <v>-0.89000000000001478</v>
      </c>
      <c r="I702" s="3">
        <f ca="1">'ETF price'!J704-'ETF price'!J703</f>
        <v>-1.660000000000025</v>
      </c>
      <c r="J702" s="3">
        <f ca="1">'ETF price'!K704-'ETF price'!K703</f>
        <v>-0.71000000000000796</v>
      </c>
      <c r="K702" s="3">
        <f ca="1">'ETF price'!L704-'ETF price'!L703</f>
        <v>-0.95000000000000284</v>
      </c>
      <c r="L702" s="3">
        <f ca="1">'ETF price'!M704-'ETF price'!M703</f>
        <v>-0.70000000000000284</v>
      </c>
      <c r="M702" s="3">
        <f ca="1">'ETF price'!N704-'ETF price'!N703</f>
        <v>-0.42000000000000171</v>
      </c>
      <c r="N702" s="3">
        <f ca="1">'ETF price'!O704-'ETF price'!O703</f>
        <v>-0.87999999999999545</v>
      </c>
      <c r="O702" s="3">
        <f ca="1">'ETF price'!P704-'ETF price'!P703</f>
        <v>0.43000000000000682</v>
      </c>
      <c r="P702" s="3">
        <f ca="1">'ETF price'!Q704-'ETF price'!Q703</f>
        <v>0.59999999999999432</v>
      </c>
      <c r="Q702" s="3">
        <f ca="1">'ETF price'!R704-'ETF price'!R703</f>
        <v>0.14999999999999147</v>
      </c>
      <c r="R702" s="3">
        <f ca="1">'ETF price'!S704-'ETF price'!S703</f>
        <v>0.18000000000000682</v>
      </c>
      <c r="S702" s="3">
        <f ca="1">'ETF price'!T704-'ETF price'!T703</f>
        <v>2.9999999999997584E-2</v>
      </c>
      <c r="T702" s="3">
        <f ca="1">'ETF price'!U704-'ETF price'!U703</f>
        <v>0.21999999999999886</v>
      </c>
      <c r="U702" s="3">
        <f ca="1">'ETF price'!V704-'ETF price'!V703</f>
        <v>-0.72999999999999687</v>
      </c>
      <c r="V702" s="3">
        <f ca="1">'ETF price'!W704-'ETF price'!W703</f>
        <v>0.13000000000000256</v>
      </c>
      <c r="W702" s="3">
        <f ca="1">'ETF price'!X704-'ETF price'!X703</f>
        <v>0.40999999999999659</v>
      </c>
      <c r="X702" s="3">
        <f ca="1">'ETF price'!Y704-'ETF price'!Y703</f>
        <v>0.44999999999999574</v>
      </c>
      <c r="Y702" s="3">
        <f ca="1">'ETF price'!Z704-'ETF price'!Z703</f>
        <v>0.45000000000000284</v>
      </c>
      <c r="Z702" s="3">
        <f ca="1">'ETF price'!AA704-'ETF price'!AA703</f>
        <v>-0.28999999999999915</v>
      </c>
      <c r="AA702" s="3">
        <f ca="1">'ETF price'!AB704-'ETF price'!AB703</f>
        <v>0.52000000000000313</v>
      </c>
      <c r="AB702" s="3">
        <f ca="1">'ETF price'!AC704-'ETF price'!AC703</f>
        <v>-4.0000000000006253E-2</v>
      </c>
      <c r="AC702" s="3">
        <f ca="1">'ETF price'!AD704-'ETF price'!AD703</f>
        <v>-0.21999999999999886</v>
      </c>
      <c r="AD702" s="3">
        <f ca="1">'ETF price'!AE704-'ETF price'!AE703</f>
        <v>-0.25999999999999801</v>
      </c>
      <c r="AE702" s="3">
        <f ca="1">'ETF price'!AF704-'ETF price'!AF703</f>
        <v>0.38000000000000078</v>
      </c>
      <c r="AF702" s="3">
        <f ca="1">'ETF price'!AG704-'ETF price'!AG703</f>
        <v>-1.3100000000000023</v>
      </c>
    </row>
    <row r="703" spans="1:32" ht="12.75" x14ac:dyDescent="0.2">
      <c r="A703" s="3">
        <f ca="1">'ETF price'!B705-'ETF price'!B704</f>
        <v>0.81999999999999318</v>
      </c>
      <c r="B703" s="3">
        <f ca="1">'ETF price'!C705-'ETF price'!C704</f>
        <v>2.0699999999999363</v>
      </c>
      <c r="C703" s="3">
        <f ca="1">'ETF price'!D705-'ETF price'!D704</f>
        <v>-2.4800000000000182</v>
      </c>
      <c r="D703" s="3">
        <f ca="1">'ETF price'!E705-'ETF price'!E704</f>
        <v>0.21000000000000796</v>
      </c>
      <c r="E703" s="3">
        <f ca="1">'ETF price'!F705-'ETF price'!F704</f>
        <v>0.11999999999999034</v>
      </c>
      <c r="F703" s="3">
        <f ca="1">'ETF price'!G705-'ETF price'!G704</f>
        <v>0.55999999999999872</v>
      </c>
      <c r="G703" s="3">
        <f ca="1">'ETF price'!H705-'ETF price'!H704</f>
        <v>0.14999999999999858</v>
      </c>
      <c r="H703" s="3">
        <f ca="1">'ETF price'!I705-'ETF price'!I704</f>
        <v>0.74000000000000909</v>
      </c>
      <c r="I703" s="3">
        <f ca="1">'ETF price'!J705-'ETF price'!J704</f>
        <v>1.4300000000000068</v>
      </c>
      <c r="J703" s="3">
        <f ca="1">'ETF price'!K705-'ETF price'!K704</f>
        <v>0.21999999999999886</v>
      </c>
      <c r="K703" s="3">
        <f ca="1">'ETF price'!L705-'ETF price'!L704</f>
        <v>0.53000000000000114</v>
      </c>
      <c r="L703" s="3">
        <f ca="1">'ETF price'!M705-'ETF price'!M704</f>
        <v>0.15999999999999659</v>
      </c>
      <c r="M703" s="3">
        <f ca="1">'ETF price'!N705-'ETF price'!N704</f>
        <v>0.35999999999999943</v>
      </c>
      <c r="N703" s="3">
        <f ca="1">'ETF price'!O705-'ETF price'!O704</f>
        <v>0.29999999999999716</v>
      </c>
      <c r="O703" s="3">
        <f ca="1">'ETF price'!P705-'ETF price'!P704</f>
        <v>-0.29999999999999716</v>
      </c>
      <c r="P703" s="3">
        <f ca="1">'ETF price'!Q705-'ETF price'!Q704</f>
        <v>-0.56000000000000227</v>
      </c>
      <c r="Q703" s="3">
        <f ca="1">'ETF price'!R705-'ETF price'!R704</f>
        <v>0.39000000000000057</v>
      </c>
      <c r="R703" s="3">
        <f ca="1">'ETF price'!S705-'ETF price'!S704</f>
        <v>0.95000000000000284</v>
      </c>
      <c r="S703" s="3">
        <f ca="1">'ETF price'!T705-'ETF price'!T704</f>
        <v>-0.12000000000000099</v>
      </c>
      <c r="T703" s="3">
        <f ca="1">'ETF price'!U705-'ETF price'!U704</f>
        <v>-1.2400000000000091</v>
      </c>
      <c r="U703" s="3">
        <f ca="1">'ETF price'!V705-'ETF price'!V704</f>
        <v>0.32000000000000028</v>
      </c>
      <c r="V703" s="3">
        <f ca="1">'ETF price'!W705-'ETF price'!W704</f>
        <v>9.9999999999980105E-3</v>
      </c>
      <c r="W703" s="3">
        <f ca="1">'ETF price'!X705-'ETF price'!X704</f>
        <v>3.0000000000001137E-2</v>
      </c>
      <c r="X703" s="3">
        <f ca="1">'ETF price'!Y705-'ETF price'!Y704</f>
        <v>-0.71000000000000085</v>
      </c>
      <c r="Y703" s="3">
        <f ca="1">'ETF price'!Z705-'ETF price'!Z704</f>
        <v>0.14000000000000057</v>
      </c>
      <c r="Z703" s="3">
        <f ca="1">'ETF price'!AA705-'ETF price'!AA704</f>
        <v>0.31000000000000227</v>
      </c>
      <c r="AA703" s="3">
        <f ca="1">'ETF price'!AB705-'ETF price'!AB704</f>
        <v>-0.82000000000000028</v>
      </c>
      <c r="AB703" s="3">
        <f ca="1">'ETF price'!AC705-'ETF price'!AC704</f>
        <v>-0.20999999999999375</v>
      </c>
      <c r="AC703" s="3">
        <f ca="1">'ETF price'!AD705-'ETF price'!AD704</f>
        <v>0.41999999999999815</v>
      </c>
      <c r="AD703" s="3">
        <f ca="1">'ETF price'!AE705-'ETF price'!AE704</f>
        <v>0.50999999999999801</v>
      </c>
      <c r="AE703" s="3">
        <f ca="1">'ETF price'!AF705-'ETF price'!AF704</f>
        <v>0.14999999999999947</v>
      </c>
      <c r="AF703" s="3">
        <f ca="1">'ETF price'!AG705-'ETF price'!AG704</f>
        <v>2.8500000000000014</v>
      </c>
    </row>
    <row r="704" spans="1:32" ht="12.75" x14ac:dyDescent="0.2">
      <c r="A704" s="3">
        <f ca="1">'ETF price'!B706-'ETF price'!B705</f>
        <v>1.0800000000000125</v>
      </c>
      <c r="B704" s="3">
        <f ca="1">'ETF price'!C706-'ETF price'!C705</f>
        <v>3.3700000000000045</v>
      </c>
      <c r="C704" s="3">
        <f ca="1">'ETF price'!D706-'ETF price'!D705</f>
        <v>0.59999999999999432</v>
      </c>
      <c r="D704" s="3">
        <f ca="1">'ETF price'!E706-'ETF price'!E705</f>
        <v>-0.43000000000000682</v>
      </c>
      <c r="E704" s="3">
        <f ca="1">'ETF price'!F706-'ETF price'!F705</f>
        <v>-0.25999999999999091</v>
      </c>
      <c r="F704" s="3">
        <f ca="1">'ETF price'!G706-'ETF price'!G705</f>
        <v>1.0000000000005116E-2</v>
      </c>
      <c r="G704" s="3">
        <f ca="1">'ETF price'!H706-'ETF price'!H705</f>
        <v>-0.17999999999999972</v>
      </c>
      <c r="H704" s="3">
        <f ca="1">'ETF price'!I706-'ETF price'!I705</f>
        <v>-1.7999999999999829</v>
      </c>
      <c r="I704" s="3">
        <f ca="1">'ETF price'!J706-'ETF price'!J705</f>
        <v>-3.4099999999999682</v>
      </c>
      <c r="J704" s="3">
        <f ca="1">'ETF price'!K706-'ETF price'!K705</f>
        <v>-1.9199999999999875</v>
      </c>
      <c r="K704" s="3">
        <f ca="1">'ETF price'!L706-'ETF price'!L705</f>
        <v>-1.6799999999999926</v>
      </c>
      <c r="L704" s="3">
        <f ca="1">'ETF price'!M706-'ETF price'!M705</f>
        <v>-0.95999999999999375</v>
      </c>
      <c r="M704" s="3">
        <f ca="1">'ETF price'!N706-'ETF price'!N705</f>
        <v>-0.85000000000000853</v>
      </c>
      <c r="N704" s="3">
        <f ca="1">'ETF price'!O706-'ETF price'!O705</f>
        <v>-0.82000000000000028</v>
      </c>
      <c r="O704" s="3">
        <f ca="1">'ETF price'!P706-'ETF price'!P705</f>
        <v>-0.27000000000001023</v>
      </c>
      <c r="P704" s="3">
        <f ca="1">'ETF price'!Q706-'ETF price'!Q705</f>
        <v>-0.31999999999999318</v>
      </c>
      <c r="Q704" s="3">
        <f ca="1">'ETF price'!R706-'ETF price'!R705</f>
        <v>-0.75</v>
      </c>
      <c r="R704" s="3">
        <f ca="1">'ETF price'!S706-'ETF price'!S705</f>
        <v>-0.38000000000000966</v>
      </c>
      <c r="S704" s="3">
        <f ca="1">'ETF price'!T706-'ETF price'!T705</f>
        <v>7.0000000000000284E-2</v>
      </c>
      <c r="T704" s="3">
        <f ca="1">'ETF price'!U706-'ETF price'!U705</f>
        <v>0.88000000000000966</v>
      </c>
      <c r="U704" s="3">
        <f ca="1">'ETF price'!V706-'ETF price'!V705</f>
        <v>-0.44000000000000483</v>
      </c>
      <c r="V704" s="3">
        <f ca="1">'ETF price'!W706-'ETF price'!W705</f>
        <v>-0.37999999999999545</v>
      </c>
      <c r="W704" s="3">
        <f ca="1">'ETF price'!X706-'ETF price'!X705</f>
        <v>-1.230000000000004</v>
      </c>
      <c r="X704" s="3">
        <f ca="1">'ETF price'!Y706-'ETF price'!Y705</f>
        <v>-1.5799999999999983</v>
      </c>
      <c r="Y704" s="3">
        <f ca="1">'ETF price'!Z706-'ETF price'!Z705</f>
        <v>-1.0200000000000102</v>
      </c>
      <c r="Z704" s="3">
        <f ca="1">'ETF price'!AA706-'ETF price'!AA705</f>
        <v>-0.92000000000000171</v>
      </c>
      <c r="AA704" s="3">
        <f ca="1">'ETF price'!AB706-'ETF price'!AB705</f>
        <v>-1.75</v>
      </c>
      <c r="AB704" s="3">
        <f ca="1">'ETF price'!AC706-'ETF price'!AC705</f>
        <v>0.12999999999999545</v>
      </c>
      <c r="AC704" s="3">
        <f ca="1">'ETF price'!AD706-'ETF price'!AD705</f>
        <v>-9.9999999999980105E-3</v>
      </c>
      <c r="AD704" s="3">
        <f ca="1">'ETF price'!AE706-'ETF price'!AE705</f>
        <v>-0.25</v>
      </c>
      <c r="AE704" s="3">
        <f ca="1">'ETF price'!AF706-'ETF price'!AF705</f>
        <v>0</v>
      </c>
      <c r="AF704" s="3">
        <f ca="1">'ETF price'!AG706-'ETF price'!AG705</f>
        <v>1.6400000000000006</v>
      </c>
    </row>
    <row r="705" spans="1:32" ht="12.75" x14ac:dyDescent="0.2">
      <c r="A705" s="3">
        <f ca="1">'ETF price'!B707-'ETF price'!B706</f>
        <v>-0.24000000000000909</v>
      </c>
      <c r="B705" s="3">
        <f ca="1">'ETF price'!C707-'ETF price'!C706</f>
        <v>-0.41999999999995907</v>
      </c>
      <c r="C705" s="3">
        <f ca="1">'ETF price'!D707-'ETF price'!D706</f>
        <v>1</v>
      </c>
      <c r="D705" s="3">
        <f ca="1">'ETF price'!E707-'ETF price'!E706</f>
        <v>-0.84999999999999432</v>
      </c>
      <c r="E705" s="3">
        <f ca="1">'ETF price'!F707-'ETF price'!F706</f>
        <v>-0.39000000000000057</v>
      </c>
      <c r="F705" s="3">
        <f ca="1">'ETF price'!G707-'ETF price'!G706</f>
        <v>-0.38000000000000256</v>
      </c>
      <c r="G705" s="3">
        <f ca="1">'ETF price'!H707-'ETF price'!H706</f>
        <v>-0.10000000000000142</v>
      </c>
      <c r="H705" s="3">
        <f ca="1">'ETF price'!I707-'ETF price'!I706</f>
        <v>-0.21999999999999886</v>
      </c>
      <c r="I705" s="3">
        <f ca="1">'ETF price'!J707-'ETF price'!J706</f>
        <v>-0.47000000000002728</v>
      </c>
      <c r="J705" s="3">
        <f ca="1">'ETF price'!K707-'ETF price'!K706</f>
        <v>9.9999999999909051E-3</v>
      </c>
      <c r="K705" s="3">
        <f ca="1">'ETF price'!L707-'ETF price'!L706</f>
        <v>0.11999999999999034</v>
      </c>
      <c r="L705" s="3">
        <f ca="1">'ETF price'!M707-'ETF price'!M706</f>
        <v>0.18999999999999773</v>
      </c>
      <c r="M705" s="3">
        <f ca="1">'ETF price'!N707-'ETF price'!N706</f>
        <v>-0.14999999999999147</v>
      </c>
      <c r="N705" s="3">
        <f ca="1">'ETF price'!O707-'ETF price'!O706</f>
        <v>0.12000000000000455</v>
      </c>
      <c r="O705" s="3">
        <f ca="1">'ETF price'!P707-'ETF price'!P706</f>
        <v>0.21000000000000796</v>
      </c>
      <c r="P705" s="3">
        <f ca="1">'ETF price'!Q707-'ETF price'!Q706</f>
        <v>0.14999999999999147</v>
      </c>
      <c r="Q705" s="3">
        <f ca="1">'ETF price'!R707-'ETF price'!R706</f>
        <v>-0.89000000000000057</v>
      </c>
      <c r="R705" s="3">
        <f ca="1">'ETF price'!S707-'ETF price'!S706</f>
        <v>-0.39999999999999147</v>
      </c>
      <c r="S705" s="3">
        <f ca="1">'ETF price'!T707-'ETF price'!T706</f>
        <v>0.39000000000000057</v>
      </c>
      <c r="T705" s="3">
        <f ca="1">'ETF price'!U707-'ETF price'!U706</f>
        <v>1.7199999999999989</v>
      </c>
      <c r="U705" s="3">
        <f ca="1">'ETF price'!V707-'ETF price'!V706</f>
        <v>0.38000000000000256</v>
      </c>
      <c r="V705" s="3">
        <f ca="1">'ETF price'!W707-'ETF price'!W706</f>
        <v>-9.0000000000003411E-2</v>
      </c>
      <c r="W705" s="3">
        <f ca="1">'ETF price'!X707-'ETF price'!X706</f>
        <v>-0.12000000000000455</v>
      </c>
      <c r="X705" s="3">
        <f ca="1">'ETF price'!Y707-'ETF price'!Y706</f>
        <v>0.48000000000000398</v>
      </c>
      <c r="Y705" s="3">
        <f ca="1">'ETF price'!Z707-'ETF price'!Z706</f>
        <v>-0.12999999999999545</v>
      </c>
      <c r="Z705" s="3">
        <f ca="1">'ETF price'!AA707-'ETF price'!AA706</f>
        <v>7.0000000000000284E-2</v>
      </c>
      <c r="AA705" s="3">
        <f ca="1">'ETF price'!AB707-'ETF price'!AB706</f>
        <v>0.72999999999999687</v>
      </c>
      <c r="AB705" s="3">
        <f ca="1">'ETF price'!AC707-'ETF price'!AC706</f>
        <v>-0.71999999999999886</v>
      </c>
      <c r="AC705" s="3">
        <f ca="1">'ETF price'!AD707-'ETF price'!AD706</f>
        <v>-0.21000000000000085</v>
      </c>
      <c r="AD705" s="3">
        <f ca="1">'ETF price'!AE707-'ETF price'!AE706</f>
        <v>-7.9999999999998295E-2</v>
      </c>
      <c r="AE705" s="3">
        <f ca="1">'ETF price'!AF707-'ETF price'!AF706</f>
        <v>0.19000000000000039</v>
      </c>
      <c r="AF705" s="3">
        <f ca="1">'ETF price'!AG707-'ETF price'!AG706</f>
        <v>7.0000000000000284E-2</v>
      </c>
    </row>
    <row r="706" spans="1:32" ht="12.75" x14ac:dyDescent="0.2">
      <c r="A706" s="3">
        <f ca="1">'ETF price'!B708-'ETF price'!B707</f>
        <v>-3.3199999999999932</v>
      </c>
      <c r="B706" s="3">
        <f ca="1">'ETF price'!C708-'ETF price'!C707</f>
        <v>-9.4199999999999591</v>
      </c>
      <c r="C706" s="3">
        <f ca="1">'ETF price'!D708-'ETF price'!D707</f>
        <v>0.26000000000001933</v>
      </c>
      <c r="D706" s="3">
        <f ca="1">'ETF price'!E708-'ETF price'!E707</f>
        <v>-2.0400000000000205</v>
      </c>
      <c r="E706" s="3">
        <f ca="1">'ETF price'!F708-'ETF price'!F707</f>
        <v>-1.2999999999999972</v>
      </c>
      <c r="F706" s="3">
        <f ca="1">'ETF price'!G708-'ETF price'!G707</f>
        <v>-0.57000000000000028</v>
      </c>
      <c r="G706" s="3">
        <f ca="1">'ETF price'!H708-'ETF price'!H707</f>
        <v>-0.31999999999999673</v>
      </c>
      <c r="H706" s="3">
        <f ca="1">'ETF price'!I708-'ETF price'!I707</f>
        <v>-0.71000000000000796</v>
      </c>
      <c r="I706" s="3">
        <f ca="1">'ETF price'!J708-'ETF price'!J707</f>
        <v>-1.7299999999999613</v>
      </c>
      <c r="J706" s="3">
        <f ca="1">'ETF price'!K708-'ETF price'!K707</f>
        <v>-1.8400000000000034</v>
      </c>
      <c r="K706" s="3">
        <f ca="1">'ETF price'!L708-'ETF price'!L707</f>
        <v>-1.5999999999999943</v>
      </c>
      <c r="L706" s="3">
        <f ca="1">'ETF price'!M708-'ETF price'!M707</f>
        <v>-0.93999999999999773</v>
      </c>
      <c r="M706" s="3">
        <f ca="1">'ETF price'!N708-'ETF price'!N707</f>
        <v>-0.39000000000000057</v>
      </c>
      <c r="N706" s="3">
        <f ca="1">'ETF price'!O708-'ETF price'!O707</f>
        <v>-0.64000000000000057</v>
      </c>
      <c r="O706" s="3">
        <f ca="1">'ETF price'!P708-'ETF price'!P707</f>
        <v>-0.46999999999999886</v>
      </c>
      <c r="P706" s="3">
        <f ca="1">'ETF price'!Q708-'ETF price'!Q707</f>
        <v>-0.65999999999999659</v>
      </c>
      <c r="Q706" s="3">
        <f ca="1">'ETF price'!R708-'ETF price'!R707</f>
        <v>-0.25999999999999091</v>
      </c>
      <c r="R706" s="3">
        <f ca="1">'ETF price'!S708-'ETF price'!S707</f>
        <v>-1.1800000000000068</v>
      </c>
      <c r="S706" s="3">
        <f ca="1">'ETF price'!T708-'ETF price'!T707</f>
        <v>-0.12999999999999901</v>
      </c>
      <c r="T706" s="3">
        <f ca="1">'ETF price'!U708-'ETF price'!U707</f>
        <v>-0.43000000000000682</v>
      </c>
      <c r="U706" s="3">
        <f ca="1">'ETF price'!V708-'ETF price'!V707</f>
        <v>-0.24000000000000199</v>
      </c>
      <c r="V706" s="3">
        <f ca="1">'ETF price'!W708-'ETF price'!W707</f>
        <v>-3.9999999999999147E-2</v>
      </c>
      <c r="W706" s="3">
        <f ca="1">'ETF price'!X708-'ETF price'!X707</f>
        <v>-0.22999999999998977</v>
      </c>
      <c r="X706" s="3">
        <f ca="1">'ETF price'!Y708-'ETF price'!Y707</f>
        <v>-3.0000000000001137E-2</v>
      </c>
      <c r="Y706" s="3">
        <f ca="1">'ETF price'!Z708-'ETF price'!Z707</f>
        <v>-0.31000000000000227</v>
      </c>
      <c r="Z706" s="3">
        <f ca="1">'ETF price'!AA708-'ETF price'!AA707</f>
        <v>0.42999999999999972</v>
      </c>
      <c r="AA706" s="3">
        <f ca="1">'ETF price'!AB708-'ETF price'!AB707</f>
        <v>3.9999999999999147E-2</v>
      </c>
      <c r="AB706" s="3">
        <f ca="1">'ETF price'!AC708-'ETF price'!AC707</f>
        <v>0.99000000000000909</v>
      </c>
      <c r="AC706" s="3">
        <f ca="1">'ETF price'!AD708-'ETF price'!AD707</f>
        <v>-0.53999999999999915</v>
      </c>
      <c r="AD706" s="3">
        <f ca="1">'ETF price'!AE708-'ETF price'!AE707</f>
        <v>-0.32000000000000028</v>
      </c>
      <c r="AE706" s="3">
        <f ca="1">'ETF price'!AF708-'ETF price'!AF707</f>
        <v>-4.0000000000000036E-2</v>
      </c>
      <c r="AF706" s="3">
        <f ca="1">'ETF price'!AG708-'ETF price'!AG707</f>
        <v>-2.1700000000000017</v>
      </c>
    </row>
    <row r="707" spans="1:32" ht="12.75" x14ac:dyDescent="0.2">
      <c r="A707" s="3">
        <f ca="1">'ETF price'!B709-'ETF price'!B708</f>
        <v>0.66999999999998749</v>
      </c>
      <c r="B707" s="3">
        <f ca="1">'ETF price'!C709-'ETF price'!C708</f>
        <v>2.0299999999999727</v>
      </c>
      <c r="C707" s="3">
        <f ca="1">'ETF price'!D709-'ETF price'!D708</f>
        <v>2.1099999999999852</v>
      </c>
      <c r="D707" s="3">
        <f ca="1">'ETF price'!E709-'ETF price'!E708</f>
        <v>1.2600000000000193</v>
      </c>
      <c r="E707" s="3">
        <f ca="1">'ETF price'!F709-'ETF price'!F708</f>
        <v>0.37999999999999545</v>
      </c>
      <c r="F707" s="3">
        <f ca="1">'ETF price'!G709-'ETF price'!G708</f>
        <v>0.35000000000000142</v>
      </c>
      <c r="G707" s="3">
        <f ca="1">'ETF price'!H709-'ETF price'!H708</f>
        <v>-0.12000000000000099</v>
      </c>
      <c r="H707" s="3">
        <f ca="1">'ETF price'!I709-'ETF price'!I708</f>
        <v>-0.99000000000000909</v>
      </c>
      <c r="I707" s="3">
        <f ca="1">'ETF price'!J709-'ETF price'!J708</f>
        <v>-1.6700000000000159</v>
      </c>
      <c r="J707" s="3">
        <f ca="1">'ETF price'!K709-'ETF price'!K708</f>
        <v>-0.56999999999999318</v>
      </c>
      <c r="K707" s="3">
        <f ca="1">'ETF price'!L709-'ETF price'!L708</f>
        <v>0.57999999999999829</v>
      </c>
      <c r="L707" s="3">
        <f ca="1">'ETF price'!M709-'ETF price'!M708</f>
        <v>-0.29000000000000625</v>
      </c>
      <c r="M707" s="3">
        <f ca="1">'ETF price'!N709-'ETF price'!N708</f>
        <v>-0.45000000000000284</v>
      </c>
      <c r="N707" s="3">
        <f ca="1">'ETF price'!O709-'ETF price'!O708</f>
        <v>-0.52000000000000313</v>
      </c>
      <c r="O707" s="3">
        <f ca="1">'ETF price'!P709-'ETF price'!P708</f>
        <v>-1.0000000000005116E-2</v>
      </c>
      <c r="P707" s="3">
        <f ca="1">'ETF price'!Q709-'ETF price'!Q708</f>
        <v>3.0000000000001137E-2</v>
      </c>
      <c r="Q707" s="3">
        <f ca="1">'ETF price'!R709-'ETF price'!R708</f>
        <v>-1.1700000000000017</v>
      </c>
      <c r="R707" s="3">
        <f ca="1">'ETF price'!S709-'ETF price'!S708</f>
        <v>-0.25</v>
      </c>
      <c r="S707" s="3">
        <f ca="1">'ETF price'!T709-'ETF price'!T708</f>
        <v>-1.0000000000001563E-2</v>
      </c>
      <c r="T707" s="3">
        <f ca="1">'ETF price'!U709-'ETF price'!U708</f>
        <v>-0.48999999999999488</v>
      </c>
      <c r="U707" s="3">
        <f ca="1">'ETF price'!V709-'ETF price'!V708</f>
        <v>0.17000000000000171</v>
      </c>
      <c r="V707" s="3">
        <f ca="1">'ETF price'!W709-'ETF price'!W708</f>
        <v>3.9999999999999147E-2</v>
      </c>
      <c r="W707" s="3">
        <f ca="1">'ETF price'!X709-'ETF price'!X708</f>
        <v>0.17999999999999261</v>
      </c>
      <c r="X707" s="3">
        <f ca="1">'ETF price'!Y709-'ETF price'!Y708</f>
        <v>0.23999999999999488</v>
      </c>
      <c r="Y707" s="3">
        <f ca="1">'ETF price'!Z709-'ETF price'!Z708</f>
        <v>0.35999999999999943</v>
      </c>
      <c r="Z707" s="3">
        <f ca="1">'ETF price'!AA709-'ETF price'!AA708</f>
        <v>0.10000000000000142</v>
      </c>
      <c r="AA707" s="3">
        <f ca="1">'ETF price'!AB709-'ETF price'!AB708</f>
        <v>0.30000000000000426</v>
      </c>
      <c r="AB707" s="3">
        <f ca="1">'ETF price'!AC709-'ETF price'!AC708</f>
        <v>-0.34000000000000341</v>
      </c>
      <c r="AC707" s="3">
        <f ca="1">'ETF price'!AD709-'ETF price'!AD708</f>
        <v>0.32000000000000028</v>
      </c>
      <c r="AD707" s="3">
        <f ca="1">'ETF price'!AE709-'ETF price'!AE708</f>
        <v>0.52999999999999758</v>
      </c>
      <c r="AE707" s="3">
        <f ca="1">'ETF price'!AF709-'ETF price'!AF708</f>
        <v>0.29999999999999982</v>
      </c>
      <c r="AF707" s="3">
        <f ca="1">'ETF price'!AG709-'ETF price'!AG708</f>
        <v>0.89999999999999858</v>
      </c>
    </row>
    <row r="708" spans="1:32" ht="12.75" x14ac:dyDescent="0.2">
      <c r="A708" s="3">
        <f ca="1">'ETF price'!B710-'ETF price'!B709</f>
        <v>1.1899999999999977</v>
      </c>
      <c r="B708" s="3">
        <f ca="1">'ETF price'!C710-'ETF price'!C709</f>
        <v>2.8400000000000318</v>
      </c>
      <c r="C708" s="3">
        <f ca="1">'ETF price'!D710-'ETF price'!D709</f>
        <v>-1.8799999999999955</v>
      </c>
      <c r="D708" s="3">
        <f ca="1">'ETF price'!E710-'ETF price'!E709</f>
        <v>2.2800000000000011</v>
      </c>
      <c r="E708" s="3">
        <f ca="1">'ETF price'!F710-'ETF price'!F709</f>
        <v>0.40000000000000568</v>
      </c>
      <c r="F708" s="3">
        <f ca="1">'ETF price'!G710-'ETF price'!G709</f>
        <v>0.16999999999999815</v>
      </c>
      <c r="G708" s="3">
        <f ca="1">'ETF price'!H710-'ETF price'!H709</f>
        <v>3.0000000000001137E-2</v>
      </c>
      <c r="H708" s="3">
        <f ca="1">'ETF price'!I710-'ETF price'!I709</f>
        <v>-0.81999999999999318</v>
      </c>
      <c r="I708" s="3">
        <f ca="1">'ETF price'!J710-'ETF price'!J709</f>
        <v>-1.410000000000025</v>
      </c>
      <c r="J708" s="3">
        <f ca="1">'ETF price'!K710-'ETF price'!K709</f>
        <v>-8.0000000000012506E-2</v>
      </c>
      <c r="K708" s="3">
        <f ca="1">'ETF price'!L710-'ETF price'!L709</f>
        <v>-9.9999999999994316E-2</v>
      </c>
      <c r="L708" s="3">
        <f ca="1">'ETF price'!M710-'ETF price'!M709</f>
        <v>-0.15999999999999659</v>
      </c>
      <c r="M708" s="3">
        <f ca="1">'ETF price'!N710-'ETF price'!N709</f>
        <v>-0.37999999999999545</v>
      </c>
      <c r="N708" s="3">
        <f ca="1">'ETF price'!O710-'ETF price'!O709</f>
        <v>-7.9999999999998295E-2</v>
      </c>
      <c r="O708" s="3">
        <f ca="1">'ETF price'!P710-'ETF price'!P709</f>
        <v>-3.0000000000001137E-2</v>
      </c>
      <c r="P708" s="3">
        <f ca="1">'ETF price'!Q710-'ETF price'!Q709</f>
        <v>0.12999999999999545</v>
      </c>
      <c r="Q708" s="3">
        <f ca="1">'ETF price'!R710-'ETF price'!R709</f>
        <v>-0.60000000000000853</v>
      </c>
      <c r="R708" s="3">
        <f ca="1">'ETF price'!S710-'ETF price'!S709</f>
        <v>-0.42999999999999261</v>
      </c>
      <c r="S708" s="3">
        <f ca="1">'ETF price'!T710-'ETF price'!T709</f>
        <v>0.16000000000000014</v>
      </c>
      <c r="T708" s="3">
        <f ca="1">'ETF price'!U710-'ETF price'!U709</f>
        <v>1.1700000000000017</v>
      </c>
      <c r="U708" s="3">
        <f ca="1">'ETF price'!V710-'ETF price'!V709</f>
        <v>1.740000000000002</v>
      </c>
      <c r="V708" s="3">
        <f ca="1">'ETF price'!W710-'ETF price'!W709</f>
        <v>-0.51999999999999602</v>
      </c>
      <c r="W708" s="3">
        <f ca="1">'ETF price'!X710-'ETF price'!X709</f>
        <v>-1.2800000000000011</v>
      </c>
      <c r="X708" s="3">
        <f ca="1">'ETF price'!Y710-'ETF price'!Y709</f>
        <v>-0.98999999999999488</v>
      </c>
      <c r="Y708" s="3">
        <f ca="1">'ETF price'!Z710-'ETF price'!Z709</f>
        <v>-1.3999999999999915</v>
      </c>
      <c r="Z708" s="3">
        <f ca="1">'ETF price'!AA710-'ETF price'!AA709</f>
        <v>-0.35000000000000142</v>
      </c>
      <c r="AA708" s="3">
        <f ca="1">'ETF price'!AB710-'ETF price'!AB709</f>
        <v>-1.0600000000000023</v>
      </c>
      <c r="AB708" s="3">
        <f ca="1">'ETF price'!AC710-'ETF price'!AC709</f>
        <v>0.39999999999999147</v>
      </c>
      <c r="AC708" s="3">
        <f ca="1">'ETF price'!AD710-'ETF price'!AD709</f>
        <v>-0.37000000000000099</v>
      </c>
      <c r="AD708" s="3">
        <f ca="1">'ETF price'!AE710-'ETF price'!AE709</f>
        <v>-0.43999999999999773</v>
      </c>
      <c r="AE708" s="3">
        <f ca="1">'ETF price'!AF710-'ETF price'!AF709</f>
        <v>-9.9999999999997868E-3</v>
      </c>
      <c r="AF708" s="3">
        <f ca="1">'ETF price'!AG710-'ETF price'!AG709</f>
        <v>-1.279999999999994</v>
      </c>
    </row>
    <row r="709" spans="1:32" ht="12.75" x14ac:dyDescent="0.2">
      <c r="A709" s="3">
        <f ca="1">'ETF price'!B711-'ETF price'!B710</f>
        <v>-6.9999999999993179E-2</v>
      </c>
      <c r="B709" s="3">
        <f ca="1">'ETF price'!C711-'ETF price'!C710</f>
        <v>1.2300000000000182</v>
      </c>
      <c r="C709" s="3">
        <f ca="1">'ETF price'!D711-'ETF price'!D710</f>
        <v>-5.1899999999999977</v>
      </c>
      <c r="D709" s="3">
        <f ca="1">'ETF price'!E711-'ETF price'!E710</f>
        <v>0.13999999999998636</v>
      </c>
      <c r="E709" s="3">
        <f ca="1">'ETF price'!F711-'ETF price'!F710</f>
        <v>8.99999999999892E-2</v>
      </c>
      <c r="F709" s="3">
        <f ca="1">'ETF price'!G711-'ETF price'!G710</f>
        <v>0.48999999999999844</v>
      </c>
      <c r="G709" s="3">
        <f ca="1">'ETF price'!H711-'ETF price'!H710</f>
        <v>0.28999999999999915</v>
      </c>
      <c r="H709" s="3">
        <f ca="1">'ETF price'!I711-'ETF price'!I710</f>
        <v>0.21999999999999886</v>
      </c>
      <c r="I709" s="3">
        <f ca="1">'ETF price'!J711-'ETF price'!J710</f>
        <v>0.73000000000001819</v>
      </c>
      <c r="J709" s="3">
        <f ca="1">'ETF price'!K711-'ETF price'!K710</f>
        <v>1.2300000000000182</v>
      </c>
      <c r="K709" s="3">
        <f ca="1">'ETF price'!L711-'ETF price'!L710</f>
        <v>1.3399999999999892</v>
      </c>
      <c r="L709" s="3">
        <f ca="1">'ETF price'!M711-'ETF price'!M710</f>
        <v>1.230000000000004</v>
      </c>
      <c r="M709" s="3">
        <f ca="1">'ETF price'!N711-'ETF price'!N710</f>
        <v>0.14000000000000057</v>
      </c>
      <c r="N709" s="3">
        <f ca="1">'ETF price'!O711-'ETF price'!O710</f>
        <v>0.64999999999999858</v>
      </c>
      <c r="O709" s="3">
        <f ca="1">'ETF price'!P711-'ETF price'!P710</f>
        <v>-0.56999999999999318</v>
      </c>
      <c r="P709" s="3">
        <f ca="1">'ETF price'!Q711-'ETF price'!Q710</f>
        <v>-0.89999999999999147</v>
      </c>
      <c r="Q709" s="3">
        <f ca="1">'ETF price'!R711-'ETF price'!R710</f>
        <v>0.78000000000000114</v>
      </c>
      <c r="R709" s="3">
        <f ca="1">'ETF price'!S711-'ETF price'!S710</f>
        <v>1.6299999999999955</v>
      </c>
      <c r="S709" s="3">
        <f ca="1">'ETF price'!T711-'ETF price'!T710</f>
        <v>-0.60999999999999943</v>
      </c>
      <c r="T709" s="3">
        <f ca="1">'ETF price'!U711-'ETF price'!U710</f>
        <v>-3.7999999999999972</v>
      </c>
      <c r="U709" s="3">
        <f ca="1">'ETF price'!V711-'ETF price'!V710</f>
        <v>0.92999999999999972</v>
      </c>
      <c r="V709" s="3">
        <f ca="1">'ETF price'!W711-'ETF price'!W710</f>
        <v>0.57999999999999829</v>
      </c>
      <c r="W709" s="3">
        <f ca="1">'ETF price'!X711-'ETF price'!X710</f>
        <v>1.5100000000000051</v>
      </c>
      <c r="X709" s="3">
        <f ca="1">'ETF price'!Y711-'ETF price'!Y710</f>
        <v>1.509999999999998</v>
      </c>
      <c r="Y709" s="3">
        <f ca="1">'ETF price'!Z711-'ETF price'!Z710</f>
        <v>1.3699999999999903</v>
      </c>
      <c r="Z709" s="3">
        <f ca="1">'ETF price'!AA711-'ETF price'!AA710</f>
        <v>0.14000000000000057</v>
      </c>
      <c r="AA709" s="3">
        <f ca="1">'ETF price'!AB711-'ETF price'!AB710</f>
        <v>1.6600000000000037</v>
      </c>
      <c r="AB709" s="3">
        <f ca="1">'ETF price'!AC711-'ETF price'!AC710</f>
        <v>-0.92999999999999261</v>
      </c>
      <c r="AC709" s="3">
        <f ca="1">'ETF price'!AD711-'ETF price'!AD710</f>
        <v>0.41000000000000014</v>
      </c>
      <c r="AD709" s="3">
        <f ca="1">'ETF price'!AE711-'ETF price'!AE710</f>
        <v>0.82999999999999829</v>
      </c>
      <c r="AE709" s="3">
        <f ca="1">'ETF price'!AF711-'ETF price'!AF710</f>
        <v>4.9999999999999822E-2</v>
      </c>
      <c r="AF709" s="3">
        <f ca="1">'ETF price'!AG711-'ETF price'!AG710</f>
        <v>4.3599999999999994</v>
      </c>
    </row>
    <row r="710" spans="1:32" ht="12.75" x14ac:dyDescent="0.2">
      <c r="A710" s="3">
        <f ca="1">'ETF price'!B712-'ETF price'!B711</f>
        <v>3.0999999999999943</v>
      </c>
      <c r="B710" s="3">
        <f ca="1">'ETF price'!C712-'ETF price'!C711</f>
        <v>7.1299999999999955</v>
      </c>
      <c r="C710" s="3">
        <f ca="1">'ETF price'!D712-'ETF price'!D711</f>
        <v>1.0200000000000102</v>
      </c>
      <c r="D710" s="3">
        <f ca="1">'ETF price'!E712-'ETF price'!E711</f>
        <v>5.6500000000000057</v>
      </c>
      <c r="E710" s="3">
        <f ca="1">'ETF price'!F712-'ETF price'!F711</f>
        <v>0.98000000000000398</v>
      </c>
      <c r="F710" s="3">
        <f ca="1">'ETF price'!G712-'ETF price'!G711</f>
        <v>0.28000000000000114</v>
      </c>
      <c r="G710" s="3">
        <f ca="1">'ETF price'!H712-'ETF price'!H711</f>
        <v>3.9999999999999147E-2</v>
      </c>
      <c r="H710" s="3">
        <f ca="1">'ETF price'!I712-'ETF price'!I711</f>
        <v>-0.40999999999999659</v>
      </c>
      <c r="I710" s="3">
        <f ca="1">'ETF price'!J712-'ETF price'!J711</f>
        <v>-0.56999999999999318</v>
      </c>
      <c r="J710" s="3">
        <f ca="1">'ETF price'!K712-'ETF price'!K711</f>
        <v>-0.3200000000000216</v>
      </c>
      <c r="K710" s="3">
        <f ca="1">'ETF price'!L712-'ETF price'!L711</f>
        <v>7.000000000000739E-2</v>
      </c>
      <c r="L710" s="3">
        <f ca="1">'ETF price'!M712-'ETF price'!M711</f>
        <v>0.45999999999999375</v>
      </c>
      <c r="M710" s="3">
        <f ca="1">'ETF price'!N712-'ETF price'!N711</f>
        <v>-9.0000000000003411E-2</v>
      </c>
      <c r="N710" s="3">
        <f ca="1">'ETF price'!O712-'ETF price'!O711</f>
        <v>-0.21999999999999886</v>
      </c>
      <c r="O710" s="3">
        <f ca="1">'ETF price'!P712-'ETF price'!P711</f>
        <v>-1.1599999999999966</v>
      </c>
      <c r="P710" s="3">
        <f ca="1">'ETF price'!Q712-'ETF price'!Q711</f>
        <v>-1.6500000000000057</v>
      </c>
      <c r="Q710" s="3">
        <f ca="1">'ETF price'!R712-'ETF price'!R711</f>
        <v>-0.60999999999999943</v>
      </c>
      <c r="R710" s="3">
        <f ca="1">'ETF price'!S712-'ETF price'!S711</f>
        <v>3.0000000000001137E-2</v>
      </c>
      <c r="S710" s="3">
        <f ca="1">'ETF price'!T712-'ETF price'!T711</f>
        <v>-3.9999999999999147E-2</v>
      </c>
      <c r="T710" s="3">
        <f ca="1">'ETF price'!U712-'ETF price'!U711</f>
        <v>-0.77000000000001023</v>
      </c>
      <c r="U710" s="3">
        <f ca="1">'ETF price'!V712-'ETF price'!V711</f>
        <v>-1.4299999999999997</v>
      </c>
      <c r="V710" s="3">
        <f ca="1">'ETF price'!W712-'ETF price'!W711</f>
        <v>-0.28999999999999915</v>
      </c>
      <c r="W710" s="3">
        <f ca="1">'ETF price'!X712-'ETF price'!X711</f>
        <v>-0.68000000000000682</v>
      </c>
      <c r="X710" s="3">
        <f ca="1">'ETF price'!Y712-'ETF price'!Y711</f>
        <v>-0.24000000000000199</v>
      </c>
      <c r="Y710" s="3">
        <f ca="1">'ETF price'!Z712-'ETF price'!Z711</f>
        <v>-0.18999999999999773</v>
      </c>
      <c r="Z710" s="3">
        <f ca="1">'ETF price'!AA712-'ETF price'!AA711</f>
        <v>-0.39999999999999858</v>
      </c>
      <c r="AA710" s="3">
        <f ca="1">'ETF price'!AB712-'ETF price'!AB711</f>
        <v>-0.35000000000000142</v>
      </c>
      <c r="AB710" s="3">
        <f ca="1">'ETF price'!AC712-'ETF price'!AC711</f>
        <v>0</v>
      </c>
      <c r="AC710" s="3">
        <f ca="1">'ETF price'!AD712-'ETF price'!AD711</f>
        <v>0.83999999999999986</v>
      </c>
      <c r="AD710" s="3">
        <f ca="1">'ETF price'!AE712-'ETF price'!AE711</f>
        <v>0.85000000000000142</v>
      </c>
      <c r="AE710" s="3">
        <f ca="1">'ETF price'!AF712-'ETF price'!AF711</f>
        <v>-7.0000000000000284E-2</v>
      </c>
      <c r="AF710" s="3">
        <f ca="1">'ETF price'!AG712-'ETF price'!AG711</f>
        <v>0.10999999999999943</v>
      </c>
    </row>
    <row r="711" spans="1:32" ht="12.75" x14ac:dyDescent="0.2">
      <c r="A711" s="3">
        <f ca="1">'ETF price'!B713-'ETF price'!B712</f>
        <v>-3.7099999999999795</v>
      </c>
      <c r="B711" s="3">
        <f ca="1">'ETF price'!C713-'ETF price'!C712</f>
        <v>-8</v>
      </c>
      <c r="C711" s="3">
        <f ca="1">'ETF price'!D713-'ETF price'!D712</f>
        <v>-0.30000000000001137</v>
      </c>
      <c r="D711" s="3">
        <f ca="1">'ETF price'!E713-'ETF price'!E712</f>
        <v>-8.3000000000000114</v>
      </c>
      <c r="E711" s="3">
        <f ca="1">'ETF price'!F713-'ETF price'!F712</f>
        <v>-0.78000000000000114</v>
      </c>
      <c r="F711" s="3">
        <f ca="1">'ETF price'!G713-'ETF price'!G712</f>
        <v>-1.9999999999996021E-2</v>
      </c>
      <c r="G711" s="3">
        <f ca="1">'ETF price'!H713-'ETF price'!H712</f>
        <v>-0.14999999999999858</v>
      </c>
      <c r="H711" s="3">
        <f ca="1">'ETF price'!I713-'ETF price'!I712</f>
        <v>-0.28000000000000114</v>
      </c>
      <c r="I711" s="3">
        <f ca="1">'ETF price'!J713-'ETF price'!J712</f>
        <v>-0.43000000000000682</v>
      </c>
      <c r="J711" s="3">
        <f ca="1">'ETF price'!K713-'ETF price'!K712</f>
        <v>-9.9999999999909051E-3</v>
      </c>
      <c r="K711" s="3">
        <f ca="1">'ETF price'!L713-'ETF price'!L712</f>
        <v>-0.14000000000000057</v>
      </c>
      <c r="L711" s="3">
        <f ca="1">'ETF price'!M713-'ETF price'!M712</f>
        <v>0.65999999999999659</v>
      </c>
      <c r="M711" s="3">
        <f ca="1">'ETF price'!N713-'ETF price'!N712</f>
        <v>-0.12999999999999545</v>
      </c>
      <c r="N711" s="3">
        <f ca="1">'ETF price'!O713-'ETF price'!O712</f>
        <v>-7.9999999999998295E-2</v>
      </c>
      <c r="O711" s="3">
        <f ca="1">'ETF price'!P713-'ETF price'!P712</f>
        <v>0.54999999999999716</v>
      </c>
      <c r="P711" s="3">
        <f ca="1">'ETF price'!Q713-'ETF price'!Q712</f>
        <v>0.26000000000000512</v>
      </c>
      <c r="Q711" s="3">
        <f ca="1">'ETF price'!R713-'ETF price'!R712</f>
        <v>0.51000000000000512</v>
      </c>
      <c r="R711" s="3">
        <f ca="1">'ETF price'!S713-'ETF price'!S712</f>
        <v>-1.1299999999999955</v>
      </c>
      <c r="S711" s="3">
        <f ca="1">'ETF price'!T713-'ETF price'!T712</f>
        <v>0.28000000000000114</v>
      </c>
      <c r="T711" s="3">
        <f ca="1">'ETF price'!U713-'ETF price'!U712</f>
        <v>1.7000000000000028</v>
      </c>
      <c r="U711" s="3">
        <f ca="1">'ETF price'!V713-'ETF price'!V712</f>
        <v>0.42999999999999972</v>
      </c>
      <c r="V711" s="3">
        <f ca="1">'ETF price'!W713-'ETF price'!W712</f>
        <v>0.21000000000000085</v>
      </c>
      <c r="W711" s="3">
        <f ca="1">'ETF price'!X713-'ETF price'!X712</f>
        <v>0.67000000000000171</v>
      </c>
      <c r="X711" s="3">
        <f ca="1">'ETF price'!Y713-'ETF price'!Y712</f>
        <v>0.46000000000000085</v>
      </c>
      <c r="Y711" s="3">
        <f ca="1">'ETF price'!Z713-'ETF price'!Z712</f>
        <v>-1.6700000000000017</v>
      </c>
      <c r="Z711" s="3">
        <f ca="1">'ETF price'!AA713-'ETF price'!AA712</f>
        <v>0.15999999999999659</v>
      </c>
      <c r="AA711" s="3">
        <f ca="1">'ETF price'!AB713-'ETF price'!AB712</f>
        <v>0.60000000000000142</v>
      </c>
      <c r="AB711" s="3">
        <f ca="1">'ETF price'!AC713-'ETF price'!AC712</f>
        <v>-0.65000000000000568</v>
      </c>
      <c r="AC711" s="3">
        <f ca="1">'ETF price'!AD713-'ETF price'!AD712</f>
        <v>-3.0000000000001137E-2</v>
      </c>
      <c r="AD711" s="3">
        <f ca="1">'ETF price'!AE713-'ETF price'!AE712</f>
        <v>-0.17999999999999972</v>
      </c>
      <c r="AE711" s="3">
        <f ca="1">'ETF price'!AF713-'ETF price'!AF712</f>
        <v>0.10000000000000053</v>
      </c>
      <c r="AF711" s="3">
        <f ca="1">'ETF price'!AG713-'ETF price'!AG712</f>
        <v>-0.84000000000000341</v>
      </c>
    </row>
    <row r="712" spans="1:32" ht="12.75" x14ac:dyDescent="0.2">
      <c r="A712" s="3">
        <f ca="1">'ETF price'!B714-'ETF price'!B713</f>
        <v>-7.3700000000000045</v>
      </c>
      <c r="B712" s="3">
        <f ca="1">'ETF price'!C714-'ETF price'!C713</f>
        <v>-20.020000000000095</v>
      </c>
      <c r="C712" s="3">
        <f ca="1">'ETF price'!D714-'ETF price'!D713</f>
        <v>2.2299999999999898</v>
      </c>
      <c r="D712" s="3">
        <f ca="1">'ETF price'!E714-'ETF price'!E713</f>
        <v>-8.8100000000000023</v>
      </c>
      <c r="E712" s="3">
        <f ca="1">'ETF price'!F714-'ETF price'!F713</f>
        <v>-1.1500000000000057</v>
      </c>
      <c r="F712" s="3">
        <f ca="1">'ETF price'!G714-'ETF price'!G713</f>
        <v>-0.62000000000000099</v>
      </c>
      <c r="G712" s="3">
        <f ca="1">'ETF price'!H714-'ETF price'!H713</f>
        <v>-0.64000000000000057</v>
      </c>
      <c r="H712" s="3">
        <f ca="1">'ETF price'!I714-'ETF price'!I713</f>
        <v>-1.25</v>
      </c>
      <c r="I712" s="3">
        <f ca="1">'ETF price'!J714-'ETF price'!J713</f>
        <v>-2.6899999999999977</v>
      </c>
      <c r="J712" s="3">
        <f ca="1">'ETF price'!K714-'ETF price'!K713</f>
        <v>-2.1200000000000045</v>
      </c>
      <c r="K712" s="3">
        <f ca="1">'ETF price'!L714-'ETF price'!L713</f>
        <v>-1.3900000000000006</v>
      </c>
      <c r="L712" s="3">
        <f ca="1">'ETF price'!M714-'ETF price'!M713</f>
        <v>-1.2599999999999909</v>
      </c>
      <c r="M712" s="3">
        <f ca="1">'ETF price'!N714-'ETF price'!N713</f>
        <v>-0.64000000000000057</v>
      </c>
      <c r="N712" s="3">
        <f ca="1">'ETF price'!O714-'ETF price'!O713</f>
        <v>-0.78999999999999915</v>
      </c>
      <c r="O712" s="3">
        <f ca="1">'ETF price'!P714-'ETF price'!P713</f>
        <v>-0.56000000000000227</v>
      </c>
      <c r="P712" s="3">
        <f ca="1">'ETF price'!Q714-'ETF price'!Q713</f>
        <v>0.60999999999999943</v>
      </c>
      <c r="Q712" s="3">
        <f ca="1">'ETF price'!R714-'ETF price'!R713</f>
        <v>-1.25</v>
      </c>
      <c r="R712" s="3">
        <f ca="1">'ETF price'!S714-'ETF price'!S713</f>
        <v>-0.95000000000000284</v>
      </c>
      <c r="S712" s="3">
        <f ca="1">'ETF price'!T714-'ETF price'!T713</f>
        <v>0.14999999999999858</v>
      </c>
      <c r="T712" s="3">
        <f ca="1">'ETF price'!U714-'ETF price'!U713</f>
        <v>1.7199999999999989</v>
      </c>
      <c r="U712" s="3">
        <f ca="1">'ETF price'!V714-'ETF price'!V713</f>
        <v>0.94999999999999574</v>
      </c>
      <c r="V712" s="3">
        <f ca="1">'ETF price'!W714-'ETF price'!W713</f>
        <v>-0.65000000000000568</v>
      </c>
      <c r="W712" s="3">
        <f ca="1">'ETF price'!X714-'ETF price'!X713</f>
        <v>-1.6499999999999915</v>
      </c>
      <c r="X712" s="3">
        <f ca="1">'ETF price'!Y714-'ETF price'!Y713</f>
        <v>-0.82000000000000028</v>
      </c>
      <c r="Y712" s="3">
        <f ca="1">'ETF price'!Z714-'ETF price'!Z713</f>
        <v>-0.11999999999999034</v>
      </c>
      <c r="Z712" s="3">
        <f ca="1">'ETF price'!AA714-'ETF price'!AA713</f>
        <v>-0.76999999999999602</v>
      </c>
      <c r="AA712" s="3">
        <f ca="1">'ETF price'!AB714-'ETF price'!AB713</f>
        <v>-0.85999999999999943</v>
      </c>
      <c r="AB712" s="3">
        <f ca="1">'ETF price'!AC714-'ETF price'!AC713</f>
        <v>0.89000000000000057</v>
      </c>
      <c r="AC712" s="3">
        <f ca="1">'ETF price'!AD714-'ETF price'!AD713</f>
        <v>-0.75</v>
      </c>
      <c r="AD712" s="3">
        <f ca="1">'ETF price'!AE714-'ETF price'!AE713</f>
        <v>-0.58000000000000185</v>
      </c>
      <c r="AE712" s="3">
        <f ca="1">'ETF price'!AF714-'ETF price'!AF713</f>
        <v>-1.0000000000000675E-2</v>
      </c>
      <c r="AF712" s="3">
        <f ca="1">'ETF price'!AG714-'ETF price'!AG713</f>
        <v>-5.1499999999999986</v>
      </c>
    </row>
    <row r="713" spans="1:32" ht="12.75" x14ac:dyDescent="0.2">
      <c r="A713" s="3">
        <f ca="1">'ETF price'!B715-'ETF price'!B714</f>
        <v>1.6699999999999875</v>
      </c>
      <c r="B713" s="3">
        <f ca="1">'ETF price'!C715-'ETF price'!C714</f>
        <v>4.1700000000000728</v>
      </c>
      <c r="C713" s="3">
        <f ca="1">'ETF price'!D715-'ETF price'!D714</f>
        <v>4.3100000000000023</v>
      </c>
      <c r="D713" s="3">
        <f ca="1">'ETF price'!E715-'ETF price'!E714</f>
        <v>2.3200000000000216</v>
      </c>
      <c r="E713" s="3">
        <f ca="1">'ETF price'!F715-'ETF price'!F714</f>
        <v>1.0000000000005116E-2</v>
      </c>
      <c r="F713" s="3">
        <f ca="1">'ETF price'!G715-'ETF price'!G714</f>
        <v>0.23999999999999844</v>
      </c>
      <c r="G713" s="3">
        <f ca="1">'ETF price'!H715-'ETF price'!H714</f>
        <v>0.21000000000000085</v>
      </c>
      <c r="H713" s="3">
        <f ca="1">'ETF price'!I715-'ETF price'!I714</f>
        <v>0.87000000000000455</v>
      </c>
      <c r="I713" s="3">
        <f ca="1">'ETF price'!J715-'ETF price'!J714</f>
        <v>2.0400000000000205</v>
      </c>
      <c r="J713" s="3">
        <f ca="1">'ETF price'!K715-'ETF price'!K714</f>
        <v>2.4900000000000091</v>
      </c>
      <c r="K713" s="3">
        <f ca="1">'ETF price'!L715-'ETF price'!L714</f>
        <v>2.2399999999999949</v>
      </c>
      <c r="L713" s="3">
        <f ca="1">'ETF price'!M715-'ETF price'!M714</f>
        <v>0.93999999999999773</v>
      </c>
      <c r="M713" s="3">
        <f ca="1">'ETF price'!N715-'ETF price'!N714</f>
        <v>0.5</v>
      </c>
      <c r="N713" s="3">
        <f ca="1">'ETF price'!O715-'ETF price'!O714</f>
        <v>0.43999999999999773</v>
      </c>
      <c r="O713" s="3">
        <f ca="1">'ETF price'!P715-'ETF price'!P714</f>
        <v>1.539999999999992</v>
      </c>
      <c r="P713" s="3">
        <f ca="1">'ETF price'!Q715-'ETF price'!Q714</f>
        <v>-0.92000000000000171</v>
      </c>
      <c r="Q713" s="3">
        <f ca="1">'ETF price'!R715-'ETF price'!R714</f>
        <v>-0.26000000000000512</v>
      </c>
      <c r="R713" s="3">
        <f ca="1">'ETF price'!S715-'ETF price'!S714</f>
        <v>0.26999999999999602</v>
      </c>
      <c r="S713" s="3">
        <f ca="1">'ETF price'!T715-'ETF price'!T714</f>
        <v>-0.23999999999999844</v>
      </c>
      <c r="T713" s="3">
        <f ca="1">'ETF price'!U715-'ETF price'!U714</f>
        <v>-1.0600000000000023</v>
      </c>
      <c r="U713" s="3">
        <f ca="1">'ETF price'!V715-'ETF price'!V714</f>
        <v>-3.9999999999999147E-2</v>
      </c>
      <c r="V713" s="3">
        <f ca="1">'ETF price'!W715-'ETF price'!W714</f>
        <v>0.16000000000000369</v>
      </c>
      <c r="W713" s="3">
        <f ca="1">'ETF price'!X715-'ETF price'!X714</f>
        <v>-4.0000000000006253E-2</v>
      </c>
      <c r="X713" s="3">
        <f ca="1">'ETF price'!Y715-'ETF price'!Y714</f>
        <v>-0.43999999999999773</v>
      </c>
      <c r="Y713" s="3">
        <f ca="1">'ETF price'!Z715-'ETF price'!Z714</f>
        <v>-0.76000000000000512</v>
      </c>
      <c r="Z713" s="3">
        <f ca="1">'ETF price'!AA715-'ETF price'!AA714</f>
        <v>-0.46000000000000085</v>
      </c>
      <c r="AA713" s="3">
        <f ca="1">'ETF price'!AB715-'ETF price'!AB714</f>
        <v>-0.31000000000000227</v>
      </c>
      <c r="AB713" s="3">
        <f ca="1">'ETF price'!AC715-'ETF price'!AC714</f>
        <v>5.5</v>
      </c>
      <c r="AC713" s="3">
        <f ca="1">'ETF price'!AD715-'ETF price'!AD714</f>
        <v>-8.9999999999999858E-2</v>
      </c>
      <c r="AD713" s="3">
        <f ca="1">'ETF price'!AE715-'ETF price'!AE714</f>
        <v>-1.1999999999999993</v>
      </c>
      <c r="AE713" s="3">
        <f ca="1">'ETF price'!AF715-'ETF price'!AF714</f>
        <v>0.48000000000000043</v>
      </c>
      <c r="AF713" s="3">
        <f ca="1">'ETF price'!AG715-'ETF price'!AG714</f>
        <v>-0.84000000000000341</v>
      </c>
    </row>
    <row r="714" spans="1:32" ht="12.75" x14ac:dyDescent="0.2">
      <c r="A714" s="3">
        <f ca="1">'ETF price'!B716-'ETF price'!B715</f>
        <v>-0.16999999999998749</v>
      </c>
      <c r="B714" s="3">
        <f ca="1">'ETF price'!C716-'ETF price'!C715</f>
        <v>-0.57000000000005002</v>
      </c>
      <c r="C714" s="3">
        <f ca="1">'ETF price'!D716-'ETF price'!D715</f>
        <v>3.3000000000000114</v>
      </c>
      <c r="D714" s="3">
        <f ca="1">'ETF price'!E716-'ETF price'!E715</f>
        <v>-1.2700000000000102</v>
      </c>
      <c r="E714" s="3">
        <f ca="1">'ETF price'!F716-'ETF price'!F715</f>
        <v>-4.9999999999997158E-2</v>
      </c>
      <c r="F714" s="3">
        <f ca="1">'ETF price'!G716-'ETF price'!G715</f>
        <v>0.10999999999999943</v>
      </c>
      <c r="G714" s="3">
        <f ca="1">'ETF price'!H716-'ETF price'!H715</f>
        <v>0</v>
      </c>
      <c r="H714" s="3">
        <f ca="1">'ETF price'!I716-'ETF price'!I715</f>
        <v>-0.96999999999999886</v>
      </c>
      <c r="I714" s="3">
        <f ca="1">'ETF price'!J716-'ETF price'!J715</f>
        <v>-1.410000000000025</v>
      </c>
      <c r="J714" s="3">
        <f ca="1">'ETF price'!K716-'ETF price'!K715</f>
        <v>6.9999999999993179E-2</v>
      </c>
      <c r="K714" s="3">
        <f ca="1">'ETF price'!L716-'ETF price'!L715</f>
        <v>-4.9999999999997158E-2</v>
      </c>
      <c r="L714" s="3">
        <f ca="1">'ETF price'!M716-'ETF price'!M715</f>
        <v>-0.45999999999999375</v>
      </c>
      <c r="M714" s="3">
        <f ca="1">'ETF price'!N716-'ETF price'!N715</f>
        <v>-0.43000000000000682</v>
      </c>
      <c r="N714" s="3">
        <f ca="1">'ETF price'!O716-'ETF price'!O715</f>
        <v>0.51999999999999602</v>
      </c>
      <c r="O714" s="3">
        <f ca="1">'ETF price'!P716-'ETF price'!P715</f>
        <v>0.60000000000000853</v>
      </c>
      <c r="P714" s="3">
        <f ca="1">'ETF price'!Q716-'ETF price'!Q715</f>
        <v>2.230000000000004</v>
      </c>
      <c r="Q714" s="3">
        <f ca="1">'ETF price'!R716-'ETF price'!R715</f>
        <v>0.4100000000000108</v>
      </c>
      <c r="R714" s="3">
        <f ca="1">'ETF price'!S716-'ETF price'!S715</f>
        <v>-0.32000000000000028</v>
      </c>
      <c r="S714" s="3">
        <f ca="1">'ETF price'!T716-'ETF price'!T715</f>
        <v>0.37999999999999901</v>
      </c>
      <c r="T714" s="3">
        <f ca="1">'ETF price'!U716-'ETF price'!U715</f>
        <v>2.2700000000000102</v>
      </c>
      <c r="U714" s="3">
        <f ca="1">'ETF price'!V716-'ETF price'!V715</f>
        <v>1.2899999999999991</v>
      </c>
      <c r="V714" s="3">
        <f ca="1">'ETF price'!W716-'ETF price'!W715</f>
        <v>-0.35999999999999943</v>
      </c>
      <c r="W714" s="3">
        <f ca="1">'ETF price'!X716-'ETF price'!X715</f>
        <v>-0.60999999999999943</v>
      </c>
      <c r="X714" s="3">
        <f ca="1">'ETF price'!Y716-'ETF price'!Y715</f>
        <v>-0.39999999999999858</v>
      </c>
      <c r="Y714" s="3">
        <f ca="1">'ETF price'!Z716-'ETF price'!Z715</f>
        <v>1.3200000000000074</v>
      </c>
      <c r="Z714" s="3">
        <f ca="1">'ETF price'!AA716-'ETF price'!AA715</f>
        <v>0.47999999999999687</v>
      </c>
      <c r="AA714" s="3">
        <f ca="1">'ETF price'!AB716-'ETF price'!AB715</f>
        <v>-0.50999999999999801</v>
      </c>
      <c r="AB714" s="3">
        <f ca="1">'ETF price'!AC716-'ETF price'!AC715</f>
        <v>-1.4899999999999949</v>
      </c>
      <c r="AC714" s="3">
        <f ca="1">'ETF price'!AD716-'ETF price'!AD715</f>
        <v>-0.55999999999999872</v>
      </c>
      <c r="AD714" s="3">
        <f ca="1">'ETF price'!AE716-'ETF price'!AE715</f>
        <v>-0.55999999999999872</v>
      </c>
      <c r="AE714" s="3">
        <f ca="1">'ETF price'!AF716-'ETF price'!AF715</f>
        <v>-9.9999999999999645E-2</v>
      </c>
      <c r="AF714" s="3">
        <f ca="1">'ETF price'!AG716-'ETF price'!AG715</f>
        <v>-1.509999999999998</v>
      </c>
    </row>
    <row r="715" spans="1:32" ht="12.75" x14ac:dyDescent="0.2">
      <c r="A715" s="3">
        <f ca="1">'ETF price'!B717-'ETF price'!B716</f>
        <v>3.1499999999999773</v>
      </c>
      <c r="B715" s="3">
        <f ca="1">'ETF price'!C717-'ETF price'!C716</f>
        <v>8.4900000000000091</v>
      </c>
      <c r="C715" s="3">
        <f ca="1">'ETF price'!D717-'ETF price'!D716</f>
        <v>-0.25</v>
      </c>
      <c r="D715" s="3">
        <f ca="1">'ETF price'!E717-'ETF price'!E716</f>
        <v>2.5600000000000023</v>
      </c>
      <c r="E715" s="3">
        <f ca="1">'ETF price'!F717-'ETF price'!F716</f>
        <v>1.0300000000000011</v>
      </c>
      <c r="F715" s="3">
        <f ca="1">'ETF price'!G717-'ETF price'!G716</f>
        <v>0.71000000000000085</v>
      </c>
      <c r="G715" s="3">
        <f ca="1">'ETF price'!H717-'ETF price'!H716</f>
        <v>0.40999999999999659</v>
      </c>
      <c r="H715" s="3">
        <f ca="1">'ETF price'!I717-'ETF price'!I716</f>
        <v>1.0799999999999841</v>
      </c>
      <c r="I715" s="3">
        <f ca="1">'ETF price'!J717-'ETF price'!J716</f>
        <v>2.2900000000000205</v>
      </c>
      <c r="J715" s="3">
        <f ca="1">'ETF price'!K717-'ETF price'!K716</f>
        <v>2.210000000000008</v>
      </c>
      <c r="K715" s="3">
        <f ca="1">'ETF price'!L717-'ETF price'!L716</f>
        <v>1.4000000000000057</v>
      </c>
      <c r="L715" s="3">
        <f ca="1">'ETF price'!M717-'ETF price'!M716</f>
        <v>0.78999999999999204</v>
      </c>
      <c r="M715" s="3">
        <f ca="1">'ETF price'!N717-'ETF price'!N716</f>
        <v>0.57999999999999829</v>
      </c>
      <c r="N715" s="3">
        <f ca="1">'ETF price'!O717-'ETF price'!O716</f>
        <v>0.28000000000000114</v>
      </c>
      <c r="O715" s="3">
        <f ca="1">'ETF price'!P717-'ETF price'!P716</f>
        <v>3.3900000000000006</v>
      </c>
      <c r="P715" s="3">
        <f ca="1">'ETF price'!Q717-'ETF price'!Q716</f>
        <v>0.86999999999999034</v>
      </c>
      <c r="Q715" s="3">
        <f ca="1">'ETF price'!R717-'ETF price'!R716</f>
        <v>0.14000000000000057</v>
      </c>
      <c r="R715" s="3">
        <f ca="1">'ETF price'!S717-'ETF price'!S716</f>
        <v>1.1300000000000026</v>
      </c>
      <c r="S715" s="3">
        <f ca="1">'ETF price'!T717-'ETF price'!T716</f>
        <v>0.14000000000000057</v>
      </c>
      <c r="T715" s="3">
        <f ca="1">'ETF price'!U717-'ETF price'!U716</f>
        <v>0.43999999999999773</v>
      </c>
      <c r="U715" s="3">
        <f ca="1">'ETF price'!V717-'ETF price'!V716</f>
        <v>0.71000000000000085</v>
      </c>
      <c r="V715" s="3">
        <f ca="1">'ETF price'!W717-'ETF price'!W716</f>
        <v>0.42999999999999972</v>
      </c>
      <c r="W715" s="3">
        <f ca="1">'ETF price'!X717-'ETF price'!X716</f>
        <v>1.2800000000000011</v>
      </c>
      <c r="X715" s="3">
        <f ca="1">'ETF price'!Y717-'ETF price'!Y716</f>
        <v>0.85999999999999943</v>
      </c>
      <c r="Y715" s="3">
        <f ca="1">'ETF price'!Z717-'ETF price'!Z716</f>
        <v>7.3399999999999892</v>
      </c>
      <c r="Z715" s="3">
        <f ca="1">'ETF price'!AA717-'ETF price'!AA716</f>
        <v>0.59000000000000341</v>
      </c>
      <c r="AA715" s="3">
        <f ca="1">'ETF price'!AB717-'ETF price'!AB716</f>
        <v>1</v>
      </c>
      <c r="AB715" s="3">
        <f ca="1">'ETF price'!AC717-'ETF price'!AC716</f>
        <v>0.59000000000000341</v>
      </c>
      <c r="AC715" s="3">
        <f ca="1">'ETF price'!AD717-'ETF price'!AD716</f>
        <v>0.30000000000000071</v>
      </c>
      <c r="AD715" s="3">
        <f ca="1">'ETF price'!AE717-'ETF price'!AE716</f>
        <v>0.60999999999999943</v>
      </c>
      <c r="AE715" s="3">
        <f ca="1">'ETF price'!AF717-'ETF price'!AF716</f>
        <v>-0.25</v>
      </c>
      <c r="AF715" s="3">
        <f ca="1">'ETF price'!AG717-'ETF price'!AG716</f>
        <v>2.4100000000000037</v>
      </c>
    </row>
    <row r="716" spans="1:32" ht="12.75" x14ac:dyDescent="0.2">
      <c r="A716" s="3">
        <f ca="1">'ETF price'!B718-'ETF price'!B717</f>
        <v>6.460000000000008</v>
      </c>
      <c r="B716" s="3">
        <f ca="1">'ETF price'!C718-'ETF price'!C717</f>
        <v>18.620000000000005</v>
      </c>
      <c r="C716" s="3">
        <f ca="1">'ETF price'!D718-'ETF price'!D717</f>
        <v>-0.72999999999998977</v>
      </c>
      <c r="D716" s="3">
        <f ca="1">'ETF price'!E718-'ETF price'!E717</f>
        <v>6.4699999999999989</v>
      </c>
      <c r="E716" s="3">
        <f ca="1">'ETF price'!F718-'ETF price'!F717</f>
        <v>2.8400000000000034</v>
      </c>
      <c r="F716" s="3">
        <f ca="1">'ETF price'!G718-'ETF price'!G717</f>
        <v>0.43999999999999773</v>
      </c>
      <c r="G716" s="3">
        <f ca="1">'ETF price'!H718-'ETF price'!H717</f>
        <v>0.63000000000000256</v>
      </c>
      <c r="H716" s="3">
        <f ca="1">'ETF price'!I718-'ETF price'!I717</f>
        <v>0.18999999999999773</v>
      </c>
      <c r="I716" s="3">
        <f ca="1">'ETF price'!J718-'ETF price'!J717</f>
        <v>0.95999999999997954</v>
      </c>
      <c r="J716" s="3">
        <f ca="1">'ETF price'!K718-'ETF price'!K717</f>
        <v>1.539999999999992</v>
      </c>
      <c r="K716" s="3">
        <f ca="1">'ETF price'!L718-'ETF price'!L717</f>
        <v>1.8199999999999932</v>
      </c>
      <c r="L716" s="3">
        <f ca="1">'ETF price'!M718-'ETF price'!M717</f>
        <v>1.2900000000000063</v>
      </c>
      <c r="M716" s="3">
        <f ca="1">'ETF price'!N718-'ETF price'!N717</f>
        <v>0.26000000000000512</v>
      </c>
      <c r="N716" s="3">
        <f ca="1">'ETF price'!O718-'ETF price'!O717</f>
        <v>0.39999999999999858</v>
      </c>
      <c r="O716" s="3">
        <f ca="1">'ETF price'!P718-'ETF price'!P717</f>
        <v>-0.43000000000000682</v>
      </c>
      <c r="P716" s="3">
        <f ca="1">'ETF price'!Q718-'ETF price'!Q717</f>
        <v>5.1500000000000057</v>
      </c>
      <c r="Q716" s="3">
        <f ca="1">'ETF price'!R718-'ETF price'!R717</f>
        <v>1.289999999999992</v>
      </c>
      <c r="R716" s="3">
        <f ca="1">'ETF price'!S718-'ETF price'!S717</f>
        <v>5.2199999999999989</v>
      </c>
      <c r="S716" s="3">
        <f ca="1">'ETF price'!T718-'ETF price'!T717</f>
        <v>-0.25</v>
      </c>
      <c r="T716" s="3">
        <f ca="1">'ETF price'!U718-'ETF price'!U717</f>
        <v>-0.18999999999999773</v>
      </c>
      <c r="U716" s="3">
        <f ca="1">'ETF price'!V718-'ETF price'!V717</f>
        <v>-4.5399999999999991</v>
      </c>
      <c r="V716" s="3">
        <f ca="1">'ETF price'!W718-'ETF price'!W717</f>
        <v>2.8399999999999963</v>
      </c>
      <c r="W716" s="3">
        <f ca="1">'ETF price'!X718-'ETF price'!X717</f>
        <v>7.7099999999999937</v>
      </c>
      <c r="X716" s="3">
        <f ca="1">'ETF price'!Y718-'ETF price'!Y717</f>
        <v>6.519999999999996</v>
      </c>
      <c r="Y716" s="3">
        <f ca="1">'ETF price'!Z718-'ETF price'!Z717</f>
        <v>-2</v>
      </c>
      <c r="Z716" s="3">
        <f ca="1">'ETF price'!AA718-'ETF price'!AA717</f>
        <v>-1.1700000000000017</v>
      </c>
      <c r="AA716" s="3">
        <f ca="1">'ETF price'!AB718-'ETF price'!AB717</f>
        <v>7.93</v>
      </c>
      <c r="AB716" s="3">
        <f ca="1">'ETF price'!AC718-'ETF price'!AC717</f>
        <v>1.4899999999999949</v>
      </c>
      <c r="AC716" s="3">
        <f ca="1">'ETF price'!AD718-'ETF price'!AD717</f>
        <v>1.7399999999999984</v>
      </c>
      <c r="AD716" s="3">
        <f ca="1">'ETF price'!AE718-'ETF price'!AE717</f>
        <v>1.8099999999999987</v>
      </c>
      <c r="AE716" s="3">
        <f ca="1">'ETF price'!AF718-'ETF price'!AF717</f>
        <v>-0.34000000000000075</v>
      </c>
      <c r="AF716" s="3">
        <f ca="1">'ETF price'!AG718-'ETF price'!AG717</f>
        <v>9.3699999999999974</v>
      </c>
    </row>
    <row r="717" spans="1:32" ht="12.75" x14ac:dyDescent="0.2">
      <c r="A717" s="3">
        <f ca="1">'ETF price'!B719-'ETF price'!B718</f>
        <v>4.0699999999999932</v>
      </c>
      <c r="B717" s="3">
        <f ca="1">'ETF price'!C719-'ETF price'!C718</f>
        <v>12.560000000000059</v>
      </c>
      <c r="C717" s="3">
        <f ca="1">'ETF price'!D719-'ETF price'!D718</f>
        <v>0.57999999999998408</v>
      </c>
      <c r="D717" s="3">
        <f ca="1">'ETF price'!E719-'ETF price'!E718</f>
        <v>4.7599999999999909</v>
      </c>
      <c r="E717" s="3">
        <f ca="1">'ETF price'!F719-'ETF price'!F718</f>
        <v>0.68999999999999773</v>
      </c>
      <c r="F717" s="3">
        <f ca="1">'ETF price'!G719-'ETF price'!G718</f>
        <v>0.28000000000000114</v>
      </c>
      <c r="G717" s="3">
        <f ca="1">'ETF price'!H719-'ETF price'!H718</f>
        <v>0.61999999999999744</v>
      </c>
      <c r="H717" s="3">
        <f ca="1">'ETF price'!I719-'ETF price'!I718</f>
        <v>1.0700000000000216</v>
      </c>
      <c r="I717" s="3">
        <f ca="1">'ETF price'!J719-'ETF price'!J718</f>
        <v>1.8000000000000114</v>
      </c>
      <c r="J717" s="3">
        <f ca="1">'ETF price'!K719-'ETF price'!K718</f>
        <v>1.4200000000000159</v>
      </c>
      <c r="K717" s="3">
        <f ca="1">'ETF price'!L719-'ETF price'!L718</f>
        <v>0.57000000000000739</v>
      </c>
      <c r="L717" s="3">
        <f ca="1">'ETF price'!M719-'ETF price'!M718</f>
        <v>0.90999999999999659</v>
      </c>
      <c r="M717" s="3">
        <f ca="1">'ETF price'!N719-'ETF price'!N718</f>
        <v>0.46999999999999886</v>
      </c>
      <c r="N717" s="3">
        <f ca="1">'ETF price'!O719-'ETF price'!O718</f>
        <v>0.28000000000000114</v>
      </c>
      <c r="O717" s="3">
        <f ca="1">'ETF price'!P719-'ETF price'!P718</f>
        <v>0.62000000000000455</v>
      </c>
      <c r="P717" s="3">
        <f ca="1">'ETF price'!Q719-'ETF price'!Q718</f>
        <v>-0.34999999999999432</v>
      </c>
      <c r="Q717" s="3">
        <f ca="1">'ETF price'!R719-'ETF price'!R718</f>
        <v>0.37000000000000455</v>
      </c>
      <c r="R717" s="3">
        <f ca="1">'ETF price'!S719-'ETF price'!S718</f>
        <v>-0.21999999999999886</v>
      </c>
      <c r="S717" s="3">
        <f ca="1">'ETF price'!T719-'ETF price'!T718</f>
        <v>0.23000000000000043</v>
      </c>
      <c r="T717" s="3">
        <f ca="1">'ETF price'!U719-'ETF price'!U718</f>
        <v>0.11999999999999034</v>
      </c>
      <c r="U717" s="3">
        <f ca="1">'ETF price'!V719-'ETF price'!V718</f>
        <v>0.32999999999999829</v>
      </c>
      <c r="V717" s="3">
        <f ca="1">'ETF price'!W719-'ETF price'!W718</f>
        <v>-0.79999999999999716</v>
      </c>
      <c r="W717" s="3">
        <f ca="1">'ETF price'!X719-'ETF price'!X718</f>
        <v>-2.0899999999999892</v>
      </c>
      <c r="X717" s="3">
        <f ca="1">'ETF price'!Y719-'ETF price'!Y718</f>
        <v>-1.9899999999999949</v>
      </c>
      <c r="Y717" s="3">
        <f ca="1">'ETF price'!Z719-'ETF price'!Z718</f>
        <v>0.93000000000000682</v>
      </c>
      <c r="Z717" s="3">
        <f ca="1">'ETF price'!AA719-'ETF price'!AA718</f>
        <v>0.53000000000000114</v>
      </c>
      <c r="AA717" s="3">
        <f ca="1">'ETF price'!AB719-'ETF price'!AB718</f>
        <v>-2.4300000000000068</v>
      </c>
      <c r="AB717" s="3">
        <f ca="1">'ETF price'!AC719-'ETF price'!AC718</f>
        <v>-0.39000000000000057</v>
      </c>
      <c r="AC717" s="3">
        <f ca="1">'ETF price'!AD719-'ETF price'!AD718</f>
        <v>0.75</v>
      </c>
      <c r="AD717" s="3">
        <f ca="1">'ETF price'!AE719-'ETF price'!AE718</f>
        <v>0.13000000000000256</v>
      </c>
      <c r="AE717" s="3">
        <f ca="1">'ETF price'!AF719-'ETF price'!AF718</f>
        <v>-0.11999999999999922</v>
      </c>
      <c r="AF717" s="3">
        <f ca="1">'ETF price'!AG719-'ETF price'!AG718</f>
        <v>2.1600000000000037</v>
      </c>
    </row>
    <row r="718" spans="1:32" ht="12.75" x14ac:dyDescent="0.2">
      <c r="A718" s="3">
        <f ca="1">'ETF price'!B720-'ETF price'!B719</f>
        <v>-0.25999999999999091</v>
      </c>
      <c r="B718" s="3">
        <f ca="1">'ETF price'!C720-'ETF price'!C719</f>
        <v>-1.1000000000000227</v>
      </c>
      <c r="C718" s="3">
        <f ca="1">'ETF price'!D720-'ETF price'!D719</f>
        <v>-0.78000000000000114</v>
      </c>
      <c r="D718" s="3">
        <f ca="1">'ETF price'!E720-'ETF price'!E719</f>
        <v>-1.7399999999999807</v>
      </c>
      <c r="E718" s="3">
        <f ca="1">'ETF price'!F720-'ETF price'!F719</f>
        <v>0.31999999999999318</v>
      </c>
      <c r="F718" s="3">
        <f ca="1">'ETF price'!G720-'ETF price'!G719</f>
        <v>0.18999999999999773</v>
      </c>
      <c r="G718" s="3">
        <f ca="1">'ETF price'!H720-'ETF price'!H719</f>
        <v>0.42000000000000171</v>
      </c>
      <c r="H718" s="3">
        <f ca="1">'ETF price'!I720-'ETF price'!I719</f>
        <v>1.0699999999999932</v>
      </c>
      <c r="I718" s="3">
        <f ca="1">'ETF price'!J720-'ETF price'!J719</f>
        <v>2.1100000000000136</v>
      </c>
      <c r="J718" s="3">
        <f ca="1">'ETF price'!K720-'ETF price'!K719</f>
        <v>0.82999999999998408</v>
      </c>
      <c r="K718" s="3">
        <f ca="1">'ETF price'!L720-'ETF price'!L719</f>
        <v>1.1700000000000017</v>
      </c>
      <c r="L718" s="3">
        <f ca="1">'ETF price'!M720-'ETF price'!M719</f>
        <v>0.28000000000000114</v>
      </c>
      <c r="M718" s="3">
        <f ca="1">'ETF price'!N720-'ETF price'!N719</f>
        <v>0.53000000000000114</v>
      </c>
      <c r="N718" s="3">
        <f ca="1">'ETF price'!O720-'ETF price'!O719</f>
        <v>-0.35999999999999943</v>
      </c>
      <c r="O718" s="3">
        <f ca="1">'ETF price'!P720-'ETF price'!P719</f>
        <v>0.53000000000000114</v>
      </c>
      <c r="P718" s="3">
        <f ca="1">'ETF price'!Q720-'ETF price'!Q719</f>
        <v>0.65000000000000568</v>
      </c>
      <c r="Q718" s="3">
        <f ca="1">'ETF price'!R720-'ETF price'!R719</f>
        <v>-0.87000000000000455</v>
      </c>
      <c r="R718" s="3">
        <f ca="1">'ETF price'!S720-'ETF price'!S719</f>
        <v>-0.40000000000000568</v>
      </c>
      <c r="S718" s="3">
        <f ca="1">'ETF price'!T720-'ETF price'!T719</f>
        <v>-0.35000000000000142</v>
      </c>
      <c r="T718" s="3">
        <f ca="1">'ETF price'!U720-'ETF price'!U719</f>
        <v>-1.5300000000000011</v>
      </c>
      <c r="U718" s="3">
        <f ca="1">'ETF price'!V720-'ETF price'!V719</f>
        <v>-1.5399999999999991</v>
      </c>
      <c r="V718" s="3">
        <f ca="1">'ETF price'!W720-'ETF price'!W719</f>
        <v>0.43999999999999773</v>
      </c>
      <c r="W718" s="3">
        <f ca="1">'ETF price'!X720-'ETF price'!X719</f>
        <v>1.0499999999999972</v>
      </c>
      <c r="X718" s="3">
        <f ca="1">'ETF price'!Y720-'ETF price'!Y719</f>
        <v>0.32000000000000028</v>
      </c>
      <c r="Y718" s="3">
        <f ca="1">'ETF price'!Z720-'ETF price'!Z719</f>
        <v>2.0600000000000023</v>
      </c>
      <c r="Z718" s="3">
        <f ca="1">'ETF price'!AA720-'ETF price'!AA719</f>
        <v>0.73999999999999488</v>
      </c>
      <c r="AA718" s="3">
        <f ca="1">'ETF price'!AB720-'ETF price'!AB719</f>
        <v>0.35000000000000853</v>
      </c>
      <c r="AB718" s="3">
        <f ca="1">'ETF price'!AC720-'ETF price'!AC719</f>
        <v>-0.12000000000000455</v>
      </c>
      <c r="AC718" s="3">
        <f ca="1">'ETF price'!AD720-'ETF price'!AD719</f>
        <v>0.14000000000000057</v>
      </c>
      <c r="AD718" s="3">
        <f ca="1">'ETF price'!AE720-'ETF price'!AE719</f>
        <v>2.9999999999997584E-2</v>
      </c>
      <c r="AE718" s="3">
        <f ca="1">'ETF price'!AF720-'ETF price'!AF719</f>
        <v>-9.0000000000000746E-2</v>
      </c>
      <c r="AF718" s="3">
        <f ca="1">'ETF price'!AG720-'ETF price'!AG719</f>
        <v>-0.48000000000000398</v>
      </c>
    </row>
    <row r="719" spans="1:32" ht="12.75" x14ac:dyDescent="0.2">
      <c r="A719" s="3">
        <f ca="1">'ETF price'!B721-'ETF price'!B720</f>
        <v>-1.3100000000000023</v>
      </c>
      <c r="B719" s="3">
        <f ca="1">'ETF price'!C721-'ETF price'!C720</f>
        <v>-2.5500000000000682</v>
      </c>
      <c r="C719" s="3">
        <f ca="1">'ETF price'!D721-'ETF price'!D720</f>
        <v>-0.51999999999998181</v>
      </c>
      <c r="D719" s="3">
        <f ca="1">'ETF price'!E721-'ETF price'!E720</f>
        <v>-5.7900000000000205</v>
      </c>
      <c r="E719" s="3">
        <f ca="1">'ETF price'!F721-'ETF price'!F720</f>
        <v>0.67000000000000171</v>
      </c>
      <c r="F719" s="3">
        <f ca="1">'ETF price'!G721-'ETF price'!G720</f>
        <v>8.00000000000054E-2</v>
      </c>
      <c r="G719" s="3">
        <f ca="1">'ETF price'!H721-'ETF price'!H720</f>
        <v>7.0000000000000284E-2</v>
      </c>
      <c r="H719" s="3">
        <f ca="1">'ETF price'!I721-'ETF price'!I720</f>
        <v>-0.87999999999999545</v>
      </c>
      <c r="I719" s="3">
        <f ca="1">'ETF price'!J721-'ETF price'!J720</f>
        <v>-1.3100000000000023</v>
      </c>
      <c r="J719" s="3">
        <f ca="1">'ETF price'!K721-'ETF price'!K720</f>
        <v>-1.1299999999999955</v>
      </c>
      <c r="K719" s="3">
        <f ca="1">'ETF price'!L721-'ETF price'!L720</f>
        <v>-0.65000000000000568</v>
      </c>
      <c r="L719" s="3">
        <f ca="1">'ETF price'!M721-'ETF price'!M720</f>
        <v>0.28999999999999204</v>
      </c>
      <c r="M719" s="3">
        <f ca="1">'ETF price'!N721-'ETF price'!N720</f>
        <v>-0.29000000000000625</v>
      </c>
      <c r="N719" s="3">
        <f ca="1">'ETF price'!O721-'ETF price'!O720</f>
        <v>0.48000000000000398</v>
      </c>
      <c r="O719" s="3">
        <f ca="1">'ETF price'!P721-'ETF price'!P720</f>
        <v>-0.5</v>
      </c>
      <c r="P719" s="3">
        <f ca="1">'ETF price'!Q721-'ETF price'!Q720</f>
        <v>1.0099999999999909</v>
      </c>
      <c r="Q719" s="3">
        <f ca="1">'ETF price'!R721-'ETF price'!R720</f>
        <v>-0.40999999999999659</v>
      </c>
      <c r="R719" s="3">
        <f ca="1">'ETF price'!S721-'ETF price'!S720</f>
        <v>-0.65999999999999659</v>
      </c>
      <c r="S719" s="3">
        <f ca="1">'ETF price'!T721-'ETF price'!T720</f>
        <v>-0.35999999999999943</v>
      </c>
      <c r="T719" s="3">
        <f ca="1">'ETF price'!U721-'ETF price'!U720</f>
        <v>-2.1899999999999977</v>
      </c>
      <c r="U719" s="3">
        <f ca="1">'ETF price'!V721-'ETF price'!V720</f>
        <v>0.10000000000000142</v>
      </c>
      <c r="V719" s="3">
        <f ca="1">'ETF price'!W721-'ETF price'!W720</f>
        <v>0.70000000000000284</v>
      </c>
      <c r="W719" s="3">
        <f ca="1">'ETF price'!X721-'ETF price'!X720</f>
        <v>2.2199999999999989</v>
      </c>
      <c r="X719" s="3">
        <f ca="1">'ETF price'!Y721-'ETF price'!Y720</f>
        <v>1.6899999999999977</v>
      </c>
      <c r="Y719" s="3">
        <f ca="1">'ETF price'!Z721-'ETF price'!Z720</f>
        <v>-0.43000000000000682</v>
      </c>
      <c r="Z719" s="3">
        <f ca="1">'ETF price'!AA721-'ETF price'!AA720</f>
        <v>-0.37999999999999545</v>
      </c>
      <c r="AA719" s="3">
        <f ca="1">'ETF price'!AB721-'ETF price'!AB720</f>
        <v>2.0099999999999909</v>
      </c>
      <c r="AB719" s="3">
        <f ca="1">'ETF price'!AC721-'ETF price'!AC720</f>
        <v>-0.12999999999999545</v>
      </c>
      <c r="AC719" s="3">
        <f ca="1">'ETF price'!AD721-'ETF price'!AD720</f>
        <v>2.6900000000000013</v>
      </c>
      <c r="AD719" s="3">
        <f ca="1">'ETF price'!AE721-'ETF price'!AE720</f>
        <v>2.8100000000000023</v>
      </c>
      <c r="AE719" s="3">
        <f ca="1">'ETF price'!AF721-'ETF price'!AF720</f>
        <v>0.69000000000000039</v>
      </c>
      <c r="AF719" s="3">
        <f ca="1">'ETF price'!AG721-'ETF price'!AG720</f>
        <v>10.879999999999995</v>
      </c>
    </row>
    <row r="720" spans="1:32" ht="12.75" x14ac:dyDescent="0.2">
      <c r="A720" s="3">
        <f ca="1">'ETF price'!B722-'ETF price'!B721</f>
        <v>0.30000000000001137</v>
      </c>
      <c r="B720" s="3">
        <f ca="1">'ETF price'!C722-'ETF price'!C721</f>
        <v>1.0900000000000318</v>
      </c>
      <c r="C720" s="3">
        <f ca="1">'ETF price'!D722-'ETF price'!D721</f>
        <v>-4.0300000000000011</v>
      </c>
      <c r="D720" s="3">
        <f ca="1">'ETF price'!E722-'ETF price'!E721</f>
        <v>-2.4599999999999795</v>
      </c>
      <c r="E720" s="3">
        <f ca="1">'ETF price'!F722-'ETF price'!F721</f>
        <v>1.0000000000005116E-2</v>
      </c>
      <c r="F720" s="3">
        <f ca="1">'ETF price'!G722-'ETF price'!G721</f>
        <v>-0.53000000000000114</v>
      </c>
      <c r="G720" s="3">
        <f ca="1">'ETF price'!H722-'ETF price'!H721</f>
        <v>-0.28999999999999915</v>
      </c>
      <c r="H720" s="3">
        <f ca="1">'ETF price'!I722-'ETF price'!I721</f>
        <v>-2.0800000000000125</v>
      </c>
      <c r="I720" s="3">
        <f ca="1">'ETF price'!J722-'ETF price'!J721</f>
        <v>-4.0100000000000477</v>
      </c>
      <c r="J720" s="3">
        <f ca="1">'ETF price'!K722-'ETF price'!K721</f>
        <v>-3.3599999999999852</v>
      </c>
      <c r="K720" s="3">
        <f ca="1">'ETF price'!L722-'ETF price'!L721</f>
        <v>-3.019999999999996</v>
      </c>
      <c r="L720" s="3">
        <f ca="1">'ETF price'!M722-'ETF price'!M721</f>
        <v>-1.25</v>
      </c>
      <c r="M720" s="3">
        <f ca="1">'ETF price'!N722-'ETF price'!N721</f>
        <v>-1.0300000000000011</v>
      </c>
      <c r="N720" s="3">
        <f ca="1">'ETF price'!O722-'ETF price'!O721</f>
        <v>-1.2800000000000011</v>
      </c>
      <c r="O720" s="3">
        <f ca="1">'ETF price'!P722-'ETF price'!P721</f>
        <v>0.73000000000000398</v>
      </c>
      <c r="P720" s="3">
        <f ca="1">'ETF price'!Q722-'ETF price'!Q721</f>
        <v>-0.81999999999999318</v>
      </c>
      <c r="Q720" s="3">
        <f ca="1">'ETF price'!R722-'ETF price'!R721</f>
        <v>-1.6000000000000085</v>
      </c>
      <c r="R720" s="3">
        <f ca="1">'ETF price'!S722-'ETF price'!S721</f>
        <v>-1.730000000000004</v>
      </c>
      <c r="S720" s="3">
        <f ca="1">'ETF price'!T722-'ETF price'!T721</f>
        <v>-0.12000000000000099</v>
      </c>
      <c r="T720" s="3">
        <f ca="1">'ETF price'!U722-'ETF price'!U721</f>
        <v>-0.25</v>
      </c>
      <c r="U720" s="3">
        <f ca="1">'ETF price'!V722-'ETF price'!V721</f>
        <v>-1.4200000000000017</v>
      </c>
      <c r="V720" s="3">
        <f ca="1">'ETF price'!W722-'ETF price'!W721</f>
        <v>-0.14999999999999858</v>
      </c>
      <c r="W720" s="3">
        <f ca="1">'ETF price'!X722-'ETF price'!X721</f>
        <v>-0.39000000000000057</v>
      </c>
      <c r="X720" s="3">
        <f ca="1">'ETF price'!Y722-'ETF price'!Y721</f>
        <v>-0.35999999999999943</v>
      </c>
      <c r="Y720" s="3">
        <f ca="1">'ETF price'!Z722-'ETF price'!Z721</f>
        <v>-1.9999999999996021E-2</v>
      </c>
      <c r="Z720" s="3">
        <f ca="1">'ETF price'!AA722-'ETF price'!AA721</f>
        <v>-0.55000000000000426</v>
      </c>
      <c r="AA720" s="3">
        <f ca="1">'ETF price'!AB722-'ETF price'!AB721</f>
        <v>-0.39000000000000057</v>
      </c>
      <c r="AB720" s="3">
        <f ca="1">'ETF price'!AC722-'ETF price'!AC721</f>
        <v>0.48999999999999488</v>
      </c>
      <c r="AC720" s="3">
        <f ca="1">'ETF price'!AD722-'ETF price'!AD721</f>
        <v>1.9999999999999574E-2</v>
      </c>
      <c r="AD720" s="3">
        <f ca="1">'ETF price'!AE722-'ETF price'!AE721</f>
        <v>0.67999999999999972</v>
      </c>
      <c r="AE720" s="3">
        <f ca="1">'ETF price'!AF722-'ETF price'!AF721</f>
        <v>0.25</v>
      </c>
      <c r="AF720" s="3">
        <f ca="1">'ETF price'!AG722-'ETF price'!AG721</f>
        <v>-1.1199999999999903</v>
      </c>
    </row>
    <row r="721" spans="1:32" ht="12.75" x14ac:dyDescent="0.2">
      <c r="A721" s="3">
        <f ca="1">'ETF price'!B723-'ETF price'!B722</f>
        <v>-0.81999999999999318</v>
      </c>
      <c r="B721" s="3">
        <f ca="1">'ETF price'!C723-'ETF price'!C722</f>
        <v>-2.5099999999999909</v>
      </c>
      <c r="C721" s="3">
        <f ca="1">'ETF price'!D723-'ETF price'!D722</f>
        <v>0.66999999999998749</v>
      </c>
      <c r="D721" s="3">
        <f ca="1">'ETF price'!E723-'ETF price'!E722</f>
        <v>-4.7400000000000091</v>
      </c>
      <c r="E721" s="3">
        <f ca="1">'ETF price'!F723-'ETF price'!F722</f>
        <v>-0.18999999999999773</v>
      </c>
      <c r="F721" s="3">
        <f ca="1">'ETF price'!G723-'ETF price'!G722</f>
        <v>-0.34000000000000341</v>
      </c>
      <c r="G721" s="3">
        <f ca="1">'ETF price'!H723-'ETF price'!H722</f>
        <v>-0.17999999999999972</v>
      </c>
      <c r="H721" s="3">
        <f ca="1">'ETF price'!I723-'ETF price'!I722</f>
        <v>-0.38999999999998636</v>
      </c>
      <c r="I721" s="3">
        <f ca="1">'ETF price'!J723-'ETF price'!J722</f>
        <v>-0.8599999999999568</v>
      </c>
      <c r="J721" s="3">
        <f ca="1">'ETF price'!K723-'ETF price'!K722</f>
        <v>-0.56000000000000227</v>
      </c>
      <c r="K721" s="3">
        <f ca="1">'ETF price'!L723-'ETF price'!L722</f>
        <v>-0.5</v>
      </c>
      <c r="L721" s="3">
        <f ca="1">'ETF price'!M723-'ETF price'!M722</f>
        <v>0.21000000000000796</v>
      </c>
      <c r="M721" s="3">
        <f ca="1">'ETF price'!N723-'ETF price'!N722</f>
        <v>-0.26999999999999602</v>
      </c>
      <c r="N721" s="3">
        <f ca="1">'ETF price'!O723-'ETF price'!O722</f>
        <v>0.11999999999999744</v>
      </c>
      <c r="O721" s="3">
        <f ca="1">'ETF price'!P723-'ETF price'!P722</f>
        <v>0.35999999999999943</v>
      </c>
      <c r="P721" s="3">
        <f ca="1">'ETF price'!Q723-'ETF price'!Q722</f>
        <v>0.6799999999999784</v>
      </c>
      <c r="Q721" s="3">
        <f ca="1">'ETF price'!R723-'ETF price'!R722</f>
        <v>0.22000000000001307</v>
      </c>
      <c r="R721" s="3">
        <f ca="1">'ETF price'!S723-'ETF price'!S722</f>
        <v>-1.0499999999999972</v>
      </c>
      <c r="S721" s="3">
        <f ca="1">'ETF price'!T723-'ETF price'!T722</f>
        <v>-7.0000000000000284E-2</v>
      </c>
      <c r="T721" s="3">
        <f ca="1">'ETF price'!U723-'ETF price'!U722</f>
        <v>4.0000000000006253E-2</v>
      </c>
      <c r="U721" s="3">
        <f ca="1">'ETF price'!V723-'ETF price'!V722</f>
        <v>0.12000000000000455</v>
      </c>
      <c r="V721" s="3">
        <f ca="1">'ETF price'!W723-'ETF price'!W722</f>
        <v>3.0000000000001137E-2</v>
      </c>
      <c r="W721" s="3">
        <f ca="1">'ETF price'!X723-'ETF price'!X722</f>
        <v>-0.28000000000000114</v>
      </c>
      <c r="X721" s="3">
        <f ca="1">'ETF price'!Y723-'ETF price'!Y722</f>
        <v>-0.45000000000000284</v>
      </c>
      <c r="Y721" s="3">
        <f ca="1">'ETF price'!Z723-'ETF price'!Z722</f>
        <v>-0.24000000000000909</v>
      </c>
      <c r="Z721" s="3">
        <f ca="1">'ETF price'!AA723-'ETF price'!AA722</f>
        <v>0.34000000000000341</v>
      </c>
      <c r="AA721" s="3">
        <f ca="1">'ETF price'!AB723-'ETF price'!AB722</f>
        <v>-0.40999999999999659</v>
      </c>
      <c r="AB721" s="3">
        <f ca="1">'ETF price'!AC723-'ETF price'!AC722</f>
        <v>0.20000000000000284</v>
      </c>
      <c r="AC721" s="3">
        <f ca="1">'ETF price'!AD723-'ETF price'!AD722</f>
        <v>-0.44000000000000128</v>
      </c>
      <c r="AD721" s="3">
        <f ca="1">'ETF price'!AE723-'ETF price'!AE722</f>
        <v>0</v>
      </c>
      <c r="AE721" s="3">
        <f ca="1">'ETF price'!AF723-'ETF price'!AF722</f>
        <v>0.33000000000000007</v>
      </c>
      <c r="AF721" s="3">
        <f ca="1">'ETF price'!AG723-'ETF price'!AG722</f>
        <v>-7.0700000000000074</v>
      </c>
    </row>
    <row r="722" spans="1:32" ht="12.75" x14ac:dyDescent="0.2">
      <c r="A722" s="3">
        <f ca="1">'ETF price'!B724-'ETF price'!B723</f>
        <v>-0.80000000000001137</v>
      </c>
      <c r="B722" s="3">
        <f ca="1">'ETF price'!C724-'ETF price'!C723</f>
        <v>-2.5199999999999818</v>
      </c>
      <c r="C722" s="3">
        <f ca="1">'ETF price'!D724-'ETF price'!D723</f>
        <v>1.9499999999999886</v>
      </c>
      <c r="D722" s="3">
        <f ca="1">'ETF price'!E724-'ETF price'!E723</f>
        <v>-0.12999999999999545</v>
      </c>
      <c r="E722" s="3">
        <f ca="1">'ETF price'!F724-'ETF price'!F723</f>
        <v>-2.0500000000000114</v>
      </c>
      <c r="F722" s="3">
        <f ca="1">'ETF price'!G724-'ETF price'!G723</f>
        <v>-0.34999999999999432</v>
      </c>
      <c r="G722" s="3">
        <f ca="1">'ETF price'!H724-'ETF price'!H723</f>
        <v>-0.39000000000000057</v>
      </c>
      <c r="H722" s="3">
        <f ca="1">'ETF price'!I724-'ETF price'!I723</f>
        <v>-2.3100000000000023</v>
      </c>
      <c r="I722" s="3">
        <f ca="1">'ETF price'!J724-'ETF price'!J723</f>
        <v>-4.7200000000000273</v>
      </c>
      <c r="J722" s="3">
        <f ca="1">'ETF price'!K724-'ETF price'!K723</f>
        <v>-3.710000000000008</v>
      </c>
      <c r="K722" s="3">
        <f ca="1">'ETF price'!L724-'ETF price'!L723</f>
        <v>-3.0500000000000114</v>
      </c>
      <c r="L722" s="3">
        <f ca="1">'ETF price'!M724-'ETF price'!M723</f>
        <v>-2.3400000000000034</v>
      </c>
      <c r="M722" s="3">
        <f ca="1">'ETF price'!N724-'ETF price'!N723</f>
        <v>-1.1700000000000017</v>
      </c>
      <c r="N722" s="3">
        <f ca="1">'ETF price'!O724-'ETF price'!O723</f>
        <v>-1.6000000000000014</v>
      </c>
      <c r="O722" s="3">
        <f ca="1">'ETF price'!P724-'ETF price'!P723</f>
        <v>-0.14000000000000057</v>
      </c>
      <c r="P722" s="3">
        <f ca="1">'ETF price'!Q724-'ETF price'!Q723</f>
        <v>0.55000000000001137</v>
      </c>
      <c r="Q722" s="3">
        <f ca="1">'ETF price'!R724-'ETF price'!R723</f>
        <v>-0.76000000000000512</v>
      </c>
      <c r="R722" s="3">
        <f ca="1">'ETF price'!S724-'ETF price'!S723</f>
        <v>-0.73000000000000398</v>
      </c>
      <c r="S722" s="3">
        <f ca="1">'ETF price'!T724-'ETF price'!T723</f>
        <v>-1.9999999999999574E-2</v>
      </c>
      <c r="T722" s="3">
        <f ca="1">'ETF price'!U724-'ETF price'!U723</f>
        <v>0.56000000000000227</v>
      </c>
      <c r="U722" s="3">
        <f ca="1">'ETF price'!V724-'ETF price'!V723</f>
        <v>0.72999999999999687</v>
      </c>
      <c r="V722" s="3">
        <f ca="1">'ETF price'!W724-'ETF price'!W723</f>
        <v>-0.13000000000000256</v>
      </c>
      <c r="W722" s="3">
        <f ca="1">'ETF price'!X724-'ETF price'!X723</f>
        <v>-0.37999999999999545</v>
      </c>
      <c r="X722" s="3">
        <f ca="1">'ETF price'!Y724-'ETF price'!Y723</f>
        <v>-0.49000000000000199</v>
      </c>
      <c r="Y722" s="3">
        <f ca="1">'ETF price'!Z724-'ETF price'!Z723</f>
        <v>0.5</v>
      </c>
      <c r="Z722" s="3">
        <f ca="1">'ETF price'!AA724-'ETF price'!AA723</f>
        <v>-0.39000000000000057</v>
      </c>
      <c r="AA722" s="3">
        <f ca="1">'ETF price'!AB724-'ETF price'!AB723</f>
        <v>-0.35999999999999943</v>
      </c>
      <c r="AB722" s="3">
        <f ca="1">'ETF price'!AC724-'ETF price'!AC723</f>
        <v>-0.34000000000000341</v>
      </c>
      <c r="AC722" s="3">
        <f ca="1">'ETF price'!AD724-'ETF price'!AD723</f>
        <v>-0.5</v>
      </c>
      <c r="AD722" s="3">
        <f ca="1">'ETF price'!AE724-'ETF price'!AE723</f>
        <v>-0.61000000000000298</v>
      </c>
      <c r="AE722" s="3">
        <f ca="1">'ETF price'!AF724-'ETF price'!AF723</f>
        <v>0.66999999999999993</v>
      </c>
      <c r="AF722" s="3">
        <f ca="1">'ETF price'!AG724-'ETF price'!AG723</f>
        <v>-2.6400000000000006</v>
      </c>
    </row>
    <row r="723" spans="1:32" ht="12.75" x14ac:dyDescent="0.2">
      <c r="A723" s="3">
        <f ca="1">'ETF price'!B725-'ETF price'!B724</f>
        <v>-5.8199999999999932</v>
      </c>
      <c r="B723" s="3">
        <f ca="1">'ETF price'!C725-'ETF price'!C724</f>
        <v>-15.029999999999973</v>
      </c>
      <c r="C723" s="3">
        <f ca="1">'ETF price'!D725-'ETF price'!D724</f>
        <v>-0.22999999999998977</v>
      </c>
      <c r="D723" s="3">
        <f ca="1">'ETF price'!E725-'ETF price'!E724</f>
        <v>-7.0300000000000011</v>
      </c>
      <c r="E723" s="3">
        <f ca="1">'ETF price'!F725-'ETF price'!F724</f>
        <v>-1.6499999999999915</v>
      </c>
      <c r="F723" s="3">
        <f ca="1">'ETF price'!G725-'ETF price'!G724</f>
        <v>-0.48000000000000398</v>
      </c>
      <c r="G723" s="3">
        <f ca="1">'ETF price'!H725-'ETF price'!H724</f>
        <v>-0.48000000000000043</v>
      </c>
      <c r="H723" s="3">
        <f ca="1">'ETF price'!I725-'ETF price'!I724</f>
        <v>-2.6800000000000068</v>
      </c>
      <c r="I723" s="3">
        <f ca="1">'ETF price'!J725-'ETF price'!J724</f>
        <v>-5.8000000000000114</v>
      </c>
      <c r="J723" s="3">
        <f ca="1">'ETF price'!K725-'ETF price'!K724</f>
        <v>-6.710000000000008</v>
      </c>
      <c r="K723" s="3">
        <f ca="1">'ETF price'!L725-'ETF price'!L724</f>
        <v>-5.1299999999999955</v>
      </c>
      <c r="L723" s="3">
        <f ca="1">'ETF price'!M725-'ETF price'!M724</f>
        <v>-2.7800000000000011</v>
      </c>
      <c r="M723" s="3">
        <f ca="1">'ETF price'!N725-'ETF price'!N724</f>
        <v>-1.5</v>
      </c>
      <c r="N723" s="3">
        <f ca="1">'ETF price'!O725-'ETF price'!O724</f>
        <v>-2.1999999999999957</v>
      </c>
      <c r="O723" s="3">
        <f ca="1">'ETF price'!P725-'ETF price'!P724</f>
        <v>1.2599999999999909</v>
      </c>
      <c r="P723" s="3">
        <f ca="1">'ETF price'!Q725-'ETF price'!Q724</f>
        <v>-0.62999999999999545</v>
      </c>
      <c r="Q723" s="3">
        <f ca="1">'ETF price'!R725-'ETF price'!R724</f>
        <v>-0.64000000000000057</v>
      </c>
      <c r="R723" s="3">
        <f ca="1">'ETF price'!S725-'ETF price'!S724</f>
        <v>-4.9999999999997158E-2</v>
      </c>
      <c r="S723" s="3">
        <f ca="1">'ETF price'!T725-'ETF price'!T724</f>
        <v>-0.10999999999999943</v>
      </c>
      <c r="T723" s="3">
        <f ca="1">'ETF price'!U725-'ETF price'!U724</f>
        <v>-1.5400000000000063</v>
      </c>
      <c r="U723" s="3">
        <f ca="1">'ETF price'!V725-'ETF price'!V724</f>
        <v>-1.259999999999998</v>
      </c>
      <c r="V723" s="3">
        <f ca="1">'ETF price'!W725-'ETF price'!W724</f>
        <v>0.22999999999999687</v>
      </c>
      <c r="W723" s="3">
        <f ca="1">'ETF price'!X725-'ETF price'!X724</f>
        <v>0.56000000000000227</v>
      </c>
      <c r="X723" s="3">
        <f ca="1">'ETF price'!Y725-'ETF price'!Y724</f>
        <v>5.0000000000004263E-2</v>
      </c>
      <c r="Y723" s="3">
        <f ca="1">'ETF price'!Z725-'ETF price'!Z724</f>
        <v>0.47000000000001307</v>
      </c>
      <c r="Z723" s="3">
        <f ca="1">'ETF price'!AA725-'ETF price'!AA724</f>
        <v>4.9999999999997158E-2</v>
      </c>
      <c r="AA723" s="3">
        <f ca="1">'ETF price'!AB725-'ETF price'!AB724</f>
        <v>1.0000000000005116E-2</v>
      </c>
      <c r="AB723" s="3">
        <f ca="1">'ETF price'!AC725-'ETF price'!AC724</f>
        <v>-0.37999999999999545</v>
      </c>
      <c r="AC723" s="3">
        <f ca="1">'ETF price'!AD725-'ETF price'!AD724</f>
        <v>0.44000000000000128</v>
      </c>
      <c r="AD723" s="3">
        <f ca="1">'ETF price'!AE725-'ETF price'!AE724</f>
        <v>1.0800000000000018</v>
      </c>
      <c r="AE723" s="3">
        <f ca="1">'ETF price'!AF725-'ETF price'!AF724</f>
        <v>0.89000000000000057</v>
      </c>
      <c r="AF723" s="3">
        <f ca="1">'ETF price'!AG725-'ETF price'!AG724</f>
        <v>1.8800000000000097</v>
      </c>
    </row>
    <row r="724" spans="1:32" ht="12.75" x14ac:dyDescent="0.2">
      <c r="A724" s="3">
        <f ca="1">'ETF price'!B726-'ETF price'!B725</f>
        <v>0.73999999999998067</v>
      </c>
      <c r="B724" s="3">
        <f ca="1">'ETF price'!C726-'ETF price'!C725</f>
        <v>1.7699999999999818</v>
      </c>
      <c r="C724" s="3">
        <f ca="1">'ETF price'!D726-'ETF price'!D725</f>
        <v>1.0600000000000023</v>
      </c>
      <c r="D724" s="3">
        <f ca="1">'ETF price'!E726-'ETF price'!E725</f>
        <v>2.7299999999999898</v>
      </c>
      <c r="E724" s="3">
        <f ca="1">'ETF price'!F726-'ETF price'!F725</f>
        <v>-0.29999999999999716</v>
      </c>
      <c r="F724" s="3">
        <f ca="1">'ETF price'!G726-'ETF price'!G725</f>
        <v>0.10999999999999943</v>
      </c>
      <c r="G724" s="3">
        <f ca="1">'ETF price'!H726-'ETF price'!H725</f>
        <v>0.12000000000000099</v>
      </c>
      <c r="H724" s="3">
        <f ca="1">'ETF price'!I726-'ETF price'!I725</f>
        <v>9.9999999999994316E-2</v>
      </c>
      <c r="I724" s="3">
        <f ca="1">'ETF price'!J726-'ETF price'!J725</f>
        <v>9.9999999999909051E-3</v>
      </c>
      <c r="J724" s="3">
        <f ca="1">'ETF price'!K726-'ETF price'!K725</f>
        <v>-0.34000000000000341</v>
      </c>
      <c r="K724" s="3">
        <f ca="1">'ETF price'!L726-'ETF price'!L725</f>
        <v>0.12999999999999545</v>
      </c>
      <c r="L724" s="3">
        <f ca="1">'ETF price'!M726-'ETF price'!M725</f>
        <v>-0.14999999999999147</v>
      </c>
      <c r="M724" s="3">
        <f ca="1">'ETF price'!N726-'ETF price'!N725</f>
        <v>2.0000000000010232E-2</v>
      </c>
      <c r="N724" s="3">
        <f ca="1">'ETF price'!O726-'ETF price'!O725</f>
        <v>-0.12000000000000455</v>
      </c>
      <c r="O724" s="3">
        <f ca="1">'ETF price'!P726-'ETF price'!P725</f>
        <v>-0.60999999999999943</v>
      </c>
      <c r="P724" s="3">
        <f ca="1">'ETF price'!Q726-'ETF price'!Q725</f>
        <v>1.8700000000000045</v>
      </c>
      <c r="Q724" s="3">
        <f ca="1">'ETF price'!R726-'ETF price'!R725</f>
        <v>0.70999999999999375</v>
      </c>
      <c r="R724" s="3">
        <f ca="1">'ETF price'!S726-'ETF price'!S725</f>
        <v>1.3500000000000085</v>
      </c>
      <c r="S724" s="3">
        <f ca="1">'ETF price'!T726-'ETF price'!T725</f>
        <v>0.5</v>
      </c>
      <c r="T724" s="3">
        <f ca="1">'ETF price'!U726-'ETF price'!U725</f>
        <v>2.3199999999999932</v>
      </c>
      <c r="U724" s="3">
        <f ca="1">'ETF price'!V726-'ETF price'!V725</f>
        <v>0.21000000000000085</v>
      </c>
      <c r="V724" s="3">
        <f ca="1">'ETF price'!W726-'ETF price'!W725</f>
        <v>0.15000000000000568</v>
      </c>
      <c r="W724" s="3">
        <f ca="1">'ETF price'!X726-'ETF price'!X725</f>
        <v>0.42000000000000171</v>
      </c>
      <c r="X724" s="3">
        <f ca="1">'ETF price'!Y726-'ETF price'!Y725</f>
        <v>-9.0000000000003411E-2</v>
      </c>
      <c r="Y724" s="3">
        <f ca="1">'ETF price'!Z726-'ETF price'!Z725</f>
        <v>-0.78000000000000114</v>
      </c>
      <c r="Z724" s="3">
        <f ca="1">'ETF price'!AA726-'ETF price'!AA725</f>
        <v>0.38000000000000256</v>
      </c>
      <c r="AA724" s="3">
        <f ca="1">'ETF price'!AB726-'ETF price'!AB725</f>
        <v>-0.12000000000000455</v>
      </c>
      <c r="AB724" s="3">
        <f ca="1">'ETF price'!AC726-'ETF price'!AC725</f>
        <v>1</v>
      </c>
      <c r="AC724" s="3">
        <f ca="1">'ETF price'!AD726-'ETF price'!AD725</f>
        <v>0.23000000000000043</v>
      </c>
      <c r="AD724" s="3">
        <f ca="1">'ETF price'!AE726-'ETF price'!AE725</f>
        <v>1.0000000000001563E-2</v>
      </c>
      <c r="AE724" s="3">
        <f ca="1">'ETF price'!AF726-'ETF price'!AF725</f>
        <v>-0.5600000000000005</v>
      </c>
      <c r="AF724" s="3">
        <f ca="1">'ETF price'!AG726-'ETF price'!AG725</f>
        <v>-0.41000000000000369</v>
      </c>
    </row>
    <row r="725" spans="1:32" ht="12.75" x14ac:dyDescent="0.2">
      <c r="A725" s="3">
        <f ca="1">'ETF price'!B727-'ETF price'!B726</f>
        <v>1.8800000000000239</v>
      </c>
      <c r="B725" s="3">
        <f ca="1">'ETF price'!C727-'ETF price'!C726</f>
        <v>7.4499999999999318</v>
      </c>
      <c r="C725" s="3">
        <f ca="1">'ETF price'!D727-'ETF price'!D726</f>
        <v>8.0000000000012506E-2</v>
      </c>
      <c r="D725" s="3">
        <f ca="1">'ETF price'!E727-'ETF price'!E726</f>
        <v>0.40999999999999659</v>
      </c>
      <c r="E725" s="3">
        <f ca="1">'ETF price'!F727-'ETF price'!F726</f>
        <v>0.45999999999999375</v>
      </c>
      <c r="F725" s="3">
        <f ca="1">'ETF price'!G727-'ETF price'!G726</f>
        <v>0.60000000000000142</v>
      </c>
      <c r="G725" s="3">
        <f ca="1">'ETF price'!H727-'ETF price'!H726</f>
        <v>7.0000000000000284E-2</v>
      </c>
      <c r="H725" s="3">
        <f ca="1">'ETF price'!I727-'ETF price'!I726</f>
        <v>-0.72999999999998977</v>
      </c>
      <c r="I725" s="3">
        <f ca="1">'ETF price'!J727-'ETF price'!J726</f>
        <v>-0.52999999999997272</v>
      </c>
      <c r="J725" s="3">
        <f ca="1">'ETF price'!K727-'ETF price'!K726</f>
        <v>0.34999999999999432</v>
      </c>
      <c r="K725" s="3">
        <f ca="1">'ETF price'!L727-'ETF price'!L726</f>
        <v>1.210000000000008</v>
      </c>
      <c r="L725" s="3">
        <f ca="1">'ETF price'!M727-'ETF price'!M726</f>
        <v>0.65999999999999659</v>
      </c>
      <c r="M725" s="3">
        <f ca="1">'ETF price'!N727-'ETF price'!N726</f>
        <v>-0.24000000000000909</v>
      </c>
      <c r="N725" s="3">
        <f ca="1">'ETF price'!O727-'ETF price'!O726</f>
        <v>0.56000000000000227</v>
      </c>
      <c r="O725" s="3">
        <f ca="1">'ETF price'!P727-'ETF price'!P726</f>
        <v>0.96000000000000796</v>
      </c>
      <c r="P725" s="3">
        <f ca="1">'ETF price'!Q727-'ETF price'!Q726</f>
        <v>-0.62999999999999545</v>
      </c>
      <c r="Q725" s="3">
        <f ca="1">'ETF price'!R727-'ETF price'!R726</f>
        <v>-0.29999999999999716</v>
      </c>
      <c r="R725" s="3">
        <f ca="1">'ETF price'!S727-'ETF price'!S726</f>
        <v>0.5899999999999892</v>
      </c>
      <c r="S725" s="3">
        <f ca="1">'ETF price'!T727-'ETF price'!T726</f>
        <v>7.0000000000000284E-2</v>
      </c>
      <c r="T725" s="3">
        <f ca="1">'ETF price'!U727-'ETF price'!U726</f>
        <v>0.24000000000000909</v>
      </c>
      <c r="U725" s="3">
        <f ca="1">'ETF price'!V727-'ETF price'!V726</f>
        <v>-0.51000000000000512</v>
      </c>
      <c r="V725" s="3">
        <f ca="1">'ETF price'!W727-'ETF price'!W726</f>
        <v>-0.3300000000000054</v>
      </c>
      <c r="W725" s="3">
        <f ca="1">'ETF price'!X727-'ETF price'!X726</f>
        <v>-0.57000000000000739</v>
      </c>
      <c r="X725" s="3">
        <f ca="1">'ETF price'!Y727-'ETF price'!Y726</f>
        <v>-0.27999999999999403</v>
      </c>
      <c r="Y725" s="3">
        <f ca="1">'ETF price'!Z727-'ETF price'!Z726</f>
        <v>-0.17000000000000171</v>
      </c>
      <c r="Z725" s="3">
        <f ca="1">'ETF price'!AA727-'ETF price'!AA726</f>
        <v>0.17999999999999972</v>
      </c>
      <c r="AA725" s="3">
        <f ca="1">'ETF price'!AB727-'ETF price'!AB726</f>
        <v>-0.37999999999999545</v>
      </c>
      <c r="AB725" s="3">
        <f ca="1">'ETF price'!AC727-'ETF price'!AC726</f>
        <v>0.98999999999999488</v>
      </c>
      <c r="AC725" s="3">
        <f ca="1">'ETF price'!AD727-'ETF price'!AD726</f>
        <v>-7.0000000000000284E-2</v>
      </c>
      <c r="AD725" s="3">
        <f ca="1">'ETF price'!AE727-'ETF price'!AE726</f>
        <v>0.27999999999999758</v>
      </c>
      <c r="AE725" s="3">
        <f ca="1">'ETF price'!AF727-'ETF price'!AF726</f>
        <v>-0.19000000000000039</v>
      </c>
      <c r="AF725" s="3">
        <f ca="1">'ETF price'!AG727-'ETF price'!AG726</f>
        <v>2.5399999999999991</v>
      </c>
    </row>
    <row r="726" spans="1:32" ht="12.75" x14ac:dyDescent="0.2">
      <c r="A726" s="3">
        <f ca="1">'ETF price'!B728-'ETF price'!B727</f>
        <v>-0.20000000000001705</v>
      </c>
      <c r="B726" s="3">
        <f ca="1">'ETF price'!C728-'ETF price'!C727</f>
        <v>0.65000000000009095</v>
      </c>
      <c r="C726" s="3">
        <f ca="1">'ETF price'!D728-'ETF price'!D727</f>
        <v>1.999999999998181E-2</v>
      </c>
      <c r="D726" s="3">
        <f ca="1">'ETF price'!E728-'ETF price'!E727</f>
        <v>-1.6399999999999864</v>
      </c>
      <c r="E726" s="3">
        <f ca="1">'ETF price'!F728-'ETF price'!F727</f>
        <v>0.34000000000000341</v>
      </c>
      <c r="F726" s="3">
        <f ca="1">'ETF price'!G728-'ETF price'!G727</f>
        <v>-0.10000000000000142</v>
      </c>
      <c r="G726" s="3">
        <f ca="1">'ETF price'!H728-'ETF price'!H727</f>
        <v>0.25999999999999801</v>
      </c>
      <c r="H726" s="3">
        <f ca="1">'ETF price'!I728-'ETF price'!I727</f>
        <v>1.6699999999999875</v>
      </c>
      <c r="I726" s="3">
        <f ca="1">'ETF price'!J728-'ETF price'!J727</f>
        <v>2.7599999999999909</v>
      </c>
      <c r="J726" s="3">
        <f ca="1">'ETF price'!K728-'ETF price'!K727</f>
        <v>1.4500000000000171</v>
      </c>
      <c r="K726" s="3">
        <f ca="1">'ETF price'!L728-'ETF price'!L727</f>
        <v>0.84000000000000341</v>
      </c>
      <c r="L726" s="3">
        <f ca="1">'ETF price'!M728-'ETF price'!M727</f>
        <v>1.0499999999999972</v>
      </c>
      <c r="M726" s="3">
        <f ca="1">'ETF price'!N728-'ETF price'!N727</f>
        <v>0.85000000000000853</v>
      </c>
      <c r="N726" s="3">
        <f ca="1">'ETF price'!O728-'ETF price'!O727</f>
        <v>0.24000000000000199</v>
      </c>
      <c r="O726" s="3">
        <f ca="1">'ETF price'!P728-'ETF price'!P727</f>
        <v>0.78000000000000114</v>
      </c>
      <c r="P726" s="3">
        <f ca="1">'ETF price'!Q728-'ETF price'!Q727</f>
        <v>1.4299999999999784</v>
      </c>
      <c r="Q726" s="3">
        <f ca="1">'ETF price'!R728-'ETF price'!R727</f>
        <v>0.75</v>
      </c>
      <c r="R726" s="3">
        <f ca="1">'ETF price'!S728-'ETF price'!S727</f>
        <v>0.12000000000000455</v>
      </c>
      <c r="S726" s="3">
        <f ca="1">'ETF price'!T728-'ETF price'!T727</f>
        <v>-1.0000000000001563E-2</v>
      </c>
      <c r="T726" s="3">
        <f ca="1">'ETF price'!U728-'ETF price'!U727</f>
        <v>-0.29000000000000625</v>
      </c>
      <c r="U726" s="3">
        <f ca="1">'ETF price'!V728-'ETF price'!V727</f>
        <v>0.64000000000000057</v>
      </c>
      <c r="V726" s="3">
        <f ca="1">'ETF price'!W728-'ETF price'!W727</f>
        <v>-0.14999999999999858</v>
      </c>
      <c r="W726" s="3">
        <f ca="1">'ETF price'!X728-'ETF price'!X727</f>
        <v>-0.37000000000000455</v>
      </c>
      <c r="X726" s="3">
        <f ca="1">'ETF price'!Y728-'ETF price'!Y727</f>
        <v>-0.22000000000000597</v>
      </c>
      <c r="Y726" s="3">
        <f ca="1">'ETF price'!Z728-'ETF price'!Z727</f>
        <v>1.5600000000000023</v>
      </c>
      <c r="Z726" s="3">
        <f ca="1">'ETF price'!AA728-'ETF price'!AA727</f>
        <v>-7.0000000000000284E-2</v>
      </c>
      <c r="AA726" s="3">
        <f ca="1">'ETF price'!AB728-'ETF price'!AB727</f>
        <v>-0.18000000000000682</v>
      </c>
      <c r="AB726" s="3">
        <f ca="1">'ETF price'!AC728-'ETF price'!AC727</f>
        <v>0.63000000000000966</v>
      </c>
      <c r="AC726" s="3">
        <f ca="1">'ETF price'!AD728-'ETF price'!AD727</f>
        <v>0.12999999999999901</v>
      </c>
      <c r="AD726" s="3">
        <f ca="1">'ETF price'!AE728-'ETF price'!AE727</f>
        <v>0.47000000000000242</v>
      </c>
      <c r="AE726" s="3">
        <f ca="1">'ETF price'!AF728-'ETF price'!AF727</f>
        <v>-0.38999999999999968</v>
      </c>
      <c r="AF726" s="3">
        <f ca="1">'ETF price'!AG728-'ETF price'!AG727</f>
        <v>0.20999999999999375</v>
      </c>
    </row>
    <row r="727" spans="1:32" ht="12.75" x14ac:dyDescent="0.2">
      <c r="A727" s="3">
        <f ca="1">'ETF price'!B729-'ETF price'!B728</f>
        <v>2.3499999999999943</v>
      </c>
      <c r="B727" s="3">
        <f ca="1">'ETF price'!C729-'ETF price'!C728</f>
        <v>6.4599999999999227</v>
      </c>
      <c r="C727" s="3">
        <f ca="1">'ETF price'!D729-'ETF price'!D728</f>
        <v>0.77000000000001023</v>
      </c>
      <c r="D727" s="3">
        <f ca="1">'ETF price'!E729-'ETF price'!E728</f>
        <v>3.3700000000000045</v>
      </c>
      <c r="E727" s="3">
        <f ca="1">'ETF price'!F729-'ETF price'!F728</f>
        <v>1.7999999999999972</v>
      </c>
      <c r="F727" s="3">
        <f ca="1">'ETF price'!G729-'ETF price'!G728</f>
        <v>0.46999999999999886</v>
      </c>
      <c r="G727" s="3">
        <f ca="1">'ETF price'!H729-'ETF price'!H728</f>
        <v>0.44000000000000128</v>
      </c>
      <c r="H727" s="3">
        <f ca="1">'ETF price'!I729-'ETF price'!I728</f>
        <v>1.1500000000000057</v>
      </c>
      <c r="I727" s="3">
        <f ca="1">'ETF price'!J729-'ETF price'!J728</f>
        <v>2.3600000000000136</v>
      </c>
      <c r="J727" s="3">
        <f ca="1">'ETF price'!K729-'ETF price'!K728</f>
        <v>1.2599999999999909</v>
      </c>
      <c r="K727" s="3">
        <f ca="1">'ETF price'!L729-'ETF price'!L728</f>
        <v>0.28999999999999204</v>
      </c>
      <c r="L727" s="3">
        <f ca="1">'ETF price'!M729-'ETF price'!M728</f>
        <v>0.92000000000000171</v>
      </c>
      <c r="M727" s="3">
        <f ca="1">'ETF price'!N729-'ETF price'!N728</f>
        <v>0.55999999999998806</v>
      </c>
      <c r="N727" s="3">
        <f ca="1">'ETF price'!O729-'ETF price'!O728</f>
        <v>3.9999999999999147E-2</v>
      </c>
      <c r="O727" s="3">
        <f ca="1">'ETF price'!P729-'ETF price'!P728</f>
        <v>0.14999999999999147</v>
      </c>
      <c r="P727" s="3">
        <f ca="1">'ETF price'!Q729-'ETF price'!Q728</f>
        <v>1.3700000000000045</v>
      </c>
      <c r="Q727" s="3">
        <f ca="1">'ETF price'!R729-'ETF price'!R728</f>
        <v>1.1299999999999955</v>
      </c>
      <c r="R727" s="3">
        <f ca="1">'ETF price'!S729-'ETF price'!S728</f>
        <v>1.3700000000000045</v>
      </c>
      <c r="S727" s="3">
        <f ca="1">'ETF price'!T729-'ETF price'!T728</f>
        <v>0.16000000000000014</v>
      </c>
      <c r="T727" s="3">
        <f ca="1">'ETF price'!U729-'ETF price'!U728</f>
        <v>1.1800000000000068</v>
      </c>
      <c r="U727" s="3">
        <f ca="1">'ETF price'!V729-'ETF price'!V728</f>
        <v>-0.32000000000000028</v>
      </c>
      <c r="V727" s="3">
        <f ca="1">'ETF price'!W729-'ETF price'!W728</f>
        <v>0.63000000000000256</v>
      </c>
      <c r="W727" s="3">
        <f ca="1">'ETF price'!X729-'ETF price'!X728</f>
        <v>1.5100000000000051</v>
      </c>
      <c r="X727" s="3">
        <f ca="1">'ETF price'!Y729-'ETF price'!Y728</f>
        <v>0.91000000000000369</v>
      </c>
      <c r="Y727" s="3">
        <f ca="1">'ETF price'!Z729-'ETF price'!Z728</f>
        <v>1.3299999999999983</v>
      </c>
      <c r="Z727" s="3">
        <f ca="1">'ETF price'!AA729-'ETF price'!AA728</f>
        <v>0.28999999999999915</v>
      </c>
      <c r="AA727" s="3">
        <f ca="1">'ETF price'!AB729-'ETF price'!AB728</f>
        <v>0.96999999999999886</v>
      </c>
      <c r="AB727" s="3">
        <f ca="1">'ETF price'!AC729-'ETF price'!AC728</f>
        <v>-3.0000000000001137E-2</v>
      </c>
      <c r="AC727" s="3">
        <f ca="1">'ETF price'!AD729-'ETF price'!AD728</f>
        <v>1.3900000000000006</v>
      </c>
      <c r="AD727" s="3">
        <f ca="1">'ETF price'!AE729-'ETF price'!AE728</f>
        <v>1.009999999999998</v>
      </c>
      <c r="AE727" s="3">
        <f ca="1">'ETF price'!AF729-'ETF price'!AF728</f>
        <v>0.29999999999999982</v>
      </c>
      <c r="AF727" s="3">
        <f ca="1">'ETF price'!AG729-'ETF price'!AG728</f>
        <v>-1.0999999999999943</v>
      </c>
    </row>
    <row r="728" spans="1:32" ht="12.75" x14ac:dyDescent="0.2">
      <c r="A728" s="3">
        <f ca="1">'ETF price'!B730-'ETF price'!B729</f>
        <v>0.12000000000000455</v>
      </c>
      <c r="B728" s="3">
        <f ca="1">'ETF price'!C730-'ETF price'!C729</f>
        <v>2.3000000000000682</v>
      </c>
      <c r="C728" s="3">
        <f ca="1">'ETF price'!D730-'ETF price'!D729</f>
        <v>-1.9000000000000057</v>
      </c>
      <c r="D728" s="3">
        <f ca="1">'ETF price'!E730-'ETF price'!E729</f>
        <v>8.9999999999974989E-2</v>
      </c>
      <c r="E728" s="3">
        <f ca="1">'ETF price'!F730-'ETF price'!F729</f>
        <v>0.34999999999999432</v>
      </c>
      <c r="F728" s="3">
        <f ca="1">'ETF price'!G730-'ETF price'!G729</f>
        <v>0.21999999999999886</v>
      </c>
      <c r="G728" s="3">
        <f ca="1">'ETF price'!H730-'ETF price'!H729</f>
        <v>0.16999999999999815</v>
      </c>
      <c r="H728" s="3">
        <f ca="1">'ETF price'!I730-'ETF price'!I729</f>
        <v>0.12999999999999545</v>
      </c>
      <c r="I728" s="3">
        <f ca="1">'ETF price'!J730-'ETF price'!J729</f>
        <v>0.45999999999997954</v>
      </c>
      <c r="J728" s="3">
        <f ca="1">'ETF price'!K730-'ETF price'!K729</f>
        <v>1.8600000000000136</v>
      </c>
      <c r="K728" s="3">
        <f ca="1">'ETF price'!L730-'ETF price'!L729</f>
        <v>1.9399999999999977</v>
      </c>
      <c r="L728" s="3">
        <f ca="1">'ETF price'!M730-'ETF price'!M729</f>
        <v>1</v>
      </c>
      <c r="M728" s="3">
        <f ca="1">'ETF price'!N730-'ETF price'!N729</f>
        <v>8.0000000000012506E-2</v>
      </c>
      <c r="N728" s="3">
        <f ca="1">'ETF price'!O730-'ETF price'!O729</f>
        <v>1</v>
      </c>
      <c r="O728" s="3">
        <f ca="1">'ETF price'!P730-'ETF price'!P729</f>
        <v>-1.9200000000000017</v>
      </c>
      <c r="P728" s="3">
        <f ca="1">'ETF price'!Q730-'ETF price'!Q729</f>
        <v>0.68000000000000682</v>
      </c>
      <c r="Q728" s="3">
        <f ca="1">'ETF price'!R730-'ETF price'!R729</f>
        <v>0.52000000000001023</v>
      </c>
      <c r="R728" s="3">
        <f ca="1">'ETF price'!S730-'ETF price'!S729</f>
        <v>0.17000000000000171</v>
      </c>
      <c r="S728" s="3">
        <f ca="1">'ETF price'!T730-'ETF price'!T729</f>
        <v>1.9999999999999574E-2</v>
      </c>
      <c r="T728" s="3">
        <f ca="1">'ETF price'!U730-'ETF price'!U729</f>
        <v>1.0499999999999972</v>
      </c>
      <c r="U728" s="3">
        <f ca="1">'ETF price'!V730-'ETF price'!V729</f>
        <v>0.31000000000000227</v>
      </c>
      <c r="V728" s="3">
        <f ca="1">'ETF price'!W730-'ETF price'!W729</f>
        <v>0.55999999999999517</v>
      </c>
      <c r="W728" s="3">
        <f ca="1">'ETF price'!X730-'ETF price'!X729</f>
        <v>1.5400000000000063</v>
      </c>
      <c r="X728" s="3">
        <f ca="1">'ETF price'!Y730-'ETF price'!Y729</f>
        <v>1.3500000000000014</v>
      </c>
      <c r="Y728" s="3">
        <f ca="1">'ETF price'!Z730-'ETF price'!Z729</f>
        <v>0.87999999999999545</v>
      </c>
      <c r="Z728" s="3">
        <f ca="1">'ETF price'!AA730-'ETF price'!AA729</f>
        <v>0.3300000000000054</v>
      </c>
      <c r="AA728" s="3">
        <f ca="1">'ETF price'!AB730-'ETF price'!AB729</f>
        <v>1.6600000000000108</v>
      </c>
      <c r="AB728" s="3">
        <f ca="1">'ETF price'!AC730-'ETF price'!AC729</f>
        <v>0.20000000000000284</v>
      </c>
      <c r="AC728" s="3">
        <f ca="1">'ETF price'!AD730-'ETF price'!AD729</f>
        <v>-0.12999999999999901</v>
      </c>
      <c r="AD728" s="3">
        <f ca="1">'ETF price'!AE730-'ETF price'!AE729</f>
        <v>0.26000000000000156</v>
      </c>
      <c r="AE728" s="3">
        <f ca="1">'ETF price'!AF730-'ETF price'!AF729</f>
        <v>0.12999999999999989</v>
      </c>
      <c r="AF728" s="3">
        <f ca="1">'ETF price'!AG730-'ETF price'!AG729</f>
        <v>3.8599999999999994</v>
      </c>
    </row>
    <row r="729" spans="1:32" ht="12.75" x14ac:dyDescent="0.2">
      <c r="A729" s="3">
        <f ca="1">'ETF price'!B731-'ETF price'!B730</f>
        <v>-9.9999999999909051E-3</v>
      </c>
      <c r="B729" s="3">
        <f ca="1">'ETF price'!C731-'ETF price'!C730</f>
        <v>-0.29000000000007731</v>
      </c>
      <c r="C729" s="3">
        <f ca="1">'ETF price'!D731-'ETF price'!D730</f>
        <v>1.3900000000000148</v>
      </c>
      <c r="D729" s="3">
        <f ca="1">'ETF price'!E731-'ETF price'!E730</f>
        <v>2.1100000000000136</v>
      </c>
      <c r="E729" s="3">
        <f ca="1">'ETF price'!F731-'ETF price'!F730</f>
        <v>3.0000000000001137E-2</v>
      </c>
      <c r="F729" s="3">
        <f ca="1">'ETF price'!G731-'ETF price'!G730</f>
        <v>0</v>
      </c>
      <c r="G729" s="3">
        <f ca="1">'ETF price'!H731-'ETF price'!H730</f>
        <v>0.56000000000000227</v>
      </c>
      <c r="H729" s="3">
        <f ca="1">'ETF price'!I731-'ETF price'!I730</f>
        <v>1.2299999999999898</v>
      </c>
      <c r="I729" s="3">
        <f ca="1">'ETF price'!J731-'ETF price'!J730</f>
        <v>2.6299999999999955</v>
      </c>
      <c r="J729" s="3">
        <f ca="1">'ETF price'!K731-'ETF price'!K730</f>
        <v>1.9499999999999886</v>
      </c>
      <c r="K729" s="3">
        <f ca="1">'ETF price'!L731-'ETF price'!L730</f>
        <v>1.3900000000000006</v>
      </c>
      <c r="L729" s="3">
        <f ca="1">'ETF price'!M731-'ETF price'!M730</f>
        <v>0.76999999999999602</v>
      </c>
      <c r="M729" s="3">
        <f ca="1">'ETF price'!N731-'ETF price'!N730</f>
        <v>0.72999999999998977</v>
      </c>
      <c r="N729" s="3">
        <f ca="1">'ETF price'!O731-'ETF price'!O730</f>
        <v>1.1199999999999974</v>
      </c>
      <c r="O729" s="3">
        <f ca="1">'ETF price'!P731-'ETF price'!P730</f>
        <v>-0.12999999999999545</v>
      </c>
      <c r="P729" s="3">
        <f ca="1">'ETF price'!Q731-'ETF price'!Q730</f>
        <v>-2.7800000000000011</v>
      </c>
      <c r="Q729" s="3">
        <f ca="1">'ETF price'!R731-'ETF price'!R730</f>
        <v>0.96999999999999886</v>
      </c>
      <c r="R729" s="3">
        <f ca="1">'ETF price'!S731-'ETF price'!S730</f>
        <v>0.23999999999999488</v>
      </c>
      <c r="S729" s="3">
        <f ca="1">'ETF price'!T731-'ETF price'!T730</f>
        <v>-0.32000000000000028</v>
      </c>
      <c r="T729" s="3">
        <f ca="1">'ETF price'!U731-'ETF price'!U730</f>
        <v>-2.1500000000000057</v>
      </c>
      <c r="U729" s="3">
        <f ca="1">'ETF price'!V731-'ETF price'!V730</f>
        <v>1.4099999999999966</v>
      </c>
      <c r="V729" s="3">
        <f ca="1">'ETF price'!W731-'ETF price'!W730</f>
        <v>0.3300000000000054</v>
      </c>
      <c r="W729" s="3">
        <f ca="1">'ETF price'!X731-'ETF price'!X730</f>
        <v>0.98999999999999488</v>
      </c>
      <c r="X729" s="3">
        <f ca="1">'ETF price'!Y731-'ETF price'!Y730</f>
        <v>1.1299999999999955</v>
      </c>
      <c r="Y729" s="3">
        <f ca="1">'ETF price'!Z731-'ETF price'!Z730</f>
        <v>0.17000000000000171</v>
      </c>
      <c r="Z729" s="3">
        <f ca="1">'ETF price'!AA731-'ETF price'!AA730</f>
        <v>0.58999999999999631</v>
      </c>
      <c r="AA729" s="3">
        <f ca="1">'ETF price'!AB731-'ETF price'!AB730</f>
        <v>1.1099999999999994</v>
      </c>
      <c r="AB729" s="3">
        <f ca="1">'ETF price'!AC731-'ETF price'!AC730</f>
        <v>7.9999999999998295E-2</v>
      </c>
      <c r="AC729" s="3">
        <f ca="1">'ETF price'!AD731-'ETF price'!AD730</f>
        <v>0.19999999999999929</v>
      </c>
      <c r="AD729" s="3">
        <f ca="1">'ETF price'!AE731-'ETF price'!AE730</f>
        <v>-1.2100000000000009</v>
      </c>
      <c r="AE729" s="3">
        <f ca="1">'ETF price'!AF731-'ETF price'!AF730</f>
        <v>0.32000000000000028</v>
      </c>
      <c r="AF729" s="3">
        <f ca="1">'ETF price'!AG731-'ETF price'!AG730</f>
        <v>-0.10999999999999943</v>
      </c>
    </row>
    <row r="730" spans="1:32" ht="12.75" x14ac:dyDescent="0.2">
      <c r="A730" s="3">
        <f ca="1">'ETF price'!B732-'ETF price'!B731</f>
        <v>1.1699999999999875</v>
      </c>
      <c r="B730" s="3">
        <f ca="1">'ETF price'!C732-'ETF price'!C731</f>
        <v>1.8799999999999955</v>
      </c>
      <c r="C730" s="3">
        <f ca="1">'ETF price'!D732-'ETF price'!D731</f>
        <v>1.6899999999999977</v>
      </c>
      <c r="D730" s="3">
        <f ca="1">'ETF price'!E732-'ETF price'!E731</f>
        <v>-2.8300000000000125</v>
      </c>
      <c r="E730" s="3">
        <f ca="1">'ETF price'!F732-'ETF price'!F731</f>
        <v>0.5</v>
      </c>
      <c r="F730" s="3">
        <f ca="1">'ETF price'!G732-'ETF price'!G731</f>
        <v>-0.13999999999999346</v>
      </c>
      <c r="G730" s="3">
        <f ca="1">'ETF price'!H732-'ETF price'!H731</f>
        <v>-0.11000000000000298</v>
      </c>
      <c r="H730" s="3">
        <f ca="1">'ETF price'!I732-'ETF price'!I731</f>
        <v>0.78000000000000114</v>
      </c>
      <c r="I730" s="3">
        <f ca="1">'ETF price'!J732-'ETF price'!J731</f>
        <v>1.4600000000000364</v>
      </c>
      <c r="J730" s="3">
        <f ca="1">'ETF price'!K732-'ETF price'!K731</f>
        <v>0.31999999999999318</v>
      </c>
      <c r="K730" s="3">
        <f ca="1">'ETF price'!L732-'ETF price'!L731</f>
        <v>1.2199999999999989</v>
      </c>
      <c r="L730" s="3">
        <f ca="1">'ETF price'!M732-'ETF price'!M731</f>
        <v>-6.0000000000002274E-2</v>
      </c>
      <c r="M730" s="3">
        <f ca="1">'ETF price'!N732-'ETF price'!N731</f>
        <v>0.29000000000000625</v>
      </c>
      <c r="N730" s="3">
        <f ca="1">'ETF price'!O732-'ETF price'!O731</f>
        <v>0.80000000000000426</v>
      </c>
      <c r="O730" s="3">
        <f ca="1">'ETF price'!P732-'ETF price'!P731</f>
        <v>-9.9999999999994316E-2</v>
      </c>
      <c r="P730" s="3">
        <f ca="1">'ETF price'!Q732-'ETF price'!Q731</f>
        <v>-0.34000000000000341</v>
      </c>
      <c r="Q730" s="3">
        <f ca="1">'ETF price'!R732-'ETF price'!R731</f>
        <v>-0.71000000000000796</v>
      </c>
      <c r="R730" s="3">
        <f ca="1">'ETF price'!S732-'ETF price'!S731</f>
        <v>-0.60999999999999943</v>
      </c>
      <c r="S730" s="3">
        <f ca="1">'ETF price'!T732-'ETF price'!T731</f>
        <v>0</v>
      </c>
      <c r="T730" s="3">
        <f ca="1">'ETF price'!U732-'ETF price'!U731</f>
        <v>-0.48999999999999488</v>
      </c>
      <c r="U730" s="3">
        <f ca="1">'ETF price'!V732-'ETF price'!V731</f>
        <v>-7.9999999999998295E-2</v>
      </c>
      <c r="V730" s="3">
        <f ca="1">'ETF price'!W732-'ETF price'!W731</f>
        <v>9.9999999999994316E-2</v>
      </c>
      <c r="W730" s="3">
        <f ca="1">'ETF price'!X732-'ETF price'!X731</f>
        <v>0</v>
      </c>
      <c r="X730" s="3">
        <f ca="1">'ETF price'!Y732-'ETF price'!Y731</f>
        <v>-0.60000000000000142</v>
      </c>
      <c r="Y730" s="3">
        <f ca="1">'ETF price'!Z732-'ETF price'!Z731</f>
        <v>0.18999999999999773</v>
      </c>
      <c r="Z730" s="3">
        <f ca="1">'ETF price'!AA732-'ETF price'!AA731</f>
        <v>0.21999999999999886</v>
      </c>
      <c r="AA730" s="3">
        <f ca="1">'ETF price'!AB732-'ETF price'!AB731</f>
        <v>-0.74000000000000909</v>
      </c>
      <c r="AB730" s="3">
        <f ca="1">'ETF price'!AC732-'ETF price'!AC731</f>
        <v>-0.78000000000000114</v>
      </c>
      <c r="AC730" s="3">
        <f ca="1">'ETF price'!AD732-'ETF price'!AD731</f>
        <v>-1.1099999999999994</v>
      </c>
      <c r="AD730" s="3">
        <f ca="1">'ETF price'!AE732-'ETF price'!AE731</f>
        <v>-1.0800000000000018</v>
      </c>
      <c r="AE730" s="3">
        <f ca="1">'ETF price'!AF732-'ETF price'!AF731</f>
        <v>0.39000000000000057</v>
      </c>
      <c r="AF730" s="3">
        <f ca="1">'ETF price'!AG732-'ETF price'!AG731</f>
        <v>-4.6299999999999955</v>
      </c>
    </row>
    <row r="731" spans="1:32" ht="12.75" x14ac:dyDescent="0.2">
      <c r="A731" s="3">
        <f ca="1">'ETF price'!B733-'ETF price'!B732</f>
        <v>-3.1799999999999784</v>
      </c>
      <c r="B731" s="3">
        <f ca="1">'ETF price'!C733-'ETF price'!C732</f>
        <v>-6.4099999999999682</v>
      </c>
      <c r="C731" s="3">
        <f ca="1">'ETF price'!D733-'ETF price'!D732</f>
        <v>1.0900000000000034</v>
      </c>
      <c r="D731" s="3">
        <f ca="1">'ETF price'!E733-'ETF price'!E732</f>
        <v>-2.8899999999999864</v>
      </c>
      <c r="E731" s="3">
        <f ca="1">'ETF price'!F733-'ETF price'!F732</f>
        <v>-1.1999999999999886</v>
      </c>
      <c r="F731" s="3">
        <f ca="1">'ETF price'!G733-'ETF price'!G732</f>
        <v>-0.3300000000000054</v>
      </c>
      <c r="G731" s="3">
        <f ca="1">'ETF price'!H733-'ETF price'!H732</f>
        <v>3.000000000000469E-2</v>
      </c>
      <c r="H731" s="3">
        <f ca="1">'ETF price'!I733-'ETF price'!I732</f>
        <v>0.78000000000000114</v>
      </c>
      <c r="I731" s="3">
        <f ca="1">'ETF price'!J733-'ETF price'!J732</f>
        <v>1.4599999999999795</v>
      </c>
      <c r="J731" s="3">
        <f ca="1">'ETF price'!K733-'ETF price'!K732</f>
        <v>1.3600000000000136</v>
      </c>
      <c r="K731" s="3">
        <f ca="1">'ETF price'!L733-'ETF price'!L732</f>
        <v>1.1500000000000057</v>
      </c>
      <c r="L731" s="3">
        <f ca="1">'ETF price'!M733-'ETF price'!M732</f>
        <v>0.29000000000000625</v>
      </c>
      <c r="M731" s="3">
        <f ca="1">'ETF price'!N733-'ETF price'!N732</f>
        <v>0.46999999999999886</v>
      </c>
      <c r="N731" s="3">
        <f ca="1">'ETF price'!O733-'ETF price'!O732</f>
        <v>1.0799999999999983</v>
      </c>
      <c r="O731" s="3">
        <f ca="1">'ETF price'!P733-'ETF price'!P732</f>
        <v>0.40999999999999659</v>
      </c>
      <c r="P731" s="3">
        <f ca="1">'ETF price'!Q733-'ETF price'!Q732</f>
        <v>9.9999999999909051E-3</v>
      </c>
      <c r="Q731" s="3">
        <f ca="1">'ETF price'!R733-'ETF price'!R732</f>
        <v>-4.9999999999997158E-2</v>
      </c>
      <c r="R731" s="3">
        <f ca="1">'ETF price'!S733-'ETF price'!S732</f>
        <v>0.15000000000000568</v>
      </c>
      <c r="S731" s="3">
        <f ca="1">'ETF price'!T733-'ETF price'!T732</f>
        <v>-0.11999999999999744</v>
      </c>
      <c r="T731" s="3">
        <f ca="1">'ETF price'!U733-'ETF price'!U732</f>
        <v>0.10999999999999943</v>
      </c>
      <c r="U731" s="3">
        <f ca="1">'ETF price'!V733-'ETF price'!V732</f>
        <v>0.57000000000000028</v>
      </c>
      <c r="V731" s="3">
        <f ca="1">'ETF price'!W733-'ETF price'!W732</f>
        <v>0.10000000000000142</v>
      </c>
      <c r="W731" s="3">
        <f ca="1">'ETF price'!X733-'ETF price'!X732</f>
        <v>0.31999999999999318</v>
      </c>
      <c r="X731" s="3">
        <f ca="1">'ETF price'!Y733-'ETF price'!Y732</f>
        <v>-0.14999999999999858</v>
      </c>
      <c r="Y731" s="3">
        <f ca="1">'ETF price'!Z733-'ETF price'!Z732</f>
        <v>7.9999999999998295E-2</v>
      </c>
      <c r="Z731" s="3">
        <f ca="1">'ETF price'!AA733-'ETF price'!AA732</f>
        <v>0.31000000000000227</v>
      </c>
      <c r="AA731" s="3">
        <f ca="1">'ETF price'!AB733-'ETF price'!AB732</f>
        <v>-0.21999999999999886</v>
      </c>
      <c r="AB731" s="3">
        <f ca="1">'ETF price'!AC733-'ETF price'!AC732</f>
        <v>-0.54000000000000625</v>
      </c>
      <c r="AC731" s="3">
        <f ca="1">'ETF price'!AD733-'ETF price'!AD732</f>
        <v>1.6999999999999993</v>
      </c>
      <c r="AD731" s="3">
        <f ca="1">'ETF price'!AE733-'ETF price'!AE732</f>
        <v>1.5899999999999999</v>
      </c>
      <c r="AE731" s="3">
        <f ca="1">'ETF price'!AF733-'ETF price'!AF732</f>
        <v>-0.59000000000000075</v>
      </c>
      <c r="AF731" s="3">
        <f ca="1">'ETF price'!AG733-'ETF price'!AG732</f>
        <v>5.1599999999999966</v>
      </c>
    </row>
    <row r="732" spans="1:32" ht="12.75" x14ac:dyDescent="0.2">
      <c r="A732" s="3">
        <f ca="1">'ETF price'!B734-'ETF price'!B733</f>
        <v>2.1499999999999773</v>
      </c>
      <c r="B732" s="3">
        <f ca="1">'ETF price'!C734-'ETF price'!C733</f>
        <v>5.4900000000000091</v>
      </c>
      <c r="C732" s="3">
        <f ca="1">'ETF price'!D734-'ETF price'!D733</f>
        <v>3.4199999999999875</v>
      </c>
      <c r="D732" s="3">
        <f ca="1">'ETF price'!E734-'ETF price'!E733</f>
        <v>2.8400000000000034</v>
      </c>
      <c r="E732" s="3">
        <f ca="1">'ETF price'!F734-'ETF price'!F733</f>
        <v>0.50999999999999091</v>
      </c>
      <c r="F732" s="3">
        <f ca="1">'ETF price'!G734-'ETF price'!G733</f>
        <v>0.42999999999999972</v>
      </c>
      <c r="G732" s="3">
        <f ca="1">'ETF price'!H734-'ETF price'!H733</f>
        <v>9.9999999999994316E-2</v>
      </c>
      <c r="H732" s="3">
        <f ca="1">'ETF price'!I734-'ETF price'!I733</f>
        <v>0.46000000000000796</v>
      </c>
      <c r="I732" s="3">
        <f ca="1">'ETF price'!J734-'ETF price'!J733</f>
        <v>0.86000000000001364</v>
      </c>
      <c r="J732" s="3">
        <f ca="1">'ETF price'!K734-'ETF price'!K733</f>
        <v>-3.9999999999992042E-2</v>
      </c>
      <c r="K732" s="3">
        <f ca="1">'ETF price'!L734-'ETF price'!L733</f>
        <v>-0.37999999999999545</v>
      </c>
      <c r="L732" s="3">
        <f ca="1">'ETF price'!M734-'ETF price'!M733</f>
        <v>-6.0000000000002274E-2</v>
      </c>
      <c r="M732" s="3">
        <f ca="1">'ETF price'!N734-'ETF price'!N733</f>
        <v>0.17000000000000171</v>
      </c>
      <c r="N732" s="3">
        <f ca="1">'ETF price'!O734-'ETF price'!O733</f>
        <v>3.9999999999999147E-2</v>
      </c>
      <c r="O732" s="3">
        <f ca="1">'ETF price'!P734-'ETF price'!P733</f>
        <v>-1.0100000000000051</v>
      </c>
      <c r="P732" s="3">
        <f ca="1">'ETF price'!Q734-'ETF price'!Q733</f>
        <v>0.51000000000001933</v>
      </c>
      <c r="Q732" s="3">
        <f ca="1">'ETF price'!R734-'ETF price'!R733</f>
        <v>0.48000000000000398</v>
      </c>
      <c r="R732" s="3">
        <f ca="1">'ETF price'!S734-'ETF price'!S733</f>
        <v>0.31999999999999318</v>
      </c>
      <c r="S732" s="3">
        <f ca="1">'ETF price'!T734-'ETF price'!T733</f>
        <v>1.9999999999999574E-2</v>
      </c>
      <c r="T732" s="3">
        <f ca="1">'ETF price'!U734-'ETF price'!U733</f>
        <v>-0.10999999999999943</v>
      </c>
      <c r="U732" s="3">
        <f ca="1">'ETF price'!V734-'ETF price'!V733</f>
        <v>0.28999999999999915</v>
      </c>
      <c r="V732" s="3">
        <f ca="1">'ETF price'!W734-'ETF price'!W733</f>
        <v>8.00000000000054E-2</v>
      </c>
      <c r="W732" s="3">
        <f ca="1">'ETF price'!X734-'ETF price'!X733</f>
        <v>0.10000000000000853</v>
      </c>
      <c r="X732" s="3">
        <f ca="1">'ETF price'!Y734-'ETF price'!Y733</f>
        <v>-0.1699999999999946</v>
      </c>
      <c r="Y732" s="3">
        <f ca="1">'ETF price'!Z734-'ETF price'!Z733</f>
        <v>-1.3900000000000006</v>
      </c>
      <c r="Z732" s="3">
        <f ca="1">'ETF price'!AA734-'ETF price'!AA733</f>
        <v>-0.21000000000000085</v>
      </c>
      <c r="AA732" s="3">
        <f ca="1">'ETF price'!AB734-'ETF price'!AB733</f>
        <v>-0.20999999999999375</v>
      </c>
      <c r="AB732" s="3">
        <f ca="1">'ETF price'!AC734-'ETF price'!AC733</f>
        <v>-0.28999999999999204</v>
      </c>
      <c r="AC732" s="3">
        <f ca="1">'ETF price'!AD734-'ETF price'!AD733</f>
        <v>-8.0000000000001847E-2</v>
      </c>
      <c r="AD732" s="3">
        <f ca="1">'ETF price'!AE734-'ETF price'!AE733</f>
        <v>0.15000000000000213</v>
      </c>
      <c r="AE732" s="3">
        <f ca="1">'ETF price'!AF734-'ETF price'!AF733</f>
        <v>0.3100000000000005</v>
      </c>
      <c r="AF732" s="3">
        <f ca="1">'ETF price'!AG734-'ETF price'!AG733</f>
        <v>1.4399999999999977</v>
      </c>
    </row>
    <row r="733" spans="1:32" ht="12.75" x14ac:dyDescent="0.2">
      <c r="A733" s="3">
        <f ca="1">'ETF price'!B735-'ETF price'!B734</f>
        <v>2.2199999999999989</v>
      </c>
      <c r="B733" s="3">
        <f ca="1">'ETF price'!C735-'ETF price'!C734</f>
        <v>6.1200000000000045</v>
      </c>
      <c r="C733" s="3">
        <f ca="1">'ETF price'!D735-'ETF price'!D734</f>
        <v>-0.96000000000000796</v>
      </c>
      <c r="D733" s="3">
        <f ca="1">'ETF price'!E735-'ETF price'!E734</f>
        <v>5.6599999999999966</v>
      </c>
      <c r="E733" s="3">
        <f ca="1">'ETF price'!F735-'ETF price'!F734</f>
        <v>0.67000000000000171</v>
      </c>
      <c r="F733" s="3">
        <f ca="1">'ETF price'!G735-'ETF price'!G734</f>
        <v>3.0000000000001137E-2</v>
      </c>
      <c r="G733" s="3">
        <f ca="1">'ETF price'!H735-'ETF price'!H734</f>
        <v>0.15000000000000568</v>
      </c>
      <c r="H733" s="3">
        <f ca="1">'ETF price'!I735-'ETF price'!I734</f>
        <v>-0.25999999999999091</v>
      </c>
      <c r="I733" s="3">
        <f ca="1">'ETF price'!J735-'ETF price'!J734</f>
        <v>-0.59000000000003183</v>
      </c>
      <c r="J733" s="3">
        <f ca="1">'ETF price'!K735-'ETF price'!K734</f>
        <v>0.1799999999999784</v>
      </c>
      <c r="K733" s="3">
        <f ca="1">'ETF price'!L735-'ETF price'!L734</f>
        <v>-0.31000000000000227</v>
      </c>
      <c r="L733" s="3">
        <f ca="1">'ETF price'!M735-'ETF price'!M734</f>
        <v>0.32999999999999829</v>
      </c>
      <c r="M733" s="3">
        <f ca="1">'ETF price'!N735-'ETF price'!N734</f>
        <v>-0.18000000000000682</v>
      </c>
      <c r="N733" s="3">
        <f ca="1">'ETF price'!O735-'ETF price'!O734</f>
        <v>0.56000000000000227</v>
      </c>
      <c r="O733" s="3">
        <f ca="1">'ETF price'!P735-'ETF price'!P734</f>
        <v>-9.9999999999909051E-3</v>
      </c>
      <c r="P733" s="3">
        <f ca="1">'ETF price'!Q735-'ETF price'!Q734</f>
        <v>-1.2800000000000011</v>
      </c>
      <c r="Q733" s="3">
        <f ca="1">'ETF price'!R735-'ETF price'!R734</f>
        <v>-6.0000000000002274E-2</v>
      </c>
      <c r="R733" s="3">
        <f ca="1">'ETF price'!S735-'ETF price'!S734</f>
        <v>-0.48999999999999488</v>
      </c>
      <c r="S733" s="3">
        <f ca="1">'ETF price'!T735-'ETF price'!T734</f>
        <v>-0.16000000000000014</v>
      </c>
      <c r="T733" s="3">
        <f ca="1">'ETF price'!U735-'ETF price'!U734</f>
        <v>-0.56999999999999318</v>
      </c>
      <c r="U733" s="3">
        <f ca="1">'ETF price'!V735-'ETF price'!V734</f>
        <v>0.64000000000000057</v>
      </c>
      <c r="V733" s="3">
        <f ca="1">'ETF price'!W735-'ETF price'!W734</f>
        <v>-0.51000000000000512</v>
      </c>
      <c r="W733" s="3">
        <f ca="1">'ETF price'!X735-'ETF price'!X734</f>
        <v>-1.1400000000000006</v>
      </c>
      <c r="X733" s="3">
        <f ca="1">'ETF price'!Y735-'ETF price'!Y734</f>
        <v>-0.54000000000000625</v>
      </c>
      <c r="Y733" s="3">
        <f ca="1">'ETF price'!Z735-'ETF price'!Z734</f>
        <v>-0.71999999999999886</v>
      </c>
      <c r="Z733" s="3">
        <f ca="1">'ETF price'!AA735-'ETF price'!AA734</f>
        <v>-0.67999999999999972</v>
      </c>
      <c r="AA733" s="3">
        <f ca="1">'ETF price'!AB735-'ETF price'!AB734</f>
        <v>-0.64000000000000057</v>
      </c>
      <c r="AB733" s="3">
        <f ca="1">'ETF price'!AC735-'ETF price'!AC734</f>
        <v>0.32999999999999829</v>
      </c>
      <c r="AC733" s="3">
        <f ca="1">'ETF price'!AD735-'ETF price'!AD734</f>
        <v>-0.16000000000000014</v>
      </c>
      <c r="AD733" s="3">
        <f ca="1">'ETF price'!AE735-'ETF price'!AE734</f>
        <v>-1.4400000000000013</v>
      </c>
      <c r="AE733" s="3">
        <f ca="1">'ETF price'!AF735-'ETF price'!AF734</f>
        <v>-0.13000000000000078</v>
      </c>
      <c r="AF733" s="3">
        <f ca="1">'ETF price'!AG735-'ETF price'!AG734</f>
        <v>-2.6899999999999977</v>
      </c>
    </row>
    <row r="734" spans="1:32" ht="12.75" x14ac:dyDescent="0.2">
      <c r="A734" s="3">
        <f ca="1">'ETF price'!B736-'ETF price'!B735</f>
        <v>0.85000000000002274</v>
      </c>
      <c r="B734" s="3">
        <f ca="1">'ETF price'!C736-'ETF price'!C735</f>
        <v>3.2599999999999909</v>
      </c>
      <c r="C734" s="3">
        <f ca="1">'ETF price'!D736-'ETF price'!D735</f>
        <v>0.86000000000001364</v>
      </c>
      <c r="D734" s="3">
        <f ca="1">'ETF price'!E736-'ETF price'!E735</f>
        <v>-1.25</v>
      </c>
      <c r="E734" s="3">
        <f ca="1">'ETF price'!F736-'ETF price'!F735</f>
        <v>7.9999999999998295E-2</v>
      </c>
      <c r="F734" s="3">
        <f ca="1">'ETF price'!G736-'ETF price'!G735</f>
        <v>0.17999999999999972</v>
      </c>
      <c r="G734" s="3">
        <f ca="1">'ETF price'!H736-'ETF price'!H735</f>
        <v>-6.0000000000002274E-2</v>
      </c>
      <c r="H734" s="3">
        <f ca="1">'ETF price'!I736-'ETF price'!I735</f>
        <v>-0.33000000000001251</v>
      </c>
      <c r="I734" s="3">
        <f ca="1">'ETF price'!J736-'ETF price'!J735</f>
        <v>-1</v>
      </c>
      <c r="J734" s="3">
        <f ca="1">'ETF price'!K736-'ETF price'!K735</f>
        <v>-1.7299999999999898</v>
      </c>
      <c r="K734" s="3">
        <f ca="1">'ETF price'!L736-'ETF price'!L735</f>
        <v>-1.6200000000000045</v>
      </c>
      <c r="L734" s="3">
        <f ca="1">'ETF price'!M736-'ETF price'!M735</f>
        <v>-1.0600000000000023</v>
      </c>
      <c r="M734" s="3">
        <f ca="1">'ETF price'!N736-'ETF price'!N735</f>
        <v>-0.20000000000000284</v>
      </c>
      <c r="N734" s="3">
        <f ca="1">'ETF price'!O736-'ETF price'!O735</f>
        <v>-1.1200000000000045</v>
      </c>
      <c r="O734" s="3">
        <f ca="1">'ETF price'!P736-'ETF price'!P735</f>
        <v>-2.2800000000000011</v>
      </c>
      <c r="P734" s="3">
        <f ca="1">'ETF price'!Q736-'ETF price'!Q735</f>
        <v>6.9999999999993179E-2</v>
      </c>
      <c r="Q734" s="3">
        <f ca="1">'ETF price'!R736-'ETF price'!R735</f>
        <v>-0.29999999999999716</v>
      </c>
      <c r="R734" s="3">
        <f ca="1">'ETF price'!S736-'ETF price'!S735</f>
        <v>0.19999999999998863</v>
      </c>
      <c r="S734" s="3">
        <f ca="1">'ETF price'!T736-'ETF price'!T735</f>
        <v>0.25</v>
      </c>
      <c r="T734" s="3">
        <f ca="1">'ETF price'!U736-'ETF price'!U735</f>
        <v>2</v>
      </c>
      <c r="U734" s="3">
        <f ca="1">'ETF price'!V736-'ETF price'!V735</f>
        <v>-0.60000000000000142</v>
      </c>
      <c r="V734" s="3">
        <f ca="1">'ETF price'!W736-'ETF price'!W735</f>
        <v>-0.37999999999999545</v>
      </c>
      <c r="W734" s="3">
        <f ca="1">'ETF price'!X736-'ETF price'!X735</f>
        <v>-0.79000000000000625</v>
      </c>
      <c r="X734" s="3">
        <f ca="1">'ETF price'!Y736-'ETF price'!Y735</f>
        <v>-0.53999999999999915</v>
      </c>
      <c r="Y734" s="3">
        <f ca="1">'ETF price'!Z736-'ETF price'!Z735</f>
        <v>-0.23999999999999488</v>
      </c>
      <c r="Z734" s="3">
        <f ca="1">'ETF price'!AA736-'ETF price'!AA735</f>
        <v>-0.25999999999999801</v>
      </c>
      <c r="AA734" s="3">
        <f ca="1">'ETF price'!AB736-'ETF price'!AB735</f>
        <v>-0.59000000000000341</v>
      </c>
      <c r="AB734" s="3">
        <f ca="1">'ETF price'!AC736-'ETF price'!AC735</f>
        <v>0.23000000000000398</v>
      </c>
      <c r="AC734" s="3">
        <f ca="1">'ETF price'!AD736-'ETF price'!AD735</f>
        <v>-7.0000000000000284E-2</v>
      </c>
      <c r="AD734" s="3">
        <f ca="1">'ETF price'!AE736-'ETF price'!AE735</f>
        <v>-2.9999999999997584E-2</v>
      </c>
      <c r="AE734" s="3">
        <f ca="1">'ETF price'!AF736-'ETF price'!AF735</f>
        <v>-0.29000000000000004</v>
      </c>
      <c r="AF734" s="3">
        <f ca="1">'ETF price'!AG736-'ETF price'!AG735</f>
        <v>9.0000000000003411E-2</v>
      </c>
    </row>
    <row r="735" spans="1:32" ht="12.75" x14ac:dyDescent="0.2">
      <c r="A735" s="3">
        <f ca="1">'ETF price'!B737-'ETF price'!B736</f>
        <v>4.3299999999999841</v>
      </c>
      <c r="B735" s="3">
        <f ca="1">'ETF price'!C737-'ETF price'!C736</f>
        <v>12.799999999999955</v>
      </c>
      <c r="C735" s="3">
        <f ca="1">'ETF price'!D737-'ETF price'!D736</f>
        <v>-1.2800000000000011</v>
      </c>
      <c r="D735" s="3">
        <f ca="1">'ETF price'!E737-'ETF price'!E736</f>
        <v>2.9099999999999966</v>
      </c>
      <c r="E735" s="3">
        <f ca="1">'ETF price'!F737-'ETF price'!F736</f>
        <v>1.5400000000000063</v>
      </c>
      <c r="F735" s="3">
        <f ca="1">'ETF price'!G737-'ETF price'!G736</f>
        <v>0.57000000000000028</v>
      </c>
      <c r="G735" s="3">
        <f ca="1">'ETF price'!H737-'ETF price'!H736</f>
        <v>0.29999999999999716</v>
      </c>
      <c r="H735" s="3">
        <f ca="1">'ETF price'!I737-'ETF price'!I736</f>
        <v>-7.9999999999984084E-2</v>
      </c>
      <c r="I735" s="3">
        <f ca="1">'ETF price'!J737-'ETF price'!J736</f>
        <v>0.33000000000004093</v>
      </c>
      <c r="J735" s="3">
        <f ca="1">'ETF price'!K737-'ETF price'!K736</f>
        <v>0.96000000000000796</v>
      </c>
      <c r="K735" s="3">
        <f ca="1">'ETF price'!L737-'ETF price'!L736</f>
        <v>1.1000000000000085</v>
      </c>
      <c r="L735" s="3">
        <f ca="1">'ETF price'!M737-'ETF price'!M736</f>
        <v>0.84000000000000341</v>
      </c>
      <c r="M735" s="3">
        <f ca="1">'ETF price'!N737-'ETF price'!N736</f>
        <v>9.0000000000003411E-2</v>
      </c>
      <c r="N735" s="3">
        <f ca="1">'ETF price'!O737-'ETF price'!O736</f>
        <v>-3.9999999999999147E-2</v>
      </c>
      <c r="O735" s="3">
        <f ca="1">'ETF price'!P737-'ETF price'!P736</f>
        <v>0.35999999999999943</v>
      </c>
      <c r="P735" s="3">
        <f ca="1">'ETF price'!Q737-'ETF price'!Q736</f>
        <v>-3.0699999999999932</v>
      </c>
      <c r="Q735" s="3">
        <f ca="1">'ETF price'!R737-'ETF price'!R736</f>
        <v>-0.92000000000000171</v>
      </c>
      <c r="R735" s="3">
        <f ca="1">'ETF price'!S737-'ETF price'!S736</f>
        <v>-0.98999999999999488</v>
      </c>
      <c r="S735" s="3">
        <f ca="1">'ETF price'!T737-'ETF price'!T736</f>
        <v>-0.12000000000000099</v>
      </c>
      <c r="T735" s="3">
        <f ca="1">'ETF price'!U737-'ETF price'!U736</f>
        <v>-1.1600000000000108</v>
      </c>
      <c r="U735" s="3">
        <f ca="1">'ETF price'!V737-'ETF price'!V736</f>
        <v>-0.84999999999999432</v>
      </c>
      <c r="V735" s="3">
        <f ca="1">'ETF price'!W737-'ETF price'!W736</f>
        <v>-0.19000000000000483</v>
      </c>
      <c r="W735" s="3">
        <f ca="1">'ETF price'!X737-'ETF price'!X736</f>
        <v>-0.31000000000000227</v>
      </c>
      <c r="X735" s="3">
        <f ca="1">'ETF price'!Y737-'ETF price'!Y736</f>
        <v>0.14000000000000057</v>
      </c>
      <c r="Y735" s="3">
        <f ca="1">'ETF price'!Z737-'ETF price'!Z736</f>
        <v>0.39000000000000057</v>
      </c>
      <c r="Z735" s="3">
        <f ca="1">'ETF price'!AA737-'ETF price'!AA736</f>
        <v>-0.12000000000000455</v>
      </c>
      <c r="AA735" s="3">
        <f ca="1">'ETF price'!AB737-'ETF price'!AB736</f>
        <v>0.20999999999999375</v>
      </c>
      <c r="AB735" s="3">
        <f ca="1">'ETF price'!AC737-'ETF price'!AC736</f>
        <v>-1.1300000000000097</v>
      </c>
      <c r="AC735" s="3">
        <f ca="1">'ETF price'!AD737-'ETF price'!AD736</f>
        <v>1.370000000000001</v>
      </c>
      <c r="AD735" s="3">
        <f ca="1">'ETF price'!AE737-'ETF price'!AE736</f>
        <v>0.87999999999999901</v>
      </c>
      <c r="AE735" s="3">
        <f ca="1">'ETF price'!AF737-'ETF price'!AF736</f>
        <v>0.38000000000000078</v>
      </c>
      <c r="AF735" s="3">
        <f ca="1">'ETF price'!AG737-'ETF price'!AG736</f>
        <v>4.2299999999999898</v>
      </c>
    </row>
    <row r="736" spans="1:32" ht="12.75" x14ac:dyDescent="0.2">
      <c r="A736" s="3">
        <f ca="1">'ETF price'!B738-'ETF price'!B737</f>
        <v>-1.2199999999999989</v>
      </c>
      <c r="B736" s="3">
        <f ca="1">'ETF price'!C738-'ETF price'!C737</f>
        <v>-3.2199999999999136</v>
      </c>
      <c r="C736" s="3">
        <f ca="1">'ETF price'!D738-'ETF price'!D737</f>
        <v>-1.8000000000000114</v>
      </c>
      <c r="D736" s="3">
        <f ca="1">'ETF price'!E738-'ETF price'!E737</f>
        <v>-4.210000000000008</v>
      </c>
      <c r="E736" s="3">
        <f ca="1">'ETF price'!F738-'ETF price'!F737</f>
        <v>-0.46000000000000796</v>
      </c>
      <c r="F736" s="3">
        <f ca="1">'ETF price'!G738-'ETF price'!G737</f>
        <v>-0.25</v>
      </c>
      <c r="G736" s="3">
        <f ca="1">'ETF price'!H738-'ETF price'!H737</f>
        <v>-0.14000000000000057</v>
      </c>
      <c r="H736" s="3">
        <f ca="1">'ETF price'!I738-'ETF price'!I737</f>
        <v>-1.6400000000000148</v>
      </c>
      <c r="I736" s="3">
        <f ca="1">'ETF price'!J738-'ETF price'!J737</f>
        <v>-3.1200000000000045</v>
      </c>
      <c r="J736" s="3">
        <f ca="1">'ETF price'!K738-'ETF price'!K737</f>
        <v>-1.0100000000000193</v>
      </c>
      <c r="K736" s="3">
        <f ca="1">'ETF price'!L738-'ETF price'!L737</f>
        <v>-1.460000000000008</v>
      </c>
      <c r="L736" s="3">
        <f ca="1">'ETF price'!M738-'ETF price'!M737</f>
        <v>-0.43999999999999773</v>
      </c>
      <c r="M736" s="3">
        <f ca="1">'ETF price'!N738-'ETF price'!N737</f>
        <v>-0.84000000000000341</v>
      </c>
      <c r="N736" s="3">
        <f ca="1">'ETF price'!O738-'ETF price'!O737</f>
        <v>-0.87999999999999545</v>
      </c>
      <c r="O736" s="3">
        <f ca="1">'ETF price'!P738-'ETF price'!P737</f>
        <v>-1.5700000000000074</v>
      </c>
      <c r="P736" s="3">
        <f ca="1">'ETF price'!Q738-'ETF price'!Q737</f>
        <v>0.41999999999998749</v>
      </c>
      <c r="Q736" s="3">
        <f ca="1">'ETF price'!R738-'ETF price'!R737</f>
        <v>-1.230000000000004</v>
      </c>
      <c r="R736" s="3">
        <f ca="1">'ETF price'!S738-'ETF price'!S737</f>
        <v>-0.34999999999999432</v>
      </c>
      <c r="S736" s="3">
        <f ca="1">'ETF price'!T738-'ETF price'!T737</f>
        <v>-3.0000000000001137E-2</v>
      </c>
      <c r="T736" s="3">
        <f ca="1">'ETF price'!U738-'ETF price'!U737</f>
        <v>-0.40999999999999659</v>
      </c>
      <c r="U736" s="3">
        <f ca="1">'ETF price'!V738-'ETF price'!V737</f>
        <v>-0.59000000000000341</v>
      </c>
      <c r="V736" s="3">
        <f ca="1">'ETF price'!W738-'ETF price'!W737</f>
        <v>0.14999999999999858</v>
      </c>
      <c r="W736" s="3">
        <f ca="1">'ETF price'!X738-'ETF price'!X737</f>
        <v>7.000000000000739E-2</v>
      </c>
      <c r="X736" s="3">
        <f ca="1">'ETF price'!Y738-'ETF price'!Y737</f>
        <v>-0.28999999999999915</v>
      </c>
      <c r="Y736" s="3">
        <f ca="1">'ETF price'!Z738-'ETF price'!Z737</f>
        <v>-0.14000000000000057</v>
      </c>
      <c r="Z736" s="3">
        <f ca="1">'ETF price'!AA738-'ETF price'!AA737</f>
        <v>-0.10999999999999943</v>
      </c>
      <c r="AA736" s="3">
        <f ca="1">'ETF price'!AB738-'ETF price'!AB737</f>
        <v>-0.3399999999999892</v>
      </c>
      <c r="AB736" s="3">
        <f ca="1">'ETF price'!AC738-'ETF price'!AC737</f>
        <v>0.10999999999999943</v>
      </c>
      <c r="AC736" s="3">
        <f ca="1">'ETF price'!AD738-'ETF price'!AD737</f>
        <v>-0.27999999999999758</v>
      </c>
      <c r="AD736" s="3">
        <f ca="1">'ETF price'!AE738-'ETF price'!AE737</f>
        <v>-6.0000000000002274E-2</v>
      </c>
      <c r="AE736" s="3">
        <f ca="1">'ETF price'!AF738-'ETF price'!AF737</f>
        <v>0.12999999999999901</v>
      </c>
      <c r="AF736" s="3">
        <f ca="1">'ETF price'!AG738-'ETF price'!AG737</f>
        <v>-1.7399999999999949</v>
      </c>
    </row>
    <row r="737" spans="1:32" ht="12.75" x14ac:dyDescent="0.2">
      <c r="A737" s="3">
        <f ca="1">'ETF price'!B739-'ETF price'!B738</f>
        <v>0.93000000000000682</v>
      </c>
      <c r="B737" s="3">
        <f ca="1">'ETF price'!C739-'ETF price'!C738</f>
        <v>3.3299999999999272</v>
      </c>
      <c r="C737" s="3">
        <f ca="1">'ETF price'!D739-'ETF price'!D738</f>
        <v>2.8600000000000136</v>
      </c>
      <c r="D737" s="3">
        <f ca="1">'ETF price'!E739-'ETF price'!E738</f>
        <v>1.3200000000000216</v>
      </c>
      <c r="E737" s="3">
        <f ca="1">'ETF price'!F739-'ETF price'!F738</f>
        <v>1.1800000000000068</v>
      </c>
      <c r="F737" s="3">
        <f ca="1">'ETF price'!G739-'ETF price'!G738</f>
        <v>0.28000000000000114</v>
      </c>
      <c r="G737" s="3">
        <f ca="1">'ETF price'!H739-'ETF price'!H738</f>
        <v>0.17999999999999972</v>
      </c>
      <c r="H737" s="3">
        <f ca="1">'ETF price'!I739-'ETF price'!I738</f>
        <v>-0.81999999999999318</v>
      </c>
      <c r="I737" s="3">
        <f ca="1">'ETF price'!J739-'ETF price'!J738</f>
        <v>-0.91000000000002501</v>
      </c>
      <c r="J737" s="3">
        <f ca="1">'ETF price'!K739-'ETF price'!K738</f>
        <v>1.3500000000000227</v>
      </c>
      <c r="K737" s="3">
        <f ca="1">'ETF price'!L739-'ETF price'!L738</f>
        <v>1.8100000000000023</v>
      </c>
      <c r="L737" s="3">
        <f ca="1">'ETF price'!M739-'ETF price'!M738</f>
        <v>0.14000000000000057</v>
      </c>
      <c r="M737" s="3">
        <f ca="1">'ETF price'!N739-'ETF price'!N738</f>
        <v>-0.19999999999998863</v>
      </c>
      <c r="N737" s="3">
        <f ca="1">'ETF price'!O739-'ETF price'!O738</f>
        <v>1</v>
      </c>
      <c r="O737" s="3">
        <f ca="1">'ETF price'!P739-'ETF price'!P738</f>
        <v>-0.14999999999999147</v>
      </c>
      <c r="P737" s="3">
        <f ca="1">'ETF price'!Q739-'ETF price'!Q738</f>
        <v>-2.3399999999999892</v>
      </c>
      <c r="Q737" s="3">
        <f ca="1">'ETF price'!R739-'ETF price'!R738</f>
        <v>-0.35999999999999943</v>
      </c>
      <c r="R737" s="3">
        <f ca="1">'ETF price'!S739-'ETF price'!S738</f>
        <v>-1.6800000000000068</v>
      </c>
      <c r="S737" s="3">
        <f ca="1">'ETF price'!T739-'ETF price'!T738</f>
        <v>-0.16999999999999815</v>
      </c>
      <c r="T737" s="3">
        <f ca="1">'ETF price'!U739-'ETF price'!U738</f>
        <v>-1.230000000000004</v>
      </c>
      <c r="U737" s="3">
        <f ca="1">'ETF price'!V739-'ETF price'!V738</f>
        <v>-0.10999999999999943</v>
      </c>
      <c r="V737" s="3">
        <f ca="1">'ETF price'!W739-'ETF price'!W738</f>
        <v>-9.9999999999980105E-3</v>
      </c>
      <c r="W737" s="3">
        <f ca="1">'ETF price'!X739-'ETF price'!X738</f>
        <v>0.23999999999999488</v>
      </c>
      <c r="X737" s="3">
        <f ca="1">'ETF price'!Y739-'ETF price'!Y738</f>
        <v>0.17000000000000171</v>
      </c>
      <c r="Y737" s="3">
        <f ca="1">'ETF price'!Z739-'ETF price'!Z738</f>
        <v>-1.9099999999999966</v>
      </c>
      <c r="Z737" s="3">
        <f ca="1">'ETF price'!AA739-'ETF price'!AA738</f>
        <v>-5.9999999999995168E-2</v>
      </c>
      <c r="AA737" s="3">
        <f ca="1">'ETF price'!AB739-'ETF price'!AB738</f>
        <v>0.18999999999999773</v>
      </c>
      <c r="AB737" s="3">
        <f ca="1">'ETF price'!AC739-'ETF price'!AC738</f>
        <v>0.34000000000000341</v>
      </c>
      <c r="AC737" s="3">
        <f ca="1">'ETF price'!AD739-'ETF price'!AD738</f>
        <v>1.0999999999999979</v>
      </c>
      <c r="AD737" s="3">
        <f ca="1">'ETF price'!AE739-'ETF price'!AE738</f>
        <v>0.63000000000000256</v>
      </c>
      <c r="AE737" s="3">
        <f ca="1">'ETF price'!AF739-'ETF price'!AF738</f>
        <v>-1.9999999999999574E-2</v>
      </c>
      <c r="AF737" s="3">
        <f ca="1">'ETF price'!AG739-'ETF price'!AG738</f>
        <v>4.4099999999999966</v>
      </c>
    </row>
    <row r="738" spans="1:32" ht="12.75" x14ac:dyDescent="0.2">
      <c r="A738" s="3">
        <f ca="1">'ETF price'!B740-'ETF price'!B739</f>
        <v>-1.5699999999999932</v>
      </c>
      <c r="B738" s="3">
        <f ca="1">'ETF price'!C740-'ETF price'!C739</f>
        <v>-4.8099999999999454</v>
      </c>
      <c r="C738" s="3">
        <f ca="1">'ETF price'!D740-'ETF price'!D739</f>
        <v>-0.90999999999999659</v>
      </c>
      <c r="D738" s="3">
        <f ca="1">'ETF price'!E740-'ETF price'!E739</f>
        <v>-1.0600000000000023</v>
      </c>
      <c r="E738" s="3">
        <f ca="1">'ETF price'!F740-'ETF price'!F739</f>
        <v>-0.75</v>
      </c>
      <c r="F738" s="3">
        <f ca="1">'ETF price'!G740-'ETF price'!G739</f>
        <v>-0.36999999999999744</v>
      </c>
      <c r="G738" s="3">
        <f ca="1">'ETF price'!H740-'ETF price'!H739</f>
        <v>9.0000000000003411E-2</v>
      </c>
      <c r="H738" s="3">
        <f ca="1">'ETF price'!I740-'ETF price'!I739</f>
        <v>0.41999999999998749</v>
      </c>
      <c r="I738" s="3">
        <f ca="1">'ETF price'!J740-'ETF price'!J739</f>
        <v>0.48000000000001819</v>
      </c>
      <c r="J738" s="3">
        <f ca="1">'ETF price'!K740-'ETF price'!K739</f>
        <v>0.43999999999999773</v>
      </c>
      <c r="K738" s="3">
        <f ca="1">'ETF price'!L740-'ETF price'!L739</f>
        <v>-0.90000000000000568</v>
      </c>
      <c r="L738" s="3">
        <f ca="1">'ETF price'!M740-'ETF price'!M739</f>
        <v>-6.0000000000002274E-2</v>
      </c>
      <c r="M738" s="3">
        <f ca="1">'ETF price'!N740-'ETF price'!N739</f>
        <v>7.9999999999998295E-2</v>
      </c>
      <c r="N738" s="3">
        <f ca="1">'ETF price'!O740-'ETF price'!O739</f>
        <v>0.27999999999999403</v>
      </c>
      <c r="O738" s="3">
        <f ca="1">'ETF price'!P740-'ETF price'!P739</f>
        <v>-0.62000000000000455</v>
      </c>
      <c r="P738" s="3">
        <f ca="1">'ETF price'!Q740-'ETF price'!Q739</f>
        <v>-0.31000000000000227</v>
      </c>
      <c r="Q738" s="3">
        <f ca="1">'ETF price'!R740-'ETF price'!R739</f>
        <v>-1.9999999999996021E-2</v>
      </c>
      <c r="R738" s="3">
        <f ca="1">'ETF price'!S740-'ETF price'!S739</f>
        <v>0.51999999999999602</v>
      </c>
      <c r="S738" s="3">
        <f ca="1">'ETF price'!T740-'ETF price'!T739</f>
        <v>0.21000000000000085</v>
      </c>
      <c r="T738" s="3">
        <f ca="1">'ETF price'!U740-'ETF price'!U739</f>
        <v>0.93000000000000682</v>
      </c>
      <c r="U738" s="3">
        <f ca="1">'ETF price'!V740-'ETF price'!V739</f>
        <v>1.4699999999999989</v>
      </c>
      <c r="V738" s="3">
        <f ca="1">'ETF price'!W740-'ETF price'!W739</f>
        <v>-0.68999999999999773</v>
      </c>
      <c r="W738" s="3">
        <f ca="1">'ETF price'!X740-'ETF price'!X739</f>
        <v>-1.7999999999999972</v>
      </c>
      <c r="X738" s="3">
        <f ca="1">'ETF price'!Y740-'ETF price'!Y739</f>
        <v>-0.92000000000000171</v>
      </c>
      <c r="Y738" s="3">
        <f ca="1">'ETF price'!Z740-'ETF price'!Z739</f>
        <v>-0.35000000000000853</v>
      </c>
      <c r="Z738" s="3">
        <f ca="1">'ETF price'!AA740-'ETF price'!AA739</f>
        <v>8.9999999999996305E-2</v>
      </c>
      <c r="AA738" s="3">
        <f ca="1">'ETF price'!AB740-'ETF price'!AB739</f>
        <v>-1.0799999999999983</v>
      </c>
      <c r="AB738" s="3">
        <f ca="1">'ETF price'!AC740-'ETF price'!AC739</f>
        <v>-0.40000000000000568</v>
      </c>
      <c r="AC738" s="3">
        <f ca="1">'ETF price'!AD740-'ETF price'!AD739</f>
        <v>-1.7199999999999989</v>
      </c>
      <c r="AD738" s="3">
        <f ca="1">'ETF price'!AE740-'ETF price'!AE739</f>
        <v>-1.4100000000000001</v>
      </c>
      <c r="AE738" s="3">
        <f ca="1">'ETF price'!AF740-'ETF price'!AF739</f>
        <v>-0.14999999999999947</v>
      </c>
      <c r="AF738" s="3">
        <f ca="1">'ETF price'!AG740-'ETF price'!AG739</f>
        <v>-5.9500000000000028</v>
      </c>
    </row>
    <row r="739" spans="1:32" ht="12.75" x14ac:dyDescent="0.2">
      <c r="A739" s="3">
        <f ca="1">'ETF price'!B741-'ETF price'!B740</f>
        <v>-3.3200000000000216</v>
      </c>
      <c r="B739" s="3">
        <f ca="1">'ETF price'!C741-'ETF price'!C740</f>
        <v>-9.1800000000000637</v>
      </c>
      <c r="C739" s="3">
        <f ca="1">'ETF price'!D741-'ETF price'!D740</f>
        <v>-1.0000000000019327E-2</v>
      </c>
      <c r="D739" s="3">
        <f ca="1">'ETF price'!E741-'ETF price'!E740</f>
        <v>-5.2000000000000171</v>
      </c>
      <c r="E739" s="3">
        <f ca="1">'ETF price'!F741-'ETF price'!F740</f>
        <v>-1.2000000000000028</v>
      </c>
      <c r="F739" s="3">
        <f ca="1">'ETF price'!G741-'ETF price'!G740</f>
        <v>-0.42000000000000171</v>
      </c>
      <c r="G739" s="3">
        <f ca="1">'ETF price'!H741-'ETF price'!H740</f>
        <v>-0.32000000000000028</v>
      </c>
      <c r="H739" s="3">
        <f ca="1">'ETF price'!I741-'ETF price'!I740</f>
        <v>-0.59999999999999432</v>
      </c>
      <c r="I739" s="3">
        <f ca="1">'ETF price'!J741-'ETF price'!J740</f>
        <v>-1.0699999999999932</v>
      </c>
      <c r="J739" s="3">
        <f ca="1">'ETF price'!K741-'ETF price'!K740</f>
        <v>-1.1800000000000068</v>
      </c>
      <c r="K739" s="3">
        <f ca="1">'ETF price'!L741-'ETF price'!L740</f>
        <v>-0.81999999999999318</v>
      </c>
      <c r="L739" s="3">
        <f ca="1">'ETF price'!M741-'ETF price'!M740</f>
        <v>-0.12000000000000455</v>
      </c>
      <c r="M739" s="3">
        <f ca="1">'ETF price'!N741-'ETF price'!N740</f>
        <v>-0.29000000000000625</v>
      </c>
      <c r="N739" s="3">
        <f ca="1">'ETF price'!O741-'ETF price'!O740</f>
        <v>-4.9999999999997158E-2</v>
      </c>
      <c r="O739" s="3">
        <f ca="1">'ETF price'!P741-'ETF price'!P740</f>
        <v>0.15000000000000568</v>
      </c>
      <c r="P739" s="3">
        <f ca="1">'ETF price'!Q741-'ETF price'!Q740</f>
        <v>-0.67000000000000171</v>
      </c>
      <c r="Q739" s="3">
        <f ca="1">'ETF price'!R741-'ETF price'!R740</f>
        <v>-0.93999999999999773</v>
      </c>
      <c r="R739" s="3">
        <f ca="1">'ETF price'!S741-'ETF price'!S740</f>
        <v>-0.89999999999999147</v>
      </c>
      <c r="S739" s="3">
        <f ca="1">'ETF price'!T741-'ETF price'!T740</f>
        <v>5.0000000000000711E-2</v>
      </c>
      <c r="T739" s="3">
        <f ca="1">'ETF price'!U741-'ETF price'!U740</f>
        <v>0.23000000000000398</v>
      </c>
      <c r="U739" s="3">
        <f ca="1">'ETF price'!V741-'ETF price'!V740</f>
        <v>-1</v>
      </c>
      <c r="V739" s="3">
        <f ca="1">'ETF price'!W741-'ETF price'!W740</f>
        <v>-9.9999999999980105E-3</v>
      </c>
      <c r="W739" s="3">
        <f ca="1">'ETF price'!X741-'ETF price'!X740</f>
        <v>-0.26999999999999602</v>
      </c>
      <c r="X739" s="3">
        <f ca="1">'ETF price'!Y741-'ETF price'!Y740</f>
        <v>-0.21999999999999886</v>
      </c>
      <c r="Y739" s="3">
        <f ca="1">'ETF price'!Z741-'ETF price'!Z740</f>
        <v>0.23000000000000398</v>
      </c>
      <c r="Z739" s="3">
        <f ca="1">'ETF price'!AA741-'ETF price'!AA740</f>
        <v>-0.71000000000000085</v>
      </c>
      <c r="AA739" s="3">
        <f ca="1">'ETF price'!AB741-'ETF price'!AB740</f>
        <v>-1.0000000000005116E-2</v>
      </c>
      <c r="AB739" s="3">
        <f ca="1">'ETF price'!AC741-'ETF price'!AC740</f>
        <v>-0.39000000000000057</v>
      </c>
      <c r="AC739" s="3">
        <f ca="1">'ETF price'!AD741-'ETF price'!AD740</f>
        <v>-0.28999999999999915</v>
      </c>
      <c r="AD739" s="3">
        <f ca="1">'ETF price'!AE741-'ETF price'!AE740</f>
        <v>9.9999999999997868E-2</v>
      </c>
      <c r="AE739" s="3">
        <f ca="1">'ETF price'!AF741-'ETF price'!AF740</f>
        <v>6.9999999999999396E-2</v>
      </c>
      <c r="AF739" s="3">
        <f ca="1">'ETF price'!AG741-'ETF price'!AG740</f>
        <v>-3.1599999999999966</v>
      </c>
    </row>
    <row r="740" spans="1:32" ht="12.75" x14ac:dyDescent="0.2">
      <c r="A740" s="3">
        <f ca="1">'ETF price'!B742-'ETF price'!B741</f>
        <v>3.4200000000000159</v>
      </c>
      <c r="B740" s="3">
        <f ca="1">'ETF price'!C742-'ETF price'!C741</f>
        <v>9.6500000000000909</v>
      </c>
      <c r="C740" s="3">
        <f ca="1">'ETF price'!D742-'ETF price'!D741</f>
        <v>1.9399999999999977</v>
      </c>
      <c r="D740" s="3">
        <f ca="1">'ETF price'!E742-'ETF price'!E741</f>
        <v>5.3700000000000045</v>
      </c>
      <c r="E740" s="3">
        <f ca="1">'ETF price'!F742-'ETF price'!F741</f>
        <v>1.1099999999999994</v>
      </c>
      <c r="F740" s="3">
        <f ca="1">'ETF price'!G742-'ETF price'!G741</f>
        <v>0.33999999999999631</v>
      </c>
      <c r="G740" s="3">
        <f ca="1">'ETF price'!H742-'ETF price'!H741</f>
        <v>0.14999999999999858</v>
      </c>
      <c r="H740" s="3">
        <f ca="1">'ETF price'!I742-'ETF price'!I741</f>
        <v>-1.960000000000008</v>
      </c>
      <c r="I740" s="3">
        <f ca="1">'ETF price'!J742-'ETF price'!J741</f>
        <v>-3.0600000000000023</v>
      </c>
      <c r="J740" s="3">
        <f ca="1">'ETF price'!K742-'ETF price'!K741</f>
        <v>-0.46000000000000796</v>
      </c>
      <c r="K740" s="3">
        <f ca="1">'ETF price'!L742-'ETF price'!L741</f>
        <v>-0.45000000000000284</v>
      </c>
      <c r="L740" s="3">
        <f ca="1">'ETF price'!M742-'ETF price'!M741</f>
        <v>-0.22999999999998977</v>
      </c>
      <c r="M740" s="3">
        <f ca="1">'ETF price'!N742-'ETF price'!N741</f>
        <v>-0.81999999999999318</v>
      </c>
      <c r="N740" s="3">
        <f ca="1">'ETF price'!O742-'ETF price'!O741</f>
        <v>-0.5</v>
      </c>
      <c r="O740" s="3">
        <f ca="1">'ETF price'!P742-'ETF price'!P741</f>
        <v>-0.73000000000000398</v>
      </c>
      <c r="P740" s="3">
        <f ca="1">'ETF price'!Q742-'ETF price'!Q741</f>
        <v>0.51999999999999602</v>
      </c>
      <c r="Q740" s="3">
        <f ca="1">'ETF price'!R742-'ETF price'!R741</f>
        <v>-0.32000000000000739</v>
      </c>
      <c r="R740" s="3">
        <f ca="1">'ETF price'!S742-'ETF price'!S741</f>
        <v>1.9999999999996021E-2</v>
      </c>
      <c r="S740" s="3">
        <f ca="1">'ETF price'!T742-'ETF price'!T741</f>
        <v>0.27999999999999758</v>
      </c>
      <c r="T740" s="3">
        <f ca="1">'ETF price'!U742-'ETF price'!U741</f>
        <v>1.9299999999999926</v>
      </c>
      <c r="U740" s="3">
        <f ca="1">'ETF price'!V742-'ETF price'!V741</f>
        <v>-0.24000000000000199</v>
      </c>
      <c r="V740" s="3">
        <f ca="1">'ETF price'!W742-'ETF price'!W741</f>
        <v>9.9999999999994316E-2</v>
      </c>
      <c r="W740" s="3">
        <f ca="1">'ETF price'!X742-'ETF price'!X741</f>
        <v>0.54999999999999716</v>
      </c>
      <c r="X740" s="3">
        <f ca="1">'ETF price'!Y742-'ETF price'!Y741</f>
        <v>0.31000000000000227</v>
      </c>
      <c r="Y740" s="3">
        <f ca="1">'ETF price'!Z742-'ETF price'!Z741</f>
        <v>-0.5</v>
      </c>
      <c r="Z740" s="3">
        <f ca="1">'ETF price'!AA742-'ETF price'!AA741</f>
        <v>-0.10999999999999943</v>
      </c>
      <c r="AA740" s="3">
        <f ca="1">'ETF price'!AB742-'ETF price'!AB741</f>
        <v>0.34000000000000341</v>
      </c>
      <c r="AB740" s="3">
        <f ca="1">'ETF price'!AC742-'ETF price'!AC741</f>
        <v>0.1600000000000108</v>
      </c>
      <c r="AC740" s="3">
        <f ca="1">'ETF price'!AD742-'ETF price'!AD741</f>
        <v>1.1999999999999993</v>
      </c>
      <c r="AD740" s="3">
        <f ca="1">'ETF price'!AE742-'ETF price'!AE741</f>
        <v>1.2800000000000011</v>
      </c>
      <c r="AE740" s="3">
        <f ca="1">'ETF price'!AF742-'ETF price'!AF741</f>
        <v>0.83000000000000007</v>
      </c>
      <c r="AF740" s="3">
        <f ca="1">'ETF price'!AG742-'ETF price'!AG741</f>
        <v>2.1000000000000085</v>
      </c>
    </row>
    <row r="741" spans="1:32" ht="12.75" x14ac:dyDescent="0.2">
      <c r="A741" s="3">
        <f ca="1">'ETF price'!B743-'ETF price'!B742</f>
        <v>-1.3400000000000034</v>
      </c>
      <c r="B741" s="3">
        <f ca="1">'ETF price'!C743-'ETF price'!C742</f>
        <v>-2.7800000000000864</v>
      </c>
      <c r="C741" s="3">
        <f ca="1">'ETF price'!D743-'ETF price'!D742</f>
        <v>-1.0600000000000023</v>
      </c>
      <c r="D741" s="3">
        <f ca="1">'ETF price'!E743-'ETF price'!E742</f>
        <v>-1.6999999999999886</v>
      </c>
      <c r="E741" s="3">
        <f ca="1">'ETF price'!F743-'ETF price'!F742</f>
        <v>0.26999999999999602</v>
      </c>
      <c r="F741" s="3">
        <f ca="1">'ETF price'!G743-'ETF price'!G742</f>
        <v>-0.36999999999999744</v>
      </c>
      <c r="G741" s="3">
        <f ca="1">'ETF price'!H743-'ETF price'!H742</f>
        <v>-0.15999999999999659</v>
      </c>
      <c r="H741" s="3">
        <f ca="1">'ETF price'!I743-'ETF price'!I742</f>
        <v>-1.1299999999999955</v>
      </c>
      <c r="I741" s="3">
        <f ca="1">'ETF price'!J743-'ETF price'!J742</f>
        <v>-2.5900000000000318</v>
      </c>
      <c r="J741" s="3">
        <f ca="1">'ETF price'!K743-'ETF price'!K742</f>
        <v>-2.4300000000000068</v>
      </c>
      <c r="K741" s="3">
        <f ca="1">'ETF price'!L743-'ETF price'!L742</f>
        <v>-2.769999999999996</v>
      </c>
      <c r="L741" s="3">
        <f ca="1">'ETF price'!M743-'ETF price'!M742</f>
        <v>-0.88000000000000966</v>
      </c>
      <c r="M741" s="3">
        <f ca="1">'ETF price'!N743-'ETF price'!N742</f>
        <v>-0.57999999999999829</v>
      </c>
      <c r="N741" s="3">
        <f ca="1">'ETF price'!O743-'ETF price'!O742</f>
        <v>-0.85000000000000142</v>
      </c>
      <c r="O741" s="3">
        <f ca="1">'ETF price'!P743-'ETF price'!P742</f>
        <v>-0.45000000000000284</v>
      </c>
      <c r="P741" s="3">
        <f ca="1">'ETF price'!Q743-'ETF price'!Q742</f>
        <v>-0.92000000000000171</v>
      </c>
      <c r="Q741" s="3">
        <f ca="1">'ETF price'!R743-'ETF price'!R742</f>
        <v>-0.62999999999999545</v>
      </c>
      <c r="R741" s="3">
        <f ca="1">'ETF price'!S743-'ETF price'!S742</f>
        <v>-1.509999999999998</v>
      </c>
      <c r="S741" s="3">
        <f ca="1">'ETF price'!T743-'ETF price'!T742</f>
        <v>-8.9999999999999858E-2</v>
      </c>
      <c r="T741" s="3">
        <f ca="1">'ETF price'!U743-'ETF price'!U742</f>
        <v>-0.12000000000000455</v>
      </c>
      <c r="U741" s="3">
        <f ca="1">'ETF price'!V743-'ETF price'!V742</f>
        <v>-0.6699999999999946</v>
      </c>
      <c r="V741" s="3">
        <f ca="1">'ETF price'!W743-'ETF price'!W742</f>
        <v>-0.21999999999999886</v>
      </c>
      <c r="W741" s="3">
        <f ca="1">'ETF price'!X743-'ETF price'!X742</f>
        <v>-0.54000000000000625</v>
      </c>
      <c r="X741" s="3">
        <f ca="1">'ETF price'!Y743-'ETF price'!Y742</f>
        <v>-0.65000000000000568</v>
      </c>
      <c r="Y741" s="3">
        <f ca="1">'ETF price'!Z743-'ETF price'!Z742</f>
        <v>-0.34000000000000341</v>
      </c>
      <c r="Z741" s="3">
        <f ca="1">'ETF price'!AA743-'ETF price'!AA742</f>
        <v>-3.0000000000001137E-2</v>
      </c>
      <c r="AA741" s="3">
        <f ca="1">'ETF price'!AB743-'ETF price'!AB742</f>
        <v>-0.79999999999999716</v>
      </c>
      <c r="AB741" s="3">
        <f ca="1">'ETF price'!AC743-'ETF price'!AC742</f>
        <v>-0.93000000000000682</v>
      </c>
      <c r="AC741" s="3">
        <f ca="1">'ETF price'!AD743-'ETF price'!AD742</f>
        <v>-5.0000000000000711E-2</v>
      </c>
      <c r="AD741" s="3">
        <f ca="1">'ETF price'!AE743-'ETF price'!AE742</f>
        <v>-0.41000000000000014</v>
      </c>
      <c r="AE741" s="3">
        <f ca="1">'ETF price'!AF743-'ETF price'!AF742</f>
        <v>-0.59999999999999964</v>
      </c>
      <c r="AF741" s="3">
        <f ca="1">'ETF price'!AG743-'ETF price'!AG742</f>
        <v>-5.0000000000011369E-2</v>
      </c>
    </row>
    <row r="742" spans="1:32" ht="12.75" x14ac:dyDescent="0.2">
      <c r="A742" s="3">
        <f ca="1">'ETF price'!B744-'ETF price'!B743</f>
        <v>1.0200000000000102</v>
      </c>
      <c r="B742" s="3">
        <f ca="1">'ETF price'!C744-'ETF price'!C743</f>
        <v>3.0099999999999909</v>
      </c>
      <c r="C742" s="3">
        <f ca="1">'ETF price'!D744-'ETF price'!D743</f>
        <v>-5.5799999999999841</v>
      </c>
      <c r="D742" s="3">
        <f ca="1">'ETF price'!E744-'ETF price'!E743</f>
        <v>6.0600000000000023</v>
      </c>
      <c r="E742" s="3">
        <f ca="1">'ETF price'!F744-'ETF price'!F743</f>
        <v>0.95000000000000284</v>
      </c>
      <c r="F742" s="3">
        <f ca="1">'ETF price'!G744-'ETF price'!G743</f>
        <v>-0.33999999999999631</v>
      </c>
      <c r="G742" s="3">
        <f ca="1">'ETF price'!H744-'ETF price'!H743</f>
        <v>-0.21000000000000085</v>
      </c>
      <c r="H742" s="3">
        <f ca="1">'ETF price'!I744-'ETF price'!I743</f>
        <v>-1.999999999998181E-2</v>
      </c>
      <c r="I742" s="3">
        <f ca="1">'ETF price'!J744-'ETF price'!J743</f>
        <v>-0.27999999999997272</v>
      </c>
      <c r="J742" s="3">
        <f ca="1">'ETF price'!K744-'ETF price'!K743</f>
        <v>-1.0599999999999739</v>
      </c>
      <c r="K742" s="3">
        <f ca="1">'ETF price'!L744-'ETF price'!L743</f>
        <v>-0.79999999999999716</v>
      </c>
      <c r="L742" s="3">
        <f ca="1">'ETF price'!M744-'ETF price'!M743</f>
        <v>-0.71999999999999886</v>
      </c>
      <c r="M742" s="3">
        <f ca="1">'ETF price'!N744-'ETF price'!N743</f>
        <v>-0.13000000000000966</v>
      </c>
      <c r="N742" s="3">
        <f ca="1">'ETF price'!O744-'ETF price'!O743</f>
        <v>-0.67999999999999972</v>
      </c>
      <c r="O742" s="3">
        <f ca="1">'ETF price'!P744-'ETF price'!P743</f>
        <v>-1.9599999999999937</v>
      </c>
      <c r="P742" s="3">
        <f ca="1">'ETF price'!Q744-'ETF price'!Q743</f>
        <v>-0.90999999999999659</v>
      </c>
      <c r="Q742" s="3">
        <f ca="1">'ETF price'!R744-'ETF price'!R743</f>
        <v>-0.76999999999999602</v>
      </c>
      <c r="R742" s="3">
        <f ca="1">'ETF price'!S744-'ETF price'!S743</f>
        <v>-1.5399999999999991</v>
      </c>
      <c r="S742" s="3">
        <f ca="1">'ETF price'!T744-'ETF price'!T743</f>
        <v>-9.9999999999980105E-3</v>
      </c>
      <c r="T742" s="3">
        <f ca="1">'ETF price'!U744-'ETF price'!U743</f>
        <v>1</v>
      </c>
      <c r="U742" s="3">
        <f ca="1">'ETF price'!V744-'ETF price'!V743</f>
        <v>0.18999999999999773</v>
      </c>
      <c r="V742" s="3">
        <f ca="1">'ETF price'!W744-'ETF price'!W743</f>
        <v>-3.9999999999999147E-2</v>
      </c>
      <c r="W742" s="3">
        <f ca="1">'ETF price'!X744-'ETF price'!X743</f>
        <v>-0.41999999999998749</v>
      </c>
      <c r="X742" s="3">
        <f ca="1">'ETF price'!Y744-'ETF price'!Y743</f>
        <v>-0.21999999999999886</v>
      </c>
      <c r="Y742" s="3">
        <f ca="1">'ETF price'!Z744-'ETF price'!Z743</f>
        <v>0.14000000000000057</v>
      </c>
      <c r="Z742" s="3">
        <f ca="1">'ETF price'!AA744-'ETF price'!AA743</f>
        <v>-0.17999999999999972</v>
      </c>
      <c r="AA742" s="3">
        <f ca="1">'ETF price'!AB744-'ETF price'!AB743</f>
        <v>-0.24000000000000909</v>
      </c>
      <c r="AB742" s="3">
        <f ca="1">'ETF price'!AC744-'ETF price'!AC743</f>
        <v>-2.6899999999999977</v>
      </c>
      <c r="AC742" s="3">
        <f ca="1">'ETF price'!AD744-'ETF price'!AD743</f>
        <v>0.35000000000000142</v>
      </c>
      <c r="AD742" s="3">
        <f ca="1">'ETF price'!AE744-'ETF price'!AE743</f>
        <v>0.41000000000000014</v>
      </c>
      <c r="AE742" s="3">
        <f ca="1">'ETF price'!AF744-'ETF price'!AF743</f>
        <v>0.41000000000000014</v>
      </c>
      <c r="AF742" s="3">
        <f ca="1">'ETF price'!AG744-'ETF price'!AG743</f>
        <v>-5.9999999999988063E-2</v>
      </c>
    </row>
    <row r="743" spans="1:32" ht="12.75" x14ac:dyDescent="0.2">
      <c r="A743" s="3">
        <f ca="1">'ETF price'!B745-'ETF price'!B744</f>
        <v>2.3899999999999864</v>
      </c>
      <c r="B743" s="3">
        <f ca="1">'ETF price'!C745-'ETF price'!C744</f>
        <v>7.5400000000000773</v>
      </c>
      <c r="C743" s="3">
        <f ca="1">'ETF price'!D745-'ETF price'!D744</f>
        <v>-5.0000000000011369E-2</v>
      </c>
      <c r="D743" s="3">
        <f ca="1">'ETF price'!E745-'ETF price'!E744</f>
        <v>4.1399999999999864</v>
      </c>
      <c r="E743" s="3">
        <f ca="1">'ETF price'!F745-'ETF price'!F744</f>
        <v>2.1099999999999994</v>
      </c>
      <c r="F743" s="3">
        <f ca="1">'ETF price'!G745-'ETF price'!G744</f>
        <v>0.22999999999999687</v>
      </c>
      <c r="G743" s="3">
        <f ca="1">'ETF price'!H745-'ETF price'!H744</f>
        <v>0</v>
      </c>
      <c r="H743" s="3">
        <f ca="1">'ETF price'!I745-'ETF price'!I744</f>
        <v>-1.6800000000000068</v>
      </c>
      <c r="I743" s="3">
        <f ca="1">'ETF price'!J745-'ETF price'!J744</f>
        <v>-2.2400000000000091</v>
      </c>
      <c r="J743" s="3">
        <f ca="1">'ETF price'!K745-'ETF price'!K744</f>
        <v>0.63999999999998636</v>
      </c>
      <c r="K743" s="3">
        <f ca="1">'ETF price'!L745-'ETF price'!L744</f>
        <v>1.3599999999999994</v>
      </c>
      <c r="L743" s="3">
        <f ca="1">'ETF price'!M745-'ETF price'!M744</f>
        <v>0.51000000000000512</v>
      </c>
      <c r="M743" s="3">
        <f ca="1">'ETF price'!N745-'ETF price'!N744</f>
        <v>-0.62999999999999545</v>
      </c>
      <c r="N743" s="3">
        <f ca="1">'ETF price'!O745-'ETF price'!O744</f>
        <v>0.25</v>
      </c>
      <c r="O743" s="3">
        <f ca="1">'ETF price'!P745-'ETF price'!P744</f>
        <v>-0.65000000000000568</v>
      </c>
      <c r="P743" s="3">
        <f ca="1">'ETF price'!Q745-'ETF price'!Q744</f>
        <v>-2.5900000000000034</v>
      </c>
      <c r="Q743" s="3">
        <f ca="1">'ETF price'!R745-'ETF price'!R744</f>
        <v>-0.79000000000000625</v>
      </c>
      <c r="R743" s="3">
        <f ca="1">'ETF price'!S745-'ETF price'!S744</f>
        <v>-0.88000000000000256</v>
      </c>
      <c r="S743" s="3">
        <f ca="1">'ETF price'!T745-'ETF price'!T744</f>
        <v>-0.12000000000000099</v>
      </c>
      <c r="T743" s="3">
        <f ca="1">'ETF price'!U745-'ETF price'!U744</f>
        <v>-0.50999999999999091</v>
      </c>
      <c r="U743" s="3">
        <f ca="1">'ETF price'!V745-'ETF price'!V744</f>
        <v>-0.91000000000000369</v>
      </c>
      <c r="V743" s="3">
        <f ca="1">'ETF price'!W745-'ETF price'!W744</f>
        <v>-8.9999999999996305E-2</v>
      </c>
      <c r="W743" s="3">
        <f ca="1">'ETF price'!X745-'ETF price'!X744</f>
        <v>0.19999999999998863</v>
      </c>
      <c r="X743" s="3">
        <f ca="1">'ETF price'!Y745-'ETF price'!Y744</f>
        <v>0.32000000000000028</v>
      </c>
      <c r="Y743" s="3">
        <f ca="1">'ETF price'!Z745-'ETF price'!Z744</f>
        <v>-1.730000000000004</v>
      </c>
      <c r="Z743" s="3">
        <f ca="1">'ETF price'!AA745-'ETF price'!AA744</f>
        <v>-0.21999999999999886</v>
      </c>
      <c r="AA743" s="3">
        <f ca="1">'ETF price'!AB745-'ETF price'!AB744</f>
        <v>0.32000000000000739</v>
      </c>
      <c r="AB743" s="3">
        <f ca="1">'ETF price'!AC745-'ETF price'!AC744</f>
        <v>0.29000000000000625</v>
      </c>
      <c r="AC743" s="3">
        <f ca="1">'ETF price'!AD745-'ETF price'!AD744</f>
        <v>0.91000000000000014</v>
      </c>
      <c r="AD743" s="3">
        <f ca="1">'ETF price'!AE745-'ETF price'!AE744</f>
        <v>1.1000000000000014</v>
      </c>
      <c r="AE743" s="3">
        <f ca="1">'ETF price'!AF745-'ETF price'!AF744</f>
        <v>-0.54000000000000092</v>
      </c>
      <c r="AF743" s="3">
        <f ca="1">'ETF price'!AG745-'ETF price'!AG744</f>
        <v>4.4299999999999926</v>
      </c>
    </row>
    <row r="744" spans="1:32" ht="12.75" x14ac:dyDescent="0.2">
      <c r="A744" s="3">
        <f ca="1">'ETF price'!B746-'ETF price'!B745</f>
        <v>-1.460000000000008</v>
      </c>
      <c r="B744" s="3">
        <f ca="1">'ETF price'!C746-'ETF price'!C745</f>
        <v>-3.9900000000000091</v>
      </c>
      <c r="C744" s="3">
        <f ca="1">'ETF price'!D746-'ETF price'!D745</f>
        <v>2.4800000000000182</v>
      </c>
      <c r="D744" s="3">
        <f ca="1">'ETF price'!E746-'ETF price'!E745</f>
        <v>-3.5699999999999932</v>
      </c>
      <c r="E744" s="3">
        <f ca="1">'ETF price'!F746-'ETF price'!F745</f>
        <v>-0.87999999999999545</v>
      </c>
      <c r="F744" s="3">
        <f ca="1">'ETF price'!G746-'ETF price'!G745</f>
        <v>-0.13000000000000256</v>
      </c>
      <c r="G744" s="3">
        <f ca="1">'ETF price'!H746-'ETF price'!H745</f>
        <v>-5.0000000000004263E-2</v>
      </c>
      <c r="H744" s="3">
        <f ca="1">'ETF price'!I746-'ETF price'!I745</f>
        <v>-9.9999999999994316E-2</v>
      </c>
      <c r="I744" s="3">
        <f ca="1">'ETF price'!J746-'ETF price'!J745</f>
        <v>-0.26999999999998181</v>
      </c>
      <c r="J744" s="3">
        <f ca="1">'ETF price'!K746-'ETF price'!K745</f>
        <v>0.40999999999999659</v>
      </c>
      <c r="K744" s="3">
        <f ca="1">'ETF price'!L746-'ETF price'!L745</f>
        <v>-0.17000000000000171</v>
      </c>
      <c r="L744" s="3">
        <f ca="1">'ETF price'!M746-'ETF price'!M745</f>
        <v>-1.0000000000005116E-2</v>
      </c>
      <c r="M744" s="3">
        <f ca="1">'ETF price'!N746-'ETF price'!N745</f>
        <v>-9.0000000000003411E-2</v>
      </c>
      <c r="N744" s="3">
        <f ca="1">'ETF price'!O746-'ETF price'!O745</f>
        <v>-0.15999999999999659</v>
      </c>
      <c r="O744" s="3">
        <f ca="1">'ETF price'!P746-'ETF price'!P745</f>
        <v>-2.5600000000000023</v>
      </c>
      <c r="P744" s="3">
        <f ca="1">'ETF price'!Q746-'ETF price'!Q745</f>
        <v>-1</v>
      </c>
      <c r="Q744" s="3">
        <f ca="1">'ETF price'!R746-'ETF price'!R745</f>
        <v>-0.48999999999999488</v>
      </c>
      <c r="R744" s="3">
        <f ca="1">'ETF price'!S746-'ETF price'!S745</f>
        <v>-1.1199999999999974</v>
      </c>
      <c r="S744" s="3">
        <f ca="1">'ETF price'!T746-'ETF price'!T745</f>
        <v>-0.15000000000000213</v>
      </c>
      <c r="T744" s="3">
        <f ca="1">'ETF price'!U746-'ETF price'!U745</f>
        <v>-0.40000000000000568</v>
      </c>
      <c r="U744" s="3">
        <f ca="1">'ETF price'!V746-'ETF price'!V745</f>
        <v>0.47000000000000597</v>
      </c>
      <c r="V744" s="3">
        <f ca="1">'ETF price'!W746-'ETF price'!W745</f>
        <v>-0.35000000000000142</v>
      </c>
      <c r="W744" s="3">
        <f ca="1">'ETF price'!X746-'ETF price'!X745</f>
        <v>-1.1499999999999915</v>
      </c>
      <c r="X744" s="3">
        <f ca="1">'ETF price'!Y746-'ETF price'!Y745</f>
        <v>-1.2299999999999969</v>
      </c>
      <c r="Y744" s="3">
        <f ca="1">'ETF price'!Z746-'ETF price'!Z745</f>
        <v>-3.8799999999999955</v>
      </c>
      <c r="Z744" s="3">
        <f ca="1">'ETF price'!AA746-'ETF price'!AA745</f>
        <v>-0.18999999999999773</v>
      </c>
      <c r="AA744" s="3">
        <f ca="1">'ETF price'!AB746-'ETF price'!AB745</f>
        <v>-1.5300000000000011</v>
      </c>
      <c r="AB744" s="3">
        <f ca="1">'ETF price'!AC746-'ETF price'!AC745</f>
        <v>1.1299999999999955</v>
      </c>
      <c r="AC744" s="3">
        <f ca="1">'ETF price'!AD746-'ETF price'!AD745</f>
        <v>-0.25</v>
      </c>
      <c r="AD744" s="3">
        <f ca="1">'ETF price'!AE746-'ETF price'!AE745</f>
        <v>0.23000000000000043</v>
      </c>
      <c r="AE744" s="3">
        <f ca="1">'ETF price'!AF746-'ETF price'!AF745</f>
        <v>-0.14999999999999947</v>
      </c>
      <c r="AF744" s="3">
        <f ca="1">'ETF price'!AG746-'ETF price'!AG745</f>
        <v>-1.0699999999999932</v>
      </c>
    </row>
    <row r="745" spans="1:32" ht="12.75" x14ac:dyDescent="0.2">
      <c r="A745" s="3">
        <f ca="1">'ETF price'!B747-'ETF price'!B746</f>
        <v>-7.7399999999999807</v>
      </c>
      <c r="B745" s="3">
        <f ca="1">'ETF price'!C747-'ETF price'!C746</f>
        <v>-22.720000000000027</v>
      </c>
      <c r="C745" s="3">
        <f ca="1">'ETF price'!D747-'ETF price'!D746</f>
        <v>1.6899999999999977</v>
      </c>
      <c r="D745" s="3">
        <f ca="1">'ETF price'!E747-'ETF price'!E746</f>
        <v>-8.2800000000000011</v>
      </c>
      <c r="E745" s="3">
        <f ca="1">'ETF price'!F747-'ETF price'!F746</f>
        <v>-3.6599999999999966</v>
      </c>
      <c r="F745" s="3">
        <f ca="1">'ETF price'!G747-'ETF price'!G746</f>
        <v>-1.0599999999999952</v>
      </c>
      <c r="G745" s="3">
        <f ca="1">'ETF price'!H747-'ETF price'!H746</f>
        <v>-1.0399999999999956</v>
      </c>
      <c r="H745" s="3">
        <f ca="1">'ETF price'!I747-'ETF price'!I746</f>
        <v>-1.8900000000000148</v>
      </c>
      <c r="I745" s="3">
        <f ca="1">'ETF price'!J747-'ETF price'!J746</f>
        <v>-5.3600000000000136</v>
      </c>
      <c r="J745" s="3">
        <f ca="1">'ETF price'!K747-'ETF price'!K746</f>
        <v>-5.3400000000000034</v>
      </c>
      <c r="K745" s="3">
        <f ca="1">'ETF price'!L747-'ETF price'!L746</f>
        <v>-4.6599999999999966</v>
      </c>
      <c r="L745" s="3">
        <f ca="1">'ETF price'!M747-'ETF price'!M746</f>
        <v>-2.7999999999999972</v>
      </c>
      <c r="M745" s="3">
        <f ca="1">'ETF price'!N747-'ETF price'!N746</f>
        <v>-1.1599999999999966</v>
      </c>
      <c r="N745" s="3">
        <f ca="1">'ETF price'!O747-'ETF price'!O746</f>
        <v>-2.3299999999999983</v>
      </c>
      <c r="O745" s="3">
        <f ca="1">'ETF price'!P747-'ETF price'!P746</f>
        <v>-0.73000000000000398</v>
      </c>
      <c r="P745" s="3">
        <f ca="1">'ETF price'!Q747-'ETF price'!Q746</f>
        <v>-4.3599999999999994</v>
      </c>
      <c r="Q745" s="3">
        <f ca="1">'ETF price'!R747-'ETF price'!R746</f>
        <v>-2.5</v>
      </c>
      <c r="R745" s="3">
        <f ca="1">'ETF price'!S747-'ETF price'!S746</f>
        <v>-2.2800000000000011</v>
      </c>
      <c r="S745" s="3">
        <f ca="1">'ETF price'!T747-'ETF price'!T746</f>
        <v>-0.19999999999999929</v>
      </c>
      <c r="T745" s="3">
        <f ca="1">'ETF price'!U747-'ETF price'!U746</f>
        <v>-0.35999999999999943</v>
      </c>
      <c r="U745" s="3">
        <f ca="1">'ETF price'!V747-'ETF price'!V746</f>
        <v>-1.1000000000000014</v>
      </c>
      <c r="V745" s="3">
        <f ca="1">'ETF price'!W747-'ETF price'!W746</f>
        <v>-1.4699999999999989</v>
      </c>
      <c r="W745" s="3">
        <f ca="1">'ETF price'!X747-'ETF price'!X746</f>
        <v>-4.7199999999999989</v>
      </c>
      <c r="X745" s="3">
        <f ca="1">'ETF price'!Y747-'ETF price'!Y746</f>
        <v>-2.9200000000000017</v>
      </c>
      <c r="Y745" s="3">
        <f ca="1">'ETF price'!Z747-'ETF price'!Z746</f>
        <v>0.18999999999999773</v>
      </c>
      <c r="Z745" s="3">
        <f ca="1">'ETF price'!AA747-'ETF price'!AA746</f>
        <v>-1.6600000000000037</v>
      </c>
      <c r="AA745" s="3">
        <f ca="1">'ETF price'!AB747-'ETF price'!AB746</f>
        <v>-3.3000000000000043</v>
      </c>
      <c r="AB745" s="3">
        <f ca="1">'ETF price'!AC747-'ETF price'!AC746</f>
        <v>0.17000000000000171</v>
      </c>
      <c r="AC745" s="3">
        <f ca="1">'ETF price'!AD747-'ETF price'!AD746</f>
        <v>-1.620000000000001</v>
      </c>
      <c r="AD745" s="3">
        <f ca="1">'ETF price'!AE747-'ETF price'!AE746</f>
        <v>-1.620000000000001</v>
      </c>
      <c r="AE745" s="3">
        <f ca="1">'ETF price'!AF747-'ETF price'!AF746</f>
        <v>0.26000000000000068</v>
      </c>
      <c r="AF745" s="3">
        <f ca="1">'ETF price'!AG747-'ETF price'!AG746</f>
        <v>-8.1300000000000097</v>
      </c>
    </row>
    <row r="746" spans="1:32" ht="12.75" x14ac:dyDescent="0.2">
      <c r="A746" s="3">
        <f ca="1">'ETF price'!B748-'ETF price'!B747</f>
        <v>0.25</v>
      </c>
      <c r="B746" s="3">
        <f ca="1">'ETF price'!C748-'ETF price'!C747</f>
        <v>0.52999999999997272</v>
      </c>
      <c r="C746" s="3">
        <f ca="1">'ETF price'!D748-'ETF price'!D747</f>
        <v>1.6500000000000057</v>
      </c>
      <c r="D746" s="3">
        <f ca="1">'ETF price'!E748-'ETF price'!E747</f>
        <v>-3.6200000000000045</v>
      </c>
      <c r="E746" s="3">
        <f ca="1">'ETF price'!F748-'ETF price'!F747</f>
        <v>-0.23000000000000398</v>
      </c>
      <c r="F746" s="3">
        <f ca="1">'ETF price'!G748-'ETF price'!G747</f>
        <v>-0.26000000000000156</v>
      </c>
      <c r="G746" s="3">
        <f ca="1">'ETF price'!H748-'ETF price'!H747</f>
        <v>-8.0000000000001847E-2</v>
      </c>
      <c r="H746" s="3">
        <f ca="1">'ETF price'!I748-'ETF price'!I747</f>
        <v>-1.039999999999992</v>
      </c>
      <c r="I746" s="3">
        <f ca="1">'ETF price'!J748-'ETF price'!J747</f>
        <v>-1.75</v>
      </c>
      <c r="J746" s="3">
        <f ca="1">'ETF price'!K748-'ETF price'!K747</f>
        <v>-1.1099999999999852</v>
      </c>
      <c r="K746" s="3">
        <f ca="1">'ETF price'!L748-'ETF price'!L747</f>
        <v>-0.12000000000000455</v>
      </c>
      <c r="L746" s="3">
        <f ca="1">'ETF price'!M748-'ETF price'!M747</f>
        <v>0.25</v>
      </c>
      <c r="M746" s="3">
        <f ca="1">'ETF price'!N748-'ETF price'!N747</f>
        <v>-0.40000000000000568</v>
      </c>
      <c r="N746" s="3">
        <f ca="1">'ETF price'!O748-'ETF price'!O747</f>
        <v>-4.0000000000006253E-2</v>
      </c>
      <c r="O746" s="3">
        <f ca="1">'ETF price'!P748-'ETF price'!P747</f>
        <v>0.82000000000000739</v>
      </c>
      <c r="P746" s="3">
        <f ca="1">'ETF price'!Q748-'ETF price'!Q747</f>
        <v>-1.0699999999999932</v>
      </c>
      <c r="Q746" s="3">
        <f ca="1">'ETF price'!R748-'ETF price'!R747</f>
        <v>-0.92000000000000171</v>
      </c>
      <c r="R746" s="3">
        <f ca="1">'ETF price'!S748-'ETF price'!S747</f>
        <v>-0.67000000000000171</v>
      </c>
      <c r="S746" s="3">
        <f ca="1">'ETF price'!T748-'ETF price'!T747</f>
        <v>0</v>
      </c>
      <c r="T746" s="3">
        <f ca="1">'ETF price'!U748-'ETF price'!U747</f>
        <v>-0.32999999999999829</v>
      </c>
      <c r="U746" s="3">
        <f ca="1">'ETF price'!V748-'ETF price'!V747</f>
        <v>-0.96999999999999886</v>
      </c>
      <c r="V746" s="3">
        <f ca="1">'ETF price'!W748-'ETF price'!W747</f>
        <v>0.1699999999999946</v>
      </c>
      <c r="W746" s="3">
        <f ca="1">'ETF price'!X748-'ETF price'!X747</f>
        <v>0.35999999999999943</v>
      </c>
      <c r="X746" s="3">
        <f ca="1">'ETF price'!Y748-'ETF price'!Y747</f>
        <v>-0.29999999999999716</v>
      </c>
      <c r="Y746" s="3">
        <f ca="1">'ETF price'!Z748-'ETF price'!Z747</f>
        <v>1.6500000000000057</v>
      </c>
      <c r="Z746" s="3">
        <f ca="1">'ETF price'!AA748-'ETF price'!AA747</f>
        <v>-0.69999999999999574</v>
      </c>
      <c r="AA746" s="3">
        <f ca="1">'ETF price'!AB748-'ETF price'!AB747</f>
        <v>-0.53000000000000114</v>
      </c>
      <c r="AB746" s="3">
        <f ca="1">'ETF price'!AC748-'ETF price'!AC747</f>
        <v>1.039999999999992</v>
      </c>
      <c r="AC746" s="3">
        <f ca="1">'ETF price'!AD748-'ETF price'!AD747</f>
        <v>-1.5</v>
      </c>
      <c r="AD746" s="3">
        <f ca="1">'ETF price'!AE748-'ETF price'!AE747</f>
        <v>-1.0800000000000018</v>
      </c>
      <c r="AE746" s="3">
        <f ca="1">'ETF price'!AF748-'ETF price'!AF747</f>
        <v>-8.0000000000000071E-2</v>
      </c>
      <c r="AF746" s="3">
        <f ca="1">'ETF price'!AG748-'ETF price'!AG747</f>
        <v>-3</v>
      </c>
    </row>
    <row r="747" spans="1:32" ht="12.75" x14ac:dyDescent="0.2">
      <c r="A747" s="3">
        <f ca="1">'ETF price'!B749-'ETF price'!B748</f>
        <v>3.4699999999999989</v>
      </c>
      <c r="B747" s="3">
        <f ca="1">'ETF price'!C749-'ETF price'!C748</f>
        <v>9.82000000000005</v>
      </c>
      <c r="C747" s="3">
        <f ca="1">'ETF price'!D749-'ETF price'!D748</f>
        <v>5.9999999999973852E-2</v>
      </c>
      <c r="D747" s="3">
        <f ca="1">'ETF price'!E749-'ETF price'!E748</f>
        <v>2.8499999999999943</v>
      </c>
      <c r="E747" s="3">
        <f ca="1">'ETF price'!F749-'ETF price'!F748</f>
        <v>0.78999999999999204</v>
      </c>
      <c r="F747" s="3">
        <f ca="1">'ETF price'!G749-'ETF price'!G748</f>
        <v>0.48999999999999844</v>
      </c>
      <c r="G747" s="3">
        <f ca="1">'ETF price'!H749-'ETF price'!H748</f>
        <v>0.42999999999999972</v>
      </c>
      <c r="H747" s="3">
        <f ca="1">'ETF price'!I749-'ETF price'!I748</f>
        <v>1.7199999999999989</v>
      </c>
      <c r="I747" s="3">
        <f ca="1">'ETF price'!J749-'ETF price'!J748</f>
        <v>3.0799999999999841</v>
      </c>
      <c r="J747" s="3">
        <f ca="1">'ETF price'!K749-'ETF price'!K748</f>
        <v>1.5199999999999818</v>
      </c>
      <c r="K747" s="3">
        <f ca="1">'ETF price'!L749-'ETF price'!L748</f>
        <v>1.4699999999999989</v>
      </c>
      <c r="L747" s="3">
        <f ca="1">'ETF price'!M749-'ETF price'!M748</f>
        <v>0.96999999999999886</v>
      </c>
      <c r="M747" s="3">
        <f ca="1">'ETF price'!N749-'ETF price'!N748</f>
        <v>0.56000000000000227</v>
      </c>
      <c r="N747" s="3">
        <f ca="1">'ETF price'!O749-'ETF price'!O748</f>
        <v>0.76000000000000512</v>
      </c>
      <c r="O747" s="3">
        <f ca="1">'ETF price'!P749-'ETF price'!P748</f>
        <v>-0.20999999999999375</v>
      </c>
      <c r="P747" s="3">
        <f ca="1">'ETF price'!Q749-'ETF price'!Q748</f>
        <v>1.0699999999999932</v>
      </c>
      <c r="Q747" s="3">
        <f ca="1">'ETF price'!R749-'ETF price'!R748</f>
        <v>1.0499999999999972</v>
      </c>
      <c r="R747" s="3">
        <f ca="1">'ETF price'!S749-'ETF price'!S748</f>
        <v>-0.25999999999999801</v>
      </c>
      <c r="S747" s="3">
        <f ca="1">'ETF price'!T749-'ETF price'!T748</f>
        <v>0.14000000000000057</v>
      </c>
      <c r="T747" s="3">
        <f ca="1">'ETF price'!U749-'ETF price'!U748</f>
        <v>0.48999999999999488</v>
      </c>
      <c r="U747" s="3">
        <f ca="1">'ETF price'!V749-'ETF price'!V748</f>
        <v>0.97999999999999687</v>
      </c>
      <c r="V747" s="3">
        <f ca="1">'ETF price'!W749-'ETF price'!W748</f>
        <v>0.71000000000000085</v>
      </c>
      <c r="W747" s="3">
        <f ca="1">'ETF price'!X749-'ETF price'!X748</f>
        <v>1.6199999999999903</v>
      </c>
      <c r="X747" s="3">
        <f ca="1">'ETF price'!Y749-'ETF price'!Y748</f>
        <v>0.89000000000000057</v>
      </c>
      <c r="Y747" s="3">
        <f ca="1">'ETF price'!Z749-'ETF price'!Z748</f>
        <v>0.34999999999999432</v>
      </c>
      <c r="Z747" s="3">
        <f ca="1">'ETF price'!AA749-'ETF price'!AA748</f>
        <v>0.72999999999999687</v>
      </c>
      <c r="AA747" s="3">
        <f ca="1">'ETF price'!AB749-'ETF price'!AB748</f>
        <v>1.0800000000000054</v>
      </c>
      <c r="AB747" s="3">
        <f ca="1">'ETF price'!AC749-'ETF price'!AC748</f>
        <v>0.18000000000000682</v>
      </c>
      <c r="AC747" s="3">
        <f ca="1">'ETF price'!AD749-'ETF price'!AD748</f>
        <v>0.21999999999999886</v>
      </c>
      <c r="AD747" s="3">
        <f ca="1">'ETF price'!AE749-'ETF price'!AE748</f>
        <v>0</v>
      </c>
      <c r="AE747" s="3">
        <f ca="1">'ETF price'!AF749-'ETF price'!AF748</f>
        <v>0.29999999999999893</v>
      </c>
      <c r="AF747" s="3">
        <f ca="1">'ETF price'!AG749-'ETF price'!AG748</f>
        <v>0.69000000000000483</v>
      </c>
    </row>
    <row r="748" spans="1:32" ht="12.75" x14ac:dyDescent="0.2">
      <c r="A748" s="3">
        <f ca="1">'ETF price'!B750-'ETF price'!B749</f>
        <v>2.1099999999999852</v>
      </c>
      <c r="B748" s="3">
        <f ca="1">'ETF price'!C750-'ETF price'!C749</f>
        <v>5.8400000000000318</v>
      </c>
      <c r="C748" s="3">
        <f ca="1">'ETF price'!D750-'ETF price'!D749</f>
        <v>-2.4599999999999795</v>
      </c>
      <c r="D748" s="3">
        <f ca="1">'ETF price'!E750-'ETF price'!E749</f>
        <v>6.5</v>
      </c>
      <c r="E748" s="3">
        <f ca="1">'ETF price'!F750-'ETF price'!F749</f>
        <v>0.62000000000000455</v>
      </c>
      <c r="F748" s="3">
        <f ca="1">'ETF price'!G750-'ETF price'!G749</f>
        <v>9.0000000000003411E-2</v>
      </c>
      <c r="G748" s="3">
        <f ca="1">'ETF price'!H750-'ETF price'!H749</f>
        <v>3.0000000000001137E-2</v>
      </c>
      <c r="H748" s="3">
        <f ca="1">'ETF price'!I750-'ETF price'!I749</f>
        <v>0.75</v>
      </c>
      <c r="I748" s="3">
        <f ca="1">'ETF price'!J750-'ETF price'!J749</f>
        <v>2.3000000000000114</v>
      </c>
      <c r="J748" s="3">
        <f ca="1">'ETF price'!K750-'ETF price'!K749</f>
        <v>0.88000000000002387</v>
      </c>
      <c r="K748" s="3">
        <f ca="1">'ETF price'!L750-'ETF price'!L749</f>
        <v>0.60999999999999943</v>
      </c>
      <c r="L748" s="3">
        <f ca="1">'ETF price'!M750-'ETF price'!M749</f>
        <v>0.31000000000000227</v>
      </c>
      <c r="M748" s="3">
        <f ca="1">'ETF price'!N750-'ETF price'!N749</f>
        <v>0.65000000000000568</v>
      </c>
      <c r="N748" s="3">
        <f ca="1">'ETF price'!O750-'ETF price'!O749</f>
        <v>0.11999999999999744</v>
      </c>
      <c r="O748" s="3">
        <f ca="1">'ETF price'!P750-'ETF price'!P749</f>
        <v>0.70999999999999375</v>
      </c>
      <c r="P748" s="3">
        <f ca="1">'ETF price'!Q750-'ETF price'!Q749</f>
        <v>0.71999999999999886</v>
      </c>
      <c r="Q748" s="3">
        <f ca="1">'ETF price'!R750-'ETF price'!R749</f>
        <v>-0.51000000000000512</v>
      </c>
      <c r="R748" s="3">
        <f ca="1">'ETF price'!S750-'ETF price'!S749</f>
        <v>0.28000000000000114</v>
      </c>
      <c r="S748" s="3">
        <f ca="1">'ETF price'!T750-'ETF price'!T749</f>
        <v>-1.0999999999999979</v>
      </c>
      <c r="T748" s="3">
        <f ca="1">'ETF price'!U750-'ETF price'!U749</f>
        <v>-3.9999999999992042E-2</v>
      </c>
      <c r="U748" s="3">
        <f ca="1">'ETF price'!V750-'ETF price'!V749</f>
        <v>0.52000000000000313</v>
      </c>
      <c r="V748" s="3">
        <f ca="1">'ETF price'!W750-'ETF price'!W749</f>
        <v>-8.9999999999996305E-2</v>
      </c>
      <c r="W748" s="3">
        <f ca="1">'ETF price'!X750-'ETF price'!X749</f>
        <v>0.26000000000000512</v>
      </c>
      <c r="X748" s="3">
        <f ca="1">'ETF price'!Y750-'ETF price'!Y749</f>
        <v>-0.23000000000000398</v>
      </c>
      <c r="Y748" s="3">
        <f ca="1">'ETF price'!Z750-'ETF price'!Z749</f>
        <v>1.269999999999996</v>
      </c>
      <c r="Z748" s="3">
        <f ca="1">'ETF price'!AA750-'ETF price'!AA749</f>
        <v>-0.25</v>
      </c>
      <c r="AA748" s="3">
        <f ca="1">'ETF price'!AB750-'ETF price'!AB749</f>
        <v>-0.21000000000000085</v>
      </c>
      <c r="AB748" s="3">
        <f ca="1">'ETF price'!AC750-'ETF price'!AC749</f>
        <v>-0.64000000000000057</v>
      </c>
      <c r="AC748" s="3">
        <f ca="1">'ETF price'!AD750-'ETF price'!AD749</f>
        <v>-0.55000000000000071</v>
      </c>
      <c r="AD748" s="3">
        <f ca="1">'ETF price'!AE750-'ETF price'!AE749</f>
        <v>-1.9800000000000004</v>
      </c>
      <c r="AE748" s="3">
        <f ca="1">'ETF price'!AF750-'ETF price'!AF749</f>
        <v>0.16999999999999993</v>
      </c>
      <c r="AF748" s="3">
        <f ca="1">'ETF price'!AG750-'ETF price'!AG749</f>
        <v>-3.1099999999999994</v>
      </c>
    </row>
    <row r="749" spans="1:32" ht="12.75" x14ac:dyDescent="0.2">
      <c r="A749" s="3">
        <f ca="1">'ETF price'!B751-'ETF price'!B750</f>
        <v>2.460000000000008</v>
      </c>
      <c r="B749" s="3">
        <f ca="1">'ETF price'!C751-'ETF price'!C750</f>
        <v>7</v>
      </c>
      <c r="C749" s="3">
        <f ca="1">'ETF price'!D751-'ETF price'!D750</f>
        <v>-1.960000000000008</v>
      </c>
      <c r="D749" s="3">
        <f ca="1">'ETF price'!E751-'ETF price'!E750</f>
        <v>2.2800000000000011</v>
      </c>
      <c r="E749" s="3">
        <f ca="1">'ETF price'!F751-'ETF price'!F750</f>
        <v>0.57999999999999829</v>
      </c>
      <c r="F749" s="3">
        <f ca="1">'ETF price'!G751-'ETF price'!G750</f>
        <v>0.25999999999999801</v>
      </c>
      <c r="G749" s="3">
        <f ca="1">'ETF price'!H751-'ETF price'!H750</f>
        <v>0.25</v>
      </c>
      <c r="H749" s="3">
        <f ca="1">'ETF price'!I751-'ETF price'!I750</f>
        <v>0.56999999999999318</v>
      </c>
      <c r="I749" s="3">
        <f ca="1">'ETF price'!J751-'ETF price'!J750</f>
        <v>0.83999999999997499</v>
      </c>
      <c r="J749" s="3">
        <f ca="1">'ETF price'!K751-'ETF price'!K750</f>
        <v>0.33999999999997499</v>
      </c>
      <c r="K749" s="3">
        <f ca="1">'ETF price'!L751-'ETF price'!L750</f>
        <v>9.0000000000003411E-2</v>
      </c>
      <c r="L749" s="3">
        <f ca="1">'ETF price'!M751-'ETF price'!M750</f>
        <v>-7.000000000000739E-2</v>
      </c>
      <c r="M749" s="3">
        <f ca="1">'ETF price'!N751-'ETF price'!N750</f>
        <v>0.14999999999999147</v>
      </c>
      <c r="N749" s="3">
        <f ca="1">'ETF price'!O751-'ETF price'!O750</f>
        <v>0.20000000000000284</v>
      </c>
      <c r="O749" s="3">
        <f ca="1">'ETF price'!P751-'ETF price'!P750</f>
        <v>-7.000000000000739E-2</v>
      </c>
      <c r="P749" s="3">
        <f ca="1">'ETF price'!Q751-'ETF price'!Q750</f>
        <v>0.9100000000000108</v>
      </c>
      <c r="Q749" s="3">
        <f ca="1">'ETF price'!R751-'ETF price'!R750</f>
        <v>0.46000000000000796</v>
      </c>
      <c r="R749" s="3">
        <f ca="1">'ETF price'!S751-'ETF price'!S750</f>
        <v>0.17000000000000171</v>
      </c>
      <c r="S749" s="3">
        <f ca="1">'ETF price'!T751-'ETF price'!T750</f>
        <v>0.11999999999999744</v>
      </c>
      <c r="T749" s="3">
        <f ca="1">'ETF price'!U751-'ETF price'!U750</f>
        <v>0.59000000000000341</v>
      </c>
      <c r="U749" s="3">
        <f ca="1">'ETF price'!V751-'ETF price'!V750</f>
        <v>0.36999999999999744</v>
      </c>
      <c r="V749" s="3">
        <f ca="1">'ETF price'!W751-'ETF price'!W750</f>
        <v>0.57000000000000028</v>
      </c>
      <c r="W749" s="3">
        <f ca="1">'ETF price'!X751-'ETF price'!X750</f>
        <v>1.5</v>
      </c>
      <c r="X749" s="3">
        <f ca="1">'ETF price'!Y751-'ETF price'!Y750</f>
        <v>0.46999999999999886</v>
      </c>
      <c r="Y749" s="3">
        <f ca="1">'ETF price'!Z751-'ETF price'!Z750</f>
        <v>0.32000000000000739</v>
      </c>
      <c r="Z749" s="3">
        <f ca="1">'ETF price'!AA751-'ETF price'!AA750</f>
        <v>0.27000000000000313</v>
      </c>
      <c r="AA749" s="3">
        <f ca="1">'ETF price'!AB751-'ETF price'!AB750</f>
        <v>0.43999999999999773</v>
      </c>
      <c r="AB749" s="3">
        <f ca="1">'ETF price'!AC751-'ETF price'!AC750</f>
        <v>-0.79000000000000625</v>
      </c>
      <c r="AC749" s="3">
        <f ca="1">'ETF price'!AD751-'ETF price'!AD750</f>
        <v>-6.7499999999999982</v>
      </c>
      <c r="AD749" s="3">
        <f ca="1">'ETF price'!AE751-'ETF price'!AE750</f>
        <v>1.5100000000000016</v>
      </c>
      <c r="AE749" s="3">
        <f ca="1">'ETF price'!AF751-'ETF price'!AF750</f>
        <v>-0.30999999999999872</v>
      </c>
      <c r="AF749" s="3">
        <f ca="1">'ETF price'!AG751-'ETF price'!AG750</f>
        <v>3.259999999999998</v>
      </c>
    </row>
    <row r="750" spans="1:32" ht="12.75" x14ac:dyDescent="0.2">
      <c r="A750" s="3">
        <f ca="1">'ETF price'!B752-'ETF price'!B751</f>
        <v>0.15999999999999659</v>
      </c>
      <c r="B750" s="3">
        <f ca="1">'ETF price'!C752-'ETF price'!C751</f>
        <v>1.1200000000000045</v>
      </c>
      <c r="C750" s="3">
        <f ca="1">'ETF price'!D752-'ETF price'!D751</f>
        <v>-1.4799999999999898</v>
      </c>
      <c r="D750" s="3">
        <f ca="1">'ETF price'!E752-'ETF price'!E751</f>
        <v>-6.9999999999993179E-2</v>
      </c>
      <c r="E750" s="3">
        <f ca="1">'ETF price'!F752-'ETF price'!F751</f>
        <v>0.48000000000000398</v>
      </c>
      <c r="F750" s="3">
        <f ca="1">'ETF price'!G752-'ETF price'!G751</f>
        <v>0.28000000000000114</v>
      </c>
      <c r="G750" s="3">
        <f ca="1">'ETF price'!H752-'ETF price'!H751</f>
        <v>5.9999999999998721E-2</v>
      </c>
      <c r="H750" s="3">
        <f ca="1">'ETF price'!I752-'ETF price'!I751</f>
        <v>0.28000000000000114</v>
      </c>
      <c r="I750" s="3">
        <f ca="1">'ETF price'!J752-'ETF price'!J751</f>
        <v>0.84000000000003183</v>
      </c>
      <c r="J750" s="3">
        <f ca="1">'ETF price'!K752-'ETF price'!K751</f>
        <v>0.71999999999999886</v>
      </c>
      <c r="K750" s="3">
        <f ca="1">'ETF price'!L752-'ETF price'!L751</f>
        <v>0.67000000000000171</v>
      </c>
      <c r="L750" s="3">
        <f ca="1">'ETF price'!M752-'ETF price'!M751</f>
        <v>0.39000000000000057</v>
      </c>
      <c r="M750" s="3">
        <f ca="1">'ETF price'!N752-'ETF price'!N751</f>
        <v>0.19000000000001194</v>
      </c>
      <c r="N750" s="3">
        <f ca="1">'ETF price'!O752-'ETF price'!O751</f>
        <v>2.9999999999994031E-2</v>
      </c>
      <c r="O750" s="3">
        <f ca="1">'ETF price'!P752-'ETF price'!P751</f>
        <v>-9.9999999999909051E-3</v>
      </c>
      <c r="P750" s="3">
        <f ca="1">'ETF price'!Q752-'ETF price'!Q751</f>
        <v>-0.12000000000000455</v>
      </c>
      <c r="Q750" s="3">
        <f ca="1">'ETF price'!R752-'ETF price'!R751</f>
        <v>-0.12999999999999545</v>
      </c>
      <c r="R750" s="3">
        <f ca="1">'ETF price'!S752-'ETF price'!S751</f>
        <v>0.11999999999999744</v>
      </c>
      <c r="S750" s="3">
        <f ca="1">'ETF price'!T752-'ETF price'!T751</f>
        <v>-5.9999999999998721E-2</v>
      </c>
      <c r="T750" s="3">
        <f ca="1">'ETF price'!U752-'ETF price'!U751</f>
        <v>-0.52000000000001023</v>
      </c>
      <c r="U750" s="3">
        <f ca="1">'ETF price'!V752-'ETF price'!V751</f>
        <v>-3.9999999999999147E-2</v>
      </c>
      <c r="V750" s="3">
        <f ca="1">'ETF price'!W752-'ETF price'!W751</f>
        <v>0.11999999999999744</v>
      </c>
      <c r="W750" s="3">
        <f ca="1">'ETF price'!X752-'ETF price'!X751</f>
        <v>0.25</v>
      </c>
      <c r="X750" s="3">
        <f ca="1">'ETF price'!Y752-'ETF price'!Y751</f>
        <v>0.31000000000000227</v>
      </c>
      <c r="Y750" s="3">
        <f ca="1">'ETF price'!Z752-'ETF price'!Z751</f>
        <v>-0.84000000000000341</v>
      </c>
      <c r="Z750" s="3">
        <f ca="1">'ETF price'!AA752-'ETF price'!AA751</f>
        <v>5.9999999999995168E-2</v>
      </c>
      <c r="AA750" s="3">
        <f ca="1">'ETF price'!AB752-'ETF price'!AB751</f>
        <v>0.28999999999999915</v>
      </c>
      <c r="AB750" s="3">
        <f ca="1">'ETF price'!AC752-'ETF price'!AC751</f>
        <v>7.000000000000739E-2</v>
      </c>
      <c r="AC750" s="3">
        <f ca="1">'ETF price'!AD752-'ETF price'!AD751</f>
        <v>-0.66000000000000014</v>
      </c>
      <c r="AD750" s="3">
        <f ca="1">'ETF price'!AE752-'ETF price'!AE751</f>
        <v>-0.92000000000000171</v>
      </c>
      <c r="AE750" s="3">
        <f ca="1">'ETF price'!AF752-'ETF price'!AF751</f>
        <v>-0.47000000000000064</v>
      </c>
      <c r="AF750" s="3">
        <f ca="1">'ETF price'!AG752-'ETF price'!AG751</f>
        <v>-0.42999999999999972</v>
      </c>
    </row>
    <row r="751" spans="1:32" ht="12.75" x14ac:dyDescent="0.2">
      <c r="A751" s="3">
        <f ca="1">'ETF price'!B753-'ETF price'!B752</f>
        <v>-3.1999999999999886</v>
      </c>
      <c r="B751" s="3">
        <f ca="1">'ETF price'!C753-'ETF price'!C752</f>
        <v>-10.07000000000005</v>
      </c>
      <c r="C751" s="3">
        <f ca="1">'ETF price'!D753-'ETF price'!D752</f>
        <v>-159.52000000000001</v>
      </c>
      <c r="D751" s="3">
        <f ca="1">'ETF price'!E753-'ETF price'!E752</f>
        <v>-1.8900000000000148</v>
      </c>
      <c r="E751" s="3">
        <f ca="1">'ETF price'!F753-'ETF price'!F752</f>
        <v>-0.79000000000000625</v>
      </c>
      <c r="F751" s="3">
        <f ca="1">'ETF price'!G753-'ETF price'!G752</f>
        <v>-0.39999999999999858</v>
      </c>
      <c r="G751" s="3">
        <f ca="1">'ETF price'!H753-'ETF price'!H752</f>
        <v>-0.37999999999999901</v>
      </c>
      <c r="H751" s="3">
        <f ca="1">'ETF price'!I753-'ETF price'!I752</f>
        <v>-0.65000000000000568</v>
      </c>
      <c r="I751" s="3">
        <f ca="1">'ETF price'!J753-'ETF price'!J752</f>
        <v>-1.4900000000000091</v>
      </c>
      <c r="J751" s="3">
        <f ca="1">'ETF price'!K753-'ETF price'!K752</f>
        <v>-1.1499999999999773</v>
      </c>
      <c r="K751" s="3">
        <f ca="1">'ETF price'!L753-'ETF price'!L752</f>
        <v>-1.3000000000000114</v>
      </c>
      <c r="L751" s="3">
        <f ca="1">'ETF price'!M753-'ETF price'!M752</f>
        <v>-0.51999999999999602</v>
      </c>
      <c r="M751" s="3">
        <f ca="1">'ETF price'!N753-'ETF price'!N752</f>
        <v>-0.31000000000000227</v>
      </c>
      <c r="N751" s="3">
        <f ca="1">'ETF price'!O753-'ETF price'!O752</f>
        <v>-0.56999999999999318</v>
      </c>
      <c r="O751" s="3">
        <f ca="1">'ETF price'!P753-'ETF price'!P752</f>
        <v>-1.0000000000005116E-2</v>
      </c>
      <c r="P751" s="3">
        <f ca="1">'ETF price'!Q753-'ETF price'!Q752</f>
        <v>1.9999999999996021E-2</v>
      </c>
      <c r="Q751" s="3">
        <f ca="1">'ETF price'!R753-'ETF price'!R752</f>
        <v>-0.46000000000000796</v>
      </c>
      <c r="R751" s="3">
        <f ca="1">'ETF price'!S753-'ETF price'!S752</f>
        <v>-0.70000000000000284</v>
      </c>
      <c r="S751" s="3">
        <f ca="1">'ETF price'!T753-'ETF price'!T752</f>
        <v>9.9999999999997868E-2</v>
      </c>
      <c r="T751" s="3">
        <f ca="1">'ETF price'!U753-'ETF price'!U752</f>
        <v>0.71999999999999886</v>
      </c>
      <c r="U751" s="3">
        <f ca="1">'ETF price'!V753-'ETF price'!V752</f>
        <v>-0.43999999999999773</v>
      </c>
      <c r="V751" s="3">
        <f ca="1">'ETF price'!W753-'ETF price'!W752</f>
        <v>-0.35999999999999943</v>
      </c>
      <c r="W751" s="3">
        <f ca="1">'ETF price'!X753-'ETF price'!X752</f>
        <v>-0.84000000000000341</v>
      </c>
      <c r="X751" s="3">
        <f ca="1">'ETF price'!Y753-'ETF price'!Y752</f>
        <v>-0.67000000000000171</v>
      </c>
      <c r="Y751" s="3">
        <f ca="1">'ETF price'!Z753-'ETF price'!Z752</f>
        <v>-0.98000000000000398</v>
      </c>
      <c r="Z751" s="3">
        <f ca="1">'ETF price'!AA753-'ETF price'!AA752</f>
        <v>-0.32999999999999829</v>
      </c>
      <c r="AA751" s="3">
        <f ca="1">'ETF price'!AB753-'ETF price'!AB752</f>
        <v>-0.75999999999999801</v>
      </c>
      <c r="AB751" s="3">
        <f ca="1">'ETF price'!AC753-'ETF price'!AC752</f>
        <v>-77.81</v>
      </c>
      <c r="AC751" s="3">
        <f ca="1">'ETF price'!AD753-'ETF price'!AD752</f>
        <v>-8.0000000000000071E-2</v>
      </c>
      <c r="AD751" s="3">
        <f ca="1">'ETF price'!AE753-'ETF price'!AE752</f>
        <v>-0.26999999999999957</v>
      </c>
      <c r="AE751" s="3">
        <f ca="1">'ETF price'!AF753-'ETF price'!AF752</f>
        <v>-0.45000000000000018</v>
      </c>
      <c r="AF751" s="3">
        <f ca="1">'ETF price'!AG753-'ETF price'!AG752</f>
        <v>-2.9100000000000037</v>
      </c>
    </row>
    <row r="752" spans="1:32" ht="12.75" x14ac:dyDescent="0.2">
      <c r="A752" s="3">
        <f ca="1">'ETF price'!B754-'ETF price'!B753</f>
        <v>-3.0200000000000102</v>
      </c>
      <c r="B752" s="3">
        <f ca="1">'ETF price'!C754-'ETF price'!C753</f>
        <v>-7.92999999999995</v>
      </c>
      <c r="C752" s="3">
        <f>'ETF price'!D754-'ETF price'!D753</f>
        <v>0</v>
      </c>
      <c r="D752" s="3">
        <f ca="1">'ETF price'!E754-'ETF price'!E753</f>
        <v>-4.3599999999999852</v>
      </c>
      <c r="E752" s="3">
        <f ca="1">'ETF price'!F754-'ETF price'!F753</f>
        <v>-1.019999999999996</v>
      </c>
      <c r="F752" s="3">
        <f ca="1">'ETF price'!G754-'ETF price'!G753</f>
        <v>-0.30000000000000426</v>
      </c>
      <c r="G752" s="3">
        <f ca="1">'ETF price'!H754-'ETF price'!H753</f>
        <v>-0.41000000000000014</v>
      </c>
      <c r="H752" s="3">
        <f ca="1">'ETF price'!I754-'ETF price'!I753</f>
        <v>-1.7099999999999795</v>
      </c>
      <c r="I752" s="3">
        <f ca="1">'ETF price'!J754-'ETF price'!J753</f>
        <v>-3.1999999999999886</v>
      </c>
      <c r="J752" s="3">
        <f ca="1">'ETF price'!K754-'ETF price'!K753</f>
        <v>-1.8500000000000227</v>
      </c>
      <c r="K752" s="3">
        <f ca="1">'ETF price'!L754-'ETF price'!L753</f>
        <v>-1.4599999999999937</v>
      </c>
      <c r="L752" s="3">
        <f ca="1">'ETF price'!M754-'ETF price'!M753</f>
        <v>-0.84000000000000341</v>
      </c>
      <c r="M752" s="3">
        <f ca="1">'ETF price'!N754-'ETF price'!N753</f>
        <v>-0.81000000000000227</v>
      </c>
      <c r="N752" s="3">
        <f ca="1">'ETF price'!O754-'ETF price'!O753</f>
        <v>-0.66000000000000369</v>
      </c>
      <c r="O752" s="3">
        <f ca="1">'ETF price'!P754-'ETF price'!P753</f>
        <v>1.1099999999999994</v>
      </c>
      <c r="P752" s="3">
        <f ca="1">'ETF price'!Q754-'ETF price'!Q753</f>
        <v>0.38000000000000966</v>
      </c>
      <c r="Q752" s="3">
        <f ca="1">'ETF price'!R754-'ETF price'!R753</f>
        <v>-1.1400000000000006</v>
      </c>
      <c r="R752" s="3">
        <f ca="1">'ETF price'!S754-'ETF price'!S753</f>
        <v>-0.4199999999999946</v>
      </c>
      <c r="S752" s="3">
        <f ca="1">'ETF price'!T754-'ETF price'!T753</f>
        <v>0.19000000000000128</v>
      </c>
      <c r="T752" s="3">
        <f ca="1">'ETF price'!U754-'ETF price'!U753</f>
        <v>0.96999999999999886</v>
      </c>
      <c r="U752" s="3">
        <f ca="1">'ETF price'!V754-'ETF price'!V753</f>
        <v>-0.3300000000000054</v>
      </c>
      <c r="V752" s="3">
        <f ca="1">'ETF price'!W754-'ETF price'!W753</f>
        <v>-0.46999999999999886</v>
      </c>
      <c r="W752" s="3">
        <f ca="1">'ETF price'!X754-'ETF price'!X753</f>
        <v>-1.2199999999999989</v>
      </c>
      <c r="X752" s="3">
        <f ca="1">'ETF price'!Y754-'ETF price'!Y753</f>
        <v>-0.22999999999999687</v>
      </c>
      <c r="Y752" s="3">
        <f ca="1">'ETF price'!Z754-'ETF price'!Z753</f>
        <v>1.0000000000005116E-2</v>
      </c>
      <c r="Z752" s="3">
        <f ca="1">'ETF price'!AA754-'ETF price'!AA753</f>
        <v>-0.18999999999999773</v>
      </c>
      <c r="AA752" s="3">
        <f ca="1">'ETF price'!AB754-'ETF price'!AB753</f>
        <v>-0.14999999999999858</v>
      </c>
      <c r="AB752" s="3">
        <f>'ETF price'!AC754-'ETF price'!AC753</f>
        <v>0</v>
      </c>
      <c r="AC752" s="3">
        <f ca="1">'ETF price'!AD754-'ETF price'!AD753</f>
        <v>0.10999999999999943</v>
      </c>
      <c r="AD752" s="3">
        <f ca="1">'ETF price'!AE754-'ETF price'!AE753</f>
        <v>-7.0000000000000284E-2</v>
      </c>
      <c r="AE752" s="3">
        <f ca="1">'ETF price'!AF754-'ETF price'!AF753</f>
        <v>0.23000000000000043</v>
      </c>
      <c r="AF752" s="3">
        <f ca="1">'ETF price'!AG754-'ETF price'!AG753</f>
        <v>-5.6199999999999974</v>
      </c>
    </row>
    <row r="753" spans="1:32" ht="12.75" x14ac:dyDescent="0.2">
      <c r="A753" s="3">
        <f ca="1">'ETF price'!B755-'ETF price'!B754</f>
        <v>-1.9499999999999886</v>
      </c>
      <c r="B753" s="3">
        <f ca="1">'ETF price'!C755-'ETF price'!C754</f>
        <v>-5.7700000000000955</v>
      </c>
      <c r="C753" s="3">
        <f>'ETF price'!D755-'ETF price'!D754</f>
        <v>0</v>
      </c>
      <c r="D753" s="3">
        <f ca="1">'ETF price'!E755-'ETF price'!E754</f>
        <v>-1.789999999999992</v>
      </c>
      <c r="E753" s="3">
        <f ca="1">'ETF price'!F755-'ETF price'!F754</f>
        <v>-0.34000000000000341</v>
      </c>
      <c r="F753" s="3">
        <f ca="1">'ETF price'!G755-'ETF price'!G754</f>
        <v>-0.26999999999999957</v>
      </c>
      <c r="G753" s="3">
        <f ca="1">'ETF price'!H755-'ETF price'!H754</f>
        <v>-3.0000000000001137E-2</v>
      </c>
      <c r="H753" s="3">
        <f ca="1">'ETF price'!I755-'ETF price'!I754</f>
        <v>0.32999999999998408</v>
      </c>
      <c r="I753" s="3">
        <f ca="1">'ETF price'!J755-'ETF price'!J754</f>
        <v>0.50999999999999091</v>
      </c>
      <c r="J753" s="3">
        <f ca="1">'ETF price'!K755-'ETF price'!K754</f>
        <v>0.54000000000002046</v>
      </c>
      <c r="K753" s="3">
        <f ca="1">'ETF price'!L755-'ETF price'!L754</f>
        <v>0.17000000000000171</v>
      </c>
      <c r="L753" s="3">
        <f ca="1">'ETF price'!M755-'ETF price'!M754</f>
        <v>4.0000000000006253E-2</v>
      </c>
      <c r="M753" s="3">
        <f ca="1">'ETF price'!N755-'ETF price'!N754</f>
        <v>6.9999999999993179E-2</v>
      </c>
      <c r="N753" s="3">
        <f ca="1">'ETF price'!O755-'ETF price'!O754</f>
        <v>0.16000000000000369</v>
      </c>
      <c r="O753" s="3">
        <f ca="1">'ETF price'!P755-'ETF price'!P754</f>
        <v>-85.66</v>
      </c>
      <c r="P753" s="3">
        <f ca="1">'ETF price'!Q755-'ETF price'!Q754</f>
        <v>1.6599999999999966</v>
      </c>
      <c r="Q753" s="3">
        <f ca="1">'ETF price'!R755-'ETF price'!R754</f>
        <v>0.34000000000000341</v>
      </c>
      <c r="R753" s="3">
        <f ca="1">'ETF price'!S755-'ETF price'!S754</f>
        <v>0.47999999999999687</v>
      </c>
      <c r="S753" s="3">
        <f ca="1">'ETF price'!T755-'ETF price'!T754</f>
        <v>0.10999999999999943</v>
      </c>
      <c r="T753" s="3">
        <f ca="1">'ETF price'!U755-'ETF price'!U754</f>
        <v>0.73000000000000398</v>
      </c>
      <c r="U753" s="3">
        <f ca="1">'ETF price'!V755-'ETF price'!V754</f>
        <v>-0.5</v>
      </c>
      <c r="V753" s="3">
        <f ca="1">'ETF price'!W755-'ETF price'!W754</f>
        <v>4.9999999999997158E-2</v>
      </c>
      <c r="W753" s="3">
        <f ca="1">'ETF price'!X755-'ETF price'!X754</f>
        <v>1.9999999999996021E-2</v>
      </c>
      <c r="X753" s="3">
        <f ca="1">'ETF price'!Y755-'ETF price'!Y754</f>
        <v>-2.0000000000003126E-2</v>
      </c>
      <c r="Y753" s="3">
        <f ca="1">'ETF price'!Z755-'ETF price'!Z754</f>
        <v>-110.58</v>
      </c>
      <c r="Z753" s="3">
        <f ca="1">'ETF price'!AA755-'ETF price'!AA754</f>
        <v>0.32000000000000028</v>
      </c>
      <c r="AA753" s="3">
        <f ca="1">'ETF price'!AB755-'ETF price'!AB754</f>
        <v>-7.0000000000000284E-2</v>
      </c>
      <c r="AB753" s="3">
        <f>'ETF price'!AC755-'ETF price'!AC754</f>
        <v>0</v>
      </c>
      <c r="AC753" s="3">
        <f ca="1">'ETF price'!AD755-'ETF price'!AD754</f>
        <v>-0.1899999999999995</v>
      </c>
      <c r="AD753" s="3">
        <f ca="1">'ETF price'!AE755-'ETF price'!AE754</f>
        <v>-0.2099999999999973</v>
      </c>
      <c r="AE753" s="3">
        <f ca="1">'ETF price'!AF755-'ETF price'!AF754</f>
        <v>-0.22000000000000064</v>
      </c>
      <c r="AF753" s="3">
        <f ca="1">'ETF price'!AG755-'ETF price'!AG754</f>
        <v>-1.0600000000000023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9630-2EF3-4C43-BCE9-30AE60D343B0}">
  <dimension ref="A1:AF753"/>
  <sheetViews>
    <sheetView tabSelected="1" topLeftCell="A717" workbookViewId="0">
      <selection activeCell="A754" sqref="A754:AG755"/>
    </sheetView>
  </sheetViews>
  <sheetFormatPr defaultRowHeight="12.75" x14ac:dyDescent="0.2"/>
  <sheetData>
    <row r="1" spans="1:32" ht="15" x14ac:dyDescent="0.25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19</v>
      </c>
      <c r="I1" s="2" t="s">
        <v>21</v>
      </c>
      <c r="J1" s="2" t="s">
        <v>23</v>
      </c>
      <c r="K1" s="2" t="s">
        <v>25</v>
      </c>
      <c r="L1" s="2" t="s">
        <v>27</v>
      </c>
      <c r="M1" s="2" t="s">
        <v>29</v>
      </c>
      <c r="N1" s="2" t="s">
        <v>31</v>
      </c>
      <c r="O1" s="2" t="s">
        <v>34</v>
      </c>
      <c r="P1" s="2" t="s">
        <v>36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46</v>
      </c>
      <c r="V1" s="2" t="s">
        <v>49</v>
      </c>
      <c r="W1" s="2" t="s">
        <v>51</v>
      </c>
      <c r="X1" s="2" t="s">
        <v>53</v>
      </c>
      <c r="Y1" s="2" t="s">
        <v>55</v>
      </c>
      <c r="Z1" s="2" t="s">
        <v>57</v>
      </c>
      <c r="AA1" s="2" t="s">
        <v>59</v>
      </c>
      <c r="AB1" s="2" t="s">
        <v>61</v>
      </c>
      <c r="AC1" s="2" t="s">
        <v>64</v>
      </c>
      <c r="AD1" s="2" t="s">
        <v>66</v>
      </c>
      <c r="AE1" s="2" t="s">
        <v>68</v>
      </c>
      <c r="AF1" s="2" t="s">
        <v>70</v>
      </c>
    </row>
    <row r="2" spans="1:32" x14ac:dyDescent="0.2">
      <c r="A2">
        <f ca="1">'ETF variations'!A2/'ETF price'!B3</f>
        <v>-1.0597082953509649E-2</v>
      </c>
      <c r="B2">
        <f ca="1">'ETF variations'!B2/'ETF price'!C3</f>
        <v>-1.2640692640692586E-2</v>
      </c>
      <c r="C2">
        <f ca="1">'ETF variations'!C2/'ETF price'!D3</f>
        <v>-1.2997140629061607E-2</v>
      </c>
      <c r="D2">
        <f ca="1">'ETF variations'!D2/'ETF price'!E3</f>
        <v>-3.0916092639800032E-3</v>
      </c>
      <c r="E2">
        <f ca="1">'ETF variations'!E2/'ETF price'!F3</f>
        <v>-2.0078354554358423E-2</v>
      </c>
      <c r="F2">
        <f ca="1">'ETF variations'!F2/'ETF price'!G3</f>
        <v>-6.0958714325299512E-3</v>
      </c>
      <c r="G2">
        <f ca="1">'ETF variations'!G2/'ETF price'!H3</f>
        <v>-1.2257100149476941E-2</v>
      </c>
      <c r="H2">
        <f ca="1">'ETF variations'!H2/'ETF price'!I3</f>
        <v>-1.3195639701663823E-2</v>
      </c>
      <c r="I2">
        <f ca="1">'ETF variations'!I2/'ETF price'!J3</f>
        <v>-1.6055305806354125E-2</v>
      </c>
      <c r="J2">
        <f ca="1">'ETF variations'!J2/'ETF price'!K3</f>
        <v>-2.6776924591455094E-2</v>
      </c>
      <c r="K2">
        <f ca="1">'ETF variations'!K2/'ETF price'!L3</f>
        <v>-3.5343035343035331E-2</v>
      </c>
      <c r="L2">
        <f ca="1">'ETF variations'!L2/'ETF price'!M3</f>
        <v>-3.7659246815063864E-2</v>
      </c>
      <c r="M2">
        <f ca="1">'ETF variations'!M2/'ETF price'!N3</f>
        <v>-1.4818075117370759E-2</v>
      </c>
      <c r="N2">
        <f ca="1">'ETF variations'!N2/'ETF price'!O3</f>
        <v>-4.2542542542542611E-2</v>
      </c>
      <c r="O2">
        <f ca="1">'ETF variations'!O2/'ETF price'!P3</f>
        <v>3.4603285564488009E-2</v>
      </c>
      <c r="P2">
        <f ca="1">'ETF variations'!P2/'ETF price'!Q3</f>
        <v>3.4956304619226115E-2</v>
      </c>
      <c r="Q2">
        <f ca="1">'ETF variations'!Q2/'ETF price'!R3</f>
        <v>1.2300123001229948E-2</v>
      </c>
      <c r="R2">
        <f ca="1">'ETF variations'!R2/'ETF price'!S3</f>
        <v>1.4273166447079459E-2</v>
      </c>
      <c r="S2">
        <f ca="1">'ETF variations'!S2/'ETF price'!T3</f>
        <v>1.1984659635666348E-2</v>
      </c>
      <c r="T2">
        <f ca="1">'ETF variations'!T2/'ETF price'!U3</f>
        <v>1.3861024986321451E-2</v>
      </c>
      <c r="U2">
        <f ca="1">'ETF variations'!U2/'ETF price'!V3</f>
        <v>-2.7646833991591308E-2</v>
      </c>
      <c r="V2">
        <f ca="1">'ETF variations'!V2/'ETF price'!W3</f>
        <v>2.6309132304578778E-2</v>
      </c>
      <c r="W2">
        <f ca="1">'ETF variations'!W2/'ETF price'!X3</f>
        <v>2.283198525647593E-2</v>
      </c>
      <c r="X2">
        <f ca="1">'ETF variations'!X2/'ETF price'!Y3</f>
        <v>2.6959022286125088E-2</v>
      </c>
      <c r="Y2">
        <f ca="1">'ETF variations'!Y2/'ETF price'!Z3</f>
        <v>2.3181454836131109E-2</v>
      </c>
      <c r="Z2">
        <f ca="1">'ETF variations'!Z2/'ETF price'!AA3</f>
        <v>-3.8963569062925333E-3</v>
      </c>
      <c r="AA2">
        <f ca="1">'ETF variations'!AA2/'ETF price'!AB3</f>
        <v>2.8266592767077624E-2</v>
      </c>
      <c r="AB2">
        <f ca="1">'ETF variations'!AB2/'ETF price'!AC3</f>
        <v>2.1390374331550673E-2</v>
      </c>
      <c r="AC2">
        <f ca="1">'ETF variations'!AC2/'ETF price'!AD3</f>
        <v>8.9385474860335275E-3</v>
      </c>
      <c r="AD2">
        <f ca="1">'ETF variations'!AD2/'ETF price'!AE3</f>
        <v>9.3264248704663065E-3</v>
      </c>
      <c r="AE2">
        <f ca="1">'ETF variations'!AE2/'ETF price'!AF3</f>
        <v>-1.9206145966709279E-2</v>
      </c>
      <c r="AF2">
        <f ca="1">'ETF variations'!AF2/'ETF price'!AG3</f>
        <v>-1.8075011296881675E-3</v>
      </c>
    </row>
    <row r="3" spans="1:32" x14ac:dyDescent="0.2">
      <c r="A3">
        <f ca="1">'ETF variations'!A3/'ETF price'!B4</f>
        <v>-3.074974087297019E-2</v>
      </c>
      <c r="B3">
        <f ca="1">'ETF variations'!B3/'ETF price'!C4</f>
        <v>-3.3190108733777715E-2</v>
      </c>
      <c r="C3">
        <f ca="1">'ETF variations'!C3/'ETF price'!D4</f>
        <v>-3.7310157141603024E-2</v>
      </c>
      <c r="D3">
        <f ca="1">'ETF variations'!D3/'ETF price'!E4</f>
        <v>-3.3949945593035956E-2</v>
      </c>
      <c r="E3">
        <f ca="1">'ETF variations'!E3/'ETF price'!F4</f>
        <v>-3.115109112110619E-2</v>
      </c>
      <c r="F3">
        <f ca="1">'ETF variations'!F3/'ETF price'!G4</f>
        <v>-2.9829941455255096E-2</v>
      </c>
      <c r="G3">
        <f ca="1">'ETF variations'!G3/'ETF price'!H4</f>
        <v>-3.7832929782082324E-2</v>
      </c>
      <c r="H3">
        <f ca="1">'ETF variations'!H3/'ETF price'!I4</f>
        <v>-7.1220930232557397E-3</v>
      </c>
      <c r="I3">
        <f ca="1">'ETF variations'!I3/'ETF price'!J4</f>
        <v>-1.2209168394379202E-2</v>
      </c>
      <c r="J3">
        <f ca="1">'ETF variations'!J3/'ETF price'!K4</f>
        <v>-3.9045114303054775E-2</v>
      </c>
      <c r="K3">
        <f ca="1">'ETF variations'!K3/'ETF price'!L4</f>
        <v>-5.5046695402298812E-2</v>
      </c>
      <c r="L3">
        <f ca="1">'ETF variations'!L3/'ETF price'!M4</f>
        <v>-4.2187954611579745E-2</v>
      </c>
      <c r="M3">
        <f ca="1">'ETF variations'!M3/'ETF price'!N4</f>
        <v>-1.2807148175725976E-2</v>
      </c>
      <c r="N3">
        <f ca="1">'ETF variations'!N3/'ETF price'!O4</f>
        <v>-5.2796654469419661E-2</v>
      </c>
      <c r="O3">
        <f ca="1">'ETF variations'!O3/'ETF price'!P4</f>
        <v>-1.6891891891900534E-4</v>
      </c>
      <c r="P3">
        <f ca="1">'ETF variations'!P3/'ETF price'!Q4</f>
        <v>-4.463208685162901E-3</v>
      </c>
      <c r="Q3">
        <f ca="1">'ETF variations'!Q3/'ETF price'!R4</f>
        <v>-1.1046062078874534E-4</v>
      </c>
      <c r="R3">
        <f ca="1">'ETF variations'!R3/'ETF price'!S4</f>
        <v>1.2989824637367889E-3</v>
      </c>
      <c r="S3">
        <f ca="1">'ETF variations'!S3/'ETF price'!T4</f>
        <v>-4.2633822832780603E-3</v>
      </c>
      <c r="T3">
        <f ca="1">'ETF variations'!T3/'ETF price'!U4</f>
        <v>-2.878215506386107E-3</v>
      </c>
      <c r="U3">
        <f ca="1">'ETF variations'!U3/'ETF price'!V4</f>
        <v>-6.695492662473794E-2</v>
      </c>
      <c r="V3">
        <f ca="1">'ETF variations'!V3/'ETF price'!W4</f>
        <v>-1.1584914961794401E-2</v>
      </c>
      <c r="W3">
        <f ca="1">'ETF variations'!W3/'ETF price'!X4</f>
        <v>-1.4214214214214231E-2</v>
      </c>
      <c r="X3">
        <f ca="1">'ETF variations'!X3/'ETF price'!Y4</f>
        <v>-7.5253762688134353E-3</v>
      </c>
      <c r="Y3">
        <f ca="1">'ETF variations'!Y3/'ETF price'!Z4</f>
        <v>-1.3616071428571417E-2</v>
      </c>
      <c r="Z3">
        <f ca="1">'ETF variations'!Z3/'ETF price'!AA4</f>
        <v>-3.2466262468218335E-2</v>
      </c>
      <c r="AA3">
        <f ca="1">'ETF variations'!AA3/'ETF price'!AB4</f>
        <v>-6.4681309796522004E-3</v>
      </c>
      <c r="AB3">
        <f ca="1">'ETF variations'!AB3/'ETF price'!AC4</f>
        <v>-1.4061331338818216E-2</v>
      </c>
      <c r="AC3">
        <f ca="1">'ETF variations'!AC3/'ETF price'!AD4</f>
        <v>-5.4817275747508221E-2</v>
      </c>
      <c r="AD3">
        <f ca="1">'ETF variations'!AD3/'ETF price'!AE4</f>
        <v>-5.4072553045858944E-2</v>
      </c>
      <c r="AE3">
        <f ca="1">'ETF variations'!AE3/'ETF price'!AF4</f>
        <v>-8.485639686684078E-2</v>
      </c>
      <c r="AF3">
        <f ca="1">'ETF variations'!AF3/'ETF price'!AG4</f>
        <v>-8.0805794477138981E-2</v>
      </c>
    </row>
    <row r="4" spans="1:32" x14ac:dyDescent="0.2">
      <c r="A4">
        <f ca="1">'ETF variations'!A4/'ETF price'!B5</f>
        <v>-5.0499049429657463E-3</v>
      </c>
      <c r="B4">
        <f ca="1">'ETF variations'!B4/'ETF price'!C5</f>
        <v>-3.7866763412089228E-3</v>
      </c>
      <c r="C4">
        <f ca="1">'ETF variations'!C4/'ETF price'!D5</f>
        <v>-1.185482400145864E-3</v>
      </c>
      <c r="D4">
        <f ca="1">'ETF variations'!D4/'ETF price'!E5</f>
        <v>7.7720207253885757E-3</v>
      </c>
      <c r="E4">
        <f ca="1">'ETF variations'!E4/'ETF price'!F5</f>
        <v>3.4387895460803177E-4</v>
      </c>
      <c r="F4">
        <f ca="1">'ETF variations'!F4/'ETF price'!G5</f>
        <v>-9.4827586206896065E-3</v>
      </c>
      <c r="G4">
        <f ca="1">'ETF variations'!G4/'ETF price'!H5</f>
        <v>3.1456432840520806E-4</v>
      </c>
      <c r="H4">
        <f ca="1">'ETF variations'!H4/'ETF price'!I5</f>
        <v>-1.1564924608402961E-2</v>
      </c>
      <c r="I4">
        <f ca="1">'ETF variations'!I4/'ETF price'!J5</f>
        <v>-1.2593283582089479E-2</v>
      </c>
      <c r="J4">
        <f ca="1">'ETF variations'!J4/'ETF price'!K5</f>
        <v>-5.614035087720176E-4</v>
      </c>
      <c r="K4">
        <f ca="1">'ETF variations'!K4/'ETF price'!L5</f>
        <v>-2.8508980328804652E-4</v>
      </c>
      <c r="L4">
        <f ca="1">'ETF variations'!L4/'ETF price'!M5</f>
        <v>3.6452004860266537E-3</v>
      </c>
      <c r="M4">
        <f ca="1">'ETF variations'!M4/'ETF price'!N5</f>
        <v>-1.1012219037562285E-2</v>
      </c>
      <c r="N4">
        <f ca="1">'ETF variations'!N4/'ETF price'!O5</f>
        <v>-5.5187637969103542E-4</v>
      </c>
      <c r="O4">
        <f ca="1">'ETF variations'!O4/'ETF price'!P5</f>
        <v>2.2301064368981254E-2</v>
      </c>
      <c r="P4">
        <f ca="1">'ETF variations'!P4/'ETF price'!Q5</f>
        <v>2.3627771719374809E-2</v>
      </c>
      <c r="Q4">
        <f ca="1">'ETF variations'!Q4/'ETF price'!R5</f>
        <v>-1.2593901900132574E-2</v>
      </c>
      <c r="R4">
        <f ca="1">'ETF variations'!R4/'ETF price'!S5</f>
        <v>-1.4702702702702696E-2</v>
      </c>
      <c r="S4">
        <f ca="1">'ETF variations'!S4/'ETF price'!T5</f>
        <v>8.563273073263546E-3</v>
      </c>
      <c r="T4">
        <f ca="1">'ETF variations'!T4/'ETF price'!U5</f>
        <v>2.6339527331769814E-2</v>
      </c>
      <c r="U4">
        <f ca="1">'ETF variations'!U4/'ETF price'!V5</f>
        <v>-8.1449234658053406E-3</v>
      </c>
      <c r="V4">
        <f ca="1">'ETF variations'!V4/'ETF price'!W5</f>
        <v>1.4713216957605892E-2</v>
      </c>
      <c r="W4">
        <f ca="1">'ETF variations'!W4/'ETF price'!X5</f>
        <v>1.6450040617384143E-2</v>
      </c>
      <c r="X4">
        <f ca="1">'ETF variations'!X4/'ETF price'!Y5</f>
        <v>3.4032798448245451E-2</v>
      </c>
      <c r="Y4">
        <f ca="1">'ETF variations'!Y4/'ETF price'!Z5</f>
        <v>1.5953835709436648E-2</v>
      </c>
      <c r="Z4">
        <f ca="1">'ETF variations'!Z4/'ETF price'!AA5</f>
        <v>1.212856276531277E-3</v>
      </c>
      <c r="AA4">
        <f ca="1">'ETF variations'!AA4/'ETF price'!AB5</f>
        <v>3.7840770378407593E-2</v>
      </c>
      <c r="AB4">
        <f ca="1">'ETF variations'!AB4/'ETF price'!AC5</f>
        <v>1.2896373843119535E-2</v>
      </c>
      <c r="AC4">
        <f ca="1">'ETF variations'!AC4/'ETF price'!AD5</f>
        <v>-1.2302284710017625E-2</v>
      </c>
      <c r="AD4">
        <f ca="1">'ETF variations'!AD4/'ETF price'!AE5</f>
        <v>-1.3024602026049183E-2</v>
      </c>
      <c r="AE4">
        <f ca="1">'ETF variations'!AE4/'ETF price'!AF5</f>
        <v>-1.4265335235377982E-2</v>
      </c>
      <c r="AF4">
        <f ca="1">'ETF variations'!AF4/'ETF price'!AG5</f>
        <v>-1.8468357547402118E-2</v>
      </c>
    </row>
    <row r="5" spans="1:32" x14ac:dyDescent="0.2">
      <c r="A5">
        <f ca="1">'ETF variations'!A5/'ETF price'!B6</f>
        <v>-9.195676837642516E-3</v>
      </c>
      <c r="B5">
        <f ca="1">'ETF variations'!B5/'ETF price'!C6</f>
        <v>-1.0219642653920585E-2</v>
      </c>
      <c r="C5">
        <f ca="1">'ETF variations'!C5/'ETF price'!D6</f>
        <v>-1.0134209805532726E-2</v>
      </c>
      <c r="D5">
        <f ca="1">'ETF variations'!D5/'ETF price'!E6</f>
        <v>-2.9004135464401462E-2</v>
      </c>
      <c r="E5">
        <f ca="1">'ETF variations'!E5/'ETF price'!F6</f>
        <v>-4.1251289102784807E-3</v>
      </c>
      <c r="F5">
        <f ca="1">'ETF variations'!F5/'ETF price'!G6</f>
        <v>-1.6536118363794611E-2</v>
      </c>
      <c r="G5">
        <f ca="1">'ETF variations'!G5/'ETF price'!H6</f>
        <v>-8.8050314465409167E-3</v>
      </c>
      <c r="H5">
        <f ca="1">'ETF variations'!H5/'ETF price'!I6</f>
        <v>-5.1095971563980876E-3</v>
      </c>
      <c r="I5">
        <f ca="1">'ETF variations'!I5/'ETF price'!J6</f>
        <v>-6.1407652338214547E-3</v>
      </c>
      <c r="J5">
        <f ca="1">'ETF variations'!J5/'ETF price'!K6</f>
        <v>-1.3130178345737792E-2</v>
      </c>
      <c r="K5">
        <f ca="1">'ETF variations'!K5/'ETF price'!L6</f>
        <v>-2.1007604562737717E-2</v>
      </c>
      <c r="L5">
        <f ca="1">'ETF variations'!L5/'ETF price'!M6</f>
        <v>-1.2106537530266302E-2</v>
      </c>
      <c r="M5">
        <f ca="1">'ETF variations'!M5/'ETF price'!N6</f>
        <v>-7.6266015863331298E-3</v>
      </c>
      <c r="N5">
        <f ca="1">'ETF variations'!N5/'ETF price'!O6</f>
        <v>-1.6565433462175632E-2</v>
      </c>
      <c r="O5">
        <f ca="1">'ETF variations'!O5/'ETF price'!P6</f>
        <v>1.3716741034539836E-2</v>
      </c>
      <c r="P5">
        <f ca="1">'ETF variations'!P5/'ETF price'!Q6</f>
        <v>1.2310606060605966E-2</v>
      </c>
      <c r="Q5">
        <f ca="1">'ETF variations'!Q5/'ETF price'!R6</f>
        <v>-8.9505482210783509E-4</v>
      </c>
      <c r="R5">
        <f ca="1">'ETF variations'!R5/'ETF price'!S6</f>
        <v>1.0972130787798991E-2</v>
      </c>
      <c r="S5">
        <f ca="1">'ETF variations'!S5/'ETF price'!T6</f>
        <v>1.8867924528301486E-3</v>
      </c>
      <c r="T5">
        <f ca="1">'ETF variations'!T5/'ETF price'!U6</f>
        <v>-3.8671119704693068E-3</v>
      </c>
      <c r="U5">
        <f ca="1">'ETF variations'!U5/'ETF price'!V6</f>
        <v>1.6989947614328834E-3</v>
      </c>
      <c r="V5">
        <f ca="1">'ETF variations'!V5/'ETF price'!W6</f>
        <v>1.1796510199066208E-2</v>
      </c>
      <c r="W5">
        <f ca="1">'ETF variations'!W5/'ETF price'!X6</f>
        <v>9.5904095904096702E-3</v>
      </c>
      <c r="X5">
        <f ca="1">'ETF variations'!X5/'ETF price'!Y6</f>
        <v>1.0914051841746257E-2</v>
      </c>
      <c r="Y5">
        <f ca="1">'ETF variations'!Y5/'ETF price'!Z6</f>
        <v>9.4665330214945345E-3</v>
      </c>
      <c r="Z5">
        <f ca="1">'ETF variations'!Z5/'ETF price'!AA6</f>
        <v>-5.2493438320209574E-3</v>
      </c>
      <c r="AA5">
        <f ca="1">'ETF variations'!AA5/'ETF price'!AB6</f>
        <v>9.8013591217982234E-3</v>
      </c>
      <c r="AB5">
        <f ca="1">'ETF variations'!AB5/'ETF price'!AC6</f>
        <v>5.9916117435588889E-3</v>
      </c>
      <c r="AC5">
        <f ca="1">'ETF variations'!AC5/'ETF price'!AD6</f>
        <v>-3.2028469750889632E-2</v>
      </c>
      <c r="AD5">
        <f ca="1">'ETF variations'!AD5/'ETF price'!AE6</f>
        <v>-3.1891495601173055E-2</v>
      </c>
      <c r="AE5">
        <f ca="1">'ETF variations'!AE5/'ETF price'!AF6</f>
        <v>7.2358900144717546E-3</v>
      </c>
      <c r="AF5">
        <f ca="1">'ETF variations'!AF5/'ETF price'!AG6</f>
        <v>-1.2042147516306997E-2</v>
      </c>
    </row>
    <row r="6" spans="1:32" x14ac:dyDescent="0.2">
      <c r="A6">
        <f ca="1">'ETF variations'!A6/'ETF price'!B7</f>
        <v>1.8079913216417244E-4</v>
      </c>
      <c r="B6">
        <f ca="1">'ETF variations'!B6/'ETF price'!C7</f>
        <v>1.0578117095156592E-3</v>
      </c>
      <c r="C6">
        <f ca="1">'ETF variations'!C6/'ETF price'!D7</f>
        <v>3.7815901125253328E-3</v>
      </c>
      <c r="D6">
        <f ca="1">'ETF variations'!D6/'ETF price'!E7</f>
        <v>3.4532374100720734E-4</v>
      </c>
      <c r="E6">
        <f ca="1">'ETF variations'!E6/'ETF price'!F7</f>
        <v>7.766655160510923E-3</v>
      </c>
      <c r="F6">
        <f ca="1">'ETF variations'!F6/'ETF price'!G7</f>
        <v>-1.3864306784660734E-2</v>
      </c>
      <c r="G6">
        <f ca="1">'ETF variations'!G6/'ETF price'!H7</f>
        <v>1.9035532994923453E-3</v>
      </c>
      <c r="H6">
        <f ca="1">'ETF variations'!H6/'ETF price'!I7</f>
        <v>1.0271678451804954E-2</v>
      </c>
      <c r="I6">
        <f ca="1">'ETF variations'!I6/'ETF price'!J7</f>
        <v>1.0733523447401807E-2</v>
      </c>
      <c r="J6">
        <f ca="1">'ETF variations'!J6/'ETF price'!K7</f>
        <v>1.1454998221273462E-2</v>
      </c>
      <c r="K6">
        <f ca="1">'ETF variations'!K6/'ETF price'!L7</f>
        <v>1.4564520827265335E-3</v>
      </c>
      <c r="L6">
        <f ca="1">'ETF variations'!L6/'ETF price'!M7</f>
        <v>1.1029411764705864E-2</v>
      </c>
      <c r="M6">
        <f ca="1">'ETF variations'!M6/'ETF price'!N7</f>
        <v>9.683369197663624E-3</v>
      </c>
      <c r="N6">
        <f ca="1">'ETF variations'!N6/'ETF price'!O7</f>
        <v>3.3688938798429129E-3</v>
      </c>
      <c r="O6">
        <f ca="1">'ETF variations'!O6/'ETF price'!P7</f>
        <v>-3.0974894033258039E-3</v>
      </c>
      <c r="P6">
        <f ca="1">'ETF variations'!P6/'ETF price'!Q7</f>
        <v>-3.2740879326473475E-3</v>
      </c>
      <c r="Q6">
        <f ca="1">'ETF variations'!Q6/'ETF price'!R7</f>
        <v>-1.0190369540873422E-2</v>
      </c>
      <c r="R6">
        <f ca="1">'ETF variations'!R6/'ETF price'!S7</f>
        <v>-8.248317777295476E-3</v>
      </c>
      <c r="S6">
        <f ca="1">'ETF variations'!S6/'ETF price'!T7</f>
        <v>-4.2372881355932143E-3</v>
      </c>
      <c r="T6">
        <f ca="1">'ETF variations'!T6/'ETF price'!U7</f>
        <v>-8.9994706193754215E-3</v>
      </c>
      <c r="U6">
        <f ca="1">'ETF variations'!U6/'ETF price'!V7</f>
        <v>-7.0671378091868777E-4</v>
      </c>
      <c r="V6">
        <f ca="1">'ETF variations'!V6/'ETF price'!W7</f>
        <v>-3.4005343696866786E-3</v>
      </c>
      <c r="W6">
        <f ca="1">'ETF variations'!W6/'ETF price'!X7</f>
        <v>-2.8695824262814787E-3</v>
      </c>
      <c r="X6">
        <f ca="1">'ETF variations'!X6/'ETF price'!Y7</f>
        <v>0</v>
      </c>
      <c r="Y6">
        <f ca="1">'ETF variations'!Y6/'ETF price'!Z7</f>
        <v>-2.9788172992056047E-3</v>
      </c>
      <c r="Z6">
        <f ca="1">'ETF variations'!Z6/'ETF price'!AA7</f>
        <v>-5.8859346458292319E-3</v>
      </c>
      <c r="AA6">
        <f ca="1">'ETF variations'!AA6/'ETF price'!AB7</f>
        <v>-1.5529959880935724E-3</v>
      </c>
      <c r="AB6">
        <f ca="1">'ETF variations'!AB6/'ETF price'!AC7</f>
        <v>-5.6581298391899263E-3</v>
      </c>
      <c r="AC6">
        <f ca="1">'ETF variations'!AC6/'ETF price'!AD7</f>
        <v>-4.2892156862745275E-3</v>
      </c>
      <c r="AD6">
        <f ca="1">'ETF variations'!AD6/'ETF price'!AE7</f>
        <v>-3.78644452858771E-3</v>
      </c>
      <c r="AE6">
        <f ca="1">'ETF variations'!AE6/'ETF price'!AF7</f>
        <v>-2.2988505747126457E-2</v>
      </c>
      <c r="AF6">
        <f ca="1">'ETF variations'!AF6/'ETF price'!AG7</f>
        <v>-1.7775520568816729E-2</v>
      </c>
    </row>
    <row r="7" spans="1:32" x14ac:dyDescent="0.2">
      <c r="A7">
        <f ca="1">'ETF variations'!A7/'ETF price'!B8</f>
        <v>1.1990841166546039E-2</v>
      </c>
      <c r="B7">
        <f ca="1">'ETF variations'!B7/'ETF price'!C8</f>
        <v>1.3208674078838556E-2</v>
      </c>
      <c r="C7">
        <f ca="1">'ETF variations'!C7/'ETF price'!D8</f>
        <v>1.3139759257557721E-2</v>
      </c>
      <c r="D7">
        <f ca="1">'ETF variations'!D7/'ETF price'!E8</f>
        <v>1.8813647085898454E-2</v>
      </c>
      <c r="E7">
        <f ca="1">'ETF variations'!E7/'ETF price'!F8</f>
        <v>1.2330878575098457E-2</v>
      </c>
      <c r="F7">
        <f ca="1">'ETF variations'!F7/'ETF price'!G8</f>
        <v>5.9826503140892268E-3</v>
      </c>
      <c r="G7">
        <f ca="1">'ETF variations'!G7/'ETF price'!H8</f>
        <v>1.1716276124129227E-2</v>
      </c>
      <c r="H7">
        <f ca="1">'ETF variations'!H7/'ETF price'!I8</f>
        <v>7.9569734030797354E-3</v>
      </c>
      <c r="I7">
        <f ca="1">'ETF variations'!I7/'ETF price'!J8</f>
        <v>8.2291625847408702E-3</v>
      </c>
      <c r="J7">
        <f ca="1">'ETF variations'!J7/'ETF price'!K8</f>
        <v>9.5666854248734785E-3</v>
      </c>
      <c r="K7">
        <f ca="1">'ETF variations'!K7/'ETF price'!L8</f>
        <v>7.2716695753344968E-3</v>
      </c>
      <c r="L7">
        <f ca="1">'ETF variations'!L7/'ETF price'!M8</f>
        <v>2.4242424242423726E-3</v>
      </c>
      <c r="M7">
        <f ca="1">'ETF variations'!M7/'ETF price'!N8</f>
        <v>8.0681991170650207E-3</v>
      </c>
      <c r="N7">
        <f ca="1">'ETF variations'!N7/'ETF price'!O8</f>
        <v>7.2747621712366539E-3</v>
      </c>
      <c r="O7">
        <f ca="1">'ETF variations'!O7/'ETF price'!P8</f>
        <v>3.4014717906786562E-2</v>
      </c>
      <c r="P7">
        <f ca="1">'ETF variations'!P7/'ETF price'!Q8</f>
        <v>3.4960112623181654E-2</v>
      </c>
      <c r="Q7">
        <f ca="1">'ETF variations'!Q7/'ETF price'!R8</f>
        <v>1.0974092091865582E-2</v>
      </c>
      <c r="R7">
        <f ca="1">'ETF variations'!R7/'ETF price'!S8</f>
        <v>1.7509301816590158E-2</v>
      </c>
      <c r="S7">
        <f ca="1">'ETF variations'!S7/'ETF price'!T8</f>
        <v>1.9385342789598116E-2</v>
      </c>
      <c r="T7">
        <f ca="1">'ETF variations'!T7/'ETF price'!U8</f>
        <v>3.5612535612535613E-2</v>
      </c>
      <c r="U7">
        <f ca="1">'ETF variations'!U7/'ETF price'!V8</f>
        <v>1.7114568599717026E-2</v>
      </c>
      <c r="V7">
        <f ca="1">'ETF variations'!V7/'ETF price'!W8</f>
        <v>8.7740677553009849E-3</v>
      </c>
      <c r="W7">
        <f ca="1">'ETF variations'!W7/'ETF price'!X8</f>
        <v>9.6258807184677869E-3</v>
      </c>
      <c r="X7">
        <f ca="1">'ETF variations'!X7/'ETF price'!Y8</f>
        <v>5.9041835357625068E-3</v>
      </c>
      <c r="Y7">
        <f ca="1">'ETF variations'!Y7/'ETF price'!Z8</f>
        <v>1.0069713400464718E-2</v>
      </c>
      <c r="Z7">
        <f ca="1">'ETF variations'!Z7/'ETF price'!AA8</f>
        <v>-1.6333197223356126E-3</v>
      </c>
      <c r="AA7">
        <f ca="1">'ETF variations'!AA7/'ETF price'!AB8</f>
        <v>3.4996759559299548E-3</v>
      </c>
      <c r="AB7">
        <f ca="1">'ETF variations'!AB7/'ETF price'!AC8</f>
        <v>1.168014375561547E-2</v>
      </c>
      <c r="AC7">
        <f ca="1">'ETF variations'!AC7/'ETF price'!AD8</f>
        <v>2.830769230769236E-2</v>
      </c>
      <c r="AD7">
        <f ca="1">'ETF variations'!AD7/'ETF price'!AE8</f>
        <v>2.660585328772341E-2</v>
      </c>
      <c r="AE7">
        <f ca="1">'ETF variations'!AE7/'ETF price'!AF8</f>
        <v>3.9705882352941244E-2</v>
      </c>
      <c r="AF7">
        <f ca="1">'ETF variations'!AF7/'ETF price'!AG8</f>
        <v>6.7218200620475732E-2</v>
      </c>
    </row>
    <row r="8" spans="1:32" x14ac:dyDescent="0.2">
      <c r="A8">
        <f ca="1">'ETF variations'!A8/'ETF price'!B9</f>
        <v>4.7037808871689228E-3</v>
      </c>
      <c r="B8">
        <f ca="1">'ETF variations'!B8/'ETF price'!C9</f>
        <v>3.2647879021470462E-3</v>
      </c>
      <c r="C8">
        <f ca="1">'ETF variations'!C8/'ETF price'!D9</f>
        <v>4.8068202430618639E-3</v>
      </c>
      <c r="D8">
        <f ca="1">'ETF variations'!D8/'ETF price'!E9</f>
        <v>7.3413146600405628E-3</v>
      </c>
      <c r="E8">
        <f ca="1">'ETF variations'!E8/'ETF price'!F9</f>
        <v>-6.7670444933175195E-3</v>
      </c>
      <c r="F8">
        <f ca="1">'ETF variations'!F8/'ETF price'!G9</f>
        <v>1.0407374368123529E-2</v>
      </c>
      <c r="G8">
        <f ca="1">'ETF variations'!G8/'ETF price'!H9</f>
        <v>-3.1298904538340491E-3</v>
      </c>
      <c r="H8">
        <f ca="1">'ETF variations'!H8/'ETF price'!I9</f>
        <v>-2.8506688107595552E-3</v>
      </c>
      <c r="I8">
        <f ca="1">'ETF variations'!I8/'ETF price'!J9</f>
        <v>-5.6745306852190444E-3</v>
      </c>
      <c r="J8">
        <f ca="1">'ETF variations'!J8/'ETF price'!K9</f>
        <v>-1.1078595317725775E-2</v>
      </c>
      <c r="K8">
        <f ca="1">'ETF variations'!K8/'ETF price'!L9</f>
        <v>-3.1668110501492021E-2</v>
      </c>
      <c r="L8">
        <f ca="1">'ETF variations'!L8/'ETF price'!M9</f>
        <v>-2.2974607013301028E-2</v>
      </c>
      <c r="M8">
        <f ca="1">'ETF variations'!M8/'ETF price'!N9</f>
        <v>-4.2283298097251761E-3</v>
      </c>
      <c r="N8">
        <f ca="1">'ETF variations'!N8/'ETF price'!O9</f>
        <v>-2.0555555555555612E-2</v>
      </c>
      <c r="O8">
        <f ca="1">'ETF variations'!O8/'ETF price'!P9</f>
        <v>1.8978333069746094E-3</v>
      </c>
      <c r="P8">
        <f ca="1">'ETF variations'!P8/'ETF price'!Q9</f>
        <v>3.7406483790523499E-3</v>
      </c>
      <c r="Q8">
        <f ca="1">'ETF variations'!Q8/'ETF price'!R9</f>
        <v>1.0071620411817432E-2</v>
      </c>
      <c r="R8">
        <f ca="1">'ETF variations'!R8/'ETF price'!S9</f>
        <v>2.2585502258550164E-2</v>
      </c>
      <c r="S8">
        <f ca="1">'ETF variations'!S8/'ETF price'!T9</f>
        <v>7.8849721706865366E-3</v>
      </c>
      <c r="T8">
        <f ca="1">'ETF variations'!T8/'ETF price'!U9</f>
        <v>1.2895460797799175E-2</v>
      </c>
      <c r="U8">
        <f ca="1">'ETF variations'!U8/'ETF price'!V9</f>
        <v>4.4500069531359671E-3</v>
      </c>
      <c r="V8">
        <f ca="1">'ETF variations'!V8/'ETF price'!W9</f>
        <v>7.248127567045454E-4</v>
      </c>
      <c r="W8">
        <f ca="1">'ETF variations'!W8/'ETF price'!X9</f>
        <v>9.8289758207245097E-5</v>
      </c>
      <c r="X8">
        <f ca="1">'ETF variations'!X8/'ETF price'!Y9</f>
        <v>2.6832131477443665E-3</v>
      </c>
      <c r="Y8">
        <f ca="1">'ETF variations'!Y8/'ETF price'!Z9</f>
        <v>4.3821209465372523E-4</v>
      </c>
      <c r="Z8">
        <f ca="1">'ETF variations'!Z8/'ETF price'!AA9</f>
        <v>2.6584867075665148E-3</v>
      </c>
      <c r="AA8">
        <f ca="1">'ETF variations'!AA8/'ETF price'!AB9</f>
        <v>2.7124773960216192E-3</v>
      </c>
      <c r="AB8">
        <f ca="1">'ETF variations'!AB8/'ETF price'!AC9</f>
        <v>1.3321492007105299E-3</v>
      </c>
      <c r="AC8">
        <f ca="1">'ETF variations'!AC8/'ETF price'!AD9</f>
        <v>2.21424296828245E-2</v>
      </c>
      <c r="AD8">
        <f ca="1">'ETF variations'!AD8/'ETF price'!AE9</f>
        <v>2.2584228063680097E-2</v>
      </c>
      <c r="AE8">
        <f ca="1">'ETF variations'!AE8/'ETF price'!AF9</f>
        <v>8.4865629420084309E-3</v>
      </c>
      <c r="AF8">
        <f ca="1">'ETF variations'!AF8/'ETF price'!AG9</f>
        <v>1.4534883720930267E-2</v>
      </c>
    </row>
    <row r="9" spans="1:32" x14ac:dyDescent="0.2">
      <c r="A9">
        <f ca="1">'ETF variations'!A9/'ETF price'!B10</f>
        <v>-2.589783098257677E-2</v>
      </c>
      <c r="B9">
        <f ca="1">'ETF variations'!B9/'ETF price'!C10</f>
        <v>-2.8270547558247251E-2</v>
      </c>
      <c r="C9">
        <f ca="1">'ETF variations'!C9/'ETF price'!D10</f>
        <v>-2.8973734091524577E-2</v>
      </c>
      <c r="D9">
        <f ca="1">'ETF variations'!D9/'ETF price'!E10</f>
        <v>-2.3321000112120176E-2</v>
      </c>
      <c r="E9">
        <f ca="1">'ETF variations'!E9/'ETF price'!F10</f>
        <v>-2.6911940044285442E-2</v>
      </c>
      <c r="F9">
        <f ca="1">'ETF variations'!F9/'ETF price'!G10</f>
        <v>-3.6492054149499561E-2</v>
      </c>
      <c r="G9">
        <f ca="1">'ETF variations'!G9/'ETF price'!H10</f>
        <v>-2.2919937205651504E-2</v>
      </c>
      <c r="H9">
        <f ca="1">'ETF variations'!H9/'ETF price'!I10</f>
        <v>-1.5540243366075183E-2</v>
      </c>
      <c r="I9">
        <f ca="1">'ETF variations'!I9/'ETF price'!J10</f>
        <v>-1.7316186530117683E-2</v>
      </c>
      <c r="J9">
        <f ca="1">'ETF variations'!J9/'ETF price'!K10</f>
        <v>-2.7337419854857995E-2</v>
      </c>
      <c r="K9">
        <f ca="1">'ETF variations'!K9/'ETF price'!L10</f>
        <v>-2.4850894632206761E-2</v>
      </c>
      <c r="L9">
        <f ca="1">'ETF variations'!L9/'ETF price'!M10</f>
        <v>-2.537128712871288E-2</v>
      </c>
      <c r="M9">
        <f ca="1">'ETF variations'!M9/'ETF price'!N10</f>
        <v>-1.7591750075826459E-2</v>
      </c>
      <c r="N9">
        <f ca="1">'ETF variations'!N9/'ETF price'!O10</f>
        <v>-3.4032898468519451E-2</v>
      </c>
      <c r="O9">
        <f ca="1">'ETF variations'!O9/'ETF price'!P10</f>
        <v>-5.0513022888713536E-3</v>
      </c>
      <c r="P9">
        <f ca="1">'ETF variations'!P9/'ETF price'!Q10</f>
        <v>-8.1309994353472494E-3</v>
      </c>
      <c r="Q9">
        <f ca="1">'ETF variations'!Q9/'ETF price'!R10</f>
        <v>-7.7553733658320715E-3</v>
      </c>
      <c r="R9">
        <f ca="1">'ETF variations'!R9/'ETF price'!S10</f>
        <v>-1.619688683214127E-2</v>
      </c>
      <c r="S9">
        <f ca="1">'ETF variations'!S9/'ETF price'!T10</f>
        <v>-1.05844454670962E-2</v>
      </c>
      <c r="T9">
        <f ca="1">'ETF variations'!T9/'ETF price'!U10</f>
        <v>-1.086402987608205E-2</v>
      </c>
      <c r="U9">
        <f ca="1">'ETF variations'!U9/'ETF price'!V10</f>
        <v>-2.2151460611934216E-2</v>
      </c>
      <c r="V9">
        <f ca="1">'ETF variations'!V9/'ETF price'!W10</f>
        <v>-3.8628681796234595E-3</v>
      </c>
      <c r="W9">
        <f ca="1">'ETF variations'!W9/'ETF price'!X10</f>
        <v>-3.9312039312039875E-3</v>
      </c>
      <c r="X9">
        <f ca="1">'ETF variations'!X9/'ETF price'!Y10</f>
        <v>4.1813012209399565E-3</v>
      </c>
      <c r="Y9">
        <f ca="1">'ETF variations'!Y9/'ETF price'!Z10</f>
        <v>-4.7087166009635636E-3</v>
      </c>
      <c r="Z9">
        <f ca="1">'ETF variations'!Z9/'ETF price'!AA10</f>
        <v>-3.46726493983279E-3</v>
      </c>
      <c r="AA9">
        <f ca="1">'ETF variations'!AA9/'ETF price'!AB10</f>
        <v>5.9255442483576969E-3</v>
      </c>
      <c r="AB9">
        <f ca="1">'ETF variations'!AB9/'ETF price'!AC10</f>
        <v>-5.617147080561857E-3</v>
      </c>
      <c r="AC9">
        <f ca="1">'ETF variations'!AC9/'ETF price'!AD10</f>
        <v>-2.5175644028103031E-2</v>
      </c>
      <c r="AD9">
        <f ca="1">'ETF variations'!AD9/'ETF price'!AE10</f>
        <v>-2.3895727733526436E-2</v>
      </c>
      <c r="AE9">
        <f ca="1">'ETF variations'!AE9/'ETF price'!AF10</f>
        <v>-4.2075736325385672E-2</v>
      </c>
      <c r="AF9">
        <f ca="1">'ETF variations'!AF9/'ETF price'!AG10</f>
        <v>-5.2531041069723082E-2</v>
      </c>
    </row>
    <row r="10" spans="1:32" x14ac:dyDescent="0.2">
      <c r="A10">
        <f ca="1">'ETF variations'!A10/'ETF price'!B11</f>
        <v>8.4565309971405146E-3</v>
      </c>
      <c r="B10">
        <f ca="1">'ETF variations'!B10/'ETF price'!C11</f>
        <v>8.0697674418605293E-3</v>
      </c>
      <c r="C10">
        <f ca="1">'ETF variations'!C10/'ETF price'!D11</f>
        <v>1.0039040713887323E-2</v>
      </c>
      <c r="D10">
        <f ca="1">'ETF variations'!D10/'ETF price'!E11</f>
        <v>2.3935254276202432E-2</v>
      </c>
      <c r="E10">
        <f ca="1">'ETF variations'!E10/'ETF price'!F11</f>
        <v>2.8006301417818412E-3</v>
      </c>
      <c r="F10">
        <f ca="1">'ETF variations'!F10/'ETF price'!G11</f>
        <v>-1.7104459376909048E-2</v>
      </c>
      <c r="G10">
        <f ca="1">'ETF variations'!G10/'ETF price'!H11</f>
        <v>-3.2133676092545443E-3</v>
      </c>
      <c r="H10">
        <f ca="1">'ETF variations'!H10/'ETF price'!I11</f>
        <v>-1.7125837676844242E-3</v>
      </c>
      <c r="I10">
        <f ca="1">'ETF variations'!I10/'ETF price'!J11</f>
        <v>-7.1599045346064762E-4</v>
      </c>
      <c r="J10">
        <f ca="1">'ETF variations'!J10/'ETF price'!K11</f>
        <v>6.5193770373051588E-3</v>
      </c>
      <c r="K10">
        <f ca="1">'ETF variations'!K10/'ETF price'!L11</f>
        <v>2.4362895005096846E-2</v>
      </c>
      <c r="L10">
        <f ca="1">'ETF variations'!L10/'ETF price'!M11</f>
        <v>1.4920634920634885E-2</v>
      </c>
      <c r="M10">
        <f ca="1">'ETF variations'!M10/'ETF price'!N11</f>
        <v>-9.2621179376354233E-4</v>
      </c>
      <c r="N10">
        <f ca="1">'ETF variations'!N10/'ETF price'!O11</f>
        <v>1.1156782149148427E-2</v>
      </c>
      <c r="O10">
        <f ca="1">'ETF variations'!O10/'ETF price'!P11</f>
        <v>2.3480882119625637E-2</v>
      </c>
      <c r="P10">
        <f ca="1">'ETF variations'!P10/'ETF price'!Q11</f>
        <v>2.5276101559831479E-2</v>
      </c>
      <c r="Q10">
        <f ca="1">'ETF variations'!Q10/'ETF price'!R11</f>
        <v>-8.4859312192943851E-3</v>
      </c>
      <c r="R10">
        <f ca="1">'ETF variations'!R10/'ETF price'!S11</f>
        <v>4.4900577293135284E-3</v>
      </c>
      <c r="S10">
        <f ca="1">'ETF variations'!S10/'ETF price'!T11</f>
        <v>1.3023255813953541E-2</v>
      </c>
      <c r="T10">
        <f ca="1">'ETF variations'!T10/'ETF price'!U11</f>
        <v>2.9174532349407853E-2</v>
      </c>
      <c r="U10">
        <f ca="1">'ETF variations'!U10/'ETF price'!V11</f>
        <v>-2.5484921421491239E-3</v>
      </c>
      <c r="V10">
        <f ca="1">'ETF variations'!V10/'ETF price'!W11</f>
        <v>-1.0421715947649048E-2</v>
      </c>
      <c r="W10">
        <f ca="1">'ETF variations'!W10/'ETF price'!X11</f>
        <v>-8.7814504193389313E-3</v>
      </c>
      <c r="X10">
        <f ca="1">'ETF variations'!X10/'ETF price'!Y11</f>
        <v>6.1625582944703104E-3</v>
      </c>
      <c r="Y10">
        <f ca="1">'ETF variations'!Y10/'ETF price'!Z11</f>
        <v>-8.0316866541974251E-3</v>
      </c>
      <c r="Z10">
        <f ca="1">'ETF variations'!Z10/'ETF price'!AA11</f>
        <v>-1.1665984445354079E-2</v>
      </c>
      <c r="AA10">
        <f ca="1">'ETF variations'!AA10/'ETF price'!AB11</f>
        <v>8.8359585094121874E-3</v>
      </c>
      <c r="AB10">
        <f ca="1">'ETF variations'!AB10/'ETF price'!AC11</f>
        <v>-1.1000445964025492E-2</v>
      </c>
      <c r="AC10">
        <f ca="1">'ETF variations'!AC10/'ETF price'!AD11</f>
        <v>9.6096096096096196E-3</v>
      </c>
      <c r="AD10">
        <f ca="1">'ETF variations'!AD10/'ETF price'!AE11</f>
        <v>7.7893175074184289E-3</v>
      </c>
      <c r="AE10">
        <f ca="1">'ETF variations'!AE10/'ETF price'!AF11</f>
        <v>1.0248901903367538E-2</v>
      </c>
      <c r="AF10">
        <f ca="1">'ETF variations'!AF10/'ETF price'!AG11</f>
        <v>1.3608870967741915E-2</v>
      </c>
    </row>
    <row r="11" spans="1:32" x14ac:dyDescent="0.2">
      <c r="A11">
        <f ca="1">'ETF variations'!A11/'ETF price'!B12</f>
        <v>-2.4010617760617699E-2</v>
      </c>
      <c r="B11">
        <f ca="1">'ETF variations'!B11/'ETF price'!C12</f>
        <v>-2.5515029875193211E-2</v>
      </c>
      <c r="C11">
        <f ca="1">'ETF variations'!C11/'ETF price'!D12</f>
        <v>-2.7517025584391633E-2</v>
      </c>
      <c r="D11">
        <f ca="1">'ETF variations'!D11/'ETF price'!E12</f>
        <v>-4.473344918437127E-2</v>
      </c>
      <c r="E11">
        <f ca="1">'ETF variations'!E11/'ETF price'!F12</f>
        <v>-2.0771513353115688E-2</v>
      </c>
      <c r="F11">
        <f ca="1">'ETF variations'!F11/'ETF price'!G12</f>
        <v>-2.9521441889372259E-2</v>
      </c>
      <c r="G11">
        <f ca="1">'ETF variations'!G11/'ETF price'!H12</f>
        <v>-2.6756931012250105E-2</v>
      </c>
      <c r="H11">
        <f ca="1">'ETF variations'!H11/'ETF price'!I12</f>
        <v>-1.4022525546356348E-2</v>
      </c>
      <c r="I11">
        <f ca="1">'ETF variations'!I11/'ETF price'!J12</f>
        <v>-1.890773027625189E-2</v>
      </c>
      <c r="J11">
        <f ca="1">'ETF variations'!J11/'ETF price'!K12</f>
        <v>-3.951061532925499E-2</v>
      </c>
      <c r="K11">
        <f ca="1">'ETF variations'!K11/'ETF price'!L12</f>
        <v>-5.9408896407602739E-2</v>
      </c>
      <c r="L11">
        <f ca="1">'ETF variations'!L11/'ETF price'!M12</f>
        <v>-3.9255552080075043E-2</v>
      </c>
      <c r="M11">
        <f ca="1">'ETF variations'!M11/'ETF price'!N12</f>
        <v>-1.7923362175525287E-2</v>
      </c>
      <c r="N11">
        <f ca="1">'ETF variations'!N11/'ETF price'!O12</f>
        <v>-5.6910569105691082E-2</v>
      </c>
      <c r="O11">
        <f ca="1">'ETF variations'!O11/'ETF price'!P12</f>
        <v>4.0303828863740643E-3</v>
      </c>
      <c r="P11">
        <f ca="1">'ETF variations'!P11/'ETF price'!Q12</f>
        <v>1.1104941699057026E-3</v>
      </c>
      <c r="Q11">
        <f ca="1">'ETF variations'!Q11/'ETF price'!R12</f>
        <v>-1.3175675675675695E-2</v>
      </c>
      <c r="R11">
        <f ca="1">'ETF variations'!R11/'ETF price'!S12</f>
        <v>-1.6389953171562284E-2</v>
      </c>
      <c r="S11">
        <f ca="1">'ETF variations'!S11/'ETF price'!T12</f>
        <v>7.8053259871440836E-3</v>
      </c>
      <c r="T11">
        <f ca="1">'ETF variations'!T11/'ETF price'!U12</f>
        <v>1.6675004168751041E-2</v>
      </c>
      <c r="U11">
        <f ca="1">'ETF variations'!U11/'ETF price'!V12</f>
        <v>-4.28672817601135E-2</v>
      </c>
      <c r="V11">
        <f ca="1">'ETF variations'!V11/'ETF price'!W12</f>
        <v>-2.2287533676218385E-2</v>
      </c>
      <c r="W11">
        <f ca="1">'ETF variations'!W11/'ETF price'!X12</f>
        <v>-2.2297431813657127E-2</v>
      </c>
      <c r="X11">
        <f ca="1">'ETF variations'!X11/'ETF price'!Y12</f>
        <v>-1.9698725376593243E-2</v>
      </c>
      <c r="Y11">
        <f ca="1">'ETF variations'!Y11/'ETF price'!Z12</f>
        <v>-2.1406388642413406E-2</v>
      </c>
      <c r="Z11">
        <f ca="1">'ETF variations'!Z11/'ETF price'!AA12</f>
        <v>-6.8337129840546343E-3</v>
      </c>
      <c r="AA11">
        <f ca="1">'ETF variations'!AA11/'ETF price'!AB12</f>
        <v>-2.1198273673521218E-2</v>
      </c>
      <c r="AB11">
        <f ca="1">'ETF variations'!AB11/'ETF price'!AC12</f>
        <v>-2.3448068540508075E-2</v>
      </c>
      <c r="AC11">
        <f ca="1">'ETF variations'!AC11/'ETF price'!AD12</f>
        <v>-3.3313503866745912E-2</v>
      </c>
      <c r="AD11">
        <f ca="1">'ETF variations'!AD11/'ETF price'!AE12</f>
        <v>-3.2756716967243305E-2</v>
      </c>
      <c r="AE11">
        <f ca="1">'ETF variations'!AE11/'ETF price'!AF12</f>
        <v>-8.6956521739131147E-3</v>
      </c>
      <c r="AF11">
        <f ca="1">'ETF variations'!AF11/'ETF price'!AG12</f>
        <v>-6.3649925410243724E-2</v>
      </c>
    </row>
    <row r="12" spans="1:32" x14ac:dyDescent="0.2">
      <c r="A12">
        <f ca="1">'ETF variations'!A12/'ETF price'!B13</f>
        <v>-1.3969588329830578E-2</v>
      </c>
      <c r="B12">
        <f ca="1">'ETF variations'!B12/'ETF price'!C13</f>
        <v>-1.3943798679008648E-2</v>
      </c>
      <c r="C12">
        <f ca="1">'ETF variations'!C12/'ETF price'!D13</f>
        <v>-1.2302451026781463E-2</v>
      </c>
      <c r="D12">
        <f ca="1">'ETF variations'!D12/'ETF price'!E13</f>
        <v>-2.9399683117187905E-2</v>
      </c>
      <c r="E12">
        <f ca="1">'ETF variations'!E12/'ETF price'!F13</f>
        <v>-3.7433155080214054E-3</v>
      </c>
      <c r="F12">
        <f ca="1">'ETF variations'!F12/'ETF price'!G13</f>
        <v>-1.3768812039705402E-2</v>
      </c>
      <c r="G12">
        <f ca="1">'ETF variations'!G12/'ETF price'!H13</f>
        <v>-8.612123219609193E-3</v>
      </c>
      <c r="H12">
        <f ca="1">'ETF variations'!H12/'ETF price'!I13</f>
        <v>-4.0850291247446257E-3</v>
      </c>
      <c r="I12">
        <f ca="1">'ETF variations'!I12/'ETF price'!J13</f>
        <v>-4.2601533655212045E-3</v>
      </c>
      <c r="J12">
        <f ca="1">'ETF variations'!J12/'ETF price'!K13</f>
        <v>-1.2213397272591004E-2</v>
      </c>
      <c r="K12">
        <f ca="1">'ETF variations'!K12/'ETF price'!L13</f>
        <v>-1.0791366906474779E-2</v>
      </c>
      <c r="L12">
        <f ca="1">'ETF variations'!L12/'ETF price'!M13</f>
        <v>-1.2697379130717909E-2</v>
      </c>
      <c r="M12">
        <f ca="1">'ETF variations'!M12/'ETF price'!N13</f>
        <v>-4.4052863436123526E-3</v>
      </c>
      <c r="N12">
        <f ca="1">'ETF variations'!N12/'ETF price'!O13</f>
        <v>-1.1083743842364515E-2</v>
      </c>
      <c r="O12">
        <f ca="1">'ETF variations'!O12/'ETF price'!P13</f>
        <v>-7.256445885440773E-3</v>
      </c>
      <c r="P12">
        <f ca="1">'ETF variations'!P12/'ETF price'!Q13</f>
        <v>-8.430393788130949E-3</v>
      </c>
      <c r="Q12">
        <f ca="1">'ETF variations'!Q12/'ETF price'!R13</f>
        <v>-2.5105557457491597E-3</v>
      </c>
      <c r="R12">
        <f ca="1">'ETF variations'!R12/'ETF price'!S13</f>
        <v>-6.4921012767801638E-4</v>
      </c>
      <c r="S12">
        <f ca="1">'ETF variations'!S12/'ETF price'!T13</f>
        <v>5.4669703872437811E-3</v>
      </c>
      <c r="T12">
        <f ca="1">'ETF variations'!T12/'ETF price'!U13</f>
        <v>1.3121207151057619E-3</v>
      </c>
      <c r="U12">
        <f ca="1">'ETF variations'!U12/'ETF price'!V13</f>
        <v>-7.2667951950171885E-3</v>
      </c>
      <c r="V12">
        <f ca="1">'ETF variations'!V12/'ETF price'!W13</f>
        <v>-1.6783567134268578E-2</v>
      </c>
      <c r="W12">
        <f ca="1">'ETF variations'!W12/'ETF price'!X13</f>
        <v>-1.7918957442476128E-2</v>
      </c>
      <c r="X12">
        <f ca="1">'ETF variations'!X12/'ETF price'!Y13</f>
        <v>-2.786220871327252E-2</v>
      </c>
      <c r="Y12">
        <f ca="1">'ETF variations'!Y12/'ETF price'!Z13</f>
        <v>-1.7454380596169175E-2</v>
      </c>
      <c r="Z12">
        <f ca="1">'ETF variations'!Z12/'ETF price'!AA13</f>
        <v>-1.2927439532944066E-2</v>
      </c>
      <c r="AA12">
        <f ca="1">'ETF variations'!AA12/'ETF price'!AB13</f>
        <v>-2.7233821812994351E-2</v>
      </c>
      <c r="AB12">
        <f ca="1">'ETF variations'!AB12/'ETF price'!AC13</f>
        <v>-1.6161305217792785E-2</v>
      </c>
      <c r="AC12">
        <f ca="1">'ETF variations'!AC12/'ETF price'!AD13</f>
        <v>-3.0769230769231207E-3</v>
      </c>
      <c r="AD12">
        <f ca="1">'ETF variations'!AD12/'ETF price'!AE13</f>
        <v>-3.0441400304414704E-3</v>
      </c>
      <c r="AE12">
        <f ca="1">'ETF variations'!AE12/'ETF price'!AF13</f>
        <v>-6.2865497076023347E-2</v>
      </c>
      <c r="AF12">
        <f ca="1">'ETF variations'!AF12/'ETF price'!AG13</f>
        <v>-3.2926181625066248E-2</v>
      </c>
    </row>
    <row r="13" spans="1:32" x14ac:dyDescent="0.2">
      <c r="A13">
        <f ca="1">'ETF variations'!A13/'ETF price'!B14</f>
        <v>-1.2913741223671027E-2</v>
      </c>
      <c r="B13">
        <f ca="1">'ETF variations'!B13/'ETF price'!C14</f>
        <v>-1.2436377604916948E-2</v>
      </c>
      <c r="C13">
        <f ca="1">'ETF variations'!C13/'ETF price'!D14</f>
        <v>-1.3988694069177042E-2</v>
      </c>
      <c r="D13">
        <f ca="1">'ETF variations'!D13/'ETF price'!E14</f>
        <v>-3.1378476420798052E-2</v>
      </c>
      <c r="E13">
        <f ca="1">'ETF variations'!E13/'ETF price'!F14</f>
        <v>-2.6838432635533831E-3</v>
      </c>
      <c r="F13">
        <f ca="1">'ETF variations'!F13/'ETF price'!G14</f>
        <v>-8.1168831168831161E-3</v>
      </c>
      <c r="G13">
        <f ca="1">'ETF variations'!G13/'ETF price'!H14</f>
        <v>-1.1693952555963963E-2</v>
      </c>
      <c r="H13">
        <f ca="1">'ETF variations'!H13/'ETF price'!I14</f>
        <v>-6.5324724648690739E-3</v>
      </c>
      <c r="I13">
        <f ca="1">'ETF variations'!I13/'ETF price'!J14</f>
        <v>-5.908238937331875E-3</v>
      </c>
      <c r="J13">
        <f ca="1">'ETF variations'!J13/'ETF price'!K14</f>
        <v>-8.9509216415080538E-3</v>
      </c>
      <c r="K13">
        <f ca="1">'ETF variations'!K13/'ETF price'!L14</f>
        <v>-1.6363636363636375E-2</v>
      </c>
      <c r="L13">
        <f ca="1">'ETF variations'!L13/'ETF price'!M14</f>
        <v>-1.5663643858202733E-2</v>
      </c>
      <c r="M13">
        <f ca="1">'ETF variations'!M13/'ETF price'!N14</f>
        <v>-6.7951959544879856E-3</v>
      </c>
      <c r="N13">
        <f ca="1">'ETF variations'!N13/'ETF price'!O14</f>
        <v>-6.2266500622663685E-3</v>
      </c>
      <c r="O13">
        <f ca="1">'ETF variations'!O13/'ETF price'!P14</f>
        <v>-9.1757387247277805E-3</v>
      </c>
      <c r="P13">
        <f ca="1">'ETF variations'!P13/'ETF price'!Q14</f>
        <v>-1.2305627027631662E-2</v>
      </c>
      <c r="Q13">
        <f ca="1">'ETF variations'!Q13/'ETF price'!R14</f>
        <v>-1.4529230065209885E-2</v>
      </c>
      <c r="R13">
        <f ca="1">'ETF variations'!R13/'ETF price'!S14</f>
        <v>-3.6379385015158069E-2</v>
      </c>
      <c r="S13">
        <f ca="1">'ETF variations'!S13/'ETF price'!T14</f>
        <v>-3.6248300860897984E-3</v>
      </c>
      <c r="T13">
        <f ca="1">'ETF variations'!T13/'ETF price'!U14</f>
        <v>-6.388206388206398E-3</v>
      </c>
      <c r="U13">
        <f ca="1">'ETF variations'!U13/'ETF price'!V14</f>
        <v>7.4693755602027424E-4</v>
      </c>
      <c r="V13">
        <f ca="1">'ETF variations'!V13/'ETF price'!W14</f>
        <v>-6.369426751592357E-3</v>
      </c>
      <c r="W13">
        <f ca="1">'ETF variations'!W13/'ETF price'!X14</f>
        <v>-8.0862533692721023E-3</v>
      </c>
      <c r="X13">
        <f ca="1">'ETF variations'!X13/'ETF price'!Y14</f>
        <v>-2.3102310231023073E-2</v>
      </c>
      <c r="Y13">
        <f ca="1">'ETF variations'!Y13/'ETF price'!Z14</f>
        <v>-6.4597992848079624E-3</v>
      </c>
      <c r="Z13">
        <f ca="1">'ETF variations'!Z13/'ETF price'!AA14</f>
        <v>-8.8719898605830513E-3</v>
      </c>
      <c r="AA13">
        <f ca="1">'ETF variations'!AA13/'ETF price'!AB14</f>
        <v>-2.6263164911345137E-2</v>
      </c>
      <c r="AB13">
        <f ca="1">'ETF variations'!AB13/'ETF price'!AC14</f>
        <v>-5.7884856070088316E-3</v>
      </c>
      <c r="AC13">
        <f ca="1">'ETF variations'!AC13/'ETF price'!AD14</f>
        <v>2.6543209876543194E-2</v>
      </c>
      <c r="AD13">
        <f ca="1">'ETF variations'!AD13/'ETF price'!AE14</f>
        <v>2.6717557251908372E-2</v>
      </c>
      <c r="AE13">
        <f ca="1">'ETF variations'!AE13/'ETF price'!AF14</f>
        <v>-1.4040561622464877E-2</v>
      </c>
      <c r="AF13">
        <f ca="1">'ETF variations'!AF13/'ETF price'!AG14</f>
        <v>9.8846787479406756E-3</v>
      </c>
    </row>
    <row r="14" spans="1:32" x14ac:dyDescent="0.2">
      <c r="A14">
        <f ca="1">'ETF variations'!A14/'ETF price'!B15</f>
        <v>-1.9878064270290839E-2</v>
      </c>
      <c r="B14">
        <f ca="1">'ETF variations'!B14/'ETF price'!C15</f>
        <v>-2.1660913113239581E-2</v>
      </c>
      <c r="C14">
        <f ca="1">'ETF variations'!C14/'ETF price'!D15</f>
        <v>-2.2252453600233136E-2</v>
      </c>
      <c r="D14">
        <f ca="1">'ETF variations'!D14/'ETF price'!E15</f>
        <v>-1.6603208289120507E-2</v>
      </c>
      <c r="E14">
        <f ca="1">'ETF variations'!E14/'ETF price'!F15</f>
        <v>-1.991388589881592E-2</v>
      </c>
      <c r="F14">
        <f ca="1">'ETF variations'!F14/'ETF price'!G15</f>
        <v>-3.4697217675941153E-2</v>
      </c>
      <c r="G14">
        <f ca="1">'ETF variations'!G14/'ETF price'!H15</f>
        <v>-2.7045300878972185E-2</v>
      </c>
      <c r="H14">
        <f ca="1">'ETF variations'!H14/'ETF price'!I15</f>
        <v>-1.0092514718250579E-2</v>
      </c>
      <c r="I14">
        <f ca="1">'ETF variations'!I14/'ETF price'!J15</f>
        <v>-1.0575070705414651E-2</v>
      </c>
      <c r="J14">
        <f ca="1">'ETF variations'!J14/'ETF price'!K15</f>
        <v>-1.5078453884424024E-2</v>
      </c>
      <c r="K14">
        <f ca="1">'ETF variations'!K14/'ETF price'!L15</f>
        <v>-2.1093834946178076E-2</v>
      </c>
      <c r="L14">
        <f ca="1">'ETF variations'!L14/'ETF price'!M15</f>
        <v>-1.2060301507537789E-2</v>
      </c>
      <c r="M14">
        <f ca="1">'ETF variations'!M14/'ETF price'!N15</f>
        <v>-1.1296738265712026E-2</v>
      </c>
      <c r="N14">
        <f ca="1">'ETF variations'!N14/'ETF price'!O15</f>
        <v>-2.0050125313283224E-2</v>
      </c>
      <c r="O14">
        <f ca="1">'ETF variations'!O14/'ETF price'!P15</f>
        <v>-1.9777115052581982E-2</v>
      </c>
      <c r="P14">
        <f ca="1">'ETF variations'!P14/'ETF price'!Q15</f>
        <v>-2.129346471854128E-2</v>
      </c>
      <c r="Q14">
        <f ca="1">'ETF variations'!Q14/'ETF price'!R15</f>
        <v>-2.4378918040399284E-2</v>
      </c>
      <c r="R14">
        <f ca="1">'ETF variations'!R14/'ETF price'!S15</f>
        <v>-5.011235955056173E-2</v>
      </c>
      <c r="S14">
        <f ca="1">'ETF variations'!S14/'ETF price'!T15</f>
        <v>9.0950432014566291E-4</v>
      </c>
      <c r="T14">
        <f ca="1">'ETF variations'!T14/'ETF price'!U15</f>
        <v>1.9782393669634775E-3</v>
      </c>
      <c r="U14">
        <f ca="1">'ETF variations'!U14/'ETF price'!V15</f>
        <v>-4.8514703687117376E-2</v>
      </c>
      <c r="V14">
        <f ca="1">'ETF variations'!V14/'ETF price'!W15</f>
        <v>-2.051282051282044E-2</v>
      </c>
      <c r="W14">
        <f ca="1">'ETF variations'!W14/'ETF price'!X15</f>
        <v>-1.9126254180602136E-2</v>
      </c>
      <c r="X14">
        <f ca="1">'ETF variations'!X14/'ETF price'!Y15</f>
        <v>-1.9914651493598941E-2</v>
      </c>
      <c r="Y14">
        <f ca="1">'ETF variations'!Y14/'ETF price'!Z15</f>
        <v>-2.0318123766399628E-2</v>
      </c>
      <c r="Z14">
        <f ca="1">'ETF variations'!Z14/'ETF price'!AA15</f>
        <v>-6.3938618925833625E-4</v>
      </c>
      <c r="AA14">
        <f ca="1">'ETF variations'!AA14/'ETF price'!AB15</f>
        <v>-1.9578313253012139E-2</v>
      </c>
      <c r="AB14">
        <f ca="1">'ETF variations'!AB14/'ETF price'!AC15</f>
        <v>-2.3288749016522375E-2</v>
      </c>
      <c r="AC14">
        <f ca="1">'ETF variations'!AC14/'ETF price'!AD15</f>
        <v>-0.10342754058929639</v>
      </c>
      <c r="AD14">
        <f ca="1">'ETF variations'!AD14/'ETF price'!AE15</f>
        <v>-0.10408921933085492</v>
      </c>
      <c r="AE14">
        <f ca="1">'ETF variations'!AE14/'ETF price'!AF15</f>
        <v>-5.8544303797468368E-2</v>
      </c>
      <c r="AF14">
        <f ca="1">'ETF variations'!AF14/'ETF price'!AG15</f>
        <v>-0.12289287656334973</v>
      </c>
    </row>
    <row r="15" spans="1:32" x14ac:dyDescent="0.2">
      <c r="A15">
        <f ca="1">'ETF variations'!A15/'ETF price'!B16</f>
        <v>5.1836972720791996E-3</v>
      </c>
      <c r="B15">
        <f ca="1">'ETF variations'!B15/'ETF price'!C16</f>
        <v>6.4607509380512533E-3</v>
      </c>
      <c r="C15">
        <f ca="1">'ETF variations'!C15/'ETF price'!D16</f>
        <v>1.003776585171925E-2</v>
      </c>
      <c r="D15">
        <f ca="1">'ETF variations'!D15/'ETF price'!E16</f>
        <v>1.1424944462075422E-2</v>
      </c>
      <c r="E15">
        <f ca="1">'ETF variations'!E15/'ETF price'!F16</f>
        <v>9.7016291414972356E-3</v>
      </c>
      <c r="F15">
        <f ca="1">'ETF variations'!F15/'ETF price'!G16</f>
        <v>-6.4428619871141997E-3</v>
      </c>
      <c r="G15">
        <f ca="1">'ETF variations'!G15/'ETF price'!H16</f>
        <v>1.2161223071577409E-2</v>
      </c>
      <c r="H15">
        <f ca="1">'ETF variations'!H15/'ETF price'!I16</f>
        <v>-3.3212327180042237E-3</v>
      </c>
      <c r="I15">
        <f ca="1">'ETF variations'!I15/'ETF price'!J16</f>
        <v>-1.1599486308462353E-3</v>
      </c>
      <c r="J15">
        <f ca="1">'ETF variations'!J15/'ETF price'!K16</f>
        <v>9.170034193347892E-3</v>
      </c>
      <c r="K15">
        <f ca="1">'ETF variations'!K15/'ETF price'!L16</f>
        <v>2.310340997445294E-2</v>
      </c>
      <c r="L15">
        <f ca="1">'ETF variations'!L15/'ETF price'!M16</f>
        <v>1.5259409969481278E-2</v>
      </c>
      <c r="M15">
        <f ca="1">'ETF variations'!M15/'ETF price'!N16</f>
        <v>-4.8278081750886928E-4</v>
      </c>
      <c r="N15">
        <f ca="1">'ETF variations'!N15/'ETF price'!O16</f>
        <v>1.6624040920716097E-2</v>
      </c>
      <c r="O15">
        <f ca="1">'ETF variations'!O15/'ETF price'!P16</f>
        <v>6.7253803042433081E-3</v>
      </c>
      <c r="P15">
        <f ca="1">'ETF variations'!P15/'ETF price'!Q16</f>
        <v>7.5222775141766656E-3</v>
      </c>
      <c r="Q15">
        <f ca="1">'ETF variations'!Q15/'ETF price'!R16</f>
        <v>5.9495478343642497E-4</v>
      </c>
      <c r="R15">
        <f ca="1">'ETF variations'!R15/'ETF price'!S16</f>
        <v>9.226401703335543E-3</v>
      </c>
      <c r="S15">
        <f ca="1">'ETF variations'!S15/'ETF price'!T16</f>
        <v>-2.271694684234471E-3</v>
      </c>
      <c r="T15">
        <f ca="1">'ETF variations'!T15/'ETF price'!U16</f>
        <v>-1.1023362948338297E-2</v>
      </c>
      <c r="U15">
        <f ca="1">'ETF variations'!U15/'ETF price'!V16</f>
        <v>1.0668340131785373E-2</v>
      </c>
      <c r="V15">
        <f ca="1">'ETF variations'!V15/'ETF price'!W16</f>
        <v>2.8795811518324455E-3</v>
      </c>
      <c r="W15">
        <f ca="1">'ETF variations'!W15/'ETF price'!X16</f>
        <v>3.6228023441662593E-3</v>
      </c>
      <c r="X15">
        <f ca="1">'ETF variations'!X15/'ETF price'!Y16</f>
        <v>1.0522496371553074E-2</v>
      </c>
      <c r="Y15">
        <f ca="1">'ETF variations'!Y15/'ETF price'!Z16</f>
        <v>3.3183218772221044E-3</v>
      </c>
      <c r="Z15">
        <f ca="1">'ETF variations'!Z15/'ETF price'!AA16</f>
        <v>2.1326508850501476E-3</v>
      </c>
      <c r="AA15">
        <f ca="1">'ETF variations'!AA15/'ETF price'!AB16</f>
        <v>1.3964530093562352E-2</v>
      </c>
      <c r="AB15">
        <f ca="1">'ETF variations'!AB15/'ETF price'!AC16</f>
        <v>-2.0944095376188585E-3</v>
      </c>
      <c r="AC15">
        <f ca="1">'ETF variations'!AC15/'ETF price'!AD16</f>
        <v>-2.8169014084507036E-2</v>
      </c>
      <c r="AD15">
        <f ca="1">'ETF variations'!AD15/'ETF price'!AE16</f>
        <v>-2.5726141078838215E-2</v>
      </c>
      <c r="AE15">
        <f ca="1">'ETF variations'!AE15/'ETF price'!AF16</f>
        <v>-9.747899159663867E-2</v>
      </c>
      <c r="AF15">
        <f ca="1">'ETF variations'!AF15/'ETF price'!AG16</f>
        <v>-1.8598884066955916E-2</v>
      </c>
    </row>
    <row r="16" spans="1:32" x14ac:dyDescent="0.2">
      <c r="A16">
        <f ca="1">'ETF variations'!A16/'ETF price'!B17</f>
        <v>-2.3141881003029739E-2</v>
      </c>
      <c r="B16">
        <f ca="1">'ETF variations'!B16/'ETF price'!C17</f>
        <v>-2.4566081524825294E-2</v>
      </c>
      <c r="C16">
        <f ca="1">'ETF variations'!C16/'ETF price'!D17</f>
        <v>-2.8239693004034148E-2</v>
      </c>
      <c r="D16">
        <f ca="1">'ETF variations'!D16/'ETF price'!E17</f>
        <v>-3.7339190461248756E-2</v>
      </c>
      <c r="E16">
        <f ca="1">'ETF variations'!E16/'ETF price'!F17</f>
        <v>-3.1363306744017348E-2</v>
      </c>
      <c r="F16">
        <f ca="1">'ETF variations'!F16/'ETF price'!G17</f>
        <v>-1.6723549488054674E-2</v>
      </c>
      <c r="G16">
        <f ca="1">'ETF variations'!G16/'ETF price'!H17</f>
        <v>-2.2657054582904228E-2</v>
      </c>
      <c r="H16">
        <f ca="1">'ETF variations'!H16/'ETF price'!I17</f>
        <v>-6.4321140731554878E-3</v>
      </c>
      <c r="I16">
        <f ca="1">'ETF variations'!I16/'ETF price'!J17</f>
        <v>-9.3733150844013905E-3</v>
      </c>
      <c r="J16">
        <f ca="1">'ETF variations'!J16/'ETF price'!K17</f>
        <v>-1.7480363468350607E-2</v>
      </c>
      <c r="K16">
        <f ca="1">'ETF variations'!K16/'ETF price'!L17</f>
        <v>-7.9253066985126904E-3</v>
      </c>
      <c r="L16">
        <f ca="1">'ETF variations'!L16/'ETF price'!M17</f>
        <v>-1.4863059452237818E-2</v>
      </c>
      <c r="M16">
        <f ca="1">'ETF variations'!M16/'ETF price'!N17</f>
        <v>-8.8552568024472256E-3</v>
      </c>
      <c r="N16">
        <f ca="1">'ETF variations'!N16/'ETF price'!O17</f>
        <v>-1.7610062893081833E-2</v>
      </c>
      <c r="O16">
        <f ca="1">'ETF variations'!O16/'ETF price'!P17</f>
        <v>3.8810243359312949E-2</v>
      </c>
      <c r="P16">
        <f ca="1">'ETF variations'!P16/'ETF price'!Q17</f>
        <v>3.7100849988513714E-2</v>
      </c>
      <c r="Q16">
        <f ca="1">'ETF variations'!Q16/'ETF price'!R17</f>
        <v>-9.0379355452491986E-3</v>
      </c>
      <c r="R16">
        <f ca="1">'ETF variations'!R16/'ETF price'!S17</f>
        <v>3.2817627754336753E-3</v>
      </c>
      <c r="S16">
        <f ca="1">'ETF variations'!S16/'ETF price'!T17</f>
        <v>9.1074681238615344E-3</v>
      </c>
      <c r="T16">
        <f ca="1">'ETF variations'!T16/'ETF price'!U17</f>
        <v>1.430710364332057E-2</v>
      </c>
      <c r="U16">
        <f ca="1">'ETF variations'!U16/'ETF price'!V17</f>
        <v>-3.1822415398944495E-2</v>
      </c>
      <c r="V16">
        <f ca="1">'ETF variations'!V16/'ETF price'!W17</f>
        <v>4.1764552336203756E-3</v>
      </c>
      <c r="W16">
        <f ca="1">'ETF variations'!W16/'ETF price'!X17</f>
        <v>3.1850514916657519E-3</v>
      </c>
      <c r="X16">
        <f ca="1">'ETF variations'!X16/'ETF price'!Y17</f>
        <v>2.1543985637342447E-3</v>
      </c>
      <c r="Y16">
        <f ca="1">'ETF variations'!Y16/'ETF price'!Z17</f>
        <v>-9.4495629577130051E-4</v>
      </c>
      <c r="Z16">
        <f ca="1">'ETF variations'!Z16/'ETF price'!AA17</f>
        <v>-2.7665460736327422E-3</v>
      </c>
      <c r="AA16">
        <f ca="1">'ETF variations'!AA16/'ETF price'!AB17</f>
        <v>-8.2633246109354457E-4</v>
      </c>
      <c r="AB16">
        <f ca="1">'ETF variations'!AB16/'ETF price'!AC17</f>
        <v>1.6144656118824898E-3</v>
      </c>
      <c r="AC16">
        <f ca="1">'ETF variations'!AC16/'ETF price'!AD17</f>
        <v>-7.5914423740510301E-3</v>
      </c>
      <c r="AD16">
        <f ca="1">'ETF variations'!AD16/'ETF price'!AE17</f>
        <v>-1.107325383304947E-2</v>
      </c>
      <c r="AE16">
        <f ca="1">'ETF variations'!AE16/'ETF price'!AF17</f>
        <v>1.8621973929236102E-3</v>
      </c>
      <c r="AF16">
        <f ca="1">'ETF variations'!AF16/'ETF price'!AG17</f>
        <v>-1.0739102969046111E-2</v>
      </c>
    </row>
    <row r="17" spans="1:32" x14ac:dyDescent="0.2">
      <c r="A17">
        <f ca="1">'ETF variations'!A17/'ETF price'!B18</f>
        <v>5.8730368219612958E-3</v>
      </c>
      <c r="B17">
        <f ca="1">'ETF variations'!B17/'ETF price'!C18</f>
        <v>3.4676521210894114E-3</v>
      </c>
      <c r="C17">
        <f ca="1">'ETF variations'!C17/'ETF price'!D18</f>
        <v>4.860267314702205E-3</v>
      </c>
      <c r="D17">
        <f ca="1">'ETF variations'!D17/'ETF price'!E18</f>
        <v>1.5384615384615288E-2</v>
      </c>
      <c r="E17">
        <f ca="1">'ETF variations'!E17/'ETF price'!F18</f>
        <v>-8.0479131574022027E-3</v>
      </c>
      <c r="F17">
        <f ca="1">'ETF variations'!F17/'ETF price'!G18</f>
        <v>-2.0826102047899592E-3</v>
      </c>
      <c r="G17">
        <f ca="1">'ETF variations'!G17/'ETF price'!H18</f>
        <v>-1.0186160871092349E-2</v>
      </c>
      <c r="H17">
        <f ca="1">'ETF variations'!H17/'ETF price'!I18</f>
        <v>-5.2258014195460702E-3</v>
      </c>
      <c r="I17">
        <f ca="1">'ETF variations'!I17/'ETF price'!J18</f>
        <v>-5.4008792128950895E-3</v>
      </c>
      <c r="J17">
        <f ca="1">'ETF variations'!J17/'ETF price'!K18</f>
        <v>-1.0737518614311502E-2</v>
      </c>
      <c r="K17">
        <f ca="1">'ETF variations'!K17/'ETF price'!L18</f>
        <v>-1.9588531407310046E-2</v>
      </c>
      <c r="L17">
        <f ca="1">'ETF variations'!L17/'ETF price'!M18</f>
        <v>-1.3731140871334162E-2</v>
      </c>
      <c r="M17">
        <f ca="1">'ETF variations'!M17/'ETF price'!N18</f>
        <v>-7.3099415204678818E-3</v>
      </c>
      <c r="N17">
        <f ca="1">'ETF variations'!N17/'ETF price'!O18</f>
        <v>-2.0486555697823209E-2</v>
      </c>
      <c r="O17">
        <f ca="1">'ETF variations'!O17/'ETF price'!P18</f>
        <v>-1.6842749961720935E-3</v>
      </c>
      <c r="P17">
        <f ca="1">'ETF variations'!P17/'ETF price'!Q18</f>
        <v>-2.5473474360394725E-3</v>
      </c>
      <c r="Q17">
        <f ca="1">'ETF variations'!Q17/'ETF price'!R18</f>
        <v>-1.0440417616704722E-2</v>
      </c>
      <c r="R17">
        <f ca="1">'ETF variations'!R17/'ETF price'!S18</f>
        <v>-2.6401869158878401E-2</v>
      </c>
      <c r="S17">
        <f ca="1">'ETF variations'!S17/'ETF price'!T18</f>
        <v>2.256317689530718E-3</v>
      </c>
      <c r="T17">
        <f ca="1">'ETF variations'!T17/'ETF price'!U18</f>
        <v>1.1645071346563897E-2</v>
      </c>
      <c r="U17">
        <f ca="1">'ETF variations'!U17/'ETF price'!V18</f>
        <v>1.9240019240019969E-3</v>
      </c>
      <c r="V17">
        <f ca="1">'ETF variations'!V17/'ETF price'!W18</f>
        <v>2.5994281258123583E-3</v>
      </c>
      <c r="W17">
        <f ca="1">'ETF variations'!W17/'ETF price'!X18</f>
        <v>-4.2332521959987345E-4</v>
      </c>
      <c r="X17">
        <f ca="1">'ETF variations'!X17/'ETF price'!Y18</f>
        <v>-6.6284485847366076E-3</v>
      </c>
      <c r="Y17">
        <f ca="1">'ETF variations'!Y17/'ETF price'!Z18</f>
        <v>2.8375502482855864E-3</v>
      </c>
      <c r="Z17">
        <f ca="1">'ETF variations'!Z17/'ETF price'!AA18</f>
        <v>-1.6645326504481459E-2</v>
      </c>
      <c r="AA17">
        <f ca="1">'ETF variations'!AA17/'ETF price'!AB18</f>
        <v>-5.5134390075808615E-3</v>
      </c>
      <c r="AB17">
        <f ca="1">'ETF variations'!AB17/'ETF price'!AC18</f>
        <v>4.1908446163764993E-3</v>
      </c>
      <c r="AC17">
        <f ca="1">'ETF variations'!AC17/'ETF price'!AD18</f>
        <v>2.7816411682892311E-3</v>
      </c>
      <c r="AD17">
        <f ca="1">'ETF variations'!AD17/'ETF price'!AE18</f>
        <v>1.2919896640827364E-3</v>
      </c>
      <c r="AE17">
        <f ca="1">'ETF variations'!AE17/'ETF price'!AF18</f>
        <v>-1.1152416356877252E-2</v>
      </c>
      <c r="AF17">
        <f ca="1">'ETF variations'!AF17/'ETF price'!AG18</f>
        <v>-2.554278416347441E-3</v>
      </c>
    </row>
    <row r="18" spans="1:32" x14ac:dyDescent="0.2">
      <c r="A18">
        <f ca="1">'ETF variations'!A18/'ETF price'!B19</f>
        <v>-6.8884077937414641E-3</v>
      </c>
      <c r="B18">
        <f ca="1">'ETF variations'!B18/'ETF price'!C19</f>
        <v>-8.4752175558078287E-3</v>
      </c>
      <c r="C18">
        <f ca="1">'ETF variations'!C18/'ETF price'!D19</f>
        <v>-8.6658605401047917E-3</v>
      </c>
      <c r="D18">
        <f ca="1">'ETF variations'!D18/'ETF price'!E19</f>
        <v>-4.4555726759116579E-2</v>
      </c>
      <c r="E18">
        <f ca="1">'ETF variations'!E18/'ETF price'!F19</f>
        <v>-1.1509433962264139E-2</v>
      </c>
      <c r="F18">
        <f ca="1">'ETF variations'!F18/'ETF price'!G19</f>
        <v>-2.3304347826087014E-2</v>
      </c>
      <c r="G18">
        <f ca="1">'ETF variations'!G18/'ETF price'!H19</f>
        <v>-1.5613910574875845E-2</v>
      </c>
      <c r="H18">
        <f ca="1">'ETF variations'!H18/'ETF price'!I19</f>
        <v>2.5874235533949997E-3</v>
      </c>
      <c r="I18">
        <f ca="1">'ETF variations'!I18/'ETF price'!J19</f>
        <v>-2.9887186395016331E-3</v>
      </c>
      <c r="J18">
        <f ca="1">'ETF variations'!J18/'ETF price'!K19</f>
        <v>-2.0123593725241577E-2</v>
      </c>
      <c r="K18">
        <f ca="1">'ETF variations'!K18/'ETF price'!L19</f>
        <v>-4.5540796963946847E-2</v>
      </c>
      <c r="L18">
        <f ca="1">'ETF variations'!L18/'ETF price'!M19</f>
        <v>-2.4063251976624244E-2</v>
      </c>
      <c r="M18">
        <f ca="1">'ETF variations'!M18/'ETF price'!N19</f>
        <v>-9.8183603338246241E-4</v>
      </c>
      <c r="N18">
        <f ca="1">'ETF variations'!N18/'ETF price'!O19</f>
        <v>-3.0065359477124236E-2</v>
      </c>
      <c r="O18">
        <f ca="1">'ETF variations'!O18/'ETF price'!P19</f>
        <v>1.0889570552147143E-2</v>
      </c>
      <c r="P18">
        <f ca="1">'ETF variations'!P18/'ETF price'!Q19</f>
        <v>1.0215411947590514E-2</v>
      </c>
      <c r="Q18">
        <f ca="1">'ETF variations'!Q18/'ETF price'!R19</f>
        <v>3.395585738539912E-3</v>
      </c>
      <c r="R18">
        <f ca="1">'ETF variations'!R18/'ETF price'!S19</f>
        <v>-1.5598752099831978E-2</v>
      </c>
      <c r="S18">
        <f ca="1">'ETF variations'!S18/'ETF price'!T19</f>
        <v>4.9527239981989836E-3</v>
      </c>
      <c r="T18">
        <f ca="1">'ETF variations'!T18/'ETF price'!U19</f>
        <v>2.9182879377431859E-3</v>
      </c>
      <c r="U18">
        <f ca="1">'ETF variations'!U18/'ETF price'!V19</f>
        <v>-3.7606016962714053E-2</v>
      </c>
      <c r="V18">
        <f ca="1">'ETF variations'!V18/'ETF price'!W19</f>
        <v>-9.0744101633394199E-3</v>
      </c>
      <c r="W18">
        <f ca="1">'ETF variations'!W18/'ETF price'!X19</f>
        <v>-8.6818422445739257E-3</v>
      </c>
      <c r="X18">
        <f ca="1">'ETF variations'!X18/'ETF price'!Y19</f>
        <v>-2.1100090171325549E-2</v>
      </c>
      <c r="Y18">
        <f ca="1">'ETF variations'!Y18/'ETF price'!Z19</f>
        <v>-7.5453902381512191E-3</v>
      </c>
      <c r="Z18">
        <f ca="1">'ETF variations'!Z18/'ETF price'!AA19</f>
        <v>-1.8012152777777742E-2</v>
      </c>
      <c r="AA18">
        <f ca="1">'ETF variations'!AA18/'ETF price'!AB19</f>
        <v>-2.1067221067221208E-2</v>
      </c>
      <c r="AB18">
        <f ca="1">'ETF variations'!AB18/'ETF price'!AC19</f>
        <v>-4.6548956661316074E-3</v>
      </c>
      <c r="AC18">
        <f ca="1">'ETF variations'!AC18/'ETF price'!AD19</f>
        <v>-3.9528432732316245E-2</v>
      </c>
      <c r="AD18">
        <f ca="1">'ETF variations'!AD18/'ETF price'!AE19</f>
        <v>-4.0430107526881774E-2</v>
      </c>
      <c r="AE18">
        <f ca="1">'ETF variations'!AE18/'ETF price'!AF19</f>
        <v>-3.759398496240688E-3</v>
      </c>
      <c r="AF18">
        <f ca="1">'ETF variations'!AF18/'ETF price'!AG19</f>
        <v>-6.6581306017925682E-2</v>
      </c>
    </row>
    <row r="19" spans="1:32" x14ac:dyDescent="0.2">
      <c r="A19">
        <f ca="1">'ETF variations'!A19/'ETF price'!B20</f>
        <v>4.3731008059188829E-2</v>
      </c>
      <c r="B19">
        <f ca="1">'ETF variations'!B19/'ETF price'!C20</f>
        <v>4.2611106871199983E-2</v>
      </c>
      <c r="C19">
        <f ca="1">'ETF variations'!C19/'ETF price'!D20</f>
        <v>3.7202683472250572E-2</v>
      </c>
      <c r="D19">
        <f ca="1">'ETF variations'!D19/'ETF price'!E20</f>
        <v>1.9217847063566818E-2</v>
      </c>
      <c r="E19">
        <f ca="1">'ETF variations'!E19/'ETF price'!F20</f>
        <v>1.717885092574916E-2</v>
      </c>
      <c r="F19">
        <f ca="1">'ETF variations'!F19/'ETF price'!G20</f>
        <v>1.1039886039886121E-2</v>
      </c>
      <c r="G19">
        <f ca="1">'ETF variations'!G19/'ETF price'!H20</f>
        <v>2.7036770007209807E-2</v>
      </c>
      <c r="H19">
        <f ca="1">'ETF variations'!H19/'ETF price'!I20</f>
        <v>2.0411355282708887E-2</v>
      </c>
      <c r="I19">
        <f ca="1">'ETF variations'!I19/'ETF price'!J20</f>
        <v>2.29259024699177E-2</v>
      </c>
      <c r="J19">
        <f ca="1">'ETF variations'!J19/'ETF price'!K20</f>
        <v>3.4686287192755433E-2</v>
      </c>
      <c r="K19">
        <f ca="1">'ETF variations'!K19/'ETF price'!L20</f>
        <v>3.5902233656882152E-2</v>
      </c>
      <c r="L19">
        <f ca="1">'ETF variations'!L19/'ETF price'!M20</f>
        <v>3.9978865797816059E-2</v>
      </c>
      <c r="M19">
        <f ca="1">'ETF variations'!M19/'ETF price'!N20</f>
        <v>2.2932022932023025E-2</v>
      </c>
      <c r="N19">
        <f ca="1">'ETF variations'!N19/'ETF price'!O20</f>
        <v>2.9649595687331502E-2</v>
      </c>
      <c r="O19">
        <f ca="1">'ETF variations'!O19/'ETF price'!P20</f>
        <v>-4.248217265968763E-3</v>
      </c>
      <c r="P19">
        <f ca="1">'ETF variations'!P19/'ETF price'!Q20</f>
        <v>-2.0883710705649344E-3</v>
      </c>
      <c r="Q19">
        <f ca="1">'ETF variations'!Q19/'ETF price'!R20</f>
        <v>5.8013052936911292E-3</v>
      </c>
      <c r="R19">
        <f ca="1">'ETF variations'!R19/'ETF price'!S20</f>
        <v>8.5324232081909878E-3</v>
      </c>
      <c r="S19">
        <f ca="1">'ETF variations'!S19/'ETF price'!T20</f>
        <v>8.9605734767023181E-4</v>
      </c>
      <c r="T19">
        <f ca="1">'ETF variations'!T19/'ETF price'!U20</f>
        <v>1.7782088587132143E-3</v>
      </c>
      <c r="U19">
        <f ca="1">'ETF variations'!U19/'ETF price'!V20</f>
        <v>6.1523112736946699E-3</v>
      </c>
      <c r="V19">
        <f ca="1">'ETF variations'!V19/'ETF price'!W20</f>
        <v>1.3082155939298797E-2</v>
      </c>
      <c r="W19">
        <f ca="1">'ETF variations'!W19/'ETF price'!X20</f>
        <v>1.3243618498344645E-2</v>
      </c>
      <c r="X19">
        <f ca="1">'ETF variations'!X19/'ETF price'!Y20</f>
        <v>5.5268975681650179E-3</v>
      </c>
      <c r="Y19">
        <f ca="1">'ETF variations'!Y19/'ETF price'!Z20</f>
        <v>1.4611546685673434E-2</v>
      </c>
      <c r="Z19">
        <f ca="1">'ETF variations'!Z19/'ETF price'!AA20</f>
        <v>3.4696132596685088E-2</v>
      </c>
      <c r="AA19">
        <f ca="1">'ETF variations'!AA19/'ETF price'!AB20</f>
        <v>5.38015007787073E-3</v>
      </c>
      <c r="AB19">
        <f ca="1">'ETF variations'!AB19/'ETF price'!AC20</f>
        <v>2.5318497016610229E-2</v>
      </c>
      <c r="AC19">
        <f ca="1">'ETF variations'!AC19/'ETF price'!AD20</f>
        <v>6.2093862815884568E-2</v>
      </c>
      <c r="AD19">
        <f ca="1">'ETF variations'!AD19/'ETF price'!AE20</f>
        <v>6.5441506051098206E-2</v>
      </c>
      <c r="AE19">
        <f ca="1">'ETF variations'!AE19/'ETF price'!AF20</f>
        <v>2.2641509433962283E-2</v>
      </c>
      <c r="AF19">
        <f ca="1">'ETF variations'!AF19/'ETF price'!AG20</f>
        <v>5.3497942386831233E-2</v>
      </c>
    </row>
    <row r="20" spans="1:32" x14ac:dyDescent="0.2">
      <c r="A20">
        <f ca="1">'ETF variations'!A20/'ETF price'!B21</f>
        <v>2.5126582278481007E-2</v>
      </c>
      <c r="B20">
        <f ca="1">'ETF variations'!B20/'ETF price'!C21</f>
        <v>3.0304509076712904E-2</v>
      </c>
      <c r="C20">
        <f ca="1">'ETF variations'!C20/'ETF price'!D21</f>
        <v>3.1556252450019584E-2</v>
      </c>
      <c r="D20">
        <f ca="1">'ETF variations'!D20/'ETF price'!E21</f>
        <v>5.3665611814345898E-2</v>
      </c>
      <c r="E20">
        <f ca="1">'ETF variations'!E20/'ETF price'!F21</f>
        <v>3.5653968849690347E-2</v>
      </c>
      <c r="F20">
        <f ca="1">'ETF variations'!F20/'ETF price'!G21</f>
        <v>4.6143008101444123E-2</v>
      </c>
      <c r="G20">
        <f ca="1">'ETF variations'!G20/'ETF price'!H21</f>
        <v>3.8610038610038665E-2</v>
      </c>
      <c r="H20">
        <f ca="1">'ETF variations'!H20/'ETF price'!I21</f>
        <v>5.7480073574494176E-3</v>
      </c>
      <c r="I20">
        <f ca="1">'ETF variations'!I20/'ETF price'!J21</f>
        <v>1.2630014858841019E-2</v>
      </c>
      <c r="J20">
        <f ca="1">'ETF variations'!J20/'ETF price'!K21</f>
        <v>3.039774947253274E-2</v>
      </c>
      <c r="K20">
        <f ca="1">'ETF variations'!K20/'ETF price'!L21</f>
        <v>5.4752765861368353E-2</v>
      </c>
      <c r="L20">
        <f ca="1">'ETF variations'!L20/'ETF price'!M21</f>
        <v>2.8450465707027937E-2</v>
      </c>
      <c r="M20">
        <f ca="1">'ETF variations'!M20/'ETF price'!N21</f>
        <v>1.2329863891112826E-2</v>
      </c>
      <c r="N20">
        <f ca="1">'ETF variations'!N20/'ETF price'!O21</f>
        <v>5.6282722513089085E-2</v>
      </c>
      <c r="O20">
        <f ca="1">'ETF variations'!O20/'ETF price'!P21</f>
        <v>4.4187109553558779E-3</v>
      </c>
      <c r="P20">
        <f ca="1">'ETF variations'!P20/'ETF price'!Q21</f>
        <v>4.295627271725967E-3</v>
      </c>
      <c r="Q20">
        <f ca="1">'ETF variations'!Q20/'ETF price'!R21</f>
        <v>1.4780100937274741E-2</v>
      </c>
      <c r="R20">
        <f ca="1">'ETF variations'!R20/'ETF price'!S21</f>
        <v>8.4602368866328603E-3</v>
      </c>
      <c r="S20">
        <f ca="1">'ETF variations'!S20/'ETF price'!T21</f>
        <v>3.5810205908684803E-3</v>
      </c>
      <c r="T20">
        <f ca="1">'ETF variations'!T20/'ETF price'!U21</f>
        <v>8.2297886073906413E-3</v>
      </c>
      <c r="U20">
        <f ca="1">'ETF variations'!U20/'ETF price'!V21</f>
        <v>8.2135184267063399E-2</v>
      </c>
      <c r="V20">
        <f ca="1">'ETF variations'!V20/'ETF price'!W21</f>
        <v>8.7809917355372788E-3</v>
      </c>
      <c r="W20">
        <f ca="1">'ETF variations'!W20/'ETF price'!X21</f>
        <v>1.2121850953936876E-2</v>
      </c>
      <c r="X20">
        <f ca="1">'ETF variations'!X20/'ETF price'!Y21</f>
        <v>8.2447783070722404E-3</v>
      </c>
      <c r="Y20">
        <f ca="1">'ETF variations'!Y20/'ETF price'!Z21</f>
        <v>1.1122819341997457E-2</v>
      </c>
      <c r="Z20">
        <f ca="1">'ETF variations'!Z20/'ETF price'!AA21</f>
        <v>1.1106364801367005E-2</v>
      </c>
      <c r="AA20">
        <f ca="1">'ETF variations'!AA20/'ETF price'!AB21</f>
        <v>8.3086889170537834E-3</v>
      </c>
      <c r="AB20">
        <f ca="1">'ETF variations'!AB20/'ETF price'!AC21</f>
        <v>1.1324315822585701E-2</v>
      </c>
      <c r="AC20">
        <f ca="1">'ETF variations'!AC20/'ETF price'!AD21</f>
        <v>1.9034670292318107E-2</v>
      </c>
      <c r="AD20">
        <f ca="1">'ETF variations'!AD20/'ETF price'!AE21</f>
        <v>1.6407236011779579E-2</v>
      </c>
      <c r="AE20">
        <f ca="1">'ETF variations'!AE20/'ETF price'!AF21</f>
        <v>8.1180811808118161E-2</v>
      </c>
      <c r="AF20">
        <f ca="1">'ETF variations'!AF20/'ETF price'!AG21</f>
        <v>7.6171875000000111E-2</v>
      </c>
    </row>
    <row r="21" spans="1:32" x14ac:dyDescent="0.2">
      <c r="A21">
        <f ca="1">'ETF variations'!A21/'ETF price'!B22</f>
        <v>2.593072791257563E-3</v>
      </c>
      <c r="B21">
        <f ca="1">'ETF variations'!B21/'ETF price'!C22</f>
        <v>4.1443660304078056E-3</v>
      </c>
      <c r="C21">
        <f ca="1">'ETF variations'!C21/'ETF price'!D22</f>
        <v>5.5101653049591326E-3</v>
      </c>
      <c r="D21">
        <f ca="1">'ETF variations'!D21/'ETF price'!E22</f>
        <v>8.3218620948567919E-3</v>
      </c>
      <c r="E21">
        <f ca="1">'ETF variations'!E21/'ETF price'!F22</f>
        <v>9.603188983511526E-3</v>
      </c>
      <c r="F21">
        <f ca="1">'ETF variations'!F21/'ETF price'!G22</f>
        <v>1.5151515151515128E-2</v>
      </c>
      <c r="G21">
        <f ca="1">'ETF variations'!G21/'ETF price'!H22</f>
        <v>1.3518080432578525E-2</v>
      </c>
      <c r="H21">
        <f ca="1">'ETF variations'!H21/'ETF price'!I22</f>
        <v>2.6670730778025052E-3</v>
      </c>
      <c r="I21">
        <f ca="1">'ETF variations'!I21/'ETF price'!J22</f>
        <v>3.8314176245210635E-3</v>
      </c>
      <c r="J21">
        <f ca="1">'ETF variations'!J21/'ETF price'!K22</f>
        <v>1.8125284392537435E-2</v>
      </c>
      <c r="K21">
        <f ca="1">'ETF variations'!K21/'ETF price'!L22</f>
        <v>1.6161832387883879E-2</v>
      </c>
      <c r="L21">
        <f ca="1">'ETF variations'!L21/'ETF price'!M22</f>
        <v>1.4984356989955603E-2</v>
      </c>
      <c r="M21">
        <f ca="1">'ETF variations'!M21/'ETF price'!N22</f>
        <v>3.0053780449224568E-3</v>
      </c>
      <c r="N21">
        <f ca="1">'ETF variations'!N21/'ETF price'!O22</f>
        <v>2.4163568773234233E-2</v>
      </c>
      <c r="O21">
        <f ca="1">'ETF variations'!O21/'ETF price'!P22</f>
        <v>3.5649271844660109E-2</v>
      </c>
      <c r="P21">
        <f ca="1">'ETF variations'!P21/'ETF price'!Q22</f>
        <v>3.6740513270453981E-2</v>
      </c>
      <c r="Q21">
        <f ca="1">'ETF variations'!Q21/'ETF price'!R22</f>
        <v>1.539372409709884E-2</v>
      </c>
      <c r="R21">
        <f ca="1">'ETF variations'!R21/'ETF price'!S22</f>
        <v>4.5781399808245533E-2</v>
      </c>
      <c r="S21">
        <f ca="1">'ETF variations'!S21/'ETF price'!T22</f>
        <v>4.0142729705619912E-3</v>
      </c>
      <c r="T21">
        <f ca="1">'ETF variations'!T21/'ETF price'!U22</f>
        <v>8.0025608194629106E-4</v>
      </c>
      <c r="U21">
        <f ca="1">'ETF variations'!U21/'ETF price'!V22</f>
        <v>-4.1233964569335705E-3</v>
      </c>
      <c r="V21">
        <f ca="1">'ETF variations'!V21/'ETF price'!W22</f>
        <v>1.3824884792626705E-2</v>
      </c>
      <c r="W21">
        <f ca="1">'ETF variations'!W21/'ETF price'!X22</f>
        <v>1.3538846073734609E-2</v>
      </c>
      <c r="X21">
        <f ca="1">'ETF variations'!X21/'ETF price'!Y22</f>
        <v>1.5264401235689557E-2</v>
      </c>
      <c r="Y21">
        <f ca="1">'ETF variations'!Y21/'ETF price'!Z22</f>
        <v>1.401111625752656E-2</v>
      </c>
      <c r="Z21">
        <f ca="1">'ETF variations'!Z21/'ETF price'!AA22</f>
        <v>-6.7596113223489709E-3</v>
      </c>
      <c r="AA21">
        <f ca="1">'ETF variations'!AA21/'ETF price'!AB22</f>
        <v>1.5083798882681741E-2</v>
      </c>
      <c r="AB21">
        <f ca="1">'ETF variations'!AB21/'ETF price'!AC22</f>
        <v>1.928460342146204E-2</v>
      </c>
      <c r="AC21">
        <f ca="1">'ETF variations'!AC21/'ETF price'!AD22</f>
        <v>1.3342228152101116E-3</v>
      </c>
      <c r="AD21">
        <f ca="1">'ETF variations'!AD21/'ETF price'!AE22</f>
        <v>1.6556291390728123E-3</v>
      </c>
      <c r="AE21">
        <f ca="1">'ETF variations'!AE21/'ETF price'!AF22</f>
        <v>2.7303754266211476E-2</v>
      </c>
      <c r="AF21">
        <f ca="1">'ETF variations'!AF21/'ETF price'!AG22</f>
        <v>4.7186932849364642E-2</v>
      </c>
    </row>
    <row r="22" spans="1:32" x14ac:dyDescent="0.2">
      <c r="A22">
        <f ca="1">'ETF variations'!A22/'ETF price'!B23</f>
        <v>8.1285793460189777E-3</v>
      </c>
      <c r="B22">
        <f ca="1">'ETF variations'!B22/'ETF price'!C23</f>
        <v>5.1885568736586138E-3</v>
      </c>
      <c r="C22">
        <f ca="1">'ETF variations'!C22/'ETF price'!D23</f>
        <v>1.6628873771730827E-2</v>
      </c>
      <c r="D22">
        <f ca="1">'ETF variations'!D22/'ETF price'!E23</f>
        <v>2.5255972696245691E-2</v>
      </c>
      <c r="E22">
        <f ca="1">'ETF variations'!E22/'ETF price'!F23</f>
        <v>-1.112706389088294E-2</v>
      </c>
      <c r="F22">
        <f ca="1">'ETF variations'!F22/'ETF price'!G23</f>
        <v>5.6384742951907704E-3</v>
      </c>
      <c r="G22">
        <f ca="1">'ETF variations'!G22/'ETF price'!H23</f>
        <v>-3.6678892964321251E-3</v>
      </c>
      <c r="H22">
        <f ca="1">'ETF variations'!H22/'ETF price'!I23</f>
        <v>1.3451892384860782E-2</v>
      </c>
      <c r="I22">
        <f ca="1">'ETF variations'!I22/'ETF price'!J23</f>
        <v>9.2983595907097285E-3</v>
      </c>
      <c r="J22">
        <f ca="1">'ETF variations'!J22/'ETF price'!K23</f>
        <v>-9.4599627560522179E-3</v>
      </c>
      <c r="K22">
        <f ca="1">'ETF variations'!K22/'ETF price'!L23</f>
        <v>-3.2546871708447479E-2</v>
      </c>
      <c r="L22">
        <f ca="1">'ETF variations'!L22/'ETF price'!M23</f>
        <v>-1.55743024010383E-2</v>
      </c>
      <c r="M22">
        <f ca="1">'ETF variations'!M22/'ETF price'!N23</f>
        <v>9.9353414287968733E-3</v>
      </c>
      <c r="N22">
        <f ca="1">'ETF variations'!N22/'ETF price'!O23</f>
        <v>-2.5408348457350374E-2</v>
      </c>
      <c r="O22">
        <f ca="1">'ETF variations'!O22/'ETF price'!P23</f>
        <v>3.2224989014208124E-3</v>
      </c>
      <c r="P22">
        <f ca="1">'ETF variations'!P22/'ETF price'!Q23</f>
        <v>3.2793822067068894E-3</v>
      </c>
      <c r="Q22">
        <f ca="1">'ETF variations'!Q22/'ETF price'!R23</f>
        <v>3.1486880466471841E-3</v>
      </c>
      <c r="R22">
        <f ca="1">'ETF variations'!R22/'ETF price'!S23</f>
        <v>1.2835205134081942E-2</v>
      </c>
      <c r="S22">
        <f ca="1">'ETF variations'!S22/'ETF price'!T23</f>
        <v>3.9982230119946626E-3</v>
      </c>
      <c r="T22">
        <f ca="1">'ETF variations'!T22/'ETF price'!U23</f>
        <v>-1.5992323684628195E-4</v>
      </c>
      <c r="U22">
        <f ca="1">'ETF variations'!U22/'ETF price'!V23</f>
        <v>-1.8555436282778622E-2</v>
      </c>
      <c r="V22">
        <f ca="1">'ETF variations'!V22/'ETF price'!W23</f>
        <v>6.8181818181817172E-3</v>
      </c>
      <c r="W22">
        <f ca="1">'ETF variations'!W22/'ETF price'!X23</f>
        <v>4.7266748869708997E-3</v>
      </c>
      <c r="X22">
        <f ca="1">'ETF variations'!X22/'ETF price'!Y23</f>
        <v>-2.5058170753535095E-3</v>
      </c>
      <c r="Y22">
        <f ca="1">'ETF variations'!Y22/'ETF price'!Z23</f>
        <v>6.5090784515245796E-3</v>
      </c>
      <c r="Z22">
        <f ca="1">'ETF variations'!Z22/'ETF price'!AA23</f>
        <v>1.7226712037430775E-2</v>
      </c>
      <c r="AA22">
        <f ca="1">'ETF variations'!AA22/'ETF price'!AB23</f>
        <v>-2.6141992294993386E-3</v>
      </c>
      <c r="AB22">
        <f ca="1">'ETF variations'!AB22/'ETF price'!AC23</f>
        <v>3.967043027158848E-3</v>
      </c>
      <c r="AC22">
        <f ca="1">'ETF variations'!AC22/'ETF price'!AD23</f>
        <v>-2.5316455696202465E-2</v>
      </c>
      <c r="AD22">
        <f ca="1">'ETF variations'!AD22/'ETF price'!AE23</f>
        <v>-2.5619834710743843E-2</v>
      </c>
      <c r="AE22">
        <f ca="1">'ETF variations'!AE22/'ETF price'!AF23</f>
        <v>-8.1395348837209197E-2</v>
      </c>
      <c r="AF22">
        <f ca="1">'ETF variations'!AF22/'ETF price'!AG23</f>
        <v>-5.4303870595031646E-2</v>
      </c>
    </row>
    <row r="23" spans="1:32" x14ac:dyDescent="0.2">
      <c r="A23">
        <f ca="1">'ETF variations'!A23/'ETF price'!B24</f>
        <v>-2.9014721153258809E-2</v>
      </c>
      <c r="B23">
        <f ca="1">'ETF variations'!B23/'ETF price'!C24</f>
        <v>-3.1158349170596591E-2</v>
      </c>
      <c r="C23">
        <f ca="1">'ETF variations'!C23/'ETF price'!D24</f>
        <v>-4.4516728624535241E-2</v>
      </c>
      <c r="D23">
        <f ca="1">'ETF variations'!D23/'ETF price'!E24</f>
        <v>-4.3517733930516875E-2</v>
      </c>
      <c r="E23">
        <f ca="1">'ETF variations'!E23/'ETF price'!F24</f>
        <v>-2.2867513611615209E-2</v>
      </c>
      <c r="F23">
        <f ca="1">'ETF variations'!F23/'ETF price'!G24</f>
        <v>-4.4525065963060731E-2</v>
      </c>
      <c r="G23">
        <f ca="1">'ETF variations'!G23/'ETF price'!H24</f>
        <v>-2.5435073627844647E-2</v>
      </c>
      <c r="H23">
        <f ca="1">'ETF variations'!H23/'ETF price'!I24</f>
        <v>-4.2744656917884753E-3</v>
      </c>
      <c r="I23">
        <f ca="1">'ETF variations'!I23/'ETF price'!J24</f>
        <v>-6.7586595325260764E-3</v>
      </c>
      <c r="J23">
        <f ca="1">'ETF variations'!J23/'ETF price'!K24</f>
        <v>-2.0830200030079574E-2</v>
      </c>
      <c r="K23">
        <f ca="1">'ETF variations'!K23/'ETF price'!L24</f>
        <v>-2.6238432226456145E-2</v>
      </c>
      <c r="L23">
        <f ca="1">'ETF variations'!L23/'ETF price'!M24</f>
        <v>-1.6809492419248569E-2</v>
      </c>
      <c r="M23">
        <f ca="1">'ETF variations'!M23/'ETF price'!N24</f>
        <v>-6.2460961898814123E-3</v>
      </c>
      <c r="N23">
        <f ca="1">'ETF variations'!N23/'ETF price'!O24</f>
        <v>-2.8553693358162574E-2</v>
      </c>
      <c r="O23">
        <f ca="1">'ETF variations'!O23/'ETF price'!P24</f>
        <v>-9.4904365600816405E-3</v>
      </c>
      <c r="P23">
        <f ca="1">'ETF variations'!P23/'ETF price'!Q24</f>
        <v>-1.149304091100805E-2</v>
      </c>
      <c r="Q23">
        <f ca="1">'ETF variations'!Q23/'ETF price'!R24</f>
        <v>-1.7437805161590329E-2</v>
      </c>
      <c r="R23">
        <f ca="1">'ETF variations'!R23/'ETF price'!S24</f>
        <v>-8.3729350531793947E-3</v>
      </c>
      <c r="S23">
        <f ca="1">'ETF variations'!S23/'ETF price'!T24</f>
        <v>2.2123893805308477E-3</v>
      </c>
      <c r="T23">
        <f ca="1">'ETF variations'!T23/'ETF price'!U24</f>
        <v>1.583493282149704E-2</v>
      </c>
      <c r="U23">
        <f ca="1">'ETF variations'!U23/'ETF price'!V24</f>
        <v>-4.0000000000000036E-2</v>
      </c>
      <c r="V23">
        <f ca="1">'ETF variations'!V23/'ETF price'!W24</f>
        <v>-1.1035866566340551E-2</v>
      </c>
      <c r="W23">
        <f ca="1">'ETF variations'!W23/'ETF price'!X24</f>
        <v>-1.1556555532828753E-2</v>
      </c>
      <c r="X23">
        <f ca="1">'ETF variations'!X23/'ETF price'!Y24</f>
        <v>-6.2802799210478081E-3</v>
      </c>
      <c r="Y23">
        <f ca="1">'ETF variations'!Y23/'ETF price'!Z24</f>
        <v>-1.2593601089176305E-2</v>
      </c>
      <c r="Z23">
        <f ca="1">'ETF variations'!Z23/'ETF price'!AA24</f>
        <v>-1.0244616349571292E-2</v>
      </c>
      <c r="AA23">
        <f ca="1">'ETF variations'!AA23/'ETF price'!AB24</f>
        <v>-5.7939026072561968E-3</v>
      </c>
      <c r="AB23">
        <f ca="1">'ETF variations'!AB23/'ETF price'!AC24</f>
        <v>-1.3677811550151847E-2</v>
      </c>
      <c r="AC23">
        <f ca="1">'ETF variations'!AC23/'ETF price'!AD24</f>
        <v>-3.485987696514023E-2</v>
      </c>
      <c r="AD23">
        <f ca="1">'ETF variations'!AD23/'ETF price'!AE24</f>
        <v>-3.1382527565733606E-2</v>
      </c>
      <c r="AE23">
        <f ca="1">'ETF variations'!AE23/'ETF price'!AF24</f>
        <v>1.6274864376130172E-2</v>
      </c>
      <c r="AF23">
        <f ca="1">'ETF variations'!AF23/'ETF price'!AG24</f>
        <v>-4.8259010384850393E-2</v>
      </c>
    </row>
    <row r="24" spans="1:32" x14ac:dyDescent="0.2">
      <c r="A24">
        <f ca="1">'ETF variations'!A24/'ETF price'!B25</f>
        <v>4.0261701056868793E-3</v>
      </c>
      <c r="B24">
        <f ca="1">'ETF variations'!B24/'ETF price'!C25</f>
        <v>7.6284115951855691E-3</v>
      </c>
      <c r="C24">
        <f ca="1">'ETF variations'!C24/'ETF price'!D25</f>
        <v>9.6294134811788241E-3</v>
      </c>
      <c r="D24">
        <f ca="1">'ETF variations'!D24/'ETF price'!E25</f>
        <v>5.758400303739775E-3</v>
      </c>
      <c r="E24">
        <f ca="1">'ETF variations'!E24/'ETF price'!F25</f>
        <v>1.8759286775631462E-2</v>
      </c>
      <c r="F24">
        <f ca="1">'ETF variations'!F24/'ETF price'!G25</f>
        <v>6.5585088022092264E-3</v>
      </c>
      <c r="G24">
        <f ca="1">'ETF variations'!G24/'ETF price'!H25</f>
        <v>1.5453296703296678E-2</v>
      </c>
      <c r="H24">
        <f ca="1">'ETF variations'!H24/'ETF price'!I25</f>
        <v>-3.6150022593763351E-3</v>
      </c>
      <c r="I24">
        <f ca="1">'ETF variations'!I24/'ETF price'!J25</f>
        <v>-1.8226740653731971E-3</v>
      </c>
      <c r="J24">
        <f ca="1">'ETF variations'!J24/'ETF price'!K25</f>
        <v>3.2255587128483792E-3</v>
      </c>
      <c r="K24">
        <f ca="1">'ETF variations'!K24/'ETF price'!L25</f>
        <v>1.5093917710196875E-2</v>
      </c>
      <c r="L24">
        <f ca="1">'ETF variations'!L24/'ETF price'!M25</f>
        <v>6.0341937646665534E-3</v>
      </c>
      <c r="M24">
        <f ca="1">'ETF variations'!M24/'ETF price'!N25</f>
        <v>-2.0427404148334783E-3</v>
      </c>
      <c r="N24">
        <f ca="1">'ETF variations'!N24/'ETF price'!O25</f>
        <v>1.4696485623003222E-2</v>
      </c>
      <c r="O24">
        <f ca="1">'ETF variations'!O24/'ETF price'!P25</f>
        <v>1.5625000000000031E-2</v>
      </c>
      <c r="P24">
        <f ca="1">'ETF variations'!P24/'ETF price'!Q25</f>
        <v>1.5253333333333407E-2</v>
      </c>
      <c r="Q24">
        <f ca="1">'ETF variations'!Q24/'ETF price'!R25</f>
        <v>-1.6564126833885372E-2</v>
      </c>
      <c r="R24">
        <f ca="1">'ETF variations'!R24/'ETF price'!S25</f>
        <v>1.0041077133728839E-2</v>
      </c>
      <c r="S24">
        <f ca="1">'ETF variations'!S24/'ETF price'!T25</f>
        <v>7.9470198675496567E-3</v>
      </c>
      <c r="T24">
        <f ca="1">'ETF variations'!T24/'ETF price'!U25</f>
        <v>2.2043772634230806E-2</v>
      </c>
      <c r="U24">
        <f ca="1">'ETF variations'!U24/'ETF price'!V25</f>
        <v>3.2063802083333315E-2</v>
      </c>
      <c r="V24">
        <f ca="1">'ETF variations'!V24/'ETF price'!W25</f>
        <v>1.6992137966015768E-2</v>
      </c>
      <c r="W24">
        <f ca="1">'ETF variations'!W24/'ETF price'!X25</f>
        <v>1.6347646145887202E-2</v>
      </c>
      <c r="X24">
        <f ca="1">'ETF variations'!X24/'ETF price'!Y25</f>
        <v>1.7876489707475528E-2</v>
      </c>
      <c r="Y24">
        <f ca="1">'ETF variations'!Y24/'ETF price'!Z25</f>
        <v>1.6546018614270915E-2</v>
      </c>
      <c r="Z24">
        <f ca="1">'ETF variations'!Z24/'ETF price'!AA25</f>
        <v>-1.3730460498521455E-2</v>
      </c>
      <c r="AA24">
        <f ca="1">'ETF variations'!AA24/'ETF price'!AB25</f>
        <v>1.9148050506452196E-2</v>
      </c>
      <c r="AB24">
        <f ca="1">'ETF variations'!AB24/'ETF price'!AC25</f>
        <v>1.4483821263482244E-2</v>
      </c>
      <c r="AC24">
        <f ca="1">'ETF variations'!AC24/'ETF price'!AD25</f>
        <v>0.12110481586402273</v>
      </c>
      <c r="AD24">
        <f ca="1">'ETF variations'!AD24/'ETF price'!AE25</f>
        <v>0.11908931698774075</v>
      </c>
      <c r="AE24">
        <f ca="1">'ETF variations'!AE24/'ETF price'!AF25</f>
        <v>0.10320284697508898</v>
      </c>
      <c r="AF24">
        <f ca="1">'ETF variations'!AF24/'ETF price'!AG25</f>
        <v>8.985879332477538E-2</v>
      </c>
    </row>
    <row r="25" spans="1:32" x14ac:dyDescent="0.2">
      <c r="A25">
        <f ca="1">'ETF variations'!A25/'ETF price'!B26</f>
        <v>-6.6416040100250769E-3</v>
      </c>
      <c r="B25">
        <f ca="1">'ETF variations'!B25/'ETF price'!C26</f>
        <v>-4.9029032878291764E-3</v>
      </c>
      <c r="C25">
        <f ca="1">'ETF variations'!C25/'ETF price'!D26</f>
        <v>-9.0558766859344681E-3</v>
      </c>
      <c r="D25">
        <f ca="1">'ETF variations'!D25/'ETF price'!E26</f>
        <v>-5.6625141562856058E-4</v>
      </c>
      <c r="E25">
        <f ca="1">'ETF variations'!E25/'ETF price'!F26</f>
        <v>3.8286235186873446E-3</v>
      </c>
      <c r="F25">
        <f ca="1">'ETF variations'!F25/'ETF price'!G26</f>
        <v>0</v>
      </c>
      <c r="G25">
        <f ca="1">'ETF variations'!G25/'ETF price'!H26</f>
        <v>1.6909029421711434E-3</v>
      </c>
      <c r="H25">
        <f ca="1">'ETF variations'!H25/'ETF price'!I26</f>
        <v>-1.738473167044733E-3</v>
      </c>
      <c r="I25">
        <f ca="1">'ETF variations'!I25/'ETF price'!J26</f>
        <v>-6.4924525239407809E-4</v>
      </c>
      <c r="J25">
        <f ca="1">'ETF variations'!J25/'ETF price'!K26</f>
        <v>7.7317614636759624E-3</v>
      </c>
      <c r="K25">
        <f ca="1">'ETF variations'!K25/'ETF price'!L26</f>
        <v>2.7095495098579069E-2</v>
      </c>
      <c r="L25">
        <f ca="1">'ETF variations'!L25/'ETF price'!M26</f>
        <v>1.1996001332889018E-2</v>
      </c>
      <c r="M25">
        <f ca="1">'ETF variations'!M25/'ETF price'!N26</f>
        <v>-7.8727759407962779E-4</v>
      </c>
      <c r="N25">
        <f ca="1">'ETF variations'!N25/'ETF price'!O26</f>
        <v>2.1410579345088041E-2</v>
      </c>
      <c r="O25">
        <f ca="1">'ETF variations'!O25/'ETF price'!P26</f>
        <v>1.2772133526850441E-2</v>
      </c>
      <c r="P25">
        <f ca="1">'ETF variations'!P25/'ETF price'!Q26</f>
        <v>1.082160117671766E-2</v>
      </c>
      <c r="Q25">
        <f ca="1">'ETF variations'!Q25/'ETF price'!R26</f>
        <v>-4.9326275264678868E-3</v>
      </c>
      <c r="R25">
        <f ca="1">'ETF variations'!R25/'ETF price'!S26</f>
        <v>7.0040668775418506E-3</v>
      </c>
      <c r="S25">
        <f ca="1">'ETF variations'!S25/'ETF price'!T26</f>
        <v>2.1901007446342843E-3</v>
      </c>
      <c r="T25">
        <f ca="1">'ETF variations'!T25/'ETF price'!U26</f>
        <v>-3.5433677399474622E-3</v>
      </c>
      <c r="U25">
        <f ca="1">'ETF variations'!U25/'ETF price'!V26</f>
        <v>-8.2005992745623098E-3</v>
      </c>
      <c r="V25">
        <f ca="1">'ETF variations'!V25/'ETF price'!W26</f>
        <v>2.9925187032418315E-3</v>
      </c>
      <c r="W25">
        <f ca="1">'ETF variations'!W25/'ETF price'!X26</f>
        <v>3.7666700600630185E-3</v>
      </c>
      <c r="X25">
        <f ca="1">'ETF variations'!X25/'ETF price'!Y26</f>
        <v>5.8541777541246303E-3</v>
      </c>
      <c r="Y25">
        <f ca="1">'ETF variations'!Y25/'ETF price'!Z26</f>
        <v>2.3736859952527179E-3</v>
      </c>
      <c r="Z25">
        <f ca="1">'ETF variations'!Z25/'ETF price'!AA26</f>
        <v>2.1417862497333725E-4</v>
      </c>
      <c r="AA25">
        <f ca="1">'ETF variations'!AA25/'ETF price'!AB26</f>
        <v>4.7651463580666341E-3</v>
      </c>
      <c r="AB25">
        <f ca="1">'ETF variations'!AB25/'ETF price'!AC26</f>
        <v>6.0753341433766764E-4</v>
      </c>
      <c r="AC25">
        <f ca="1">'ETF variations'!AC25/'ETF price'!AD26</f>
        <v>8.7807959570435801E-2</v>
      </c>
      <c r="AD25">
        <f ca="1">'ETF variations'!AD25/'ETF price'!AE26</f>
        <v>8.8810641627543027E-2</v>
      </c>
      <c r="AE25">
        <f ca="1">'ETF variations'!AE25/'ETF price'!AF26</f>
        <v>1.7741935483870874E-2</v>
      </c>
      <c r="AF25">
        <f ca="1">'ETF variations'!AF25/'ETF price'!AG26</f>
        <v>6.7726737338044671E-2</v>
      </c>
    </row>
    <row r="26" spans="1:32" x14ac:dyDescent="0.2">
      <c r="A26">
        <f ca="1">'ETF variations'!A26/'ETF price'!B27</f>
        <v>1.2362810647155343E-2</v>
      </c>
      <c r="B26">
        <f ca="1">'ETF variations'!B26/'ETF price'!C27</f>
        <v>1.2897304608250349E-2</v>
      </c>
      <c r="C26">
        <f ca="1">'ETF variations'!C26/'ETF price'!D27</f>
        <v>1.1860781644954296E-2</v>
      </c>
      <c r="D26">
        <f ca="1">'ETF variations'!D26/'ETF price'!E27</f>
        <v>2.5306893295561916E-2</v>
      </c>
      <c r="E26">
        <f ca="1">'ETF variations'!E26/'ETF price'!F27</f>
        <v>1.2168543407192055E-2</v>
      </c>
      <c r="F26">
        <f ca="1">'ETF variations'!F26/'ETF price'!G27</f>
        <v>1.0631001371742069E-2</v>
      </c>
      <c r="G26">
        <f ca="1">'ETF variations'!G26/'ETF price'!H27</f>
        <v>1.1816340310600873E-2</v>
      </c>
      <c r="H26">
        <f ca="1">'ETF variations'!H26/'ETF price'!I27</f>
        <v>8.1774816385251203E-3</v>
      </c>
      <c r="I26">
        <f ca="1">'ETF variations'!I26/'ETF price'!J27</f>
        <v>8.2426506415462127E-3</v>
      </c>
      <c r="J26">
        <f ca="1">'ETF variations'!J26/'ETF price'!K27</f>
        <v>-6.8368277119397599E-4</v>
      </c>
      <c r="K26">
        <f ca="1">'ETF variations'!K26/'ETF price'!L27</f>
        <v>-3.3243967828418476E-3</v>
      </c>
      <c r="L26">
        <f ca="1">'ETF variations'!L26/'ETF price'!M27</f>
        <v>1.1524530786960862E-3</v>
      </c>
      <c r="M26">
        <f ca="1">'ETF variations'!M26/'ETF price'!N27</f>
        <v>8.6668767727703152E-3</v>
      </c>
      <c r="N26">
        <f ca="1">'ETF variations'!N26/'ETF price'!O27</f>
        <v>-9.2478421701602097E-3</v>
      </c>
      <c r="O26">
        <f ca="1">'ETF variations'!O26/'ETF price'!P27</f>
        <v>-2.1496130696474634E-2</v>
      </c>
      <c r="P26">
        <f ca="1">'ETF variations'!P26/'ETF price'!Q27</f>
        <v>-2.1099677788171574E-2</v>
      </c>
      <c r="Q26">
        <f ca="1">'ETF variations'!Q26/'ETF price'!R27</f>
        <v>1.5475758674888179E-2</v>
      </c>
      <c r="R26">
        <f ca="1">'ETF variations'!R26/'ETF price'!S27</f>
        <v>3.9039712811308101E-2</v>
      </c>
      <c r="S26">
        <f ca="1">'ETF variations'!S26/'ETF price'!T27</f>
        <v>-8.7412587412587107E-3</v>
      </c>
      <c r="T26">
        <f ca="1">'ETF variations'!T26/'ETF price'!U27</f>
        <v>-1.6388373531230817E-2</v>
      </c>
      <c r="U26">
        <f ca="1">'ETF variations'!U26/'ETF price'!V27</f>
        <v>1.4469709015741718E-2</v>
      </c>
      <c r="V26">
        <f ca="1">'ETF variations'!V26/'ETF price'!W27</f>
        <v>1.3923421183490858E-2</v>
      </c>
      <c r="W26">
        <f ca="1">'ETF variations'!W26/'ETF price'!X27</f>
        <v>1.2880324543610652E-2</v>
      </c>
      <c r="X26">
        <f ca="1">'ETF variations'!X26/'ETF price'!Y27</f>
        <v>2.5573192239858829E-2</v>
      </c>
      <c r="Y26">
        <f ca="1">'ETF variations'!Y26/'ETF price'!Z27</f>
        <v>1.1614794767703957E-2</v>
      </c>
      <c r="Z26">
        <f ca="1">'ETF variations'!Z26/'ETF price'!AA27</f>
        <v>-8.9935760171306577E-3</v>
      </c>
      <c r="AA26">
        <f ca="1">'ETF variations'!AA26/'ETF price'!AB27</f>
        <v>2.4796747967479653E-2</v>
      </c>
      <c r="AB26">
        <f ca="1">'ETF variations'!AB26/'ETF price'!AC27</f>
        <v>1.0625379477838539E-2</v>
      </c>
      <c r="AC26">
        <f ca="1">'ETF variations'!AC26/'ETF price'!AD27</f>
        <v>2.903600464576116E-3</v>
      </c>
      <c r="AD26">
        <f ca="1">'ETF variations'!AD26/'ETF price'!AE27</f>
        <v>3.2339202299677835E-3</v>
      </c>
      <c r="AE26">
        <f ca="1">'ETF variations'!AE26/'ETF price'!AF27</f>
        <v>-3.1695721077653841E-3</v>
      </c>
      <c r="AF26">
        <f ca="1">'ETF variations'!AF26/'ETF price'!AG27</f>
        <v>6.0672917815774649E-3</v>
      </c>
    </row>
    <row r="27" spans="1:32" x14ac:dyDescent="0.2">
      <c r="A27">
        <f ca="1">'ETF variations'!A27/'ETF price'!B28</f>
        <v>2.2180685358255466E-2</v>
      </c>
      <c r="B27">
        <f ca="1">'ETF variations'!B27/'ETF price'!C28</f>
        <v>2.4560064857647029E-2</v>
      </c>
      <c r="C27">
        <f ca="1">'ETF variations'!C27/'ETF price'!D28</f>
        <v>2.4980784012298314E-2</v>
      </c>
      <c r="D27">
        <f ca="1">'ETF variations'!D27/'ETF price'!E28</f>
        <v>3.2786885245901662E-2</v>
      </c>
      <c r="E27">
        <f ca="1">'ETF variations'!E27/'ETF price'!F28</f>
        <v>2.0994078593217329E-2</v>
      </c>
      <c r="F27">
        <f ca="1">'ETF variations'!F27/'ETF price'!G28</f>
        <v>3.4272141160502263E-2</v>
      </c>
      <c r="G27">
        <f ca="1">'ETF variations'!G27/'ETF price'!H28</f>
        <v>3.1364698031364741E-2</v>
      </c>
      <c r="H27">
        <f ca="1">'ETF variations'!H27/'ETF price'!I28</f>
        <v>7.7356365001877668E-3</v>
      </c>
      <c r="I27">
        <f ca="1">'ETF variations'!I27/'ETF price'!J28</f>
        <v>1.2041399863074419E-2</v>
      </c>
      <c r="J27">
        <f ca="1">'ETF variations'!J27/'ETF price'!K28</f>
        <v>2.6985936906119213E-2</v>
      </c>
      <c r="K27">
        <f ca="1">'ETF variations'!K27/'ETF price'!L28</f>
        <v>4.6481601032924549E-2</v>
      </c>
      <c r="L27">
        <f ca="1">'ETF variations'!L27/'ETF price'!M28</f>
        <v>2.8284821575398765E-2</v>
      </c>
      <c r="M27">
        <f ca="1">'ETF variations'!M27/'ETF price'!N28</f>
        <v>1.0779565692860454E-2</v>
      </c>
      <c r="N27">
        <f ca="1">'ETF variations'!N27/'ETF price'!O28</f>
        <v>4.2937149968886201E-2</v>
      </c>
      <c r="O27">
        <f ca="1">'ETF variations'!O27/'ETF price'!P28</f>
        <v>8.3479789103689684E-3</v>
      </c>
      <c r="P27">
        <f ca="1">'ETF variations'!P27/'ETF price'!Q28</f>
        <v>9.0252707581226829E-3</v>
      </c>
      <c r="Q27">
        <f ca="1">'ETF variations'!Q27/'ETF price'!R28</f>
        <v>2.1788308131920446E-2</v>
      </c>
      <c r="R27">
        <f ca="1">'ETF variations'!R27/'ETF price'!S28</f>
        <v>2.2457352623623389E-2</v>
      </c>
      <c r="S27">
        <f ca="1">'ETF variations'!S27/'ETF price'!T28</f>
        <v>1.0141093474426826E-2</v>
      </c>
      <c r="T27">
        <f ca="1">'ETF variations'!T27/'ETF price'!U28</f>
        <v>8.6450801634706739E-3</v>
      </c>
      <c r="U27">
        <f ca="1">'ETF variations'!U27/'ETF price'!V28</f>
        <v>4.7492163009404412E-2</v>
      </c>
      <c r="V27">
        <f ca="1">'ETF variations'!V27/'ETF price'!W28</f>
        <v>6.375674350171604E-3</v>
      </c>
      <c r="W27">
        <f ca="1">'ETF variations'!W27/'ETF price'!X28</f>
        <v>5.2067687994392306E-3</v>
      </c>
      <c r="X27">
        <f ca="1">'ETF variations'!X27/'ETF price'!Y28</f>
        <v>-6.7067927773000963E-3</v>
      </c>
      <c r="Y27">
        <f ca="1">'ETF variations'!Y27/'ETF price'!Z28</f>
        <v>6.5767472968454293E-3</v>
      </c>
      <c r="Z27">
        <f ca="1">'ETF variations'!Z27/'ETF price'!AA28</f>
        <v>2.4200518582540999E-2</v>
      </c>
      <c r="AA27">
        <f ca="1">'ETF variations'!AA27/'ETF price'!AB28</f>
        <v>-8.4622504297236622E-3</v>
      </c>
      <c r="AB27">
        <f ca="1">'ETF variations'!AB27/'ETF price'!AC28</f>
        <v>9.3121057374587653E-3</v>
      </c>
      <c r="AC27">
        <f ca="1">'ETF variations'!AC27/'ETF price'!AD28</f>
        <v>1.2159814707585459E-2</v>
      </c>
      <c r="AD27">
        <f ca="1">'ETF variations'!AD27/'ETF price'!AE28</f>
        <v>1.1103151862464137E-2</v>
      </c>
      <c r="AE27">
        <f ca="1">'ETF variations'!AE27/'ETF price'!AF28</f>
        <v>4.7694753577106487E-2</v>
      </c>
      <c r="AF27">
        <f ca="1">'ETF variations'!AF27/'ETF price'!AG28</f>
        <v>5.4276315789473797E-2</v>
      </c>
    </row>
    <row r="28" spans="1:32" x14ac:dyDescent="0.2">
      <c r="A28">
        <f ca="1">'ETF variations'!A28/'ETF price'!B29</f>
        <v>-2.6148969889064927E-2</v>
      </c>
      <c r="B28">
        <f ca="1">'ETF variations'!B28/'ETF price'!C29</f>
        <v>-2.4413517035933738E-2</v>
      </c>
      <c r="C28">
        <f ca="1">'ETF variations'!C28/'ETF price'!D29</f>
        <v>-2.3809523809523867E-2</v>
      </c>
      <c r="D28">
        <f ca="1">'ETF variations'!D28/'ETF price'!E29</f>
        <v>-3.1151536769514349E-2</v>
      </c>
      <c r="E28">
        <f ca="1">'ETF variations'!E28/'ETF price'!F29</f>
        <v>-6.8541300527240872E-3</v>
      </c>
      <c r="F28">
        <f ca="1">'ETF variations'!F28/'ETF price'!G29</f>
        <v>-2.1981627296587983E-2</v>
      </c>
      <c r="G28">
        <f ca="1">'ETF variations'!G28/'ETF price'!H29</f>
        <v>-1.520543513426072E-2</v>
      </c>
      <c r="H28">
        <f ca="1">'ETF variations'!H28/'ETF price'!I29</f>
        <v>-1.5650618572067329E-2</v>
      </c>
      <c r="I28">
        <f ca="1">'ETF variations'!I28/'ETF price'!J29</f>
        <v>-1.5638678869876667E-2</v>
      </c>
      <c r="J28">
        <f ca="1">'ETF variations'!J28/'ETF price'!K29</f>
        <v>-2.4426350851221194E-2</v>
      </c>
      <c r="K28">
        <f ca="1">'ETF variations'!K28/'ETF price'!L29</f>
        <v>-2.9816985399958931E-2</v>
      </c>
      <c r="L28">
        <f ca="1">'ETF variations'!L28/'ETF price'!M29</f>
        <v>-1.8391172237326059E-2</v>
      </c>
      <c r="M28">
        <f ca="1">'ETF variations'!M28/'ETF price'!N29</f>
        <v>-1.5765069551777481E-2</v>
      </c>
      <c r="N28">
        <f ca="1">'ETF variations'!N28/'ETF price'!O29</f>
        <v>-2.8042959427207779E-2</v>
      </c>
      <c r="O28">
        <f ca="1">'ETF variations'!O28/'ETF price'!P29</f>
        <v>-6.2454611474218246E-3</v>
      </c>
      <c r="P28">
        <f ca="1">'ETF variations'!P28/'ETF price'!Q29</f>
        <v>-5.5771861517415668E-3</v>
      </c>
      <c r="Q28">
        <f ca="1">'ETF variations'!Q28/'ETF price'!R29</f>
        <v>-5.8261477511069686E-3</v>
      </c>
      <c r="R28">
        <f ca="1">'ETF variations'!R28/'ETF price'!S29</f>
        <v>-8.447729672650295E-4</v>
      </c>
      <c r="S28">
        <f ca="1">'ETF variations'!S28/'ETF price'!T29</f>
        <v>-5.2378873854212566E-3</v>
      </c>
      <c r="T28">
        <f ca="1">'ETF variations'!T28/'ETF price'!U29</f>
        <v>-3.2725572697522337E-3</v>
      </c>
      <c r="U28">
        <f ca="1">'ETF variations'!U28/'ETF price'!V29</f>
        <v>-2.663474487505613E-2</v>
      </c>
      <c r="V28">
        <f ca="1">'ETF variations'!V28/'ETF price'!W29</f>
        <v>-8.7719298245613891E-3</v>
      </c>
      <c r="W28">
        <f ca="1">'ETF variations'!W28/'ETF price'!X29</f>
        <v>-7.968921207291535E-3</v>
      </c>
      <c r="X28">
        <f ca="1">'ETF variations'!X28/'ETF price'!Y29</f>
        <v>-1.9044321329639792E-3</v>
      </c>
      <c r="Y28">
        <f ca="1">'ETF variations'!Y28/'ETF price'!Z29</f>
        <v>-8.9700996677741125E-3</v>
      </c>
      <c r="Z28">
        <f ca="1">'ETF variations'!Z28/'ETF price'!AA29</f>
        <v>-2.8481012658227878E-2</v>
      </c>
      <c r="AA28">
        <f ca="1">'ETF variations'!AA28/'ETF price'!AB29</f>
        <v>-2.4003200426722581E-3</v>
      </c>
      <c r="AB28">
        <f ca="1">'ETF variations'!AB28/'ETF price'!AC29</f>
        <v>-1.0416666666666708E-2</v>
      </c>
      <c r="AC28">
        <f ca="1">'ETF variations'!AC28/'ETF price'!AD29</f>
        <v>-1.5446224256292881E-2</v>
      </c>
      <c r="AD28">
        <f ca="1">'ETF variations'!AD28/'ETF price'!AE29</f>
        <v>-1.7357421183138575E-2</v>
      </c>
      <c r="AE28">
        <f ca="1">'ETF variations'!AE28/'ETF price'!AF29</f>
        <v>-2.8831562974203265E-2</v>
      </c>
      <c r="AF28">
        <f ca="1">'ETF variations'!AF28/'ETF price'!AG29</f>
        <v>-2.3920956838273576E-2</v>
      </c>
    </row>
    <row r="29" spans="1:32" x14ac:dyDescent="0.2">
      <c r="A29">
        <f ca="1">'ETF variations'!A29/'ETF price'!B30</f>
        <v>-3.0543906866120196E-2</v>
      </c>
      <c r="B29">
        <f ca="1">'ETF variations'!B29/'ETF price'!C30</f>
        <v>-3.1560867387103744E-2</v>
      </c>
      <c r="C29">
        <f ca="1">'ETF variations'!C29/'ETF price'!D30</f>
        <v>-3.360860380257346E-2</v>
      </c>
      <c r="D29">
        <f ca="1">'ETF variations'!D29/'ETF price'!E30</f>
        <v>-5.0929618948272755E-2</v>
      </c>
      <c r="E29">
        <f ca="1">'ETF variations'!E29/'ETF price'!F30</f>
        <v>-1.981950097327902E-2</v>
      </c>
      <c r="F29">
        <f ca="1">'ETF variations'!F29/'ETF price'!G30</f>
        <v>-2.91848373029184E-2</v>
      </c>
      <c r="G29">
        <f ca="1">'ETF variations'!G29/'ETF price'!H30</f>
        <v>-2.2996057818659751E-2</v>
      </c>
      <c r="H29">
        <f ca="1">'ETF variations'!H29/'ETF price'!I30</f>
        <v>-1.3855239248940129E-2</v>
      </c>
      <c r="I29">
        <f ca="1">'ETF variations'!I29/'ETF price'!J30</f>
        <v>-1.4512673323361779E-2</v>
      </c>
      <c r="J29">
        <f ca="1">'ETF variations'!J29/'ETF price'!K30</f>
        <v>-1.312594840667692E-2</v>
      </c>
      <c r="K29">
        <f ca="1">'ETF variations'!K29/'ETF price'!L30</f>
        <v>-1.0703688003391321E-2</v>
      </c>
      <c r="L29">
        <f ca="1">'ETF variations'!L29/'ETF price'!M30</f>
        <v>-2.6067122841316992E-3</v>
      </c>
      <c r="M29">
        <f ca="1">'ETF variations'!M29/'ETF price'!N30</f>
        <v>-1.2248743718592983E-2</v>
      </c>
      <c r="N29">
        <f ca="1">'ETF variations'!N29/'ETF price'!O30</f>
        <v>-2.332719459791277E-2</v>
      </c>
      <c r="O29">
        <f ca="1">'ETF variations'!O29/'ETF price'!P30</f>
        <v>2.908506284712065E-2</v>
      </c>
      <c r="P29">
        <f ca="1">'ETF variations'!P29/'ETF price'!Q30</f>
        <v>2.8783068783068771E-2</v>
      </c>
      <c r="Q29">
        <f ca="1">'ETF variations'!Q29/'ETF price'!R30</f>
        <v>-1.5471167369901468E-2</v>
      </c>
      <c r="R29">
        <f ca="1">'ETF variations'!R29/'ETF price'!S30</f>
        <v>2.3039526527161198E-2</v>
      </c>
      <c r="S29">
        <f ca="1">'ETF variations'!S29/'ETF price'!T30</f>
        <v>1.4918824045634044E-2</v>
      </c>
      <c r="T29">
        <f ca="1">'ETF variations'!T29/'ETF price'!U30</f>
        <v>2.7829893683552126E-2</v>
      </c>
      <c r="U29">
        <f ca="1">'ETF variations'!U29/'ETF price'!V30</f>
        <v>-3.7970791698693294E-2</v>
      </c>
      <c r="V29">
        <f ca="1">'ETF variations'!V29/'ETF price'!W30</f>
        <v>-1.4011799410029505E-2</v>
      </c>
      <c r="W29">
        <f ca="1">'ETF variations'!W29/'ETF price'!X30</f>
        <v>-1.5362988251832525E-2</v>
      </c>
      <c r="X29">
        <f ca="1">'ETF variations'!X29/'ETF price'!Y30</f>
        <v>-6.2445793581960007E-3</v>
      </c>
      <c r="Y29">
        <f ca="1">'ETF variations'!Y29/'ETF price'!Z30</f>
        <v>-1.6873393675270878E-2</v>
      </c>
      <c r="Z29">
        <f ca="1">'ETF variations'!Z29/'ETF price'!AA30</f>
        <v>-1.3680781758957556E-2</v>
      </c>
      <c r="AA29">
        <f ca="1">'ETF variations'!AA29/'ETF price'!AB30</f>
        <v>-8.287662077262458E-3</v>
      </c>
      <c r="AB29">
        <f ca="1">'ETF variations'!AB29/'ETF price'!AC30</f>
        <v>-1.7894736842105231E-2</v>
      </c>
      <c r="AC29">
        <f ca="1">'ETF variations'!AC29/'ETF price'!AD30</f>
        <v>-3.9511911679256224E-2</v>
      </c>
      <c r="AD29">
        <f ca="1">'ETF variations'!AD29/'ETF price'!AE30</f>
        <v>-3.9293439077144915E-2</v>
      </c>
      <c r="AE29">
        <f ca="1">'ETF variations'!AE29/'ETF price'!AF30</f>
        <v>-2.8125000000000094E-2</v>
      </c>
      <c r="AF29">
        <f ca="1">'ETF variations'!AF29/'ETF price'!AG30</f>
        <v>-6.073521576984553E-2</v>
      </c>
    </row>
    <row r="30" spans="1:32" x14ac:dyDescent="0.2">
      <c r="A30">
        <f ca="1">'ETF variations'!A30/'ETF price'!B31</f>
        <v>-3.2280973594152595E-4</v>
      </c>
      <c r="B30">
        <f ca="1">'ETF variations'!B30/'ETF price'!C31</f>
        <v>-1.7243078135775245E-4</v>
      </c>
      <c r="C30">
        <f ca="1">'ETF variations'!C30/'ETF price'!D31</f>
        <v>1.9872813990457096E-4</v>
      </c>
      <c r="D30">
        <f ca="1">'ETF variations'!D30/'ETF price'!E31</f>
        <v>9.6980668520078677E-4</v>
      </c>
      <c r="E30">
        <f ca="1">'ETF variations'!E30/'ETF price'!F31</f>
        <v>-3.0691460552446596E-3</v>
      </c>
      <c r="F30">
        <f ca="1">'ETF variations'!F30/'ETF price'!G31</f>
        <v>-2.7643400138217637E-3</v>
      </c>
      <c r="G30">
        <f ca="1">'ETF variations'!G30/'ETF price'!H31</f>
        <v>-6.3887020847342886E-3</v>
      </c>
      <c r="H30">
        <f ca="1">'ETF variations'!H30/'ETF price'!I31</f>
        <v>-1.0211132437620058E-2</v>
      </c>
      <c r="I30">
        <f ca="1">'ETF variations'!I30/'ETF price'!J31</f>
        <v>-1.0050045122651525E-2</v>
      </c>
      <c r="J30">
        <f ca="1">'ETF variations'!J30/'ETF price'!K31</f>
        <v>-1.8374721303913173E-2</v>
      </c>
      <c r="K30">
        <f ca="1">'ETF variations'!K30/'ETF price'!L31</f>
        <v>-1.6497054097482509E-2</v>
      </c>
      <c r="L30">
        <f ca="1">'ETF variations'!L30/'ETF price'!M31</f>
        <v>-1.3884351519111425E-2</v>
      </c>
      <c r="M30">
        <f ca="1">'ETF variations'!M30/'ETF price'!N31</f>
        <v>-1.1764705882352972E-2</v>
      </c>
      <c r="N30">
        <f ca="1">'ETF variations'!N30/'ETF price'!O31</f>
        <v>-1.4456316781898204E-2</v>
      </c>
      <c r="O30">
        <f ca="1">'ETF variations'!O30/'ETF price'!P31</f>
        <v>-2.3576196562988164E-2</v>
      </c>
      <c r="P30">
        <f ca="1">'ETF variations'!P30/'ETF price'!Q31</f>
        <v>-2.1703353219502154E-2</v>
      </c>
      <c r="Q30">
        <f ca="1">'ETF variations'!Q30/'ETF price'!R31</f>
        <v>-8.2142857142856879E-3</v>
      </c>
      <c r="R30">
        <f ca="1">'ETF variations'!R30/'ETF price'!S31</f>
        <v>8.8842975206611507E-3</v>
      </c>
      <c r="S30">
        <f ca="1">'ETF variations'!S30/'ETF price'!T31</f>
        <v>5.1880674448768265E-3</v>
      </c>
      <c r="T30">
        <f ca="1">'ETF variations'!T30/'ETF price'!U31</f>
        <v>9.4310921813204225E-3</v>
      </c>
      <c r="U30">
        <f ca="1">'ETF variations'!U30/'ETF price'!V31</f>
        <v>-1.3582614253755216E-2</v>
      </c>
      <c r="V30">
        <f ca="1">'ETF variations'!V30/'ETF price'!W31</f>
        <v>-1.1219147344801866E-2</v>
      </c>
      <c r="W30">
        <f ca="1">'ETF variations'!W30/'ETF price'!X31</f>
        <v>-1.0707729961248186E-2</v>
      </c>
      <c r="X30">
        <f ca="1">'ETF variations'!X30/'ETF price'!Y31</f>
        <v>-8.7275266189561877E-3</v>
      </c>
      <c r="Y30">
        <f ca="1">'ETF variations'!Y30/'ETF price'!Z31</f>
        <v>-1.1366219595362582E-2</v>
      </c>
      <c r="Z30">
        <f ca="1">'ETF variations'!Z30/'ETF price'!AA31</f>
        <v>-1.0788199031263804E-2</v>
      </c>
      <c r="AA30">
        <f ca="1">'ETF variations'!AA30/'ETF price'!AB31</f>
        <v>-7.8177651974659437E-3</v>
      </c>
      <c r="AB30">
        <f ca="1">'ETF variations'!AB30/'ETF price'!AC31</f>
        <v>-7.1964477109171462E-3</v>
      </c>
      <c r="AC30">
        <f ca="1">'ETF variations'!AC30/'ETF price'!AD31</f>
        <v>-5.4446460980036209E-3</v>
      </c>
      <c r="AD30">
        <f ca="1">'ETF variations'!AD30/'ETF price'!AE31</f>
        <v>-4.5028142589117245E-3</v>
      </c>
      <c r="AE30">
        <f ca="1">'ETF variations'!AE30/'ETF price'!AF31</f>
        <v>1.6077170418007517E-3</v>
      </c>
      <c r="AF30">
        <f ca="1">'ETF variations'!AF30/'ETF price'!AG31</f>
        <v>-1.8434486670448062E-2</v>
      </c>
    </row>
    <row r="31" spans="1:32" x14ac:dyDescent="0.2">
      <c r="A31">
        <f ca="1">'ETF variations'!A31/'ETF price'!B32</f>
        <v>2.6285197623353095E-2</v>
      </c>
      <c r="B31">
        <f ca="1">'ETF variations'!B31/'ETF price'!C32</f>
        <v>2.8800906649584859E-2</v>
      </c>
      <c r="C31">
        <f ca="1">'ETF variations'!C31/'ETF price'!D32</f>
        <v>2.7518378700576298E-2</v>
      </c>
      <c r="D31">
        <f ca="1">'ETF variations'!D31/'ETF price'!E32</f>
        <v>5.516083193385881E-2</v>
      </c>
      <c r="E31">
        <f ca="1">'ETF variations'!E31/'ETF price'!F32</f>
        <v>1.6479536399855194E-2</v>
      </c>
      <c r="F31">
        <f ca="1">'ETF variations'!F31/'ETF price'!G32</f>
        <v>4.0194040194040201E-2</v>
      </c>
      <c r="G31">
        <f ca="1">'ETF variations'!G31/'ETF price'!H32</f>
        <v>3.3164128595600688E-2</v>
      </c>
      <c r="H31">
        <f ca="1">'ETF variations'!H31/'ETF price'!I32</f>
        <v>1.1247285138070254E-2</v>
      </c>
      <c r="I31">
        <f ca="1">'ETF variations'!I31/'ETF price'!J32</f>
        <v>1.3757096092487436E-2</v>
      </c>
      <c r="J31">
        <f ca="1">'ETF variations'!J31/'ETF price'!K32</f>
        <v>1.8013784461152749E-2</v>
      </c>
      <c r="K31">
        <f ca="1">'ETF variations'!K31/'ETF price'!L32</f>
        <v>4.1716588606905546E-2</v>
      </c>
      <c r="L31">
        <f ca="1">'ETF variations'!L31/'ETF price'!M32</f>
        <v>1.8883551432830888E-2</v>
      </c>
      <c r="M31">
        <f ca="1">'ETF variations'!M31/'ETF price'!N32</f>
        <v>1.3835263835263942E-2</v>
      </c>
      <c r="N31">
        <f ca="1">'ETF variations'!N31/'ETF price'!O32</f>
        <v>4.0178571428571369E-2</v>
      </c>
      <c r="O31">
        <f ca="1">'ETF variations'!O31/'ETF price'!P32</f>
        <v>-1.0472727272727257E-2</v>
      </c>
      <c r="P31">
        <f ca="1">'ETF variations'!P31/'ETF price'!Q32</f>
        <v>-1.1039848596362077E-2</v>
      </c>
      <c r="Q31">
        <f ca="1">'ETF variations'!Q31/'ETF price'!R32</f>
        <v>1.8365142239827166E-2</v>
      </c>
      <c r="R31">
        <f ca="1">'ETF variations'!R31/'ETF price'!S32</f>
        <v>1.8840876510342039E-2</v>
      </c>
      <c r="S31">
        <f ca="1">'ETF variations'!S31/'ETF price'!T32</f>
        <v>-1.6344086021505333E-2</v>
      </c>
      <c r="T31">
        <f ca="1">'ETF variations'!T31/'ETF price'!U32</f>
        <v>-3.1344183242917392E-2</v>
      </c>
      <c r="U31">
        <f ca="1">'ETF variations'!U31/'ETF price'!V32</f>
        <v>6.1882391057832505E-2</v>
      </c>
      <c r="V31">
        <f ca="1">'ETF variations'!V31/'ETF price'!W32</f>
        <v>1.361573373676264E-2</v>
      </c>
      <c r="W31">
        <f ca="1">'ETF variations'!W31/'ETF price'!X32</f>
        <v>1.6596227193072872E-2</v>
      </c>
      <c r="X31">
        <f ca="1">'ETF variations'!X31/'ETF price'!Y32</f>
        <v>2.4828314844162772E-2</v>
      </c>
      <c r="Y31">
        <f ca="1">'ETF variations'!Y31/'ETF price'!Z32</f>
        <v>1.5060933547942081E-2</v>
      </c>
      <c r="Z31">
        <f ca="1">'ETF variations'!Z31/'ETF price'!AA32</f>
        <v>4.8965056754951891E-3</v>
      </c>
      <c r="AA31">
        <f ca="1">'ETF variations'!AA31/'ETF price'!AB32</f>
        <v>2.6762668115745129E-2</v>
      </c>
      <c r="AB31">
        <f ca="1">'ETF variations'!AB31/'ETF price'!AC32</f>
        <v>1.6964836520666167E-2</v>
      </c>
      <c r="AC31">
        <f ca="1">'ETF variations'!AC31/'ETF price'!AD32</f>
        <v>4.68369829683698E-2</v>
      </c>
      <c r="AD31">
        <f ca="1">'ETF variations'!AD31/'ETF price'!AE32</f>
        <v>4.7870335469280045E-2</v>
      </c>
      <c r="AE31">
        <f ca="1">'ETF variations'!AE31/'ETF price'!AF32</f>
        <v>4.8154093097913291E-2</v>
      </c>
      <c r="AF31">
        <f ca="1">'ETF variations'!AF31/'ETF price'!AG32</f>
        <v>7.1366657035538836E-2</v>
      </c>
    </row>
    <row r="32" spans="1:32" x14ac:dyDescent="0.2">
      <c r="A32">
        <f ca="1">'ETF variations'!A32/'ETF price'!B33</f>
        <v>-1.0068592284940947E-3</v>
      </c>
      <c r="B32">
        <f ca="1">'ETF variations'!B32/'ETF price'!C33</f>
        <v>-1.772115522774101E-3</v>
      </c>
      <c r="C32">
        <f ca="1">'ETF variations'!C32/'ETF price'!D33</f>
        <v>-2.5137774340133917E-3</v>
      </c>
      <c r="D32">
        <f ca="1">'ETF variations'!D32/'ETF price'!E33</f>
        <v>3.6728697355517781E-4</v>
      </c>
      <c r="E32">
        <f ca="1">'ETF variations'!E32/'ETF price'!F33</f>
        <v>-5.5228932834491765E-3</v>
      </c>
      <c r="F32">
        <f ca="1">'ETF variations'!F32/'ETF price'!G33</f>
        <v>1.499000666222516E-2</v>
      </c>
      <c r="G32">
        <f ca="1">'ETF variations'!G32/'ETF price'!H33</f>
        <v>-9.8264002620373631E-3</v>
      </c>
      <c r="H32">
        <f ca="1">'ETF variations'!H32/'ETF price'!I33</f>
        <v>1.5340952673160132E-3</v>
      </c>
      <c r="I32">
        <f ca="1">'ETF variations'!I32/'ETF price'!J33</f>
        <v>-5.3137134682197196E-4</v>
      </c>
      <c r="J32">
        <f ca="1">'ETF variations'!J32/'ETF price'!K33</f>
        <v>-5.3854439144478518E-4</v>
      </c>
      <c r="K32">
        <f ca="1">'ETF variations'!K32/'ETF price'!L33</f>
        <v>-1.0351317440401452E-2</v>
      </c>
      <c r="L32">
        <f ca="1">'ETF variations'!L32/'ETF price'!M33</f>
        <v>3.2515038205174974E-4</v>
      </c>
      <c r="M32">
        <f ca="1">'ETF variations'!M32/'ETF price'!N33</f>
        <v>3.1735956839092381E-4</v>
      </c>
      <c r="N32">
        <f ca="1">'ETF variations'!N32/'ETF price'!O33</f>
        <v>-9.8099325567136825E-3</v>
      </c>
      <c r="O32">
        <f ca="1">'ETF variations'!O32/'ETF price'!P33</f>
        <v>8.0846685285902858E-3</v>
      </c>
      <c r="P32">
        <f ca="1">'ETF variations'!P32/'ETF price'!Q33</f>
        <v>6.6978524346161536E-3</v>
      </c>
      <c r="Q32">
        <f ca="1">'ETF variations'!Q32/'ETF price'!R33</f>
        <v>7.3078736445071936E-3</v>
      </c>
      <c r="R32">
        <f ca="1">'ETF variations'!R32/'ETF price'!S33</f>
        <v>5.2261306532662916E-3</v>
      </c>
      <c r="S32">
        <f ca="1">'ETF variations'!S32/'ETF price'!T33</f>
        <v>1.3117621337996319E-3</v>
      </c>
      <c r="T32">
        <f ca="1">'ETF variations'!T32/'ETF price'!U33</f>
        <v>-1.1512134411947759E-2</v>
      </c>
      <c r="U32">
        <f ca="1">'ETF variations'!U32/'ETF price'!V33</f>
        <v>1.678108314263912E-3</v>
      </c>
      <c r="V32">
        <f ca="1">'ETF variations'!V32/'ETF price'!W33</f>
        <v>7.4626865671626938E-4</v>
      </c>
      <c r="W32">
        <f ca="1">'ETF variations'!W32/'ETF price'!X33</f>
        <v>8.1119448387749233E-4</v>
      </c>
      <c r="X32">
        <f ca="1">'ETF variations'!X32/'ETF price'!Y33</f>
        <v>2.5773195876288416E-3</v>
      </c>
      <c r="Y32">
        <f ca="1">'ETF variations'!Y32/'ETF price'!Z33</f>
        <v>1.3591573224599651E-3</v>
      </c>
      <c r="Z32">
        <f ca="1">'ETF variations'!Z32/'ETF price'!AA33</f>
        <v>2.6578073089702004E-3</v>
      </c>
      <c r="AA32">
        <f ca="1">'ETF variations'!AA32/'ETF price'!AB33</f>
        <v>1.8523418893887347E-3</v>
      </c>
      <c r="AB32">
        <f ca="1">'ETF variations'!AB32/'ETF price'!AC33</f>
        <v>2.1231422505307942E-3</v>
      </c>
      <c r="AC32">
        <f ca="1">'ETF variations'!AC32/'ETF price'!AD33</f>
        <v>0</v>
      </c>
      <c r="AD32">
        <f ca="1">'ETF variations'!AD32/'ETF price'!AE33</f>
        <v>-1.4388489208632786E-3</v>
      </c>
      <c r="AE32">
        <f ca="1">'ETF variations'!AE32/'ETF price'!AF33</f>
        <v>-1.8376722817764181E-2</v>
      </c>
      <c r="AF32">
        <f ca="1">'ETF variations'!AF32/'ETF price'!AG33</f>
        <v>-1.024811218985964E-2</v>
      </c>
    </row>
    <row r="33" spans="1:32" x14ac:dyDescent="0.2">
      <c r="A33">
        <f ca="1">'ETF variations'!A33/'ETF price'!B34</f>
        <v>-2.9921259842519685E-2</v>
      </c>
      <c r="B33">
        <f ca="1">'ETF variations'!B33/'ETF price'!C34</f>
        <v>-3.2890317627866761E-2</v>
      </c>
      <c r="C33">
        <f ca="1">'ETF variations'!C33/'ETF price'!D34</f>
        <v>-3.5863138509256591E-2</v>
      </c>
      <c r="D33">
        <f ca="1">'ETF variations'!D33/'ETF price'!E34</f>
        <v>-3.7571900624158529E-2</v>
      </c>
      <c r="E33">
        <f ca="1">'ETF variations'!E33/'ETF price'!F34</f>
        <v>-2.7946972411322147E-2</v>
      </c>
      <c r="F33">
        <f ca="1">'ETF variations'!F33/'ETF price'!G34</f>
        <v>-3.3147358057105288E-2</v>
      </c>
      <c r="G33">
        <f ca="1">'ETF variations'!G33/'ETF price'!H34</f>
        <v>-2.8448561032087313E-2</v>
      </c>
      <c r="H33">
        <f ca="1">'ETF variations'!H33/'ETF price'!I34</f>
        <v>-1.608332695106069E-2</v>
      </c>
      <c r="I33">
        <f ca="1">'ETF variations'!I33/'ETF price'!J34</f>
        <v>-1.8689677735972604E-2</v>
      </c>
      <c r="J33">
        <f ca="1">'ETF variations'!J33/'ETF price'!K34</f>
        <v>-3.0097759987683756E-2</v>
      </c>
      <c r="K33">
        <f ca="1">'ETF variations'!K33/'ETF price'!L34</f>
        <v>-4.268357105124148E-2</v>
      </c>
      <c r="L33">
        <f ca="1">'ETF variations'!L33/'ETF price'!M34</f>
        <v>-3.3154558751828364E-2</v>
      </c>
      <c r="M33">
        <f ca="1">'ETF variations'!M33/'ETF price'!N34</f>
        <v>-1.8401015228426344E-2</v>
      </c>
      <c r="N33">
        <f ca="1">'ETF variations'!N33/'ETF price'!O34</f>
        <v>-4.3343653250773953E-2</v>
      </c>
      <c r="O33">
        <f ca="1">'ETF variations'!O33/'ETF price'!P34</f>
        <v>-1.6039661708952965E-3</v>
      </c>
      <c r="P33">
        <f ca="1">'ETF variations'!P33/'ETF price'!Q34</f>
        <v>-2.0065476819093645E-3</v>
      </c>
      <c r="Q33">
        <f ca="1">'ETF variations'!Q33/'ETF price'!R34</f>
        <v>-1.7084015913877766E-2</v>
      </c>
      <c r="R33">
        <f ca="1">'ETF variations'!R33/'ETF price'!S34</f>
        <v>-5.1989602079583691E-3</v>
      </c>
      <c r="S33">
        <f ca="1">'ETF variations'!S33/'ETF price'!T34</f>
        <v>8.2969432314411052E-3</v>
      </c>
      <c r="T33">
        <f ca="1">'ETF variations'!T33/'ETF price'!U34</f>
        <v>9.9150141643059887E-3</v>
      </c>
      <c r="U33">
        <f ca="1">'ETF variations'!U33/'ETF price'!V34</f>
        <v>-2.5890953396283823E-2</v>
      </c>
      <c r="V33">
        <f ca="1">'ETF variations'!V33/'ETF price'!W34</f>
        <v>-2.4857071836937611E-2</v>
      </c>
      <c r="W33">
        <f ca="1">'ETF variations'!W33/'ETF price'!X34</f>
        <v>-2.563323201621075E-2</v>
      </c>
      <c r="X33">
        <f ca="1">'ETF variations'!X33/'ETF price'!Y34</f>
        <v>-3.1362467866323879E-2</v>
      </c>
      <c r="Y33">
        <f ca="1">'ETF variations'!Y33/'ETF price'!Z34</f>
        <v>-2.6015156656486793E-2</v>
      </c>
      <c r="Z33">
        <f ca="1">'ETF variations'!Z33/'ETF price'!AA34</f>
        <v>-8.6149768058316877E-3</v>
      </c>
      <c r="AA33">
        <f ca="1">'ETF variations'!AA33/'ETF price'!AB34</f>
        <v>-3.0507131537242504E-2</v>
      </c>
      <c r="AB33">
        <f ca="1">'ETF variations'!AB33/'ETF price'!AC34</f>
        <v>-3.0569007263922459E-2</v>
      </c>
      <c r="AC33">
        <f ca="1">'ETF variations'!AC33/'ETF price'!AD34</f>
        <v>-7.4375363160953001E-2</v>
      </c>
      <c r="AD33">
        <f ca="1">'ETF variations'!AD33/'ETF price'!AE34</f>
        <v>-7.4207492795389129E-2</v>
      </c>
      <c r="AE33">
        <f ca="1">'ETF variations'!AE33/'ETF price'!AF34</f>
        <v>-6.3962558502340117E-2</v>
      </c>
      <c r="AF33">
        <f ca="1">'ETF variations'!AF33/'ETF price'!AG34</f>
        <v>-7.4114441416893884E-2</v>
      </c>
    </row>
    <row r="34" spans="1:32" x14ac:dyDescent="0.2">
      <c r="A34">
        <f ca="1">'ETF variations'!A34/'ETF price'!B35</f>
        <v>-1.0129870129870145E-2</v>
      </c>
      <c r="B34">
        <f ca="1">'ETF variations'!B34/'ETF price'!C35</f>
        <v>-1.2502170515714584E-2</v>
      </c>
      <c r="C34">
        <f ca="1">'ETF variations'!C34/'ETF price'!D35</f>
        <v>-1.3672464059515426E-2</v>
      </c>
      <c r="D34">
        <f ca="1">'ETF variations'!D34/'ETF price'!E35</f>
        <v>-1.1190233977619474E-2</v>
      </c>
      <c r="E34">
        <f ca="1">'ETF variations'!E34/'ETF price'!F35</f>
        <v>-1.5296719498709884E-2</v>
      </c>
      <c r="F34">
        <f ca="1">'ETF variations'!F34/'ETF price'!G35</f>
        <v>-2.545824847250509E-2</v>
      </c>
      <c r="G34">
        <f ca="1">'ETF variations'!G34/'ETF price'!H35</f>
        <v>-1.4981273408239744E-2</v>
      </c>
      <c r="H34">
        <f ca="1">'ETF variations'!H34/'ETF price'!I35</f>
        <v>-7.4725616875534655E-3</v>
      </c>
      <c r="I34">
        <f ca="1">'ETF variations'!I34/'ETF price'!J35</f>
        <v>-7.9183163158990516E-3</v>
      </c>
      <c r="J34">
        <f ca="1">'ETF variations'!J34/'ETF price'!K35</f>
        <v>-7.6190476190475696E-3</v>
      </c>
      <c r="K34">
        <f ca="1">'ETF variations'!K34/'ETF price'!L35</f>
        <v>-1.3464297538902978E-2</v>
      </c>
      <c r="L34">
        <f ca="1">'ETF variations'!L34/'ETF price'!M35</f>
        <v>-5.7152462598756663E-3</v>
      </c>
      <c r="M34">
        <f ca="1">'ETF variations'!M34/'ETF price'!N35</f>
        <v>-8.4033613445378651E-3</v>
      </c>
      <c r="N34">
        <f ca="1">'ETF variations'!N34/'ETF price'!O35</f>
        <v>-1.7475728155339779E-2</v>
      </c>
      <c r="O34">
        <f ca="1">'ETF variations'!O34/'ETF price'!P35</f>
        <v>-6.1340733167810973E-3</v>
      </c>
      <c r="P34">
        <f ca="1">'ETF variations'!P34/'ETF price'!Q35</f>
        <v>-6.7724867724867788E-3</v>
      </c>
      <c r="Q34">
        <f ca="1">'ETF variations'!Q34/'ETF price'!R35</f>
        <v>-1.6666666666666735E-3</v>
      </c>
      <c r="R34">
        <f ca="1">'ETF variations'!R34/'ETF price'!S35</f>
        <v>-7.0351758793970138E-3</v>
      </c>
      <c r="S34">
        <f ca="1">'ETF variations'!S34/'ETF price'!T35</f>
        <v>3.8977912516240734E-3</v>
      </c>
      <c r="T34">
        <f ca="1">'ETF variations'!T34/'ETF price'!U35</f>
        <v>8.882655446470206E-3</v>
      </c>
      <c r="U34">
        <f ca="1">'ETF variations'!U34/'ETF price'!V35</f>
        <v>-2.3139462163852469E-2</v>
      </c>
      <c r="V34">
        <f ca="1">'ETF variations'!V34/'ETF price'!W35</f>
        <v>-2.5490695895992894E-4</v>
      </c>
      <c r="W34">
        <f ca="1">'ETF variations'!W34/'ETF price'!X35</f>
        <v>-7.2787771654369746E-4</v>
      </c>
      <c r="X34">
        <f ca="1">'ETF variations'!X34/'ETF price'!Y35</f>
        <v>0</v>
      </c>
      <c r="Y34">
        <f ca="1">'ETF variations'!Y34/'ETF price'!Z35</f>
        <v>-1.7419579607479466E-3</v>
      </c>
      <c r="Z34">
        <f ca="1">'ETF variations'!Z34/'ETF price'!AA35</f>
        <v>-4.4563279857398139E-3</v>
      </c>
      <c r="AA34">
        <f ca="1">'ETF variations'!AA34/'ETF price'!AB35</f>
        <v>1.7708759024657359E-3</v>
      </c>
      <c r="AB34">
        <f ca="1">'ETF variations'!AB34/'ETF price'!AC35</f>
        <v>-3.2781767093350116E-3</v>
      </c>
      <c r="AC34">
        <f ca="1">'ETF variations'!AC34/'ETF price'!AD35</f>
        <v>-2.259887005649714E-2</v>
      </c>
      <c r="AD34">
        <f ca="1">'ETF variations'!AD34/'ETF price'!AE35</f>
        <v>-2.2957198443579761E-2</v>
      </c>
      <c r="AE34">
        <f ca="1">'ETF variations'!AE34/'ETF price'!AF35</f>
        <v>-4.1666666666666664E-2</v>
      </c>
      <c r="AF34">
        <f ca="1">'ETF variations'!AF34/'ETF price'!AG35</f>
        <v>-2.6486168334314265E-2</v>
      </c>
    </row>
    <row r="35" spans="1:32" x14ac:dyDescent="0.2">
      <c r="A35">
        <f ca="1">'ETF variations'!A35/'ETF price'!B36</f>
        <v>-9.2495408029388392E-3</v>
      </c>
      <c r="B35">
        <f ca="1">'ETF variations'!B35/'ETF price'!C36</f>
        <v>-9.8218995704488134E-3</v>
      </c>
      <c r="C35">
        <f ca="1">'ETF variations'!C35/'ETF price'!D36</f>
        <v>-9.3772296401997933E-3</v>
      </c>
      <c r="D35">
        <f ca="1">'ETF variations'!D35/'ETF price'!E36</f>
        <v>-6.0442386831275566E-3</v>
      </c>
      <c r="E35">
        <f ca="1">'ETF variations'!E35/'ETF price'!F36</f>
        <v>-8.9837170129140349E-3</v>
      </c>
      <c r="F35">
        <f ca="1">'ETF variations'!F35/'ETF price'!G36</f>
        <v>-9.0560780215953179E-3</v>
      </c>
      <c r="G35">
        <f ca="1">'ETF variations'!G35/'ETF price'!H36</f>
        <v>-2.0394054614586928E-2</v>
      </c>
      <c r="H35">
        <f ca="1">'ETF variations'!H35/'ETF price'!I36</f>
        <v>-2.5096070896400862E-3</v>
      </c>
      <c r="I35">
        <f ca="1">'ETF variations'!I35/'ETF price'!J36</f>
        <v>-3.9487502625498751E-3</v>
      </c>
      <c r="J35">
        <f ca="1">'ETF variations'!J35/'ETF price'!K36</f>
        <v>-7.0377479206654636E-3</v>
      </c>
      <c r="K35">
        <f ca="1">'ETF variations'!K35/'ETF price'!L36</f>
        <v>-7.9427228996531343E-3</v>
      </c>
      <c r="L35">
        <f ca="1">'ETF variations'!L35/'ETF price'!M36</f>
        <v>-9.298393913778482E-3</v>
      </c>
      <c r="M35">
        <f ca="1">'ETF variations'!M35/'ETF price'!N36</f>
        <v>-4.0743155149934812E-3</v>
      </c>
      <c r="N35">
        <f ca="1">'ETF variations'!N35/'ETF price'!O36</f>
        <v>-1.3833992094861599E-2</v>
      </c>
      <c r="O35">
        <f ca="1">'ETF variations'!O35/'ETF price'!P36</f>
        <v>-1.6164584864070453E-2</v>
      </c>
      <c r="P35">
        <f ca="1">'ETF variations'!P35/'ETF price'!Q36</f>
        <v>-1.7259748561687667E-2</v>
      </c>
      <c r="Q35">
        <f ca="1">'ETF variations'!Q35/'ETF price'!R36</f>
        <v>-1.4190317195325515E-2</v>
      </c>
      <c r="R35">
        <f ca="1">'ETF variations'!R35/'ETF price'!S36</f>
        <v>-8.2995951417003354E-3</v>
      </c>
      <c r="S35">
        <f ca="1">'ETF variations'!S35/'ETF price'!T36</f>
        <v>1.4236410698878424E-2</v>
      </c>
      <c r="T35">
        <f ca="1">'ETF variations'!T35/'ETF price'!U36</f>
        <v>1.2357120790855908E-2</v>
      </c>
      <c r="U35">
        <f ca="1">'ETF variations'!U35/'ETF price'!V36</f>
        <v>-3.7291933418693954E-2</v>
      </c>
      <c r="V35">
        <f ca="1">'ETF variations'!V35/'ETF price'!W36</f>
        <v>-5.0994390617031043E-3</v>
      </c>
      <c r="W35">
        <f ca="1">'ETF variations'!W35/'ETF price'!X36</f>
        <v>-6.1394380853276717E-3</v>
      </c>
      <c r="X35">
        <f ca="1">'ETF variations'!X35/'ETF price'!Y36</f>
        <v>-7.6079263977353092E-3</v>
      </c>
      <c r="Y35">
        <f ca="1">'ETF variations'!Y35/'ETF price'!Z36</f>
        <v>-5.4676593764541523E-3</v>
      </c>
      <c r="Z35">
        <f ca="1">'ETF variations'!Z35/'ETF price'!AA36</f>
        <v>-2.6857654431512411E-3</v>
      </c>
      <c r="AA35">
        <f ca="1">'ETF variations'!AA35/'ETF price'!AB36</f>
        <v>-5.0312754963285902E-3</v>
      </c>
      <c r="AB35">
        <f ca="1">'ETF variations'!AB35/'ETF price'!AC36</f>
        <v>-7.0477682067345785E-3</v>
      </c>
      <c r="AC35">
        <f ca="1">'ETF variations'!AC35/'ETF price'!AD36</f>
        <v>-5.2023121387283267E-2</v>
      </c>
      <c r="AD35">
        <f ca="1">'ETF variations'!AD35/'ETF price'!AE36</f>
        <v>-5.2568697729988068E-2</v>
      </c>
      <c r="AE35">
        <f ca="1">'ETF variations'!AE35/'ETF price'!AF36</f>
        <v>-7.3043478260869557E-2</v>
      </c>
      <c r="AF35">
        <f ca="1">'ETF variations'!AF35/'ETF price'!AG36</f>
        <v>-5.1390568319226101E-2</v>
      </c>
    </row>
    <row r="36" spans="1:32" x14ac:dyDescent="0.2">
      <c r="A36">
        <f ca="1">'ETF variations'!A36/'ETF price'!B37</f>
        <v>-2.5028140104614984E-2</v>
      </c>
      <c r="B36">
        <f ca="1">'ETF variations'!B36/'ETF price'!C37</f>
        <v>-2.529301334415756E-2</v>
      </c>
      <c r="C36">
        <f ca="1">'ETF variations'!C36/'ETF price'!D37</f>
        <v>-2.4591007305278328E-2</v>
      </c>
      <c r="D36">
        <f ca="1">'ETF variations'!D36/'ETF price'!E37</f>
        <v>-2.38711346875406E-2</v>
      </c>
      <c r="E36">
        <f ca="1">'ETF variations'!E36/'ETF price'!F37</f>
        <v>-2.0396600566572338E-2</v>
      </c>
      <c r="F36">
        <f ca="1">'ETF variations'!F36/'ETF price'!G37</f>
        <v>-2.6713532513180951E-2</v>
      </c>
      <c r="G36">
        <f ca="1">'ETF variations'!G36/'ETF price'!H37</f>
        <v>-2.6111503175723305E-2</v>
      </c>
      <c r="H36">
        <f ca="1">'ETF variations'!H36/'ETF price'!I37</f>
        <v>-5.0318421259533024E-3</v>
      </c>
      <c r="I36">
        <f ca="1">'ETF variations'!I36/'ETF price'!J37</f>
        <v>-7.7601113407279459E-3</v>
      </c>
      <c r="J36">
        <f ca="1">'ETF variations'!J36/'ETF price'!K37</f>
        <v>-2.1423969072164921E-2</v>
      </c>
      <c r="K36">
        <f ca="1">'ETF variations'!K36/'ETF price'!L37</f>
        <v>-4.0369869192602756E-2</v>
      </c>
      <c r="L36">
        <f ca="1">'ETF variations'!L36/'ETF price'!M37</f>
        <v>-2.5767918088737168E-2</v>
      </c>
      <c r="M36">
        <f ca="1">'ETF variations'!M36/'ETF price'!N37</f>
        <v>-8.0183276059565042E-3</v>
      </c>
      <c r="N36">
        <f ca="1">'ETF variations'!N36/'ETF price'!O37</f>
        <v>-2.605210420841687E-2</v>
      </c>
      <c r="O36">
        <f ca="1">'ETF variations'!O36/'ETF price'!P37</f>
        <v>1.0306198655713184E-2</v>
      </c>
      <c r="P36">
        <f ca="1">'ETF variations'!P36/'ETF price'!Q37</f>
        <v>1.1925411968777196E-2</v>
      </c>
      <c r="Q36">
        <f ca="1">'ETF variations'!Q36/'ETF price'!R37</f>
        <v>-1.2822063626466701E-2</v>
      </c>
      <c r="R36">
        <f ca="1">'ETF variations'!R36/'ETF price'!S37</f>
        <v>1.2655644008981372E-2</v>
      </c>
      <c r="S36">
        <f ca="1">'ETF variations'!S36/'ETF price'!T37</f>
        <v>9.3577201190982069E-3</v>
      </c>
      <c r="T36">
        <f ca="1">'ETF variations'!T36/'ETF price'!U37</f>
        <v>1.068050045773556E-2</v>
      </c>
      <c r="U36">
        <f ca="1">'ETF variations'!U36/'ETF price'!V37</f>
        <v>-8.1463009143807486E-3</v>
      </c>
      <c r="V36">
        <f ca="1">'ETF variations'!V36/'ETF price'!W37</f>
        <v>-1.7426960533059959E-2</v>
      </c>
      <c r="W36">
        <f ca="1">'ETF variations'!W36/'ETF price'!X37</f>
        <v>-1.7589781174746171E-2</v>
      </c>
      <c r="X36">
        <f ca="1">'ETF variations'!X36/'ETF price'!Y37</f>
        <v>-1.6402210732750964E-2</v>
      </c>
      <c r="Y36">
        <f ca="1">'ETF variations'!Y36/'ETF price'!Z37</f>
        <v>-1.6376184349046575E-2</v>
      </c>
      <c r="Z36">
        <f ca="1">'ETF variations'!Z36/'ETF price'!AA37</f>
        <v>-1.3016157989228127E-2</v>
      </c>
      <c r="AA36">
        <f ca="1">'ETF variations'!AA36/'ETF price'!AB37</f>
        <v>-1.7630176301763101E-2</v>
      </c>
      <c r="AB36">
        <f ca="1">'ETF variations'!AB36/'ETF price'!AC37</f>
        <v>-1.9242902208201875E-2</v>
      </c>
      <c r="AC36">
        <f ca="1">'ETF variations'!AC36/'ETF price'!AD37</f>
        <v>-6.7750677506774829E-3</v>
      </c>
      <c r="AD36">
        <f ca="1">'ETF variations'!AD36/'ETF price'!AE37</f>
        <v>-7.5662042875157516E-3</v>
      </c>
      <c r="AE36">
        <f ca="1">'ETF variations'!AE36/'ETF price'!AF37</f>
        <v>5.0656660412757896E-2</v>
      </c>
      <c r="AF36">
        <f ca="1">'ETF variations'!AF36/'ETF price'!AG37</f>
        <v>-3.3142128744423176E-2</v>
      </c>
    </row>
    <row r="37" spans="1:32" x14ac:dyDescent="0.2">
      <c r="A37">
        <f ca="1">'ETF variations'!A37/'ETF price'!B38</f>
        <v>3.4159592529711381E-2</v>
      </c>
      <c r="B37">
        <f ca="1">'ETF variations'!B37/'ETF price'!C38</f>
        <v>3.6126076885036822E-2</v>
      </c>
      <c r="C37">
        <f ca="1">'ETF variations'!C37/'ETF price'!D38</f>
        <v>4.1666666666666699E-2</v>
      </c>
      <c r="D37">
        <f ca="1">'ETF variations'!D37/'ETF price'!E38</f>
        <v>3.6582941215455037E-2</v>
      </c>
      <c r="E37">
        <f ca="1">'ETF variations'!E37/'ETF price'!F38</f>
        <v>5.9572006940428059E-2</v>
      </c>
      <c r="F37">
        <f ca="1">'ETF variations'!F37/'ETF price'!G38</f>
        <v>2.5641025641025543E-2</v>
      </c>
      <c r="G37">
        <f ca="1">'ETF variations'!G37/'ETF price'!H38</f>
        <v>3.3333333333333263E-2</v>
      </c>
      <c r="H37">
        <f ca="1">'ETF variations'!H37/'ETF price'!I38</f>
        <v>4.0300276570525888E-3</v>
      </c>
      <c r="I37">
        <f ca="1">'ETF variations'!I37/'ETF price'!J38</f>
        <v>9.6909933268160033E-3</v>
      </c>
      <c r="J37">
        <f ca="1">'ETF variations'!J37/'ETF price'!K38</f>
        <v>2.5432098765432128E-2</v>
      </c>
      <c r="K37">
        <f ca="1">'ETF variations'!K37/'ETF price'!L38</f>
        <v>4.5828437132785026E-2</v>
      </c>
      <c r="L37">
        <f ca="1">'ETF variations'!L37/'ETF price'!M38</f>
        <v>3.2404974601506292E-2</v>
      </c>
      <c r="M37">
        <f ca="1">'ETF variations'!M37/'ETF price'!N38</f>
        <v>9.7327614648631388E-3</v>
      </c>
      <c r="N37">
        <f ca="1">'ETF variations'!N37/'ETF price'!O38</f>
        <v>4.0466392318244157E-2</v>
      </c>
      <c r="O37">
        <f ca="1">'ETF variations'!O37/'ETF price'!P38</f>
        <v>-7.8356002365464385E-3</v>
      </c>
      <c r="P37">
        <f ca="1">'ETF variations'!P37/'ETF price'!Q38</f>
        <v>-3.5354617527319295E-3</v>
      </c>
      <c r="Q37">
        <f ca="1">'ETF variations'!Q37/'ETF price'!R38</f>
        <v>-2.9408160764611553E-3</v>
      </c>
      <c r="R37">
        <f ca="1">'ETF variations'!R37/'ETF price'!S38</f>
        <v>-1.2295908083047761E-2</v>
      </c>
      <c r="S37">
        <f ca="1">'ETF variations'!S37/'ETF price'!T38</f>
        <v>4.2140750105350974E-3</v>
      </c>
      <c r="T37">
        <f ca="1">'ETF variations'!T37/'ETF price'!U38</f>
        <v>1.5096618357489211E-3</v>
      </c>
      <c r="U37">
        <f ca="1">'ETF variations'!U37/'ETF price'!V38</f>
        <v>8.6154877639959784E-2</v>
      </c>
      <c r="V37">
        <f ca="1">'ETF variations'!V37/'ETF price'!W38</f>
        <v>-1.1997913406364132E-2</v>
      </c>
      <c r="W37">
        <f ca="1">'ETF variations'!W37/'ETF price'!X38</f>
        <v>-9.8049664286475723E-3</v>
      </c>
      <c r="X37">
        <f ca="1">'ETF variations'!X37/'ETF price'!Y38</f>
        <v>-1.6494471633134018E-2</v>
      </c>
      <c r="Y37">
        <f ca="1">'ETF variations'!Y37/'ETF price'!Z38</f>
        <v>-1.0821738613390374E-2</v>
      </c>
      <c r="Z37">
        <f ca="1">'ETF variations'!Z37/'ETF price'!AA38</f>
        <v>1.7280582082765009E-2</v>
      </c>
      <c r="AA37">
        <f ca="1">'ETF variations'!AA37/'ETF price'!AB38</f>
        <v>-1.7946577629382194E-2</v>
      </c>
      <c r="AB37">
        <f ca="1">'ETF variations'!AB37/'ETF price'!AC38</f>
        <v>-7.5587005467995958E-3</v>
      </c>
      <c r="AC37">
        <f ca="1">'ETF variations'!AC37/'ETF price'!AD38</f>
        <v>1.8417462482946765E-2</v>
      </c>
      <c r="AD37">
        <f ca="1">'ETF variations'!AD37/'ETF price'!AE38</f>
        <v>1.905972045743326E-2</v>
      </c>
      <c r="AE37">
        <f ca="1">'ETF variations'!AE37/'ETF price'!AF38</f>
        <v>-0.10714285714285708</v>
      </c>
      <c r="AF37">
        <f ca="1">'ETF variations'!AF37/'ETF price'!AG38</f>
        <v>5.8009228740936107E-2</v>
      </c>
    </row>
    <row r="38" spans="1:32" x14ac:dyDescent="0.2">
      <c r="A38">
        <f ca="1">'ETF variations'!A38/'ETF price'!B39</f>
        <v>1.3593380614657166E-2</v>
      </c>
      <c r="B38">
        <f ca="1">'ETF variations'!B38/'ETF price'!C39</f>
        <v>1.4393730061041519E-2</v>
      </c>
      <c r="C38">
        <f ca="1">'ETF variations'!C38/'ETF price'!D39</f>
        <v>1.2759493670886128E-2</v>
      </c>
      <c r="D38">
        <f ca="1">'ETF variations'!D38/'ETF price'!E39</f>
        <v>1.6686912601496157E-2</v>
      </c>
      <c r="E38">
        <f ca="1">'ETF variations'!E38/'ETF price'!F39</f>
        <v>1.4010189228529767E-2</v>
      </c>
      <c r="F38">
        <f ca="1">'ETF variations'!F38/'ETF price'!G39</f>
        <v>3.1690140845070498E-2</v>
      </c>
      <c r="G38">
        <f ca="1">'ETF variations'!G38/'ETF price'!H39</f>
        <v>2.1739130434782643E-2</v>
      </c>
      <c r="H38">
        <f ca="1">'ETF variations'!H38/'ETF price'!I39</f>
        <v>3.0615457264284482E-2</v>
      </c>
      <c r="I38">
        <f ca="1">'ETF variations'!I38/'ETF price'!J39</f>
        <v>2.9130709324352713E-2</v>
      </c>
      <c r="J38">
        <f ca="1">'ETF variations'!J38/'ETF price'!K39</f>
        <v>1.3644754795730017E-2</v>
      </c>
      <c r="K38">
        <f ca="1">'ETF variations'!K38/'ETF price'!L39</f>
        <v>8.9887640449437881E-3</v>
      </c>
      <c r="L38">
        <f ca="1">'ETF variations'!L38/'ETF price'!M39</f>
        <v>1.6796742449949137E-2</v>
      </c>
      <c r="M38">
        <f ca="1">'ETF variations'!M38/'ETF price'!N39</f>
        <v>3.0223819637314187E-2</v>
      </c>
      <c r="N38">
        <f ca="1">'ETF variations'!N38/'ETF price'!O39</f>
        <v>2.109426499670404E-2</v>
      </c>
      <c r="O38">
        <f ca="1">'ETF variations'!O38/'ETF price'!P39</f>
        <v>2.6374608851139861E-2</v>
      </c>
      <c r="P38">
        <f ca="1">'ETF variations'!P38/'ETF price'!Q39</f>
        <v>2.5481131061176113E-2</v>
      </c>
      <c r="Q38">
        <f ca="1">'ETF variations'!Q38/'ETF price'!R39</f>
        <v>3.6499938552291986E-2</v>
      </c>
      <c r="R38">
        <f ca="1">'ETF variations'!R38/'ETF price'!S39</f>
        <v>5.6530612244898026E-2</v>
      </c>
      <c r="S38">
        <f ca="1">'ETF variations'!S38/'ETF price'!T39</f>
        <v>-1.5107007973143073E-2</v>
      </c>
      <c r="T38">
        <f ca="1">'ETF variations'!T38/'ETF price'!U39</f>
        <v>-8.1398854386494756E-3</v>
      </c>
      <c r="U38">
        <f ca="1">'ETF variations'!U38/'ETF price'!V39</f>
        <v>2.5000000000000071E-2</v>
      </c>
      <c r="V38">
        <f ca="1">'ETF variations'!V38/'ETF price'!W39</f>
        <v>3.2206969376979908E-2</v>
      </c>
      <c r="W38">
        <f ca="1">'ETF variations'!W38/'ETF price'!X39</f>
        <v>3.250457431923378E-2</v>
      </c>
      <c r="X38">
        <f ca="1">'ETF variations'!X38/'ETF price'!Y39</f>
        <v>4.2757095466273508E-2</v>
      </c>
      <c r="Y38">
        <f ca="1">'ETF variations'!Y38/'ETF price'!Z39</f>
        <v>3.4022601586919908E-2</v>
      </c>
      <c r="Z38">
        <f ca="1">'ETF variations'!Z38/'ETF price'!AA39</f>
        <v>2.5033527045149696E-2</v>
      </c>
      <c r="AA38">
        <f ca="1">'ETF variations'!AA38/'ETF price'!AB39</f>
        <v>4.6040515653775323E-2</v>
      </c>
      <c r="AB38">
        <f ca="1">'ETF variations'!AB38/'ETF price'!AC39</f>
        <v>2.7710257656781735E-2</v>
      </c>
      <c r="AC38">
        <f ca="1">'ETF variations'!AC38/'ETF price'!AD39</f>
        <v>1.8754186202277371E-2</v>
      </c>
      <c r="AD38">
        <f ca="1">'ETF variations'!AD38/'ETF price'!AE39</f>
        <v>1.9534497090606919E-2</v>
      </c>
      <c r="AE38">
        <f ca="1">'ETF variations'!AE38/'ETF price'!AF39</f>
        <v>0.12400000000000003</v>
      </c>
      <c r="AF38">
        <f ca="1">'ETF variations'!AF38/'ETF price'!AG39</f>
        <v>-1.8691588785047437E-3</v>
      </c>
    </row>
    <row r="39" spans="1:32" x14ac:dyDescent="0.2">
      <c r="A39">
        <f ca="1">'ETF variations'!A39/'ETF price'!B40</f>
        <v>-1.8140589569161072E-3</v>
      </c>
      <c r="B39">
        <f ca="1">'ETF variations'!B39/'ETF price'!C40</f>
        <v>2.2287157644502954E-4</v>
      </c>
      <c r="C39">
        <f ca="1">'ETF variations'!C39/'ETF price'!D40</f>
        <v>1.2998700129986545E-3</v>
      </c>
      <c r="D39">
        <f ca="1">'ETF variations'!D39/'ETF price'!E40</f>
        <v>-6.0998616526223041E-3</v>
      </c>
      <c r="E39">
        <f ca="1">'ETF variations'!E39/'ETF price'!F40</f>
        <v>2.978647048268444E-2</v>
      </c>
      <c r="F39">
        <f ca="1">'ETF variations'!F39/'ETF price'!G40</f>
        <v>9.2150170648464015E-3</v>
      </c>
      <c r="G39">
        <f ca="1">'ETF variations'!G39/'ETF price'!H40</f>
        <v>6.8634179821549666E-4</v>
      </c>
      <c r="H39">
        <f ca="1">'ETF variations'!H39/'ETF price'!I40</f>
        <v>-7.560137457044527E-3</v>
      </c>
      <c r="I39">
        <f ca="1">'ETF variations'!I39/'ETF price'!J40</f>
        <v>-6.2584366179899422E-3</v>
      </c>
      <c r="J39">
        <f ca="1">'ETF variations'!J39/'ETF price'!K40</f>
        <v>-1.7420223295590551E-3</v>
      </c>
      <c r="K39">
        <f ca="1">'ETF variations'!K39/'ETF price'!L40</f>
        <v>3.3407572383074765E-4</v>
      </c>
      <c r="L39">
        <f ca="1">'ETF variations'!L39/'ETF price'!M40</f>
        <v>5.6732854997497651E-3</v>
      </c>
      <c r="M39">
        <f ca="1">'ETF variations'!M39/'ETF price'!N40</f>
        <v>-7.2946400253726743E-3</v>
      </c>
      <c r="N39">
        <f ca="1">'ETF variations'!N39/'ETF price'!O40</f>
        <v>-1.9367333763718115E-3</v>
      </c>
      <c r="O39">
        <f ca="1">'ETF variations'!O39/'ETF price'!P40</f>
        <v>2.4680603948896675E-2</v>
      </c>
      <c r="P39">
        <f ca="1">'ETF variations'!P39/'ETF price'!Q40</f>
        <v>2.7678758649612084E-2</v>
      </c>
      <c r="Q39">
        <f ca="1">'ETF variations'!Q39/'ETF price'!R40</f>
        <v>-1.1382499407161583E-2</v>
      </c>
      <c r="R39">
        <f ca="1">'ETF variations'!R39/'ETF price'!S40</f>
        <v>1.6418775352520655E-2</v>
      </c>
      <c r="S39">
        <f ca="1">'ETF variations'!S39/'ETF price'!T40</f>
        <v>1.7043033659991571E-2</v>
      </c>
      <c r="T39">
        <f ca="1">'ETF variations'!T39/'ETF price'!U40</f>
        <v>2.5531914893617128E-2</v>
      </c>
      <c r="U39">
        <f ca="1">'ETF variations'!U39/'ETF price'!V40</f>
        <v>7.60313158687142E-2</v>
      </c>
      <c r="V39">
        <f ca="1">'ETF variations'!V39/'ETF price'!W40</f>
        <v>-1.4833759590792795E-2</v>
      </c>
      <c r="W39">
        <f ca="1">'ETF variations'!W39/'ETF price'!X40</f>
        <v>-1.2300635880329477E-2</v>
      </c>
      <c r="X39">
        <f ca="1">'ETF variations'!X39/'ETF price'!Y40</f>
        <v>7.0696359137502915E-4</v>
      </c>
      <c r="Y39">
        <f ca="1">'ETF variations'!Y39/'ETF price'!Z40</f>
        <v>-1.3719334961051119E-2</v>
      </c>
      <c r="Z39">
        <f ca="1">'ETF variations'!Z39/'ETF price'!AA40</f>
        <v>-1.7226341037941541E-2</v>
      </c>
      <c r="AA39">
        <f ca="1">'ETF variations'!AA39/'ETF price'!AB40</f>
        <v>5.9588299024918431E-3</v>
      </c>
      <c r="AB39">
        <f ca="1">'ETF variations'!AB39/'ETF price'!AC40</f>
        <v>-1.7344686218858426E-2</v>
      </c>
      <c r="AC39">
        <f ca="1">'ETF variations'!AC39/'ETF price'!AD40</f>
        <v>7.4293228139381912E-2</v>
      </c>
      <c r="AD39">
        <f ca="1">'ETF variations'!AD39/'ETF price'!AE40</f>
        <v>7.5417855686913893E-2</v>
      </c>
      <c r="AE39">
        <f ca="1">'ETF variations'!AE39/'ETF price'!AF40</f>
        <v>-2.6690391459074796E-2</v>
      </c>
      <c r="AF39">
        <f ca="1">'ETF variations'!AF39/'ETF price'!AG40</f>
        <v>5.0561797752808911E-2</v>
      </c>
    </row>
    <row r="40" spans="1:32" x14ac:dyDescent="0.2">
      <c r="A40">
        <f ca="1">'ETF variations'!A40/'ETF price'!B41</f>
        <v>-1.9990913221262958E-2</v>
      </c>
      <c r="B40">
        <f ca="1">'ETF variations'!B40/'ETF price'!C41</f>
        <v>-1.9236958728429693E-2</v>
      </c>
      <c r="C40">
        <f ca="1">'ETF variations'!C40/'ETF price'!D41</f>
        <v>-1.6776512881965317E-2</v>
      </c>
      <c r="D40">
        <f ca="1">'ETF variations'!D40/'ETF price'!E41</f>
        <v>-3.6254349889275658E-2</v>
      </c>
      <c r="E40">
        <f ca="1">'ETF variations'!E40/'ETF price'!F41</f>
        <v>5.4016379160132825E-3</v>
      </c>
      <c r="F40">
        <f ca="1">'ETF variations'!F40/'ETF price'!G41</f>
        <v>-1.8599932363882337E-2</v>
      </c>
      <c r="G40">
        <f ca="1">'ETF variations'!G40/'ETF price'!H41</f>
        <v>-1.2002743484225014E-2</v>
      </c>
      <c r="H40">
        <f ca="1">'ETF variations'!H40/'ETF price'!I41</f>
        <v>-5.5401662049861409E-3</v>
      </c>
      <c r="I40">
        <f ca="1">'ETF variations'!I40/'ETF price'!J41</f>
        <v>-5.3922779287066862E-3</v>
      </c>
      <c r="J40">
        <f ca="1">'ETF variations'!J40/'ETF price'!K41</f>
        <v>-5.3145078131195964E-3</v>
      </c>
      <c r="K40">
        <f ca="1">'ETF variations'!K40/'ETF price'!L41</f>
        <v>-8.2377824780139695E-3</v>
      </c>
      <c r="L40">
        <f ca="1">'ETF variations'!L40/'ETF price'!M41</f>
        <v>-8.6278413804546719E-3</v>
      </c>
      <c r="M40">
        <f ca="1">'ETF variations'!M40/'ETF price'!N41</f>
        <v>-3.8338658146965174E-3</v>
      </c>
      <c r="N40">
        <f ca="1">'ETF variations'!N40/'ETF price'!O41</f>
        <v>-1.0996119016817704E-2</v>
      </c>
      <c r="O40">
        <f ca="1">'ETF variations'!O40/'ETF price'!P41</f>
        <v>1.0059506942476735E-2</v>
      </c>
      <c r="P40">
        <f ca="1">'ETF variations'!P40/'ETF price'!Q41</f>
        <v>9.4878596204856849E-3</v>
      </c>
      <c r="Q40">
        <f ca="1">'ETF variations'!Q40/'ETF price'!R41</f>
        <v>-2.3027104821300094E-2</v>
      </c>
      <c r="R40">
        <f ca="1">'ETF variations'!R40/'ETF price'!S41</f>
        <v>2.489547700494113E-2</v>
      </c>
      <c r="S40">
        <f ca="1">'ETF variations'!S40/'ETF price'!T41</f>
        <v>4.0217846669459455E-2</v>
      </c>
      <c r="T40">
        <f ca="1">'ETF variations'!T40/'ETF price'!U41</f>
        <v>6.4315352697095277E-2</v>
      </c>
      <c r="U40">
        <f ca="1">'ETF variations'!U40/'ETF price'!V41</f>
        <v>1.9168882048411984E-2</v>
      </c>
      <c r="V40">
        <f ca="1">'ETF variations'!V40/'ETF price'!W41</f>
        <v>-3.686396677050887E-2</v>
      </c>
      <c r="W40">
        <f ca="1">'ETF variations'!W40/'ETF price'!X41</f>
        <v>-3.7994722955145062E-2</v>
      </c>
      <c r="X40">
        <f ca="1">'ETF variations'!X40/'ETF price'!Y41</f>
        <v>-5.015895443306246E-2</v>
      </c>
      <c r="Y40">
        <f ca="1">'ETF variations'!Y40/'ETF price'!Z41</f>
        <v>-3.5129081692797409E-2</v>
      </c>
      <c r="Z40">
        <f ca="1">'ETF variations'!Z40/'ETF price'!AA41</f>
        <v>-1.9968937208787087E-3</v>
      </c>
      <c r="AA40">
        <f ca="1">'ETF variations'!AA40/'ETF price'!AB41</f>
        <v>-5.4658050619278434E-2</v>
      </c>
      <c r="AB40">
        <f ca="1">'ETF variations'!AB40/'ETF price'!AC41</f>
        <v>-4.2041078305519855E-2</v>
      </c>
      <c r="AC40">
        <f ca="1">'ETF variations'!AC40/'ETF price'!AD41</f>
        <v>5.2631578947368383E-2</v>
      </c>
      <c r="AD40">
        <f ca="1">'ETF variations'!AD40/'ETF price'!AE41</f>
        <v>5.3070507960576274E-2</v>
      </c>
      <c r="AE40">
        <f ca="1">'ETF variations'!AE40/'ETF price'!AF41</f>
        <v>0.11517367458866544</v>
      </c>
      <c r="AF40">
        <f ca="1">'ETF variations'!AF40/'ETF price'!AG41</f>
        <v>1.3666072489601928E-2</v>
      </c>
    </row>
    <row r="41" spans="1:32" x14ac:dyDescent="0.2">
      <c r="A41">
        <f ca="1">'ETF variations'!A41/'ETF price'!B42</f>
        <v>2.1657063381680785E-2</v>
      </c>
      <c r="B41">
        <f ca="1">'ETF variations'!B41/'ETF price'!C42</f>
        <v>2.0825970616448732E-2</v>
      </c>
      <c r="C41">
        <f ca="1">'ETF variations'!C41/'ETF price'!D42</f>
        <v>2.010968921389401E-2</v>
      </c>
      <c r="D41">
        <f ca="1">'ETF variations'!D41/'ETF price'!E42</f>
        <v>3.1840861344537778E-2</v>
      </c>
      <c r="E41">
        <f ca="1">'ETF variations'!E41/'ETF price'!F42</f>
        <v>1.195840554592717E-2</v>
      </c>
      <c r="F41">
        <f ca="1">'ETF variations'!F41/'ETF price'!G42</f>
        <v>2.4810475534114366E-2</v>
      </c>
      <c r="G41">
        <f ca="1">'ETF variations'!G41/'ETF price'!H42</f>
        <v>1.3536966331135042E-2</v>
      </c>
      <c r="H41">
        <f ca="1">'ETF variations'!H41/'ETF price'!I42</f>
        <v>1.5088207985143829E-2</v>
      </c>
      <c r="I41">
        <f ca="1">'ETF variations'!I41/'ETF price'!J42</f>
        <v>1.5271282539419765E-2</v>
      </c>
      <c r="J41">
        <f ca="1">'ETF variations'!J41/'ETF price'!K42</f>
        <v>5.3429027113236641E-3</v>
      </c>
      <c r="K41">
        <f ca="1">'ETF variations'!K41/'ETF price'!L42</f>
        <v>2.5816589965202575E-3</v>
      </c>
      <c r="L41">
        <f ca="1">'ETF variations'!L41/'ETF price'!M42</f>
        <v>5.8577405857740822E-3</v>
      </c>
      <c r="M41">
        <f ca="1">'ETF variations'!M41/'ETF price'!N42</f>
        <v>1.3149454778704302E-2</v>
      </c>
      <c r="N41">
        <f ca="1">'ETF variations'!N41/'ETF price'!O42</f>
        <v>4.5781556572923668E-3</v>
      </c>
      <c r="O41">
        <f ca="1">'ETF variations'!O41/'ETF price'!P42</f>
        <v>2.2864356852293384E-2</v>
      </c>
      <c r="P41">
        <f ca="1">'ETF variations'!P41/'ETF price'!Q42</f>
        <v>2.4254674077816993E-2</v>
      </c>
      <c r="Q41">
        <f ca="1">'ETF variations'!Q41/'ETF price'!R42</f>
        <v>2.1973974957034206E-2</v>
      </c>
      <c r="R41">
        <f ca="1">'ETF variations'!R41/'ETF price'!S42</f>
        <v>3.7826812534767273E-2</v>
      </c>
      <c r="S41">
        <f ca="1">'ETF variations'!S41/'ETF price'!T42</f>
        <v>3.262182843334685E-2</v>
      </c>
      <c r="T41">
        <f ca="1">'ETF variations'!T41/'ETF price'!U42</f>
        <v>5.0125313283208142E-2</v>
      </c>
      <c r="U41">
        <f ca="1">'ETF variations'!U41/'ETF price'!V42</f>
        <v>-3.4184514003295016E-2</v>
      </c>
      <c r="V41">
        <f ca="1">'ETF variations'!V41/'ETF price'!W42</f>
        <v>2.5876010781671181E-2</v>
      </c>
      <c r="W41">
        <f ca="1">'ETF variations'!W41/'ETF price'!X42</f>
        <v>2.6988480526604429E-2</v>
      </c>
      <c r="X41">
        <f ca="1">'ETF variations'!X41/'ETF price'!Y42</f>
        <v>4.1837114168835995E-2</v>
      </c>
      <c r="Y41">
        <f ca="1">'ETF variations'!Y41/'ETF price'!Z42</f>
        <v>2.8711056811240178E-2</v>
      </c>
      <c r="Z41">
        <f ca="1">'ETF variations'!Z41/'ETF price'!AA42</f>
        <v>1.7785682525567014E-2</v>
      </c>
      <c r="AA41">
        <f ca="1">'ETF variations'!AA41/'ETF price'!AB42</f>
        <v>4.4574195385929868E-2</v>
      </c>
      <c r="AB41">
        <f ca="1">'ETF variations'!AB41/'ETF price'!AC42</f>
        <v>2.2948073701842504E-2</v>
      </c>
      <c r="AC41">
        <f ca="1">'ETF variations'!AC41/'ETF price'!AD42</f>
        <v>-5.8139534883719689E-3</v>
      </c>
      <c r="AD41">
        <f ca="1">'ETF variations'!AD41/'ETF price'!AE42</f>
        <v>-7.1994240460764155E-3</v>
      </c>
      <c r="AE41">
        <f ca="1">'ETF variations'!AE41/'ETF price'!AF42</f>
        <v>-6.5573770491803339E-3</v>
      </c>
      <c r="AF41">
        <f ca="1">'ETF variations'!AF41/'ETF price'!AG42</f>
        <v>1.3481828839390413E-2</v>
      </c>
    </row>
    <row r="42" spans="1:32" x14ac:dyDescent="0.2">
      <c r="A42">
        <f ca="1">'ETF variations'!A42/'ETF price'!B43</f>
        <v>-1.1927913911577879E-2</v>
      </c>
      <c r="B42">
        <f ca="1">'ETF variations'!B42/'ETF price'!C43</f>
        <v>-1.5554291649150483E-2</v>
      </c>
      <c r="C42">
        <f ca="1">'ETF variations'!C42/'ETF price'!D43</f>
        <v>-1.5929908403026626E-2</v>
      </c>
      <c r="D42">
        <f ca="1">'ETF variations'!D42/'ETF price'!E43</f>
        <v>-2.0996373353693348E-2</v>
      </c>
      <c r="E42">
        <f ca="1">'ETF variations'!E42/'ETF price'!F43</f>
        <v>-1.2844665182394245E-2</v>
      </c>
      <c r="F42">
        <f ca="1">'ETF variations'!F42/'ETF price'!G43</f>
        <v>-2.0174848688634766E-2</v>
      </c>
      <c r="G42">
        <f ca="1">'ETF variations'!G42/'ETF price'!H43</f>
        <v>-2.4657534246575304E-2</v>
      </c>
      <c r="H42">
        <f ca="1">'ETF variations'!H42/'ETF price'!I43</f>
        <v>5.1070965774831613E-3</v>
      </c>
      <c r="I42">
        <f ca="1">'ETF variations'!I42/'ETF price'!J43</f>
        <v>1.2636556334583494E-3</v>
      </c>
      <c r="J42">
        <f ca="1">'ETF variations'!J42/'ETF price'!K43</f>
        <v>-1.2929324978186687E-2</v>
      </c>
      <c r="K42">
        <f ca="1">'ETF variations'!K42/'ETF price'!L43</f>
        <v>-2.9892521271831479E-2</v>
      </c>
      <c r="L42">
        <f ca="1">'ETF variations'!L42/'ETF price'!M43</f>
        <v>-1.3311148086522534E-2</v>
      </c>
      <c r="M42">
        <f ca="1">'ETF variations'!M42/'ETF price'!N43</f>
        <v>2.0576131687243203E-3</v>
      </c>
      <c r="N42">
        <f ca="1">'ETF variations'!N42/'ETF price'!O43</f>
        <v>-3.3854166666666644E-2</v>
      </c>
      <c r="O42">
        <f ca="1">'ETF variations'!O42/'ETF price'!P43</f>
        <v>2.7427317608338295E-3</v>
      </c>
      <c r="P42">
        <f ca="1">'ETF variations'!P42/'ETF price'!Q43</f>
        <v>1.776023680315805E-3</v>
      </c>
      <c r="Q42">
        <f ca="1">'ETF variations'!Q42/'ETF price'!R43</f>
        <v>1.2012012012011328E-3</v>
      </c>
      <c r="R42">
        <f ca="1">'ETF variations'!R42/'ETF price'!S43</f>
        <v>3.2338752903341116E-2</v>
      </c>
      <c r="S42">
        <f ca="1">'ETF variations'!S42/'ETF price'!T43</f>
        <v>1.0920436817472743E-2</v>
      </c>
      <c r="T42">
        <f ca="1">'ETF variations'!T42/'ETF price'!U43</f>
        <v>-1.1800583399628754E-2</v>
      </c>
      <c r="U42">
        <f ca="1">'ETF variations'!U42/'ETF price'!V43</f>
        <v>-2.8713574982231645E-2</v>
      </c>
      <c r="V42">
        <f ca="1">'ETF variations'!V42/'ETF price'!W43</f>
        <v>-3.152916447714255E-3</v>
      </c>
      <c r="W42">
        <f ca="1">'ETF variations'!W42/'ETF price'!X43</f>
        <v>-4.5935263326566883E-3</v>
      </c>
      <c r="X42">
        <f ca="1">'ETF variations'!X42/'ETF price'!Y43</f>
        <v>-6.7820810280207486E-3</v>
      </c>
      <c r="Y42">
        <f ca="1">'ETF variations'!Y42/'ETF price'!Z43</f>
        <v>-4.9881235154394504E-3</v>
      </c>
      <c r="Z42">
        <f ca="1">'ETF variations'!Z42/'ETF price'!AA43</f>
        <v>1.0921799912625601E-2</v>
      </c>
      <c r="AA42">
        <f ca="1">'ETF variations'!AA42/'ETF price'!AB43</f>
        <v>-6.2713019768233643E-3</v>
      </c>
      <c r="AB42">
        <f ca="1">'ETF variations'!AB42/'ETF price'!AC43</f>
        <v>-8.3510725397084994E-3</v>
      </c>
      <c r="AC42">
        <f ca="1">'ETF variations'!AC42/'ETF price'!AD43</f>
        <v>-4.2105263157894875E-2</v>
      </c>
      <c r="AD42">
        <f ca="1">'ETF variations'!AD42/'ETF price'!AE43</f>
        <v>-4.2422044960115965E-2</v>
      </c>
      <c r="AE42">
        <f ca="1">'ETF variations'!AE42/'ETF price'!AF43</f>
        <v>-4.9504950495048456E-3</v>
      </c>
      <c r="AF42">
        <f ca="1">'ETF variations'!AF42/'ETF price'!AG43</f>
        <v>-6.4198958935801007E-2</v>
      </c>
    </row>
    <row r="43" spans="1:32" x14ac:dyDescent="0.2">
      <c r="A43">
        <f ca="1">'ETF variations'!A43/'ETF price'!B44</f>
        <v>-1.7517386169793911E-2</v>
      </c>
      <c r="B43">
        <f ca="1">'ETF variations'!B43/'ETF price'!C44</f>
        <v>-1.9944737503139909E-2</v>
      </c>
      <c r="C43">
        <f ca="1">'ETF variations'!C43/'ETF price'!D44</f>
        <v>-1.9526507486847498E-2</v>
      </c>
      <c r="D43">
        <f ca="1">'ETF variations'!D43/'ETF price'!E44</f>
        <v>-2.651589003704434E-2</v>
      </c>
      <c r="E43">
        <f ca="1">'ETF variations'!E43/'ETF price'!F44</f>
        <v>-1.439972241498956E-2</v>
      </c>
      <c r="F43">
        <f ca="1">'ETF variations'!F43/'ETF price'!G44</f>
        <v>-3.6032944406314368E-2</v>
      </c>
      <c r="G43">
        <f ca="1">'ETF variations'!G43/'ETF price'!H44</f>
        <v>-2.3876404494382011E-2</v>
      </c>
      <c r="H43">
        <f ca="1">'ETF variations'!H43/'ETF price'!I44</f>
        <v>5.0053086607007172E-3</v>
      </c>
      <c r="I43">
        <f ca="1">'ETF variations'!I43/'ETF price'!J44</f>
        <v>1.7098888572243452E-3</v>
      </c>
      <c r="J43">
        <f ca="1">'ETF variations'!J43/'ETF price'!K44</f>
        <v>-1.5027322404371622E-2</v>
      </c>
      <c r="K43">
        <f ca="1">'ETF variations'!K43/'ETF price'!L44</f>
        <v>-3.1736872475476054E-2</v>
      </c>
      <c r="L43">
        <f ca="1">'ETF variations'!L43/'ETF price'!M44</f>
        <v>-1.6694772344013405E-2</v>
      </c>
      <c r="M43">
        <f ca="1">'ETF variations'!M43/'ETF price'!N44</f>
        <v>7.8976465013421511E-4</v>
      </c>
      <c r="N43">
        <f ca="1">'ETF variations'!N43/'ETF price'!O44</f>
        <v>-2.4932614555256014E-2</v>
      </c>
      <c r="O43">
        <f ca="1">'ETF variations'!O43/'ETF price'!P44</f>
        <v>2.8856673960612683E-2</v>
      </c>
      <c r="P43">
        <f ca="1">'ETF variations'!P43/'ETF price'!Q44</f>
        <v>3.1517777996651265E-2</v>
      </c>
      <c r="Q43">
        <f ca="1">'ETF variations'!Q43/'ETF price'!R44</f>
        <v>-3.4793041391720705E-3</v>
      </c>
      <c r="R43">
        <f ca="1">'ETF variations'!R43/'ETF price'!S44</f>
        <v>2.3018345448251959E-2</v>
      </c>
      <c r="S43">
        <f ca="1">'ETF variations'!S43/'ETF price'!T44</f>
        <v>4.2052469135802462E-2</v>
      </c>
      <c r="T43">
        <f ca="1">'ETF variations'!T43/'ETF price'!U44</f>
        <v>6.6147859922178892E-2</v>
      </c>
      <c r="U43">
        <f ca="1">'ETF variations'!U43/'ETF price'!V44</f>
        <v>-5.4148982877214192E-3</v>
      </c>
      <c r="V43">
        <f ca="1">'ETF variations'!V43/'ETF price'!W44</f>
        <v>-1.8713758566157115E-2</v>
      </c>
      <c r="W43">
        <f ca="1">'ETF variations'!W43/'ETF price'!X44</f>
        <v>-2.1463833440652499E-2</v>
      </c>
      <c r="X43">
        <f ca="1">'ETF variations'!X43/'ETF price'!Y44</f>
        <v>-3.6657681940700793E-2</v>
      </c>
      <c r="Y43">
        <f ca="1">'ETF variations'!Y43/'ETF price'!Z44</f>
        <v>-1.9336357125805736E-2</v>
      </c>
      <c r="Z43">
        <f ca="1">'ETF variations'!Z43/'ETF price'!AA44</f>
        <v>8.4269662921348434E-3</v>
      </c>
      <c r="AA43">
        <f ca="1">'ETF variations'!AA43/'ETF price'!AB44</f>
        <v>-3.9237206749897099E-2</v>
      </c>
      <c r="AB43">
        <f ca="1">'ETF variations'!AB43/'ETF price'!AC44</f>
        <v>-2.7410832232496758E-2</v>
      </c>
      <c r="AC43">
        <f ca="1">'ETF variations'!AC43/'ETF price'!AD44</f>
        <v>-6.166056166056165E-2</v>
      </c>
      <c r="AD43">
        <f ca="1">'ETF variations'!AD43/'ETF price'!AE44</f>
        <v>-6.1719045815978757E-2</v>
      </c>
      <c r="AE43">
        <f ca="1">'ETF variations'!AE43/'ETF price'!AF44</f>
        <v>-7.7943615257048196E-2</v>
      </c>
      <c r="AF43">
        <f ca="1">'ETF variations'!AF43/'ETF price'!AG44</f>
        <v>-7.7255871446229918E-2</v>
      </c>
    </row>
    <row r="44" spans="1:32" x14ac:dyDescent="0.2">
      <c r="A44">
        <f ca="1">'ETF variations'!A44/'ETF price'!B45</f>
        <v>-3.6594323873121802E-2</v>
      </c>
      <c r="B44">
        <f ca="1">'ETF variations'!B44/'ETF price'!C45</f>
        <v>-3.7497436948944154E-2</v>
      </c>
      <c r="C44">
        <f ca="1">'ETF variations'!C44/'ETF price'!D45</f>
        <v>-4.0140336394592926E-2</v>
      </c>
      <c r="D44">
        <f ca="1">'ETF variations'!D44/'ETF price'!E45</f>
        <v>-5.0203618399091945E-2</v>
      </c>
      <c r="E44">
        <f ca="1">'ETF variations'!E44/'ETF price'!F45</f>
        <v>-2.235521915155788E-2</v>
      </c>
      <c r="F44">
        <f ca="1">'ETF variations'!F44/'ETF price'!G45</f>
        <v>-5.2331790672837268E-2</v>
      </c>
      <c r="G44">
        <f ca="1">'ETF variations'!G44/'ETF price'!H45</f>
        <v>-3.7769784172661892E-2</v>
      </c>
      <c r="H44">
        <f ca="1">'ETF variations'!H44/'ETF price'!I45</f>
        <v>-1.7431331119830983E-2</v>
      </c>
      <c r="I44">
        <f ca="1">'ETF variations'!I44/'ETF price'!J45</f>
        <v>-1.694777484251175E-2</v>
      </c>
      <c r="J44">
        <f ca="1">'ETF variations'!J44/'ETF price'!K45</f>
        <v>-1.5909276331891889E-2</v>
      </c>
      <c r="K44">
        <f ca="1">'ETF variations'!K44/'ETF price'!L45</f>
        <v>-1.6686531585220568E-3</v>
      </c>
      <c r="L44">
        <f ca="1">'ETF variations'!L44/'ETF price'!M45</f>
        <v>-1.3376779283141847E-2</v>
      </c>
      <c r="M44">
        <f ca="1">'ETF variations'!M44/'ETF price'!N45</f>
        <v>-1.6098484848484786E-2</v>
      </c>
      <c r="N44">
        <f ca="1">'ETF variations'!N44/'ETF price'!O45</f>
        <v>-2.142363510711821E-2</v>
      </c>
      <c r="O44">
        <f ca="1">'ETF variations'!O44/'ETF price'!P45</f>
        <v>1.475475209357968E-2</v>
      </c>
      <c r="P44">
        <f ca="1">'ETF variations'!P44/'ETF price'!Q45</f>
        <v>1.5754798052133978E-2</v>
      </c>
      <c r="Q44">
        <f ca="1">'ETF variations'!Q44/'ETF price'!R45</f>
        <v>-3.4673729833854985E-2</v>
      </c>
      <c r="R44">
        <f ca="1">'ETF variations'!R44/'ETF price'!S45</f>
        <v>-2.5545592962273694E-2</v>
      </c>
      <c r="S44">
        <f ca="1">'ETF variations'!S44/'ETF price'!T45</f>
        <v>2.1843761569788959E-2</v>
      </c>
      <c r="T44">
        <f ca="1">'ETF variations'!T44/'ETF price'!U45</f>
        <v>3.6622199848980755E-2</v>
      </c>
      <c r="U44">
        <f ca="1">'ETF variations'!U44/'ETF price'!V45</f>
        <v>2.9870512065921149E-2</v>
      </c>
      <c r="V44">
        <f ca="1">'ETF variations'!V44/'ETF price'!W45</f>
        <v>-3.6529680365296795E-2</v>
      </c>
      <c r="W44">
        <f ca="1">'ETF variations'!W44/'ETF price'!X45</f>
        <v>-3.9482342618995483E-2</v>
      </c>
      <c r="X44">
        <f ca="1">'ETF variations'!X44/'ETF price'!Y45</f>
        <v>-4.2156314120499867E-2</v>
      </c>
      <c r="Y44">
        <f ca="1">'ETF variations'!Y44/'ETF price'!Z45</f>
        <v>-3.8948393378773163E-2</v>
      </c>
      <c r="Z44">
        <f ca="1">'ETF variations'!Z44/'ETF price'!AA45</f>
        <v>-1.8212984786800973E-2</v>
      </c>
      <c r="AA44">
        <f ca="1">'ETF variations'!AA44/'ETF price'!AB45</f>
        <v>-4.3124375267742342E-2</v>
      </c>
      <c r="AB44">
        <f ca="1">'ETF variations'!AB44/'ETF price'!AC45</f>
        <v>-4.9575551782682546E-2</v>
      </c>
      <c r="AC44">
        <f ca="1">'ETF variations'!AC44/'ETF price'!AD45</f>
        <v>-5.0097592713077399E-2</v>
      </c>
      <c r="AD44">
        <f ca="1">'ETF variations'!AD44/'ETF price'!AE45</f>
        <v>-4.9233252623083229E-2</v>
      </c>
      <c r="AE44">
        <f ca="1">'ETF variations'!AE44/'ETF price'!AF45</f>
        <v>-9.5323741007194138E-2</v>
      </c>
      <c r="AF44">
        <f ca="1">'ETF variations'!AF44/'ETF price'!AG45</f>
        <v>-5.0234427327528468E-2</v>
      </c>
    </row>
    <row r="45" spans="1:32" x14ac:dyDescent="0.2">
      <c r="A45">
        <f ca="1">'ETF variations'!A45/'ETF price'!B46</f>
        <v>-4.8520135856381574E-3</v>
      </c>
      <c r="B45">
        <f ca="1">'ETF variations'!B45/'ETF price'!C46</f>
        <v>-4.926370729369068E-3</v>
      </c>
      <c r="C45">
        <f ca="1">'ETF variations'!C45/'ETF price'!D46</f>
        <v>-2.9026015910556444E-3</v>
      </c>
      <c r="D45">
        <f ca="1">'ETF variations'!D45/'ETF price'!E46</f>
        <v>1.9188866240247345E-2</v>
      </c>
      <c r="E45">
        <f ca="1">'ETF variations'!E45/'ETF price'!F46</f>
        <v>-1.2603528988116596E-2</v>
      </c>
      <c r="F45">
        <f ca="1">'ETF variations'!F45/'ETF price'!G46</f>
        <v>3.3809166040570946E-3</v>
      </c>
      <c r="G45">
        <f ca="1">'ETF variations'!G45/'ETF price'!H46</f>
        <v>1.8691588785046994E-3</v>
      </c>
      <c r="H45">
        <f ca="1">'ETF variations'!H45/'ETF price'!I46</f>
        <v>-2.0428538514707092E-2</v>
      </c>
      <c r="I45">
        <f ca="1">'ETF variations'!I45/'ETF price'!J46</f>
        <v>-1.9265751612369757E-2</v>
      </c>
      <c r="J45">
        <f ca="1">'ETF variations'!J45/'ETF price'!K46</f>
        <v>-2.4871497264136243E-3</v>
      </c>
      <c r="K45">
        <f ca="1">'ETF variations'!K45/'ETF price'!L46</f>
        <v>6.6857688634191503E-3</v>
      </c>
      <c r="L45">
        <f ca="1">'ETF variations'!L45/'ETF price'!M46</f>
        <v>-2.7811576568747384E-3</v>
      </c>
      <c r="M45">
        <f ca="1">'ETF variations'!M45/'ETF price'!N46</f>
        <v>-1.8447224895733166E-2</v>
      </c>
      <c r="N45">
        <f ca="1">'ETF variations'!N45/'ETF price'!O46</f>
        <v>1.4124293785310684E-2</v>
      </c>
      <c r="O45">
        <f ca="1">'ETF variations'!O45/'ETF price'!P46</f>
        <v>1.5719151165837081E-2</v>
      </c>
      <c r="P45">
        <f ca="1">'ETF variations'!P45/'ETF price'!Q46</f>
        <v>1.0152284263959374E-2</v>
      </c>
      <c r="Q45">
        <f ca="1">'ETF variations'!Q45/'ETF price'!R46</f>
        <v>-5.1134946370667341E-3</v>
      </c>
      <c r="R45">
        <f ca="1">'ETF variations'!R45/'ETF price'!S46</f>
        <v>-9.0277777777778324E-3</v>
      </c>
      <c r="S45">
        <f ca="1">'ETF variations'!S45/'ETF price'!T46</f>
        <v>1.7028985507246335E-2</v>
      </c>
      <c r="T45">
        <f ca="1">'ETF variations'!T45/'ETF price'!U46</f>
        <v>3.7149447614422751E-2</v>
      </c>
      <c r="U45">
        <f ca="1">'ETF variations'!U45/'ETF price'!V46</f>
        <v>9.3156165166452504E-2</v>
      </c>
      <c r="V45">
        <f ca="1">'ETF variations'!V45/'ETF price'!W46</f>
        <v>-5.8544744912183127E-3</v>
      </c>
      <c r="W45">
        <f ca="1">'ETF variations'!W45/'ETF price'!X46</f>
        <v>-3.6538022379537928E-3</v>
      </c>
      <c r="X45">
        <f ca="1">'ETF variations'!X45/'ETF price'!Y46</f>
        <v>5.4527750730282596E-3</v>
      </c>
      <c r="Y45">
        <f ca="1">'ETF variations'!Y45/'ETF price'!Z46</f>
        <v>-4.3059777102328932E-3</v>
      </c>
      <c r="Z45">
        <f ca="1">'ETF variations'!Z45/'ETF price'!AA46</f>
        <v>-8.9480576167613197E-3</v>
      </c>
      <c r="AA45">
        <f ca="1">'ETF variations'!AA45/'ETF price'!AB46</f>
        <v>8.0584987315324881E-3</v>
      </c>
      <c r="AB45">
        <f ca="1">'ETF variations'!AB45/'ETF price'!AC46</f>
        <v>8.9317613433376685E-4</v>
      </c>
      <c r="AC45">
        <f ca="1">'ETF variations'!AC45/'ETF price'!AD46</f>
        <v>2.5342465753424727E-2</v>
      </c>
      <c r="AD45">
        <f ca="1">'ETF variations'!AD45/'ETF price'!AE46</f>
        <v>2.5042444821731746E-2</v>
      </c>
      <c r="AE45">
        <f ca="1">'ETF variations'!AE45/'ETF price'!AF46</f>
        <v>1.3916500994035665E-2</v>
      </c>
      <c r="AF45">
        <f ca="1">'ETF variations'!AF45/'ETF price'!AG46</f>
        <v>1.9040902679830718E-2</v>
      </c>
    </row>
    <row r="46" spans="1:32" x14ac:dyDescent="0.2">
      <c r="A46">
        <f ca="1">'ETF variations'!A46/'ETF price'!B47</f>
        <v>3.9562582712265842E-2</v>
      </c>
      <c r="B46">
        <f ca="1">'ETF variations'!B46/'ETF price'!C47</f>
        <v>4.2630057803468228E-2</v>
      </c>
      <c r="C46">
        <f ca="1">'ETF variations'!C46/'ETF price'!D47</f>
        <v>4.3881401617250598E-2</v>
      </c>
      <c r="D46">
        <f ca="1">'ETF variations'!D46/'ETF price'!E47</f>
        <v>4.1931034482758707E-2</v>
      </c>
      <c r="E46">
        <f ca="1">'ETF variations'!E46/'ETF price'!F47</f>
        <v>2.5164113785557902E-2</v>
      </c>
      <c r="F46">
        <f ca="1">'ETF variations'!F46/'ETF price'!G47</f>
        <v>4.1183077499063941E-2</v>
      </c>
      <c r="G46">
        <f ca="1">'ETF variations'!G46/'ETF price'!H47</f>
        <v>3.5074626865671553E-2</v>
      </c>
      <c r="H46">
        <f ca="1">'ETF variations'!H46/'ETF price'!I47</f>
        <v>1.8894551156409336E-2</v>
      </c>
      <c r="I46">
        <f ca="1">'ETF variations'!I46/'ETF price'!J47</f>
        <v>2.0951015934575493E-2</v>
      </c>
      <c r="J46">
        <f ca="1">'ETF variations'!J46/'ETF price'!K47</f>
        <v>3.2746010638297976E-2</v>
      </c>
      <c r="K46">
        <f ca="1">'ETF variations'!K46/'ETF price'!L47</f>
        <v>4.8861480075901388E-2</v>
      </c>
      <c r="L46">
        <f ca="1">'ETF variations'!L46/'ETF price'!M47</f>
        <v>3.0155133344953879E-2</v>
      </c>
      <c r="M46">
        <f ca="1">'ETF variations'!M46/'ETF price'!N47</f>
        <v>2.0264749142016703E-2</v>
      </c>
      <c r="N46">
        <f ca="1">'ETF variations'!N46/'ETF price'!O47</f>
        <v>3.1337047353760521E-2</v>
      </c>
      <c r="O46">
        <f ca="1">'ETF variations'!O46/'ETF price'!P47</f>
        <v>-3.056486974464798E-2</v>
      </c>
      <c r="P46">
        <f ca="1">'ETF variations'!P46/'ETF price'!Q47</f>
        <v>-2.6986785780755553E-2</v>
      </c>
      <c r="Q46">
        <f ca="1">'ETF variations'!Q46/'ETF price'!R47</f>
        <v>3.0964021561990712E-2</v>
      </c>
      <c r="R46">
        <f ca="1">'ETF variations'!R46/'ETF price'!S47</f>
        <v>0</v>
      </c>
      <c r="S46">
        <f ca="1">'ETF variations'!S46/'ETF price'!T47</f>
        <v>-7.9444246526540807E-2</v>
      </c>
      <c r="T46">
        <f ca="1">'ETF variations'!T46/'ETF price'!U47</f>
        <v>-0.11658667915252262</v>
      </c>
      <c r="U46">
        <f ca="1">'ETF variations'!U46/'ETF price'!V47</f>
        <v>4.0517579401383877E-3</v>
      </c>
      <c r="V46">
        <f ca="1">'ETF variations'!V46/'ETF price'!W47</f>
        <v>3.673583847448128E-2</v>
      </c>
      <c r="W46">
        <f ca="1">'ETF variations'!W46/'ETF price'!X47</f>
        <v>3.678661471464581E-2</v>
      </c>
      <c r="X46">
        <f ca="1">'ETF variations'!X46/'ETF price'!Y47</f>
        <v>3.4863451481696631E-2</v>
      </c>
      <c r="Y46">
        <f ca="1">'ETF variations'!Y46/'ETF price'!Z47</f>
        <v>3.6504706181633047E-2</v>
      </c>
      <c r="Z46">
        <f ca="1">'ETF variations'!Z46/'ETF price'!AA47</f>
        <v>1.673640167364028E-2</v>
      </c>
      <c r="AA46">
        <f ca="1">'ETF variations'!AA46/'ETF price'!AB47</f>
        <v>3.552923760177655E-2</v>
      </c>
      <c r="AB46">
        <f ca="1">'ETF variations'!AB46/'ETF price'!AC47</f>
        <v>4.2120292700339096E-2</v>
      </c>
      <c r="AC46">
        <f ca="1">'ETF variations'!AC46/'ETF price'!AD47</f>
        <v>9.0180360721442865E-2</v>
      </c>
      <c r="AD46">
        <f ca="1">'ETF variations'!AD46/'ETF price'!AE47</f>
        <v>8.9855072463768199E-2</v>
      </c>
      <c r="AE46">
        <f ca="1">'ETF variations'!AE46/'ETF price'!AF47</f>
        <v>6.0784313725490299E-2</v>
      </c>
      <c r="AF46">
        <f ca="1">'ETF variations'!AF46/'ETF price'!AG47</f>
        <v>8.9273356401384146E-2</v>
      </c>
    </row>
    <row r="47" spans="1:32" x14ac:dyDescent="0.2">
      <c r="A47">
        <f ca="1">'ETF variations'!A47/'ETF price'!B48</f>
        <v>-1.7487437185929738E-2</v>
      </c>
      <c r="B47">
        <f ca="1">'ETF variations'!B47/'ETF price'!C48</f>
        <v>-1.7273683940350653E-2</v>
      </c>
      <c r="C47">
        <f ca="1">'ETF variations'!C47/'ETF price'!D48</f>
        <v>-1.6732080148729504E-2</v>
      </c>
      <c r="D47">
        <f ca="1">'ETF variations'!D47/'ETF price'!E48</f>
        <v>-2.0518930368017094E-2</v>
      </c>
      <c r="E47">
        <f ca="1">'ETF variations'!E47/'ETF price'!F48</f>
        <v>-6.40341515474919E-3</v>
      </c>
      <c r="F47">
        <f ca="1">'ETF variations'!F47/'ETF price'!G48</f>
        <v>-1.7259978425026985E-2</v>
      </c>
      <c r="G47">
        <f ca="1">'ETF variations'!G47/'ETF price'!H48</f>
        <v>-1.3338139870223413E-2</v>
      </c>
      <c r="H47">
        <f ca="1">'ETF variations'!H47/'ETF price'!I48</f>
        <v>-3.8473376423523673E-4</v>
      </c>
      <c r="I47">
        <f ca="1">'ETF variations'!I47/'ETF price'!J48</f>
        <v>-9.0837771997191816E-4</v>
      </c>
      <c r="J47">
        <f ca="1">'ETF variations'!J47/'ETF price'!K48</f>
        <v>-1.0140028971511388E-2</v>
      </c>
      <c r="K47">
        <f ca="1">'ETF variations'!K47/'ETF price'!L48</f>
        <v>-5.2012663952961755E-3</v>
      </c>
      <c r="L47">
        <f ca="1">'ETF variations'!L47/'ETF price'!M48</f>
        <v>-7.9526226734348369E-3</v>
      </c>
      <c r="M47">
        <f ca="1">'ETF variations'!M47/'ETF price'!N48</f>
        <v>-6.4071760371614843E-4</v>
      </c>
      <c r="N47">
        <f ca="1">'ETF variations'!N47/'ETF price'!O48</f>
        <v>-1.4179608372721192E-2</v>
      </c>
      <c r="O47">
        <f ca="1">'ETF variations'!O47/'ETF price'!P48</f>
        <v>3.0597312757749063E-2</v>
      </c>
      <c r="P47">
        <f ca="1">'ETF variations'!P47/'ETF price'!Q48</f>
        <v>2.9265493496557021E-2</v>
      </c>
      <c r="Q47">
        <f ca="1">'ETF variations'!Q47/'ETF price'!R48</f>
        <v>2.6750972762645776E-3</v>
      </c>
      <c r="R47">
        <f ca="1">'ETF variations'!R47/'ETF price'!S48</f>
        <v>4.572529782761036E-2</v>
      </c>
      <c r="S47">
        <f ca="1">'ETF variations'!S47/'ETF price'!T48</f>
        <v>-1.1996904024767753E-2</v>
      </c>
      <c r="T47">
        <f ca="1">'ETF variations'!T47/'ETF price'!U48</f>
        <v>-1.8682920365708185E-2</v>
      </c>
      <c r="U47">
        <f ca="1">'ETF variations'!U47/'ETF price'!V48</f>
        <v>-2.3691746940900722E-2</v>
      </c>
      <c r="V47">
        <f ca="1">'ETF variations'!V47/'ETF price'!W48</f>
        <v>-8.3851771706789906E-3</v>
      </c>
      <c r="W47">
        <f ca="1">'ETF variations'!W47/'ETF price'!X48</f>
        <v>-7.0741682325632868E-3</v>
      </c>
      <c r="X47">
        <f ca="1">'ETF variations'!X47/'ETF price'!Y48</f>
        <v>-3.5560546509451193E-3</v>
      </c>
      <c r="Y47">
        <f ca="1">'ETF variations'!Y47/'ETF price'!Z48</f>
        <v>-7.8537243833599283E-3</v>
      </c>
      <c r="Z47">
        <f ca="1">'ETF variations'!Z47/'ETF price'!AA48</f>
        <v>3.4654537578513445E-3</v>
      </c>
      <c r="AA47">
        <f ca="1">'ETF variations'!AA47/'ETF price'!AB48</f>
        <v>7.1479628305928745E-4</v>
      </c>
      <c r="AB47">
        <f ca="1">'ETF variations'!AB47/'ETF price'!AC48</f>
        <v>-9.5906833361877417E-3</v>
      </c>
      <c r="AC47">
        <f ca="1">'ETF variations'!AC47/'ETF price'!AD48</f>
        <v>-5.5759803921568638E-2</v>
      </c>
      <c r="AD47">
        <f ca="1">'ETF variations'!AD47/'ETF price'!AE48</f>
        <v>-5.5471124620060819E-2</v>
      </c>
      <c r="AE47">
        <f ca="1">'ETF variations'!AE47/'ETF price'!AF48</f>
        <v>7.3937153419593405E-3</v>
      </c>
      <c r="AF47">
        <f ca="1">'ETF variations'!AF47/'ETF price'!AG48</f>
        <v>-1.7789072426937697E-2</v>
      </c>
    </row>
    <row r="48" spans="1:32" x14ac:dyDescent="0.2">
      <c r="A48">
        <f ca="1">'ETF variations'!A48/'ETF price'!B49</f>
        <v>-1.7594108019639829E-2</v>
      </c>
      <c r="B48">
        <f ca="1">'ETF variations'!B48/'ETF price'!C49</f>
        <v>-2.0789803593815243E-2</v>
      </c>
      <c r="C48">
        <f ca="1">'ETF variations'!C48/'ETF price'!D49</f>
        <v>-2.2268907563025256E-2</v>
      </c>
      <c r="D48">
        <f ca="1">'ETF variations'!D48/'ETF price'!E49</f>
        <v>-2.1489390458169878E-2</v>
      </c>
      <c r="E48">
        <f ca="1">'ETF variations'!E48/'ETF price'!F49</f>
        <v>-2.2198353025420732E-2</v>
      </c>
      <c r="F48">
        <f ca="1">'ETF variations'!F48/'ETF price'!G49</f>
        <v>-2.9271862422246515E-2</v>
      </c>
      <c r="G48">
        <f ca="1">'ETF variations'!G48/'ETF price'!H49</f>
        <v>-2.5940811107051546E-2</v>
      </c>
      <c r="H48">
        <f ca="1">'ETF variations'!H48/'ETF price'!I49</f>
        <v>-7.4667077207297271E-3</v>
      </c>
      <c r="I48">
        <f ca="1">'ETF variations'!I48/'ETF price'!J49</f>
        <v>-1.1530355002686251E-2</v>
      </c>
      <c r="J48">
        <f ca="1">'ETF variations'!J48/'ETF price'!K49</f>
        <v>-1.9105691056910522E-2</v>
      </c>
      <c r="K48">
        <f ca="1">'ETF variations'!K48/'ETF price'!L49</f>
        <v>-3.8304160036371951E-2</v>
      </c>
      <c r="L48">
        <f ca="1">'ETF variations'!L48/'ETF price'!M49</f>
        <v>-1.8250042640286547E-2</v>
      </c>
      <c r="M48">
        <f ca="1">'ETF variations'!M48/'ETF price'!N49</f>
        <v>-1.0578618368328317E-2</v>
      </c>
      <c r="N48">
        <f ca="1">'ETF variations'!N48/'ETF price'!O49</f>
        <v>-4.0410958904109583E-2</v>
      </c>
      <c r="O48">
        <f ca="1">'ETF variations'!O48/'ETF price'!P49</f>
        <v>-8.0030979734091196E-3</v>
      </c>
      <c r="P48">
        <f ca="1">'ETF variations'!P48/'ETF price'!Q49</f>
        <v>-9.1990336368705551E-3</v>
      </c>
      <c r="Q48">
        <f ca="1">'ETF variations'!Q48/'ETF price'!R49</f>
        <v>-7.3975260732476291E-3</v>
      </c>
      <c r="R48">
        <f ca="1">'ETF variations'!R48/'ETF price'!S49</f>
        <v>-2.311945049422006E-2</v>
      </c>
      <c r="S48">
        <f ca="1">'ETF variations'!S48/'ETF price'!T49</f>
        <v>1.7234625930278014E-2</v>
      </c>
      <c r="T48">
        <f ca="1">'ETF variations'!T48/'ETF price'!U49</f>
        <v>3.1596003240615761E-2</v>
      </c>
      <c r="U48">
        <f ca="1">'ETF variations'!U48/'ETF price'!V49</f>
        <v>-1.8266666666666726E-2</v>
      </c>
      <c r="V48">
        <f ca="1">'ETF variations'!V48/'ETF price'!W49</f>
        <v>-7.0921985815602297E-3</v>
      </c>
      <c r="W48">
        <f ca="1">'ETF variations'!W48/'ETF price'!X49</f>
        <v>-6.7906044751196645E-3</v>
      </c>
      <c r="X48">
        <f ca="1">'ETF variations'!X48/'ETF price'!Y49</f>
        <v>-1.1269722013524093E-3</v>
      </c>
      <c r="Y48">
        <f ca="1">'ETF variations'!Y48/'ETF price'!Z49</f>
        <v>-6.6790352504637242E-3</v>
      </c>
      <c r="Z48">
        <f ca="1">'ETF variations'!Z48/'ETF price'!AA49</f>
        <v>-9.9287718540902407E-3</v>
      </c>
      <c r="AA48">
        <f ca="1">'ETF variations'!AA48/'ETF price'!AB49</f>
        <v>2.8571428571422887E-4</v>
      </c>
      <c r="AB48">
        <f ca="1">'ETF variations'!AB48/'ETF price'!AC49</f>
        <v>-9.8564758775721989E-3</v>
      </c>
      <c r="AC48">
        <f ca="1">'ETF variations'!AC48/'ETF price'!AD49</f>
        <v>-3.3095392602206349E-2</v>
      </c>
      <c r="AD48">
        <f ca="1">'ETF variations'!AD48/'ETF price'!AE49</f>
        <v>-3.3789219629927592E-2</v>
      </c>
      <c r="AE48">
        <f ca="1">'ETF variations'!AE48/'ETF price'!AF49</f>
        <v>-5.5045871559633482E-3</v>
      </c>
      <c r="AF48">
        <f ca="1">'ETF variations'!AF48/'ETF price'!AG49</f>
        <v>-7.7619663648124254E-2</v>
      </c>
    </row>
    <row r="49" spans="1:32" x14ac:dyDescent="0.2">
      <c r="A49">
        <f ca="1">'ETF variations'!A49/'ETF price'!B50</f>
        <v>-1.8533944189920975E-2</v>
      </c>
      <c r="B49">
        <f ca="1">'ETF variations'!B49/'ETF price'!C50</f>
        <v>-2.1631281340019241E-2</v>
      </c>
      <c r="C49">
        <f ca="1">'ETF variations'!C49/'ETF price'!D50</f>
        <v>-2.4709926944563785E-2</v>
      </c>
      <c r="D49">
        <f ca="1">'ETF variations'!D49/'ETF price'!E50</f>
        <v>-3.2389502762430918E-2</v>
      </c>
      <c r="E49">
        <f ca="1">'ETF variations'!E49/'ETF price'!F50</f>
        <v>-2.3068473086781362E-2</v>
      </c>
      <c r="F49">
        <f ca="1">'ETF variations'!F49/'ETF price'!G50</f>
        <v>-1.5077271013946555E-2</v>
      </c>
      <c r="G49">
        <f ca="1">'ETF variations'!G49/'ETF price'!H50</f>
        <v>-2.1380345086271579E-2</v>
      </c>
      <c r="H49">
        <f ca="1">'ETF variations'!H49/'ETF price'!I50</f>
        <v>7.0575461454940019E-3</v>
      </c>
      <c r="I49">
        <f ca="1">'ETF variations'!I49/'ETF price'!J50</f>
        <v>2.0486662764444379E-3</v>
      </c>
      <c r="J49">
        <f ca="1">'ETF variations'!J49/'ETF price'!K50</f>
        <v>-8.7028595109822741E-3</v>
      </c>
      <c r="K49">
        <f ca="1">'ETF variations'!K49/'ETF price'!L50</f>
        <v>-4.1839026119844067E-2</v>
      </c>
      <c r="L49">
        <f ca="1">'ETF variations'!L49/'ETF price'!M50</f>
        <v>-1.250868658790825E-2</v>
      </c>
      <c r="M49">
        <f ca="1">'ETF variations'!M49/'ETF price'!N50</f>
        <v>1.2959663048761607E-3</v>
      </c>
      <c r="N49">
        <f ca="1">'ETF variations'!N49/'ETF price'!O50</f>
        <v>-4.8536759457530318E-2</v>
      </c>
      <c r="O49">
        <f ca="1">'ETF variations'!O49/'ETF price'!P50</f>
        <v>-2.9928432010409855E-2</v>
      </c>
      <c r="P49">
        <f ca="1">'ETF variations'!P49/'ETF price'!Q50</f>
        <v>-3.1792178561380481E-2</v>
      </c>
      <c r="Q49">
        <f ca="1">'ETF variations'!Q49/'ETF price'!R50</f>
        <v>-1.4660965180206518E-3</v>
      </c>
      <c r="R49">
        <f ca="1">'ETF variations'!R49/'ETF price'!S50</f>
        <v>-5.7451552049391209E-2</v>
      </c>
      <c r="S49">
        <f ca="1">'ETF variations'!S49/'ETF price'!T50</f>
        <v>-2.9264536003080401E-2</v>
      </c>
      <c r="T49">
        <f ca="1">'ETF variations'!T49/'ETF price'!U50</f>
        <v>-4.659685863874348E-2</v>
      </c>
      <c r="U49">
        <f ca="1">'ETF variations'!U49/'ETF price'!V50</f>
        <v>-6.1523835393182146E-2</v>
      </c>
      <c r="V49">
        <f ca="1">'ETF variations'!V49/'ETF price'!W50</f>
        <v>1.2637362637362662E-2</v>
      </c>
      <c r="W49">
        <f ca="1">'ETF variations'!W49/'ETF price'!X50</f>
        <v>8.7424344317417746E-3</v>
      </c>
      <c r="X49">
        <f ca="1">'ETF variations'!X49/'ETF price'!Y50</f>
        <v>4.7010154193305757E-3</v>
      </c>
      <c r="Y49">
        <f ca="1">'ETF variations'!Y49/'ETF price'!Z50</f>
        <v>8.9652596189764514E-3</v>
      </c>
      <c r="Z49">
        <f ca="1">'ETF variations'!Z49/'ETF price'!AA50</f>
        <v>-6.1042075430563338E-3</v>
      </c>
      <c r="AA49">
        <f ca="1">'ETF variations'!AA49/'ETF price'!AB50</f>
        <v>5.2842045129963518E-3</v>
      </c>
      <c r="AB49">
        <f ca="1">'ETF variations'!AB49/'ETF price'!AC50</f>
        <v>1.0478519035976274E-2</v>
      </c>
      <c r="AC49">
        <f ca="1">'ETF variations'!AC49/'ETF price'!AD50</f>
        <v>1.342281879194626E-2</v>
      </c>
      <c r="AD49">
        <f ca="1">'ETF variations'!AD49/'ETF price'!AE50</f>
        <v>1.2489592006661146E-2</v>
      </c>
      <c r="AE49">
        <f ca="1">'ETF variations'!AE49/'ETF price'!AF50</f>
        <v>-2.7675276752767593E-2</v>
      </c>
      <c r="AF49">
        <f ca="1">'ETF variations'!AF49/'ETF price'!AG50</f>
        <v>-5.7152875175315532E-2</v>
      </c>
    </row>
    <row r="50" spans="1:32" x14ac:dyDescent="0.2">
      <c r="A50">
        <f ca="1">'ETF variations'!A50/'ETF price'!B51</f>
        <v>3.3595020864276119E-2</v>
      </c>
      <c r="B50">
        <f ca="1">'ETF variations'!B50/'ETF price'!C51</f>
        <v>3.3614132657233946E-2</v>
      </c>
      <c r="C50">
        <f ca="1">'ETF variations'!C50/'ETF price'!D51</f>
        <v>3.1945362414628836E-2</v>
      </c>
      <c r="D50">
        <f ca="1">'ETF variations'!D50/'ETF price'!E51</f>
        <v>4.5963885518521139E-2</v>
      </c>
      <c r="E50">
        <f ca="1">'ETF variations'!E50/'ETF price'!F51</f>
        <v>1.5554722638680627E-2</v>
      </c>
      <c r="F50">
        <f ca="1">'ETF variations'!F50/'ETF price'!G51</f>
        <v>1.5690776884806742E-2</v>
      </c>
      <c r="G50">
        <f ca="1">'ETF variations'!G50/'ETF price'!H51</f>
        <v>2.5680337293982433E-2</v>
      </c>
      <c r="H50">
        <f ca="1">'ETF variations'!H50/'ETF price'!I51</f>
        <v>1.994609164420488E-2</v>
      </c>
      <c r="I50">
        <f ca="1">'ETF variations'!I50/'ETF price'!J51</f>
        <v>1.9568573455167632E-2</v>
      </c>
      <c r="J50">
        <f ca="1">'ETF variations'!J50/'ETF price'!K51</f>
        <v>1.2792642140468238E-2</v>
      </c>
      <c r="K50">
        <f ca="1">'ETF variations'!K50/'ETF price'!L51</f>
        <v>1.4678672751942914E-2</v>
      </c>
      <c r="L50">
        <f ca="1">'ETF variations'!L50/'ETF price'!M51</f>
        <v>1.9880365939479158E-2</v>
      </c>
      <c r="M50">
        <f ca="1">'ETF variations'!M50/'ETF price'!N51</f>
        <v>1.9252548131370291E-2</v>
      </c>
      <c r="N50">
        <f ca="1">'ETF variations'!N50/'ETF price'!O51</f>
        <v>1.7254313578394631E-2</v>
      </c>
      <c r="O50">
        <f ca="1">'ETF variations'!O50/'ETF price'!P51</f>
        <v>-3.661971830985921E-2</v>
      </c>
      <c r="P50">
        <f ca="1">'ETF variations'!P50/'ETF price'!Q51</f>
        <v>-3.3707865168539228E-2</v>
      </c>
      <c r="Q50">
        <f ca="1">'ETF variations'!Q50/'ETF price'!R51</f>
        <v>1.1501284717973789E-2</v>
      </c>
      <c r="R50">
        <f ca="1">'ETF variations'!R50/'ETF price'!S51</f>
        <v>1.1644832605531306E-2</v>
      </c>
      <c r="S50">
        <f ca="1">'ETF variations'!S50/'ETF price'!T51</f>
        <v>-2.4593415311384408E-2</v>
      </c>
      <c r="T50">
        <f ca="1">'ETF variations'!T50/'ETF price'!U51</f>
        <v>-5.7797913234486652E-2</v>
      </c>
      <c r="U50">
        <f ca="1">'ETF variations'!U50/'ETF price'!V51</f>
        <v>3.2272069464544202E-2</v>
      </c>
      <c r="V50">
        <f ca="1">'ETF variations'!V50/'ETF price'!W51</f>
        <v>1.4107433532284405E-2</v>
      </c>
      <c r="W50">
        <f ca="1">'ETF variations'!W50/'ETF price'!X51</f>
        <v>1.2333333333333326E-2</v>
      </c>
      <c r="X50">
        <f ca="1">'ETF variations'!X50/'ETF price'!Y51</f>
        <v>2.9945723376381002E-3</v>
      </c>
      <c r="Y50">
        <f ca="1">'ETF variations'!Y50/'ETF price'!Z51</f>
        <v>1.3081574725410369E-2</v>
      </c>
      <c r="Z50">
        <f ca="1">'ETF variations'!Z50/'ETF price'!AA51</f>
        <v>7.8964685237990651E-3</v>
      </c>
      <c r="AA50">
        <f ca="1">'ETF variations'!AA50/'ETF price'!AB51</f>
        <v>2.9833783207841133E-3</v>
      </c>
      <c r="AB50">
        <f ca="1">'ETF variations'!AB50/'ETF price'!AC51</f>
        <v>1.469063256135502E-2</v>
      </c>
      <c r="AC50">
        <f ca="1">'ETF variations'!AC50/'ETF price'!AD51</f>
        <v>2.4503311258278211E-2</v>
      </c>
      <c r="AD50">
        <f ca="1">'ETF variations'!AD50/'ETF price'!AE51</f>
        <v>2.5904605263157854E-2</v>
      </c>
      <c r="AE50">
        <f ca="1">'ETF variations'!AE50/'ETF price'!AF51</f>
        <v>-3.9848197343453504E-2</v>
      </c>
      <c r="AF50">
        <f ca="1">'ETF variations'!AF50/'ETF price'!AG51</f>
        <v>2.6403867608776527E-2</v>
      </c>
    </row>
    <row r="51" spans="1:32" x14ac:dyDescent="0.2">
      <c r="A51">
        <f ca="1">'ETF variations'!A51/'ETF price'!B52</f>
        <v>3.2503079239085811E-2</v>
      </c>
      <c r="B51">
        <f ca="1">'ETF variations'!B51/'ETF price'!C52</f>
        <v>3.6609168117318132E-2</v>
      </c>
      <c r="C51">
        <f ca="1">'ETF variations'!C51/'ETF price'!D52</f>
        <v>3.8428693424423503E-2</v>
      </c>
      <c r="D51">
        <f ca="1">'ETF variations'!D51/'ETF price'!E52</f>
        <v>5.1518253155919361E-2</v>
      </c>
      <c r="E51">
        <f ca="1">'ETF variations'!E51/'ETF price'!F52</f>
        <v>1.8822661007566029E-2</v>
      </c>
      <c r="F51">
        <f ca="1">'ETF variations'!F51/'ETF price'!G52</f>
        <v>4.9736247174076875E-2</v>
      </c>
      <c r="G51">
        <f ca="1">'ETF variations'!G51/'ETF price'!H52</f>
        <v>4.8206278026905795E-2</v>
      </c>
      <c r="H51">
        <f ca="1">'ETF variations'!H51/'ETF price'!I52</f>
        <v>1.20054364240411E-2</v>
      </c>
      <c r="I51">
        <f ca="1">'ETF variations'!I51/'ETF price'!J52</f>
        <v>1.6287444753642126E-2</v>
      </c>
      <c r="J51">
        <f ca="1">'ETF variations'!J51/'ETF price'!K52</f>
        <v>3.995707091554531E-2</v>
      </c>
      <c r="K51">
        <f ca="1">'ETF variations'!K51/'ETF price'!L52</f>
        <v>4.7775346462436086E-2</v>
      </c>
      <c r="L51">
        <f ca="1">'ETF variations'!L51/'ETF price'!M52</f>
        <v>3.2430567534931905E-2</v>
      </c>
      <c r="M51">
        <f ca="1">'ETF variations'!M51/'ETF price'!N52</f>
        <v>1.6190476190476127E-2</v>
      </c>
      <c r="N51">
        <f ca="1">'ETF variations'!N51/'ETF price'!O52</f>
        <v>7.079646017699108E-2</v>
      </c>
      <c r="O51">
        <f ca="1">'ETF variations'!O51/'ETF price'!P52</f>
        <v>-4.5948203842940448E-3</v>
      </c>
      <c r="P51">
        <f ca="1">'ETF variations'!P51/'ETF price'!Q52</f>
        <v>-2.806736166800332E-3</v>
      </c>
      <c r="Q51">
        <f ca="1">'ETF variations'!Q51/'ETF price'!R52</f>
        <v>1.5725172372081736E-2</v>
      </c>
      <c r="R51">
        <f ca="1">'ETF variations'!R51/'ETF price'!S52</f>
        <v>4.6762589928057196E-3</v>
      </c>
      <c r="S51">
        <f ca="1">'ETF variations'!S51/'ETF price'!T52</f>
        <v>-8.5400569337129254E-3</v>
      </c>
      <c r="T51">
        <f ca="1">'ETF variations'!T51/'ETF price'!U52</f>
        <v>-5.0998105784641461E-3</v>
      </c>
      <c r="U51">
        <f ca="1">'ETF variations'!U51/'ETF price'!V52</f>
        <v>6.0002803869339705E-2</v>
      </c>
      <c r="V51">
        <f ca="1">'ETF variations'!V51/'ETF price'!W52</f>
        <v>2.8089887640449361E-2</v>
      </c>
      <c r="W51">
        <f ca="1">'ETF variations'!W51/'ETF price'!X52</f>
        <v>2.9854022610031818E-2</v>
      </c>
      <c r="X51">
        <f ca="1">'ETF variations'!X51/'ETF price'!Y52</f>
        <v>3.0789326366859462E-2</v>
      </c>
      <c r="Y51">
        <f ca="1">'ETF variations'!Y51/'ETF price'!Z52</f>
        <v>2.9845291752954108E-2</v>
      </c>
      <c r="Z51">
        <f ca="1">'ETF variations'!Z51/'ETF price'!AA52</f>
        <v>1.109902067464631E-2</v>
      </c>
      <c r="AA51">
        <f ca="1">'ETF variations'!AA51/'ETF price'!AB52</f>
        <v>3.1444759206798852E-2</v>
      </c>
      <c r="AB51">
        <f ca="1">'ETF variations'!AB51/'ETF price'!AC52</f>
        <v>3.6280020439448175E-2</v>
      </c>
      <c r="AC51">
        <f ca="1">'ETF variations'!AC51/'ETF price'!AD52</f>
        <v>3.038138332255972E-2</v>
      </c>
      <c r="AD51">
        <f ca="1">'ETF variations'!AD51/'ETF price'!AE52</f>
        <v>2.8456913827655344E-2</v>
      </c>
      <c r="AE51">
        <f ca="1">'ETF variations'!AE51/'ETF price'!AF52</f>
        <v>1.9762845849802479E-2</v>
      </c>
      <c r="AF51">
        <f ca="1">'ETF variations'!AF51/'ETF price'!AG52</f>
        <v>0.10905797101449267</v>
      </c>
    </row>
    <row r="52" spans="1:32" x14ac:dyDescent="0.2">
      <c r="A52">
        <f ca="1">'ETF variations'!A52/'ETF price'!B53</f>
        <v>7.0912585327060889E-3</v>
      </c>
      <c r="B52">
        <f ca="1">'ETF variations'!B52/'ETF price'!C53</f>
        <v>1.0864587043916438E-2</v>
      </c>
      <c r="C52">
        <f ca="1">'ETF variations'!C52/'ETF price'!D53</f>
        <v>1.1101973684210509E-2</v>
      </c>
      <c r="D52">
        <f ca="1">'ETF variations'!D52/'ETF price'!E53</f>
        <v>6.1648280337444324E-3</v>
      </c>
      <c r="E52">
        <f ca="1">'ETF variations'!E52/'ETF price'!F53</f>
        <v>1.8656040572360099E-2</v>
      </c>
      <c r="F52">
        <f ca="1">'ETF variations'!F52/'ETF price'!G53</f>
        <v>3.194544149318021E-2</v>
      </c>
      <c r="G52">
        <f ca="1">'ETF variations'!G52/'ETF price'!H53</f>
        <v>1.7825311942959002E-2</v>
      </c>
      <c r="H52">
        <f ca="1">'ETF variations'!H52/'ETF price'!I53</f>
        <v>1.5817354323658918E-2</v>
      </c>
      <c r="I52">
        <f ca="1">'ETF variations'!I52/'ETF price'!J53</f>
        <v>1.8764596923572508E-2</v>
      </c>
      <c r="J52">
        <f ca="1">'ETF variations'!J52/'ETF price'!K53</f>
        <v>2.1036754782884859E-2</v>
      </c>
      <c r="K52">
        <f ca="1">'ETF variations'!K52/'ETF price'!L53</f>
        <v>3.9099663534052725E-2</v>
      </c>
      <c r="L52">
        <f ca="1">'ETF variations'!L52/'ETF price'!M53</f>
        <v>1.9214703425229716E-2</v>
      </c>
      <c r="M52">
        <f ca="1">'ETF variations'!M52/'ETF price'!N53</f>
        <v>1.7650734145579657E-2</v>
      </c>
      <c r="N52">
        <f ca="1">'ETF variations'!N52/'ETF price'!O53</f>
        <v>3.305785123966945E-2</v>
      </c>
      <c r="O52">
        <f ca="1">'ETF variations'!O52/'ETF price'!P53</f>
        <v>3.4410407049937169E-2</v>
      </c>
      <c r="P52">
        <f ca="1">'ETF variations'!P52/'ETF price'!Q53</f>
        <v>3.5685564937675884E-2</v>
      </c>
      <c r="Q52">
        <f ca="1">'ETF variations'!Q52/'ETF price'!R53</f>
        <v>1.9173514350363217E-2</v>
      </c>
      <c r="R52">
        <f ca="1">'ETF variations'!R52/'ETF price'!S53</f>
        <v>4.3680630146795518E-2</v>
      </c>
      <c r="S52">
        <f ca="1">'ETF variations'!S52/'ETF price'!T53</f>
        <v>4.7990155865463568E-2</v>
      </c>
      <c r="T52">
        <f ca="1">'ETF variations'!T52/'ETF price'!U53</f>
        <v>7.9086115992970205E-2</v>
      </c>
      <c r="U52">
        <f ca="1">'ETF variations'!U52/'ETF price'!V53</f>
        <v>-5.687078428779164E-3</v>
      </c>
      <c r="V52">
        <f ca="1">'ETF variations'!V52/'ETF price'!W53</f>
        <v>1.2490241998438638E-2</v>
      </c>
      <c r="W52">
        <f ca="1">'ETF variations'!W52/'ETF price'!X53</f>
        <v>9.9115421506981438E-3</v>
      </c>
      <c r="X52">
        <f ca="1">'ETF variations'!X52/'ETF price'!Y53</f>
        <v>-1.0499637943519286E-2</v>
      </c>
      <c r="Y52">
        <f ca="1">'ETF variations'!Y52/'ETF price'!Z53</f>
        <v>1.0764135320558274E-2</v>
      </c>
      <c r="Z52">
        <f ca="1">'ETF variations'!Z52/'ETF price'!AA53</f>
        <v>1.4205768402927175E-2</v>
      </c>
      <c r="AA52">
        <f ca="1">'ETF variations'!AA52/'ETF price'!AB53</f>
        <v>-1.0848667948365726E-2</v>
      </c>
      <c r="AB52">
        <f ca="1">'ETF variations'!AB52/'ETF price'!AC53</f>
        <v>7.7251808021038598E-3</v>
      </c>
      <c r="AC52">
        <f ca="1">'ETF variations'!AC52/'ETF price'!AD53</f>
        <v>-1.8820577164365972E-3</v>
      </c>
      <c r="AD52">
        <f ca="1">'ETF variations'!AD52/'ETF price'!AE53</f>
        <v>-3.8971161340614044E-4</v>
      </c>
      <c r="AE52">
        <f ca="1">'ETF variations'!AE52/'ETF price'!AF53</f>
        <v>8.139534883720928E-2</v>
      </c>
      <c r="AF52">
        <f ca="1">'ETF variations'!AF52/'ETF price'!AG53</f>
        <v>4.6063377981052069E-2</v>
      </c>
    </row>
    <row r="53" spans="1:32" x14ac:dyDescent="0.2">
      <c r="A53">
        <f ca="1">'ETF variations'!A53/'ETF price'!B54</f>
        <v>2.0465912082126777E-2</v>
      </c>
      <c r="B53">
        <f ca="1">'ETF variations'!B53/'ETF price'!C54</f>
        <v>2.2905182612197553E-2</v>
      </c>
      <c r="C53">
        <f ca="1">'ETF variations'!C53/'ETF price'!D54</f>
        <v>2.2366815778771889E-2</v>
      </c>
      <c r="D53">
        <f ca="1">'ETF variations'!D53/'ETF price'!E54</f>
        <v>1.954208319896808E-2</v>
      </c>
      <c r="E53">
        <f ca="1">'ETF variations'!E53/'ETF price'!F54</f>
        <v>1.5469416785206212E-2</v>
      </c>
      <c r="F53">
        <f ca="1">'ETF variations'!F53/'ETF price'!G54</f>
        <v>2.8173913043478216E-2</v>
      </c>
      <c r="G53">
        <f ca="1">'ETF variations'!G53/'ETF price'!H54</f>
        <v>2.1015761821365948E-2</v>
      </c>
      <c r="H53">
        <f ca="1">'ETF variations'!H53/'ETF price'!I54</f>
        <v>6.1696658097686622E-3</v>
      </c>
      <c r="I53">
        <f ca="1">'ETF variations'!I53/'ETF price'!J54</f>
        <v>7.588932806324061E-3</v>
      </c>
      <c r="J53">
        <f ca="1">'ETF variations'!J53/'ETF price'!K54</f>
        <v>1.8426372259368717E-2</v>
      </c>
      <c r="K53">
        <f ca="1">'ETF variations'!K53/'ETF price'!L54</f>
        <v>2.9030817329164741E-2</v>
      </c>
      <c r="L53">
        <f ca="1">'ETF variations'!L53/'ETF price'!M54</f>
        <v>2.147540983606561E-2</v>
      </c>
      <c r="M53">
        <f ca="1">'ETF variations'!M53/'ETF price'!N54</f>
        <v>4.2977743668457576E-3</v>
      </c>
      <c r="N53">
        <f ca="1">'ETF variations'!N53/'ETF price'!O54</f>
        <v>2.333333333333331E-2</v>
      </c>
      <c r="O53">
        <f ca="1">'ETF variations'!O53/'ETF price'!P54</f>
        <v>-9.4658553076412959E-4</v>
      </c>
      <c r="P53">
        <f ca="1">'ETF variations'!P53/'ETF price'!Q54</f>
        <v>-1.9411821799472019E-4</v>
      </c>
      <c r="Q53">
        <f ca="1">'ETF variations'!Q53/'ETF price'!R54</f>
        <v>6.0761860247720966E-3</v>
      </c>
      <c r="R53">
        <f ca="1">'ETF variations'!R53/'ETF price'!S54</f>
        <v>4.4596912521441701E-3</v>
      </c>
      <c r="S53">
        <f ca="1">'ETF variations'!S53/'ETF price'!T54</f>
        <v>4.6966731898239137E-3</v>
      </c>
      <c r="T53">
        <f ca="1">'ETF variations'!T53/'ETF price'!U54</f>
        <v>1.3029315960911966E-2</v>
      </c>
      <c r="U53">
        <f ca="1">'ETF variations'!U53/'ETF price'!V54</f>
        <v>1.1439212556530983E-2</v>
      </c>
      <c r="V53">
        <f ca="1">'ETF variations'!V53/'ETF price'!W54</f>
        <v>2.3130300693909901E-3</v>
      </c>
      <c r="W53">
        <f ca="1">'ETF variations'!W53/'ETF price'!X54</f>
        <v>4.4322498944702584E-3</v>
      </c>
      <c r="X53">
        <f ca="1">'ETF variations'!X53/'ETF price'!Y54</f>
        <v>-1.2806439809731646E-3</v>
      </c>
      <c r="Y53">
        <f ca="1">'ETF variations'!Y53/'ETF price'!Z54</f>
        <v>4.9151550614394577E-3</v>
      </c>
      <c r="Z53">
        <f ca="1">'ETF variations'!Z53/'ETF price'!AA54</f>
        <v>2.3344651952461682E-3</v>
      </c>
      <c r="AA53">
        <f ca="1">'ETF variations'!AA53/'ETF price'!AB54</f>
        <v>-1.9436345966958291E-3</v>
      </c>
      <c r="AB53">
        <f ca="1">'ETF variations'!AB53/'ETF price'!AC54</f>
        <v>7.9921709345945995E-3</v>
      </c>
      <c r="AC53">
        <f ca="1">'ETF variations'!AC53/'ETF price'!AD54</f>
        <v>2.8912633563796409E-2</v>
      </c>
      <c r="AD53">
        <f ca="1">'ETF variations'!AD53/'ETF price'!AE54</f>
        <v>3.0409356725146244E-2</v>
      </c>
      <c r="AE53">
        <f ca="1">'ETF variations'!AE53/'ETF price'!AF54</f>
        <v>1.4336917562724026E-2</v>
      </c>
      <c r="AF53">
        <f ca="1">'ETF variations'!AF53/'ETF price'!AG54</f>
        <v>5.7464084946908064E-2</v>
      </c>
    </row>
    <row r="54" spans="1:32" x14ac:dyDescent="0.2">
      <c r="A54">
        <f ca="1">'ETF variations'!A54/'ETF price'!B55</f>
        <v>-3.7402463403623143E-3</v>
      </c>
      <c r="B54">
        <f ca="1">'ETF variations'!B54/'ETF price'!C55</f>
        <v>-2.534511183838118E-3</v>
      </c>
      <c r="C54">
        <f ca="1">'ETF variations'!C54/'ETF price'!D55</f>
        <v>-1.889419252187726E-3</v>
      </c>
      <c r="D54">
        <f ca="1">'ETF variations'!D54/'ETF price'!E55</f>
        <v>-2.0242914979758451E-3</v>
      </c>
      <c r="E54">
        <f ca="1">'ETF variations'!E54/'ETF price'!F55</f>
        <v>-4.3775170723165824E-3</v>
      </c>
      <c r="F54">
        <f ca="1">'ETF variations'!F54/'ETF price'!G55</f>
        <v>-5.7510148849796404E-3</v>
      </c>
      <c r="G54">
        <f ca="1">'ETF variations'!G54/'ETF price'!H55</f>
        <v>-1.0977701543739289E-2</v>
      </c>
      <c r="H54">
        <f ca="1">'ETF variations'!H54/'ETF price'!I55</f>
        <v>-3.8688955398204329E-3</v>
      </c>
      <c r="I54">
        <f ca="1">'ETF variations'!I54/'ETF price'!J55</f>
        <v>-2.5105915581358322E-3</v>
      </c>
      <c r="J54">
        <f ca="1">'ETF variations'!J54/'ETF price'!K55</f>
        <v>-1.3436140163371395E-2</v>
      </c>
      <c r="K54">
        <f ca="1">'ETF variations'!K54/'ETF price'!L55</f>
        <v>-3.4071180555555566E-2</v>
      </c>
      <c r="L54">
        <f ca="1">'ETF variations'!L54/'ETF price'!M55</f>
        <v>-1.4764885251163564E-2</v>
      </c>
      <c r="M54">
        <f ca="1">'ETF variations'!M54/'ETF price'!N55</f>
        <v>-1.9868561821795761E-3</v>
      </c>
      <c r="N54">
        <f ca="1">'ETF variations'!N54/'ETF price'!O55</f>
        <v>-1.9543973941368011E-2</v>
      </c>
      <c r="O54">
        <f ca="1">'ETF variations'!O54/'ETF price'!P55</f>
        <v>3.0454791553871145E-2</v>
      </c>
      <c r="P54">
        <f ca="1">'ETF variations'!P54/'ETF price'!Q55</f>
        <v>3.8637025531501695E-2</v>
      </c>
      <c r="Q54">
        <f ca="1">'ETF variations'!Q54/'ETF price'!R55</f>
        <v>4.5296167247386825E-3</v>
      </c>
      <c r="R54">
        <f ca="1">'ETF variations'!R54/'ETF price'!S55</f>
        <v>4.0129781420764926E-2</v>
      </c>
      <c r="S54">
        <f ca="1">'ETF variations'!S54/'ETF price'!T55</f>
        <v>3.7397740553174803E-2</v>
      </c>
      <c r="T54">
        <f ca="1">'ETF variations'!T54/'ETF price'!U55</f>
        <v>6.5648445873526334E-2</v>
      </c>
      <c r="U54">
        <f ca="1">'ETF variations'!U54/'ETF price'!V55</f>
        <v>-6.0494476591268793E-3</v>
      </c>
      <c r="V54">
        <f ca="1">'ETF variations'!V54/'ETF price'!W55</f>
        <v>-4.8717948717948139E-3</v>
      </c>
      <c r="W54">
        <f ca="1">'ETF variations'!W54/'ETF price'!X55</f>
        <v>-2.7316663164530901E-3</v>
      </c>
      <c r="X54">
        <f ca="1">'ETF variations'!X54/'ETF price'!Y55</f>
        <v>-1.1906942663491585E-2</v>
      </c>
      <c r="Y54">
        <f ca="1">'ETF variations'!Y54/'ETF price'!Z55</f>
        <v>-1.7468265983464036E-3</v>
      </c>
      <c r="Z54">
        <f ca="1">'ETF variations'!Z54/'ETF price'!AA55</f>
        <v>-1.0798221469404998E-2</v>
      </c>
      <c r="AA54">
        <f ca="1">'ETF variations'!AA54/'ETF price'!AB55</f>
        <v>-1.0154402559465906E-2</v>
      </c>
      <c r="AB54">
        <f ca="1">'ETF variations'!AB54/'ETF price'!AC55</f>
        <v>-8.0906148867313926E-3</v>
      </c>
      <c r="AC54">
        <f ca="1">'ETF variations'!AC54/'ETF price'!AD55</f>
        <v>-2.138057422113631E-2</v>
      </c>
      <c r="AD54">
        <f ca="1">'ETF variations'!AD54/'ETF price'!AE55</f>
        <v>-2.1944759742716546E-2</v>
      </c>
      <c r="AE54">
        <f ca="1">'ETF variations'!AE54/'ETF price'!AF55</f>
        <v>3.0035335689045924E-2</v>
      </c>
      <c r="AF54">
        <f ca="1">'ETF variations'!AF54/'ETF price'!AG55</f>
        <v>-1.3585351447135288E-2</v>
      </c>
    </row>
    <row r="55" spans="1:32" x14ac:dyDescent="0.2">
      <c r="A55">
        <f ca="1">'ETF variations'!A55/'ETF price'!B56</f>
        <v>1.4369862126998503E-2</v>
      </c>
      <c r="B55">
        <f ca="1">'ETF variations'!B55/'ETF price'!C56</f>
        <v>1.6010459838168564E-2</v>
      </c>
      <c r="C55">
        <f ca="1">'ETF variations'!C55/'ETF price'!D56</f>
        <v>1.773438278370032E-2</v>
      </c>
      <c r="D55">
        <f ca="1">'ETF variations'!D55/'ETF price'!E56</f>
        <v>5.5780933062880038E-3</v>
      </c>
      <c r="E55">
        <f ca="1">'ETF variations'!E55/'ETF price'!F56</f>
        <v>2.5852972212451617E-2</v>
      </c>
      <c r="F55">
        <f ca="1">'ETF variations'!F55/'ETF price'!G56</f>
        <v>2.381762504253157E-3</v>
      </c>
      <c r="G55">
        <f ca="1">'ETF variations'!G55/'ETF price'!H56</f>
        <v>1.5955601803676757E-2</v>
      </c>
      <c r="H55">
        <f ca="1">'ETF variations'!H55/'ETF price'!I56</f>
        <v>2.19844643118871E-4</v>
      </c>
      <c r="I55">
        <f ca="1">'ETF variations'!I55/'ETF price'!J56</f>
        <v>2.0056630486077983E-3</v>
      </c>
      <c r="J55">
        <f ca="1">'ETF variations'!J55/'ETF price'!K56</f>
        <v>1.9035827594211935E-2</v>
      </c>
      <c r="K55">
        <f ca="1">'ETF variations'!K55/'ETF price'!L56</f>
        <v>3.5834643900247112E-2</v>
      </c>
      <c r="L55">
        <f ca="1">'ETF variations'!L55/'ETF price'!M56</f>
        <v>1.1402508551881459E-2</v>
      </c>
      <c r="M55">
        <f ca="1">'ETF variations'!M55/'ETF price'!N56</f>
        <v>2.143950995405828E-3</v>
      </c>
      <c r="N55">
        <f ca="1">'ETF variations'!N55/'ETF price'!O56</f>
        <v>2.2591362126245837E-2</v>
      </c>
      <c r="O55">
        <f ca="1">'ETF variations'!O55/'ETF price'!P56</f>
        <v>-7.3558386969657472E-3</v>
      </c>
      <c r="P55">
        <f ca="1">'ETF variations'!P55/'ETF price'!Q56</f>
        <v>-6.4492008598934268E-3</v>
      </c>
      <c r="Q55">
        <f ca="1">'ETF variations'!Q55/'ETF price'!R56</f>
        <v>5.4341542374840898E-3</v>
      </c>
      <c r="R55">
        <f ca="1">'ETF variations'!R55/'ETF price'!S56</f>
        <v>-6.2387128550319398E-3</v>
      </c>
      <c r="S55">
        <f ca="1">'ETF variations'!S55/'ETF price'!T56</f>
        <v>-2.2530980097633766E-3</v>
      </c>
      <c r="T55">
        <f ca="1">'ETF variations'!T55/'ETF price'!U56</f>
        <v>-1.2320844857933165E-2</v>
      </c>
      <c r="U55">
        <f ca="1">'ETF variations'!U55/'ETF price'!V56</f>
        <v>1.5480285789891529E-2</v>
      </c>
      <c r="V55">
        <f ca="1">'ETF variations'!V55/'ETF price'!W56</f>
        <v>1.62329296573047E-2</v>
      </c>
      <c r="W55">
        <f ca="1">'ETF variations'!W55/'ETF price'!X56</f>
        <v>1.7067003792667557E-2</v>
      </c>
      <c r="X55">
        <f ca="1">'ETF variations'!X55/'ETF price'!Y56</f>
        <v>1.7241379310344824E-2</v>
      </c>
      <c r="Y55">
        <f ca="1">'ETF variations'!Y55/'ETF price'!Z56</f>
        <v>1.6448903406439532E-2</v>
      </c>
      <c r="Z55">
        <f ca="1">'ETF variations'!Z55/'ETF price'!AA56</f>
        <v>6.4212328767125724E-4</v>
      </c>
      <c r="AA55">
        <f ca="1">'ETF variations'!AA55/'ETF price'!AB56</f>
        <v>1.6722878021360285E-2</v>
      </c>
      <c r="AB55">
        <f ca="1">'ETF variations'!AB55/'ETF price'!AC56</f>
        <v>1.9412724306688497E-2</v>
      </c>
      <c r="AC55">
        <f ca="1">'ETF variations'!AC55/'ETF price'!AD56</f>
        <v>2.8714107365792812E-2</v>
      </c>
      <c r="AD55">
        <f ca="1">'ETF variations'!AD55/'ETF price'!AE56</f>
        <v>2.8239845261121735E-2</v>
      </c>
      <c r="AE55">
        <f ca="1">'ETF variations'!AE55/'ETF price'!AF56</f>
        <v>3.0874785591766676E-2</v>
      </c>
      <c r="AF55">
        <f ca="1">'ETF variations'!AF55/'ETF price'!AG56</f>
        <v>5.2694610778443056E-2</v>
      </c>
    </row>
    <row r="56" spans="1:32" x14ac:dyDescent="0.2">
      <c r="A56">
        <f ca="1">'ETF variations'!A56/'ETF price'!B57</f>
        <v>-1.5378725033501349E-2</v>
      </c>
      <c r="B56">
        <f ca="1">'ETF variations'!B56/'ETF price'!C57</f>
        <v>-1.5223989316498819E-2</v>
      </c>
      <c r="C56">
        <f ca="1">'ETF variations'!C56/'ETF price'!D57</f>
        <v>-1.5956926089084774E-2</v>
      </c>
      <c r="D56">
        <f ca="1">'ETF variations'!D56/'ETF price'!E57</f>
        <v>-2.5214321734745339E-2</v>
      </c>
      <c r="E56">
        <f ca="1">'ETF variations'!E56/'ETF price'!F57</f>
        <v>-7.5432881878964124E-3</v>
      </c>
      <c r="F56">
        <f ca="1">'ETF variations'!F56/'ETF price'!G57</f>
        <v>-2.4100475220638181E-2</v>
      </c>
      <c r="G56">
        <f ca="1">'ETF variations'!G56/'ETF price'!H57</f>
        <v>-1.5705018777739874E-2</v>
      </c>
      <c r="H56">
        <f ca="1">'ETF variations'!H56/'ETF price'!I57</f>
        <v>-1.7950032969448436E-2</v>
      </c>
      <c r="I56">
        <f ca="1">'ETF variations'!I56/'ETF price'!J57</f>
        <v>-1.9937988147101474E-2</v>
      </c>
      <c r="J56">
        <f ca="1">'ETF variations'!J56/'ETF price'!K57</f>
        <v>-2.5210722150504922E-2</v>
      </c>
      <c r="K56">
        <f ca="1">'ETF variations'!K56/'ETF price'!L57</f>
        <v>-2.5485305281422781E-2</v>
      </c>
      <c r="L56">
        <f ca="1">'ETF variations'!L56/'ETF price'!M57</f>
        <v>-2.125946207118699E-2</v>
      </c>
      <c r="M56">
        <f ca="1">'ETF variations'!M56/'ETF price'!N57</f>
        <v>-1.8795843520782458E-2</v>
      </c>
      <c r="N56">
        <f ca="1">'ETF variations'!N56/'ETF price'!O57</f>
        <v>-2.5341130604288536E-2</v>
      </c>
      <c r="O56">
        <f ca="1">'ETF variations'!O56/'ETF price'!P57</f>
        <v>1.7202593621807746E-2</v>
      </c>
      <c r="P56">
        <f ca="1">'ETF variations'!P56/'ETF price'!Q57</f>
        <v>1.7403574788334982E-2</v>
      </c>
      <c r="Q56">
        <f ca="1">'ETF variations'!Q56/'ETF price'!R57</f>
        <v>-4.5998160073596082E-3</v>
      </c>
      <c r="R56">
        <f ca="1">'ETF variations'!R56/'ETF price'!S57</f>
        <v>1.80075995374194E-2</v>
      </c>
      <c r="S56">
        <f ca="1">'ETF variations'!S56/'ETF price'!T57</f>
        <v>2.4840045163718485E-2</v>
      </c>
      <c r="T56">
        <f ca="1">'ETF variations'!T56/'ETF price'!U57</f>
        <v>4.3151731160896135E-2</v>
      </c>
      <c r="U56">
        <f ca="1">'ETF variations'!U56/'ETF price'!V57</f>
        <v>-7.2964169381107792E-3</v>
      </c>
      <c r="V56">
        <f ca="1">'ETF variations'!V56/'ETF price'!W57</f>
        <v>-1.8509127789046575E-2</v>
      </c>
      <c r="W56">
        <f ca="1">'ETF variations'!W56/'ETF price'!X57</f>
        <v>-1.9784545266211009E-2</v>
      </c>
      <c r="X56">
        <f ca="1">'ETF variations'!X56/'ETF price'!Y57</f>
        <v>-3.0800072899580786E-2</v>
      </c>
      <c r="Y56">
        <f ca="1">'ETF variations'!Y56/'ETF price'!Z57</f>
        <v>-1.8363365086652064E-2</v>
      </c>
      <c r="Z56">
        <f ca="1">'ETF variations'!Z56/'ETF price'!AA57</f>
        <v>-1.133689839572195E-2</v>
      </c>
      <c r="AA56">
        <f ca="1">'ETF variations'!AA56/'ETF price'!AB57</f>
        <v>-3.5521769177608756E-2</v>
      </c>
      <c r="AB56">
        <f ca="1">'ETF variations'!AB56/'ETF price'!AC57</f>
        <v>-2.3203712594015088E-2</v>
      </c>
      <c r="AC56">
        <f ca="1">'ETF variations'!AC56/'ETF price'!AD57</f>
        <v>-3.6407766990290487E-3</v>
      </c>
      <c r="AD56">
        <f ca="1">'ETF variations'!AD56/'ETF price'!AE57</f>
        <v>-3.0097817908201017E-3</v>
      </c>
      <c r="AE56">
        <f ca="1">'ETF variations'!AE56/'ETF price'!AF57</f>
        <v>2.9950083194675643E-2</v>
      </c>
      <c r="AF56">
        <f ca="1">'ETF variations'!AF56/'ETF price'!AG57</f>
        <v>-1.706484641638088E-3</v>
      </c>
    </row>
    <row r="57" spans="1:32" x14ac:dyDescent="0.2">
      <c r="A57">
        <f ca="1">'ETF variations'!A57/'ETF price'!B58</f>
        <v>2.5988334413480172E-2</v>
      </c>
      <c r="B57">
        <f ca="1">'ETF variations'!B57/'ETF price'!C58</f>
        <v>2.4434143695448555E-2</v>
      </c>
      <c r="C57">
        <f ca="1">'ETF variations'!C57/'ETF price'!D58</f>
        <v>2.8253083963390404E-2</v>
      </c>
      <c r="D57">
        <f ca="1">'ETF variations'!D57/'ETF price'!E58</f>
        <v>4.8499741334712888E-2</v>
      </c>
      <c r="E57">
        <f ca="1">'ETF variations'!E57/'ETF price'!F58</f>
        <v>1.3819312489203614E-2</v>
      </c>
      <c r="F57">
        <f ca="1">'ETF variations'!F57/'ETF price'!G58</f>
        <v>2.2956521739130441E-2</v>
      </c>
      <c r="G57">
        <f ca="1">'ETF variations'!G57/'ETF price'!H58</f>
        <v>1.6302462712452392E-2</v>
      </c>
      <c r="H57">
        <f ca="1">'ETF variations'!H57/'ETF price'!I58</f>
        <v>1.1936735302894616E-2</v>
      </c>
      <c r="I57">
        <f ca="1">'ETF variations'!I57/'ETF price'!J58</f>
        <v>1.0652356733811206E-2</v>
      </c>
      <c r="J57">
        <f ca="1">'ETF variations'!J57/'ETF price'!K58</f>
        <v>1.2931370257848379E-2</v>
      </c>
      <c r="K57">
        <f ca="1">'ETF variations'!K57/'ETF price'!L58</f>
        <v>2.1255286000445101E-2</v>
      </c>
      <c r="L57">
        <f ca="1">'ETF variations'!L57/'ETF price'!M58</f>
        <v>1.8265591574790182E-2</v>
      </c>
      <c r="M57">
        <f ca="1">'ETF variations'!M57/'ETF price'!N58</f>
        <v>1.1991901572963874E-2</v>
      </c>
      <c r="N57">
        <f ca="1">'ETF variations'!N57/'ETF price'!O58</f>
        <v>1.466666666666671E-2</v>
      </c>
      <c r="O57">
        <f ca="1">'ETF variations'!O57/'ETF price'!P58</f>
        <v>2.4717054767789477E-3</v>
      </c>
      <c r="P57">
        <f ca="1">'ETF variations'!P57/'ETF price'!Q58</f>
        <v>-4.0684234858993241E-3</v>
      </c>
      <c r="Q57">
        <f ca="1">'ETF variations'!Q57/'ETF price'!R58</f>
        <v>2.010166358595188E-2</v>
      </c>
      <c r="R57">
        <f ca="1">'ETF variations'!R57/'ETF price'!S58</f>
        <v>2.7426160337552821E-2</v>
      </c>
      <c r="S57">
        <f ca="1">'ETF variations'!S57/'ETF price'!T58</f>
        <v>-9.9155343371281519E-3</v>
      </c>
      <c r="T57">
        <f ca="1">'ETF variations'!T57/'ETF price'!U58</f>
        <v>-2.6845637583892652E-2</v>
      </c>
      <c r="U57">
        <f ca="1">'ETF variations'!U57/'ETF price'!V58</f>
        <v>1.3912586953668491E-2</v>
      </c>
      <c r="V57">
        <f ca="1">'ETF variations'!V57/'ETF price'!W58</f>
        <v>8.0082665977784101E-3</v>
      </c>
      <c r="W57">
        <f ca="1">'ETF variations'!W57/'ETF price'!X58</f>
        <v>3.4872661946528404E-3</v>
      </c>
      <c r="X57">
        <f ca="1">'ETF variations'!X57/'ETF price'!Y58</f>
        <v>8.837908988341461E-3</v>
      </c>
      <c r="Y57">
        <f ca="1">'ETF variations'!Y57/'ETF price'!Z58</f>
        <v>3.7413772945164639E-3</v>
      </c>
      <c r="Z57">
        <f ca="1">'ETF variations'!Z57/'ETF price'!AA58</f>
        <v>7.7888360017308407E-3</v>
      </c>
      <c r="AA57">
        <f ca="1">'ETF variations'!AA57/'ETF price'!AB58</f>
        <v>9.7449125824017289E-3</v>
      </c>
      <c r="AB57">
        <f ca="1">'ETF variations'!AB57/'ETF price'!AC58</f>
        <v>3.2765399737877269E-3</v>
      </c>
      <c r="AC57">
        <f ca="1">'ETF variations'!AC57/'ETF price'!AD58</f>
        <v>4.202192448233847E-2</v>
      </c>
      <c r="AD57">
        <f ca="1">'ETF variations'!AD57/'ETF price'!AE58</f>
        <v>4.2641509433962228E-2</v>
      </c>
      <c r="AE57">
        <f ca="1">'ETF variations'!AE57/'ETF price'!AF58</f>
        <v>3.2310177705976691E-3</v>
      </c>
      <c r="AF57">
        <f ca="1">'ETF variations'!AF57/'ETF price'!AG58</f>
        <v>4.7863247863247853E-2</v>
      </c>
    </row>
    <row r="58" spans="1:32" x14ac:dyDescent="0.2">
      <c r="A58">
        <f ca="1">'ETF variations'!A58/'ETF price'!B59</f>
        <v>-5.6850483229109602E-4</v>
      </c>
      <c r="B58">
        <f ca="1">'ETF variations'!B58/'ETF price'!C59</f>
        <v>-2.3345928903223357E-3</v>
      </c>
      <c r="C58">
        <f ca="1">'ETF variations'!C58/'ETF price'!D59</f>
        <v>-2.0317337461299703E-3</v>
      </c>
      <c r="D58">
        <f ca="1">'ETF variations'!D58/'ETF price'!E59</f>
        <v>-2.2819785370665853E-3</v>
      </c>
      <c r="E58">
        <f ca="1">'ETF variations'!E58/'ETF price'!F59</f>
        <v>-3.4077355597204933E-3</v>
      </c>
      <c r="F58">
        <f ca="1">'ETF variations'!F58/'ETF price'!G59</f>
        <v>-1.3940836450187016E-2</v>
      </c>
      <c r="G58">
        <f ca="1">'ETF variations'!G58/'ETF price'!H59</f>
        <v>-8.8737201365188239E-3</v>
      </c>
      <c r="H58">
        <f ca="1">'ETF variations'!H58/'ETF price'!I59</f>
        <v>4.6446475965793562E-3</v>
      </c>
      <c r="I58">
        <f ca="1">'ETF variations'!I58/'ETF price'!J59</f>
        <v>2.2585885802591161E-3</v>
      </c>
      <c r="J58">
        <f ca="1">'ETF variations'!J58/'ETF price'!K59</f>
        <v>-1.4381296623856068E-2</v>
      </c>
      <c r="K58">
        <f ca="1">'ETF variations'!K58/'ETF price'!L59</f>
        <v>-2.3428135556281919E-2</v>
      </c>
      <c r="L58">
        <f ca="1">'ETF variations'!L58/'ETF price'!M59</f>
        <v>-7.5953458306400445E-3</v>
      </c>
      <c r="M58">
        <f ca="1">'ETF variations'!M58/'ETF price'!N59</f>
        <v>3.2317636195751576E-3</v>
      </c>
      <c r="N58">
        <f ca="1">'ETF variations'!N58/'ETF price'!O59</f>
        <v>-2.3653088042050012E-2</v>
      </c>
      <c r="O58">
        <f ca="1">'ETF variations'!O58/'ETF price'!P59</f>
        <v>2.1930962886062777E-2</v>
      </c>
      <c r="P58">
        <f ca="1">'ETF variations'!P58/'ETF price'!Q59</f>
        <v>2.6367096834091577E-2</v>
      </c>
      <c r="Q58">
        <f ca="1">'ETF variations'!Q58/'ETF price'!R59</f>
        <v>1.1211778029445178E-2</v>
      </c>
      <c r="R58">
        <f ca="1">'ETF variations'!R58/'ETF price'!S59</f>
        <v>3.1590586005364116E-4</v>
      </c>
      <c r="S58">
        <f ca="1">'ETF variations'!S58/'ETF price'!T59</f>
        <v>7.418397626112733E-3</v>
      </c>
      <c r="T58">
        <f ca="1">'ETF variations'!T58/'ETF price'!U59</f>
        <v>1.2413793103448211E-2</v>
      </c>
      <c r="U58">
        <f ca="1">'ETF variations'!U58/'ETF price'!V59</f>
        <v>-2.4466019417475737E-2</v>
      </c>
      <c r="V58">
        <f ca="1">'ETF variations'!V58/'ETF price'!W59</f>
        <v>1.2813941568426447E-2</v>
      </c>
      <c r="W58">
        <f ca="1">'ETF variations'!W58/'ETF price'!X59</f>
        <v>1.1899747262005158E-2</v>
      </c>
      <c r="X58">
        <f ca="1">'ETF variations'!X58/'ETF price'!Y59</f>
        <v>1.584342963653311E-2</v>
      </c>
      <c r="Y58">
        <f ca="1">'ETF variations'!Y58/'ETF price'!Z59</f>
        <v>1.1182294700058335E-2</v>
      </c>
      <c r="Z58">
        <f ca="1">'ETF variations'!Z58/'ETF price'!AA59</f>
        <v>1.1807642765135342E-2</v>
      </c>
      <c r="AA58">
        <f ca="1">'ETF variations'!AA58/'ETF price'!AB59</f>
        <v>1.8875957990349312E-2</v>
      </c>
      <c r="AB58">
        <f ca="1">'ETF variations'!AB58/'ETF price'!AC59</f>
        <v>8.0013063357281984E-3</v>
      </c>
      <c r="AC58">
        <f ca="1">'ETF variations'!AC58/'ETF price'!AD59</f>
        <v>1.1689070718877807E-2</v>
      </c>
      <c r="AD58">
        <f ca="1">'ETF variations'!AD58/'ETF price'!AE59</f>
        <v>1.1219688744118795E-2</v>
      </c>
      <c r="AE58">
        <f ca="1">'ETF variations'!AE58/'ETF price'!AF59</f>
        <v>2.4154589371980735E-2</v>
      </c>
      <c r="AF58">
        <f ca="1">'ETF variations'!AF58/'ETF price'!AG59</f>
        <v>-3.2626427406199095E-2</v>
      </c>
    </row>
    <row r="59" spans="1:32" x14ac:dyDescent="0.2">
      <c r="A59">
        <f ca="1">'ETF variations'!A59/'ETF price'!B60</f>
        <v>1.1882189356592058E-2</v>
      </c>
      <c r="B59">
        <f ca="1">'ETF variations'!B59/'ETF price'!C60</f>
        <v>1.2351635626749022E-2</v>
      </c>
      <c r="C59">
        <f ca="1">'ETF variations'!C59/'ETF price'!D60</f>
        <v>1.2409112942317025E-2</v>
      </c>
      <c r="D59">
        <f ca="1">'ETF variations'!D59/'ETF price'!E60</f>
        <v>7.7888360017307956E-3</v>
      </c>
      <c r="E59">
        <f ca="1">'ETF variations'!E59/'ETF price'!F60</f>
        <v>7.5226534450332999E-3</v>
      </c>
      <c r="F59">
        <f ca="1">'ETF variations'!F59/'ETF price'!G60</f>
        <v>2.7586206896551137E-3</v>
      </c>
      <c r="G59">
        <f ca="1">'ETF variations'!G59/'ETF price'!H60</f>
        <v>6.887052341597772E-3</v>
      </c>
      <c r="H59">
        <f ca="1">'ETF variations'!H59/'ETF price'!I60</f>
        <v>7.264988625522717E-3</v>
      </c>
      <c r="I59">
        <f ca="1">'ETF variations'!I59/'ETF price'!J60</f>
        <v>7.7093381829682478E-3</v>
      </c>
      <c r="J59">
        <f ca="1">'ETF variations'!J59/'ETF price'!K60</f>
        <v>7.1004993757802486E-3</v>
      </c>
      <c r="K59">
        <f ca="1">'ETF variations'!K59/'ETF price'!L60</f>
        <v>1.0042401249719839E-3</v>
      </c>
      <c r="L59">
        <f ca="1">'ETF variations'!L59/'ETF price'!M60</f>
        <v>3.9081582804103895E-3</v>
      </c>
      <c r="M59">
        <f ca="1">'ETF variations'!M59/'ETF price'!N60</f>
        <v>6.9028992176714656E-3</v>
      </c>
      <c r="N59">
        <f ca="1">'ETF variations'!N59/'ETF price'!O60</f>
        <v>4.0376850605653098E-3</v>
      </c>
      <c r="O59">
        <f ca="1">'ETF variations'!O59/'ETF price'!P60</f>
        <v>-2.4761904761904797E-2</v>
      </c>
      <c r="P59">
        <f ca="1">'ETF variations'!P59/'ETF price'!Q60</f>
        <v>-2.5146992311171425E-2</v>
      </c>
      <c r="Q59">
        <f ca="1">'ETF variations'!Q59/'ETF price'!R60</f>
        <v>-4.4797849703214878E-3</v>
      </c>
      <c r="R59">
        <f ca="1">'ETF variations'!R59/'ETF price'!S60</f>
        <v>-2.3053844939207341E-2</v>
      </c>
      <c r="S59">
        <f ca="1">'ETF variations'!S59/'ETF price'!T60</f>
        <v>-4.3446244477172304E-2</v>
      </c>
      <c r="T59">
        <f ca="1">'ETF variations'!T59/'ETF price'!U60</f>
        <v>-7.6913549665593189E-2</v>
      </c>
      <c r="U59">
        <f ca="1">'ETF variations'!U59/'ETF price'!V60</f>
        <v>8.094479830148613E-3</v>
      </c>
      <c r="V59">
        <f ca="1">'ETF variations'!V59/'ETF price'!W60</f>
        <v>-2.7834008097167642E-3</v>
      </c>
      <c r="W59">
        <f ca="1">'ETF variations'!W59/'ETF price'!X60</f>
        <v>-3.0180039546259365E-3</v>
      </c>
      <c r="X59">
        <f ca="1">'ETF variations'!X59/'ETF price'!Y60</f>
        <v>-7.8899082568807295E-3</v>
      </c>
      <c r="Y59">
        <f ca="1">'ETF variations'!Y59/'ETF price'!Z60</f>
        <v>-2.3038820412395211E-3</v>
      </c>
      <c r="Z59">
        <f ca="1">'ETF variations'!Z59/'ETF price'!AA60</f>
        <v>1.273074474856767E-2</v>
      </c>
      <c r="AA59">
        <f ca="1">'ETF variations'!AA59/'ETF price'!AB60</f>
        <v>-9.8899568184985086E-3</v>
      </c>
      <c r="AB59">
        <f ca="1">'ETF variations'!AB59/'ETF price'!AC60</f>
        <v>-2.5919326097520912E-3</v>
      </c>
      <c r="AC59">
        <f ca="1">'ETF variations'!AC59/'ETF price'!AD60</f>
        <v>8.0300404390525743E-2</v>
      </c>
      <c r="AD59">
        <f ca="1">'ETF variations'!AD59/'ETF price'!AE60</f>
        <v>7.8382247673586175E-2</v>
      </c>
      <c r="AE59">
        <f ca="1">'ETF variations'!AE59/'ETF price'!AF60</f>
        <v>3.1446540880502474E-3</v>
      </c>
      <c r="AF59">
        <f ca="1">'ETF variations'!AF59/'ETF price'!AG60</f>
        <v>7.9820123664980425E-2</v>
      </c>
    </row>
    <row r="60" spans="1:32" x14ac:dyDescent="0.2">
      <c r="A60">
        <f ca="1">'ETF variations'!A60/'ETF price'!B61</f>
        <v>2.1236727045596537E-2</v>
      </c>
      <c r="B60">
        <f ca="1">'ETF variations'!B60/'ETF price'!C61</f>
        <v>2.2114193117910661E-2</v>
      </c>
      <c r="C60">
        <f ca="1">'ETF variations'!C60/'ETF price'!D61</f>
        <v>1.934310064157805E-2</v>
      </c>
      <c r="D60">
        <f ca="1">'ETF variations'!D60/'ETF price'!E61</f>
        <v>2.2940563086548543E-2</v>
      </c>
      <c r="E60">
        <f ca="1">'ETF variations'!E60/'ETF price'!F61</f>
        <v>5.9392499575768101E-3</v>
      </c>
      <c r="F60">
        <f ca="1">'ETF variations'!F60/'ETF price'!G61</f>
        <v>3.0261348005502155E-2</v>
      </c>
      <c r="G60">
        <f ca="1">'ETF variations'!G60/'ETF price'!H61</f>
        <v>2.4281805745554066E-2</v>
      </c>
      <c r="H60">
        <f ca="1">'ETF variations'!H60/'ETF price'!I61</f>
        <v>5.9012093836514814E-3</v>
      </c>
      <c r="I60">
        <f ca="1">'ETF variations'!I60/'ETF price'!J61</f>
        <v>8.6311742320216121E-3</v>
      </c>
      <c r="J60">
        <f ca="1">'ETF variations'!J60/'ETF price'!K61</f>
        <v>2.8201750987836175E-2</v>
      </c>
      <c r="K60">
        <f ca="1">'ETF variations'!K60/'ETF price'!L61</f>
        <v>4.2804592576078514E-2</v>
      </c>
      <c r="L60">
        <f ca="1">'ETF variations'!L60/'ETF price'!M61</f>
        <v>2.3844282238442805E-2</v>
      </c>
      <c r="M60">
        <f ca="1">'ETF variations'!M60/'ETF price'!N61</f>
        <v>9.1407678244971712E-3</v>
      </c>
      <c r="N60">
        <f ca="1">'ETF variations'!N60/'ETF price'!O61</f>
        <v>4.2225201072386115E-2</v>
      </c>
      <c r="O60">
        <f ca="1">'ETF variations'!O60/'ETF price'!P61</f>
        <v>-2.6041666666667038E-3</v>
      </c>
      <c r="P60">
        <f ca="1">'ETF variations'!P60/'ETF price'!Q61</f>
        <v>-3.4332374501251772E-3</v>
      </c>
      <c r="Q60">
        <f ca="1">'ETF variations'!Q60/'ETF price'!R61</f>
        <v>8.4373945325683427E-3</v>
      </c>
      <c r="R60">
        <f ca="1">'ETF variations'!R60/'ETF price'!S61</f>
        <v>-1.42233715855826E-2</v>
      </c>
      <c r="S60">
        <f ca="1">'ETF variations'!S60/'ETF price'!T61</f>
        <v>3.8491147036180855E-3</v>
      </c>
      <c r="T60">
        <f ca="1">'ETF variations'!T60/'ETF price'!U61</f>
        <v>2.1736213605259687E-2</v>
      </c>
      <c r="U60">
        <f ca="1">'ETF variations'!U60/'ETF price'!V61</f>
        <v>1.4347768856127464E-2</v>
      </c>
      <c r="V60">
        <f ca="1">'ETF variations'!V60/'ETF price'!W61</f>
        <v>2.2836843440751948E-3</v>
      </c>
      <c r="W60">
        <f ca="1">'ETF variations'!W60/'ETF price'!X61</f>
        <v>6.6805845511482319E-3</v>
      </c>
      <c r="X60">
        <f ca="1">'ETF variations'!X60/'ETF price'!Y61</f>
        <v>1.6275198816349225E-2</v>
      </c>
      <c r="Y60">
        <f ca="1">'ETF variations'!Y60/'ETF price'!Z61</f>
        <v>6.4657660778201396E-3</v>
      </c>
      <c r="Z60">
        <f ca="1">'ETF variations'!Z60/'ETF price'!AA61</f>
        <v>2.9331657238634103E-2</v>
      </c>
      <c r="AA60">
        <f ca="1">'ETF variations'!AA60/'ETF price'!AB61</f>
        <v>1.8851997749015241E-2</v>
      </c>
      <c r="AB60">
        <f ca="1">'ETF variations'!AB60/'ETF price'!AC61</f>
        <v>1.5104758811109302E-2</v>
      </c>
      <c r="AC60">
        <f ca="1">'ETF variations'!AC60/'ETF price'!AD61</f>
        <v>-6.9518716577539582E-3</v>
      </c>
      <c r="AD60">
        <f ca="1">'ETF variations'!AD60/'ETF price'!AE61</f>
        <v>-4.9784268171257414E-3</v>
      </c>
      <c r="AE60">
        <f ca="1">'ETF variations'!AE60/'ETF price'!AF61</f>
        <v>2.9780564263322946E-2</v>
      </c>
      <c r="AF60">
        <f ca="1">'ETF variations'!AF60/'ETF price'!AG61</f>
        <v>1.0411244143674948E-3</v>
      </c>
    </row>
    <row r="61" spans="1:32" x14ac:dyDescent="0.2">
      <c r="A61">
        <f ca="1">'ETF variations'!A61/'ETF price'!B62</f>
        <v>-1.3333333333333376E-2</v>
      </c>
      <c r="B61">
        <f ca="1">'ETF variations'!B61/'ETF price'!C62</f>
        <v>-1.5154341135876154E-2</v>
      </c>
      <c r="C61">
        <f ca="1">'ETF variations'!C61/'ETF price'!D62</f>
        <v>-1.5500234852043266E-2</v>
      </c>
      <c r="D61">
        <f ca="1">'ETF variations'!D61/'ETF price'!E62</f>
        <v>-3.2020147508544719E-2</v>
      </c>
      <c r="E61">
        <f ca="1">'ETF variations'!E61/'ETF price'!F62</f>
        <v>-6.4102564102564534E-3</v>
      </c>
      <c r="F61">
        <f ca="1">'ETF variations'!F61/'ETF price'!G62</f>
        <v>-1.535380507343127E-2</v>
      </c>
      <c r="G61">
        <f ca="1">'ETF variations'!G61/'ETF price'!H62</f>
        <v>-1.6360601001669396E-2</v>
      </c>
      <c r="H61">
        <f ca="1">'ETF variations'!H61/'ETF price'!I62</f>
        <v>1.9555298037228237E-3</v>
      </c>
      <c r="I61">
        <f ca="1">'ETF variations'!I61/'ETF price'!J62</f>
        <v>4.2786572795524392E-4</v>
      </c>
      <c r="J61">
        <f ca="1">'ETF variations'!J61/'ETF price'!K62</f>
        <v>-1.3111295305553531E-2</v>
      </c>
      <c r="K61">
        <f ca="1">'ETF variations'!K61/'ETF price'!L62</f>
        <v>-3.0678781400320581E-2</v>
      </c>
      <c r="L61">
        <f ca="1">'ETF variations'!L61/'ETF price'!M62</f>
        <v>-1.505069708491755E-2</v>
      </c>
      <c r="M61">
        <f ca="1">'ETF variations'!M61/'ETF price'!N62</f>
        <v>1.5096618357495647E-4</v>
      </c>
      <c r="N61">
        <f ca="1">'ETF variations'!N61/'ETF price'!O62</f>
        <v>-2.4437299035369824E-2</v>
      </c>
      <c r="O61">
        <f ca="1">'ETF variations'!O61/'ETF price'!P62</f>
        <v>1.1618798955613586E-2</v>
      </c>
      <c r="P61">
        <f ca="1">'ETF variations'!P61/'ETF price'!Q62</f>
        <v>1.0428305400372349E-2</v>
      </c>
      <c r="Q61">
        <f ca="1">'ETF variations'!Q61/'ETF price'!R62</f>
        <v>-3.346720214190062E-3</v>
      </c>
      <c r="R61">
        <f ca="1">'ETF variations'!R61/'ETF price'!S62</f>
        <v>1.0985407443843164E-2</v>
      </c>
      <c r="S61">
        <f ca="1">'ETF variations'!S61/'ETF price'!T62</f>
        <v>1.8021472392638131E-2</v>
      </c>
      <c r="T61">
        <f ca="1">'ETF variations'!T61/'ETF price'!U62</f>
        <v>2.3112278397898763E-2</v>
      </c>
      <c r="U61">
        <f ca="1">'ETF variations'!U61/'ETF price'!V62</f>
        <v>-1.6610433428497291E-2</v>
      </c>
      <c r="V61">
        <f ca="1">'ETF variations'!V61/'ETF price'!W62</f>
        <v>-7.0886075949367373E-3</v>
      </c>
      <c r="W61">
        <f ca="1">'ETF variations'!W61/'ETF price'!X62</f>
        <v>-9.9543757776855424E-3</v>
      </c>
      <c r="X61">
        <f ca="1">'ETF variations'!X61/'ETF price'!Y62</f>
        <v>-2.747952684258426E-2</v>
      </c>
      <c r="Y61">
        <f ca="1">'ETF variations'!Y61/'ETF price'!Z62</f>
        <v>-1.0095216244120631E-2</v>
      </c>
      <c r="Z61">
        <f ca="1">'ETF variations'!Z61/'ETF price'!AA62</f>
        <v>-5.4956238550784272E-3</v>
      </c>
      <c r="AA61">
        <f ca="1">'ETF variations'!AA61/'ETF price'!AB62</f>
        <v>-3.0792598729632751E-2</v>
      </c>
      <c r="AB61">
        <f ca="1">'ETF variations'!AB61/'ETF price'!AC62</f>
        <v>-1.5519999999999982E-2</v>
      </c>
      <c r="AC61">
        <f ca="1">'ETF variations'!AC61/'ETF price'!AD62</f>
        <v>-1.4539579967689798E-2</v>
      </c>
      <c r="AD61">
        <f ca="1">'ETF variations'!AD61/'ETF price'!AE62</f>
        <v>-1.6010673782521696E-2</v>
      </c>
      <c r="AE61">
        <f ca="1">'ETF variations'!AE61/'ETF price'!AF62</f>
        <v>3.0441400304413351E-3</v>
      </c>
      <c r="AF61">
        <f ca="1">'ETF variations'!AF61/'ETF price'!AG62</f>
        <v>-4.7841913676547151E-2</v>
      </c>
    </row>
    <row r="62" spans="1:32" x14ac:dyDescent="0.2">
      <c r="A62">
        <f ca="1">'ETF variations'!A62/'ETF price'!B63</f>
        <v>-1.4815273989585832E-2</v>
      </c>
      <c r="B62">
        <f ca="1">'ETF variations'!B62/'ETF price'!C63</f>
        <v>-1.4061834193456742E-2</v>
      </c>
      <c r="C62">
        <f ca="1">'ETF variations'!C62/'ETF price'!D63</f>
        <v>-1.6793893129770907E-2</v>
      </c>
      <c r="D62">
        <f ca="1">'ETF variations'!D62/'ETF price'!E63</f>
        <v>-2.2734312085733854E-2</v>
      </c>
      <c r="E62">
        <f ca="1">'ETF variations'!E62/'ETF price'!F63</f>
        <v>-3.0560271646859036E-3</v>
      </c>
      <c r="F62">
        <f ca="1">'ETF variations'!F62/'ETF price'!G63</f>
        <v>-1.661016949152537E-2</v>
      </c>
      <c r="G62">
        <f ca="1">'ETF variations'!G62/'ETF price'!H63</f>
        <v>-1.4256619144602909E-2</v>
      </c>
      <c r="H62">
        <f ca="1">'ETF variations'!H62/'ETF price'!I63</f>
        <v>-9.7585658522480433E-3</v>
      </c>
      <c r="I62">
        <f ca="1">'ETF variations'!I62/'ETF price'!J63</f>
        <v>-1.0964230171073069E-2</v>
      </c>
      <c r="J62">
        <f ca="1">'ETF variations'!J62/'ETF price'!K63</f>
        <v>-5.1156753454988735E-3</v>
      </c>
      <c r="K62">
        <f ca="1">'ETF variations'!K62/'ETF price'!L63</f>
        <v>-8.8222320247023749E-3</v>
      </c>
      <c r="L62">
        <f ca="1">'ETF variations'!L62/'ETF price'!M63</f>
        <v>-2.2518899790896023E-3</v>
      </c>
      <c r="M62">
        <f ca="1">'ETF variations'!M62/'ETF price'!N63</f>
        <v>-8.9056603773585413E-3</v>
      </c>
      <c r="N62">
        <f ca="1">'ETF variations'!N62/'ETF price'!O63</f>
        <v>-9.2287409360580462E-3</v>
      </c>
      <c r="O62">
        <f ca="1">'ETF variations'!O62/'ETF price'!P63</f>
        <v>-1.3550135501354978E-2</v>
      </c>
      <c r="P62">
        <f ca="1">'ETF variations'!P62/'ETF price'!Q63</f>
        <v>-1.3638039071138867E-2</v>
      </c>
      <c r="Q62">
        <f ca="1">'ETF variations'!Q62/'ETF price'!R63</f>
        <v>-1.3319901499888043E-2</v>
      </c>
      <c r="R62">
        <f ca="1">'ETF variations'!R62/'ETF price'!S63</f>
        <v>-6.0006487187803676E-3</v>
      </c>
      <c r="S62">
        <f ca="1">'ETF variations'!S62/'ETF price'!T63</f>
        <v>-1.8455743879472769E-2</v>
      </c>
      <c r="T62">
        <f ca="1">'ETF variations'!T62/'ETF price'!U63</f>
        <v>-4.8645873443717007E-2</v>
      </c>
      <c r="U62">
        <f ca="1">'ETF variations'!U62/'ETF price'!V63</f>
        <v>-4.2227500659805673E-3</v>
      </c>
      <c r="V62">
        <f ca="1">'ETF variations'!V62/'ETF price'!W63</f>
        <v>-2.2947475777664421E-2</v>
      </c>
      <c r="W62">
        <f ca="1">'ETF variations'!W62/'ETF price'!X63</f>
        <v>-2.188940092165902E-2</v>
      </c>
      <c r="X62">
        <f ca="1">'ETF variations'!X62/'ETF price'!Y63</f>
        <v>-2.0396706586826279E-2</v>
      </c>
      <c r="Y62">
        <f ca="1">'ETF variations'!Y62/'ETF price'!Z63</f>
        <v>-2.0396337930235309E-2</v>
      </c>
      <c r="Z62">
        <f ca="1">'ETF variations'!Z62/'ETF price'!AA63</f>
        <v>-1.1051985264019631E-2</v>
      </c>
      <c r="AA62">
        <f ca="1">'ETF variations'!AA62/'ETF price'!AB63</f>
        <v>-1.8378686422567205E-2</v>
      </c>
      <c r="AB62">
        <f ca="1">'ETF variations'!AB62/'ETF price'!AC63</f>
        <v>-2.3078173248821741E-2</v>
      </c>
      <c r="AC62">
        <f ca="1">'ETF variations'!AC62/'ETF price'!AD63</f>
        <v>-3.2786885245901717E-2</v>
      </c>
      <c r="AD62">
        <f ca="1">'ETF variations'!AD62/'ETF price'!AE63</f>
        <v>-3.1864406779661063E-2</v>
      </c>
      <c r="AE62">
        <f ca="1">'ETF variations'!AE62/'ETF price'!AF63</f>
        <v>-3.1866464339908945E-2</v>
      </c>
      <c r="AF62">
        <f ca="1">'ETF variations'!AF62/'ETF price'!AG63</f>
        <v>-4.696886947023482E-2</v>
      </c>
    </row>
    <row r="63" spans="1:32" x14ac:dyDescent="0.2">
      <c r="A63">
        <f ca="1">'ETF variations'!A63/'ETF price'!B64</f>
        <v>-2.9572767885232419E-3</v>
      </c>
      <c r="B63">
        <f ca="1">'ETF variations'!B63/'ETF price'!C64</f>
        <v>-2.9293123319247675E-3</v>
      </c>
      <c r="C63">
        <f ca="1">'ETF variations'!C63/'ETF price'!D64</f>
        <v>-2.7173913043478369E-3</v>
      </c>
      <c r="D63">
        <f ca="1">'ETF variations'!D63/'ETF price'!E64</f>
        <v>-1.9396551724137946E-2</v>
      </c>
      <c r="E63">
        <f ca="1">'ETF variations'!E63/'ETF price'!F64</f>
        <v>3.4059945504087679E-3</v>
      </c>
      <c r="F63">
        <f ca="1">'ETF variations'!F63/'ETF price'!G64</f>
        <v>3.4470872113063723E-3</v>
      </c>
      <c r="G63">
        <f ca="1">'ETF variations'!G63/'ETF price'!H64</f>
        <v>2.0661157024794174E-3</v>
      </c>
      <c r="H63">
        <f ca="1">'ETF variations'!H63/'ETF price'!I64</f>
        <v>7.8837871377471641E-3</v>
      </c>
      <c r="I63">
        <f ca="1">'ETF variations'!I63/'ETF price'!J64</f>
        <v>1.281547291453727E-2</v>
      </c>
      <c r="J63">
        <f ca="1">'ETF variations'!J63/'ETF price'!K64</f>
        <v>2.1181887950882508E-2</v>
      </c>
      <c r="K63">
        <f ca="1">'ETF variations'!K63/'ETF price'!L64</f>
        <v>3.7605696484201263E-2</v>
      </c>
      <c r="L63">
        <f ca="1">'ETF variations'!L63/'ETF price'!M64</f>
        <v>2.2730936643559511E-2</v>
      </c>
      <c r="M63">
        <f ca="1">'ETF variations'!M63/'ETF price'!N64</f>
        <v>1.0356381358513659E-2</v>
      </c>
      <c r="N63">
        <f ca="1">'ETF variations'!N63/'ETF price'!O64</f>
        <v>3.4597471723220315E-2</v>
      </c>
      <c r="O63">
        <f ca="1">'ETF variations'!O63/'ETF price'!P64</f>
        <v>8.1109366823653127E-3</v>
      </c>
      <c r="P63">
        <f ca="1">'ETF variations'!P63/'ETF price'!Q64</f>
        <v>1.2425261584454393E-2</v>
      </c>
      <c r="Q63">
        <f ca="1">'ETF variations'!Q63/'ETF price'!R64</f>
        <v>1.0550198525240981E-2</v>
      </c>
      <c r="R63">
        <f ca="1">'ETF variations'!R63/'ETF price'!S64</f>
        <v>1.8436939141785E-2</v>
      </c>
      <c r="S63">
        <f ca="1">'ETF variations'!S63/'ETF price'!T64</f>
        <v>6.5234075211052078E-3</v>
      </c>
      <c r="T63">
        <f ca="1">'ETF variations'!T63/'ETF price'!U64</f>
        <v>6.745817593091899E-4</v>
      </c>
      <c r="U63">
        <f ca="1">'ETF variations'!U63/'ETF price'!V64</f>
        <v>9.9390405512854493E-3</v>
      </c>
      <c r="V63">
        <f ca="1">'ETF variations'!V63/'ETF price'!W64</f>
        <v>-2.6096033402923128E-3</v>
      </c>
      <c r="W63">
        <f ca="1">'ETF variations'!W63/'ETF price'!X64</f>
        <v>-1.0707784559374058E-3</v>
      </c>
      <c r="X63">
        <f ca="1">'ETF variations'!X63/'ETF price'!Y64</f>
        <v>-8.9780324737344583E-3</v>
      </c>
      <c r="Y63">
        <f ca="1">'ETF variations'!Y63/'ETF price'!Z64</f>
        <v>-1.8928191174730461E-3</v>
      </c>
      <c r="Z63">
        <f ca="1">'ETF variations'!Z63/'ETF price'!AA64</f>
        <v>1.986754966887419E-2</v>
      </c>
      <c r="AA63">
        <f ca="1">'ETF variations'!AA63/'ETF price'!AB64</f>
        <v>-9.5791001451380371E-3</v>
      </c>
      <c r="AB63">
        <f ca="1">'ETF variations'!AB63/'ETF price'!AC64</f>
        <v>0</v>
      </c>
      <c r="AC63">
        <f ca="1">'ETF variations'!AC63/'ETF price'!AD64</f>
        <v>1.8644067796610275E-2</v>
      </c>
      <c r="AD63">
        <f ca="1">'ETF variations'!AD63/'ETF price'!AE64</f>
        <v>1.9257703081232518E-2</v>
      </c>
      <c r="AE63">
        <f ca="1">'ETF variations'!AE63/'ETF price'!AF64</f>
        <v>-5.1724137931034496E-2</v>
      </c>
      <c r="AF63">
        <f ca="1">'ETF variations'!AF63/'ETF price'!AG64</f>
        <v>3.4383954154729099E-3</v>
      </c>
    </row>
    <row r="64" spans="1:32" x14ac:dyDescent="0.2">
      <c r="A64">
        <f ca="1">'ETF variations'!A64/'ETF price'!B65</f>
        <v>1.8995330051748017E-2</v>
      </c>
      <c r="B64">
        <f ca="1">'ETF variations'!B64/'ETF price'!C65</f>
        <v>1.967442084477199E-2</v>
      </c>
      <c r="C64">
        <f ca="1">'ETF variations'!C64/'ETF price'!D65</f>
        <v>2.2187621642662525E-2</v>
      </c>
      <c r="D64">
        <f ca="1">'ETF variations'!D64/'ETF price'!E65</f>
        <v>1.6289592760181063E-2</v>
      </c>
      <c r="E64">
        <f ca="1">'ETF variations'!E64/'ETF price'!F65</f>
        <v>1.2729124236252545E-2</v>
      </c>
      <c r="F64">
        <f ca="1">'ETF variations'!F64/'ETF price'!G65</f>
        <v>8.9316386121608242E-3</v>
      </c>
      <c r="G64">
        <f ca="1">'ETF variations'!G64/'ETF price'!H65</f>
        <v>1.6151202749140853E-2</v>
      </c>
      <c r="H64">
        <f ca="1">'ETF variations'!H64/'ETF price'!I65</f>
        <v>-8.329108423263603E-3</v>
      </c>
      <c r="I64">
        <f ca="1">'ETF variations'!I64/'ETF price'!J65</f>
        <v>-6.4430988976866815E-3</v>
      </c>
      <c r="J64">
        <f ca="1">'ETF variations'!J64/'ETF price'!K65</f>
        <v>1.2776191191943398E-2</v>
      </c>
      <c r="K64">
        <f ca="1">'ETF variations'!K64/'ETF price'!L65</f>
        <v>3.0345271284580724E-2</v>
      </c>
      <c r="L64">
        <f ca="1">'ETF variations'!L64/'ETF price'!M65</f>
        <v>1.0245901639344352E-2</v>
      </c>
      <c r="M64">
        <f ca="1">'ETF variations'!M64/'ETF price'!N65</f>
        <v>-6.632499246306869E-3</v>
      </c>
      <c r="N64">
        <f ca="1">'ETF variations'!N64/'ETF price'!O65</f>
        <v>2.250803858520898E-2</v>
      </c>
      <c r="O64">
        <f ca="1">'ETF variations'!O64/'ETF price'!P65</f>
        <v>1.2976901116012757E-3</v>
      </c>
      <c r="P64">
        <f ca="1">'ETF variations'!P64/'ETF price'!Q65</f>
        <v>0</v>
      </c>
      <c r="Q64">
        <f ca="1">'ETF variations'!Q64/'ETF price'!R65</f>
        <v>2.2451728783111835E-4</v>
      </c>
      <c r="R64">
        <f ca="1">'ETF variations'!R64/'ETF price'!S65</f>
        <v>-5.6071771867991253E-3</v>
      </c>
      <c r="S64">
        <f ca="1">'ETF variations'!S64/'ETF price'!T65</f>
        <v>1.9062142584826535E-2</v>
      </c>
      <c r="T64">
        <f ca="1">'ETF variations'!T64/'ETF price'!U65</f>
        <v>3.6268032897397835E-2</v>
      </c>
      <c r="U64">
        <f ca="1">'ETF variations'!U64/'ETF price'!V65</f>
        <v>4.1989240257184139E-2</v>
      </c>
      <c r="V64">
        <f ca="1">'ETF variations'!V64/'ETF price'!W65</f>
        <v>-4.4479330193616358E-3</v>
      </c>
      <c r="W64">
        <f ca="1">'ETF variations'!W64/'ETF price'!X65</f>
        <v>-3.2157787544218174E-3</v>
      </c>
      <c r="X64">
        <f ca="1">'ETF variations'!X64/'ETF price'!Y65</f>
        <v>-5.0115651503470525E-3</v>
      </c>
      <c r="Y64">
        <f ca="1">'ETF variations'!Y64/'ETF price'!Z65</f>
        <v>-4.385445063411219E-3</v>
      </c>
      <c r="Z64">
        <f ca="1">'ETF variations'!Z64/'ETF price'!AA65</f>
        <v>-3.0438311688311399E-3</v>
      </c>
      <c r="AA64">
        <f ca="1">'ETF variations'!AA64/'ETF price'!AB65</f>
        <v>-5.2754982415005782E-3</v>
      </c>
      <c r="AB64">
        <f ca="1">'ETF variations'!AB64/'ETF price'!AC65</f>
        <v>1.9963400432539916E-3</v>
      </c>
      <c r="AC64">
        <f ca="1">'ETF variations'!AC64/'ETF price'!AD65</f>
        <v>-9.9833610648918311E-3</v>
      </c>
      <c r="AD64">
        <f ca="1">'ETF variations'!AD64/'ETF price'!AE65</f>
        <v>-1.1336310546203996E-2</v>
      </c>
      <c r="AE64">
        <f ca="1">'ETF variations'!AE64/'ETF price'!AF65</f>
        <v>3.3057851239670184E-3</v>
      </c>
      <c r="AF64">
        <f ca="1">'ETF variations'!AF64/'ETF price'!AG65</f>
        <v>2.1701884637350028E-2</v>
      </c>
    </row>
    <row r="65" spans="1:32" x14ac:dyDescent="0.2">
      <c r="A65">
        <f ca="1">'ETF variations'!A65/'ETF price'!B66</f>
        <v>-2.1056543011085685E-2</v>
      </c>
      <c r="B65">
        <f ca="1">'ETF variations'!B65/'ETF price'!C66</f>
        <v>-2.3640271119193233E-2</v>
      </c>
      <c r="C65">
        <f ca="1">'ETF variations'!C65/'ETF price'!D66</f>
        <v>-2.4371667936024393E-2</v>
      </c>
      <c r="D65">
        <f ca="1">'ETF variations'!D65/'ETF price'!E66</f>
        <v>-4.6050120849764717E-2</v>
      </c>
      <c r="E65">
        <f ca="1">'ETF variations'!E65/'ETF price'!F66</f>
        <v>-1.7094017094017144E-2</v>
      </c>
      <c r="F65">
        <f ca="1">'ETF variations'!F65/'ETF price'!G66</f>
        <v>-2.9281579843377575E-2</v>
      </c>
      <c r="G65">
        <f ca="1">'ETF variations'!G65/'ETF price'!H66</f>
        <v>-2.3334460601961489E-2</v>
      </c>
      <c r="H65">
        <f ca="1">'ETF variations'!H65/'ETF price'!I66</f>
        <v>2.1180251241602432E-3</v>
      </c>
      <c r="I65">
        <f ca="1">'ETF variations'!I65/'ETF price'!J66</f>
        <v>-7.0317993593241041E-4</v>
      </c>
      <c r="J65">
        <f ca="1">'ETF variations'!J65/'ETF price'!K66</f>
        <v>-1.5434847135648444E-2</v>
      </c>
      <c r="K65">
        <f ca="1">'ETF variations'!K65/'ETF price'!L66</f>
        <v>-2.9555624934956847E-2</v>
      </c>
      <c r="L65">
        <f ca="1">'ETF variations'!L65/'ETF price'!M66</f>
        <v>-1.5603058199407082E-2</v>
      </c>
      <c r="M65">
        <f ca="1">'ETF variations'!M65/'ETF price'!N66</f>
        <v>-6.0698027314121778E-4</v>
      </c>
      <c r="N65">
        <f ca="1">'ETF variations'!N65/'ETF price'!O66</f>
        <v>-2.8930817610062946E-2</v>
      </c>
      <c r="O65">
        <f ca="1">'ETF variations'!O65/'ETF price'!P66</f>
        <v>-1.5681700362882241E-2</v>
      </c>
      <c r="P65">
        <f ca="1">'ETF variations'!P65/'ETF price'!Q66</f>
        <v>-1.6517486389222166E-2</v>
      </c>
      <c r="Q65">
        <f ca="1">'ETF variations'!Q65/'ETF price'!R66</f>
        <v>-7.968574635241232E-3</v>
      </c>
      <c r="R65">
        <f ca="1">'ETF variations'!R65/'ETF price'!S66</f>
        <v>-2.4166263895601739E-2</v>
      </c>
      <c r="S65">
        <f ca="1">'ETF variations'!S65/'ETF price'!T66</f>
        <v>-8.2304526748970767E-3</v>
      </c>
      <c r="T65">
        <f ca="1">'ETF variations'!T65/'ETF price'!U66</f>
        <v>-2.6801977621649781E-2</v>
      </c>
      <c r="U65">
        <f ca="1">'ETF variations'!U65/'ETF price'!V66</f>
        <v>-2.5941317214456649E-2</v>
      </c>
      <c r="V65">
        <f ca="1">'ETF variations'!V65/'ETF price'!W66</f>
        <v>-6.3074901445465152E-3</v>
      </c>
      <c r="W65">
        <f ca="1">'ETF variations'!W65/'ETF price'!X66</f>
        <v>-9.3558447144853254E-3</v>
      </c>
      <c r="X65">
        <f ca="1">'ETF variations'!X65/'ETF price'!Y66</f>
        <v>-1.2592018597442824E-2</v>
      </c>
      <c r="Y65">
        <f ca="1">'ETF variations'!Y65/'ETF price'!Z66</f>
        <v>-7.9761904761904961E-3</v>
      </c>
      <c r="Z65">
        <f ca="1">'ETF variations'!Z65/'ETF price'!AA66</f>
        <v>8.141664970486291E-4</v>
      </c>
      <c r="AA65">
        <f ca="1">'ETF variations'!AA65/'ETF price'!AB66</f>
        <v>-1.3995285798467719E-2</v>
      </c>
      <c r="AB65">
        <f ca="1">'ETF variations'!AB65/'ETF price'!AC66</f>
        <v>-1.1622115224970874E-2</v>
      </c>
      <c r="AC65">
        <f ca="1">'ETF variations'!AC65/'ETF price'!AD66</f>
        <v>1.1204481792716848E-3</v>
      </c>
      <c r="AD65">
        <f ca="1">'ETF variations'!AD65/'ETF price'!AE66</f>
        <v>2.0847810979846672E-3</v>
      </c>
      <c r="AE65">
        <f ca="1">'ETF variations'!AE65/'ETF price'!AF66</f>
        <v>2.141680395387148E-2</v>
      </c>
      <c r="AF65">
        <f ca="1">'ETF variations'!AF65/'ETF price'!AG66</f>
        <v>-5.8133035215203972E-2</v>
      </c>
    </row>
    <row r="66" spans="1:32" x14ac:dyDescent="0.2">
      <c r="A66">
        <f ca="1">'ETF variations'!A66/'ETF price'!B67</f>
        <v>-2.3660403618649843E-2</v>
      </c>
      <c r="B66">
        <f ca="1">'ETF variations'!B66/'ETF price'!C67</f>
        <v>-2.6849209036814915E-2</v>
      </c>
      <c r="C66">
        <f ca="1">'ETF variations'!C66/'ETF price'!D67</f>
        <v>-2.8103044496487213E-2</v>
      </c>
      <c r="D66">
        <f ca="1">'ETF variations'!D66/'ETF price'!E67</f>
        <v>-2.4869982664355181E-2</v>
      </c>
      <c r="E66">
        <f ca="1">'ETF variations'!E66/'ETF price'!F67</f>
        <v>-2.3529411764705806E-2</v>
      </c>
      <c r="F66">
        <f ca="1">'ETF variations'!F66/'ETF price'!G67</f>
        <v>-2.9814100315678757E-2</v>
      </c>
      <c r="G66">
        <f ca="1">'ETF variations'!G66/'ETF price'!H67</f>
        <v>-1.9044321329639916E-2</v>
      </c>
      <c r="H66">
        <f ca="1">'ETF variations'!H66/'ETF price'!I67</f>
        <v>1.523212593834271E-2</v>
      </c>
      <c r="I66">
        <f ca="1">'ETF variations'!I66/'ETF price'!J67</f>
        <v>1.2822517591868541E-2</v>
      </c>
      <c r="J66">
        <f ca="1">'ETF variations'!J66/'ETF price'!K67</f>
        <v>-1.5073861923426066E-3</v>
      </c>
      <c r="K66">
        <f ca="1">'ETF variations'!K66/'ETF price'!L67</f>
        <v>8.5790884718496834E-4</v>
      </c>
      <c r="L66">
        <f ca="1">'ETF variations'!L66/'ETF price'!M67</f>
        <v>7.2911713425264498E-3</v>
      </c>
      <c r="M66">
        <f ca="1">'ETF variations'!M66/'ETF price'!N67</f>
        <v>1.3209839052535751E-2</v>
      </c>
      <c r="N66">
        <f ca="1">'ETF variations'!N66/'ETF price'!O67</f>
        <v>-1.1658031088082884E-2</v>
      </c>
      <c r="O66">
        <f ca="1">'ETF variations'!O66/'ETF price'!P67</f>
        <v>5.9249506254114917E-3</v>
      </c>
      <c r="P66">
        <f ca="1">'ETF variations'!P66/'ETF price'!Q67</f>
        <v>5.0666166260086905E-3</v>
      </c>
      <c r="Q66">
        <f ca="1">'ETF variations'!Q66/'ETF price'!R67</f>
        <v>-1.1539766941961715E-2</v>
      </c>
      <c r="R66">
        <f ca="1">'ETF variations'!R66/'ETF price'!S67</f>
        <v>-7.0992240383027858E-3</v>
      </c>
      <c r="S66">
        <f ca="1">'ETF variations'!S66/'ETF price'!T67</f>
        <v>-7.921539041871024E-3</v>
      </c>
      <c r="T66">
        <f ca="1">'ETF variations'!T66/'ETF price'!U67</f>
        <v>-2.339572192513369E-2</v>
      </c>
      <c r="U66">
        <f ca="1">'ETF variations'!U66/'ETF price'!V67</f>
        <v>-2.5985778926955281E-2</v>
      </c>
      <c r="V66">
        <f ca="1">'ETF variations'!V66/'ETF price'!W67</f>
        <v>-6.876487701666361E-3</v>
      </c>
      <c r="W66">
        <f ca="1">'ETF variations'!W66/'ETF price'!X67</f>
        <v>-8.4672166739036166E-3</v>
      </c>
      <c r="X66">
        <f ca="1">'ETF variations'!X66/'ETF price'!Y67</f>
        <v>-1.7068864037669166E-2</v>
      </c>
      <c r="Y66">
        <f ca="1">'ETF variations'!Y66/'ETF price'!Z67</f>
        <v>-8.1603264130564335E-3</v>
      </c>
      <c r="Z66">
        <f ca="1">'ETF variations'!Z66/'ETF price'!AA67</f>
        <v>1.4846451088061763E-2</v>
      </c>
      <c r="AA66">
        <f ca="1">'ETF variations'!AA66/'ETF price'!AB67</f>
        <v>-1.4940983116689076E-2</v>
      </c>
      <c r="AB66">
        <f ca="1">'ETF variations'!AB66/'ETF price'!AC67</f>
        <v>-1.6126322862422323E-2</v>
      </c>
      <c r="AC66">
        <f ca="1">'ETF variations'!AC66/'ETF price'!AD67</f>
        <v>-5.0363738108561949E-2</v>
      </c>
      <c r="AD66">
        <f ca="1">'ETF variations'!AD66/'ETF price'!AE67</f>
        <v>-5.2011095700416086E-2</v>
      </c>
      <c r="AE66">
        <f ca="1">'ETF variations'!AE66/'ETF price'!AF67</f>
        <v>-6.1290322580645144E-2</v>
      </c>
      <c r="AF66">
        <f ca="1">'ETF variations'!AF66/'ETF price'!AG67</f>
        <v>-5.7566765578635049E-2</v>
      </c>
    </row>
    <row r="67" spans="1:32" x14ac:dyDescent="0.2">
      <c r="A67">
        <f ca="1">'ETF variations'!A67/'ETF price'!B68</f>
        <v>1.5551091816236678E-3</v>
      </c>
      <c r="B67">
        <f ca="1">'ETF variations'!B67/'ETF price'!C68</f>
        <v>3.1069795187910121E-3</v>
      </c>
      <c r="C67">
        <f ca="1">'ETF variations'!C67/'ETF price'!D68</f>
        <v>3.41365461847393E-3</v>
      </c>
      <c r="D67">
        <f ca="1">'ETF variations'!D67/'ETF price'!E68</f>
        <v>2.1880341880341414E-3</v>
      </c>
      <c r="E67">
        <f ca="1">'ETF variations'!E67/'ETF price'!F68</f>
        <v>7.5082940457482051E-3</v>
      </c>
      <c r="F67">
        <f ca="1">'ETF variations'!F67/'ETF price'!G68</f>
        <v>-1.4461315979753849E-3</v>
      </c>
      <c r="G67">
        <f ca="1">'ETF variations'!G67/'ETF price'!H68</f>
        <v>4.5887751500177393E-3</v>
      </c>
      <c r="H67">
        <f ca="1">'ETF variations'!H67/'ETF price'!I68</f>
        <v>1.9239052404881395E-2</v>
      </c>
      <c r="I67">
        <f ca="1">'ETF variations'!I67/'ETF price'!J68</f>
        <v>1.7021769337656419E-2</v>
      </c>
      <c r="J67">
        <f ca="1">'ETF variations'!J67/'ETF price'!K68</f>
        <v>1.0794082125603918E-2</v>
      </c>
      <c r="K67">
        <f ca="1">'ETF variations'!K67/'ETF price'!L68</f>
        <v>-9.643201542912155E-3</v>
      </c>
      <c r="L67">
        <f ca="1">'ETF variations'!L67/'ETF price'!M68</f>
        <v>4.8780487804878413E-3</v>
      </c>
      <c r="M67">
        <f ca="1">'ETF variations'!M67/'ETF price'!N68</f>
        <v>1.6484339877116654E-2</v>
      </c>
      <c r="N67">
        <f ca="1">'ETF variations'!N67/'ETF price'!O68</f>
        <v>-6.5530799475752206E-4</v>
      </c>
      <c r="O67">
        <f ca="1">'ETF variations'!O67/'ETF price'!P68</f>
        <v>1.3089005235602092E-2</v>
      </c>
      <c r="P67">
        <f ca="1">'ETF variations'!P67/'ETF price'!Q68</f>
        <v>1.2789395070948378E-2</v>
      </c>
      <c r="Q67">
        <f ca="1">'ETF variations'!Q67/'ETF price'!R68</f>
        <v>6.5239784823165059E-3</v>
      </c>
      <c r="R67">
        <f ca="1">'ETF variations'!R67/'ETF price'!S68</f>
        <v>2.2447622214832083E-2</v>
      </c>
      <c r="S67">
        <f ca="1">'ETF variations'!S67/'ETF price'!T68</f>
        <v>3.422053231939158E-3</v>
      </c>
      <c r="T67">
        <f ca="1">'ETF variations'!T67/'ETF price'!U68</f>
        <v>8.2135523613966149E-4</v>
      </c>
      <c r="U67">
        <f ca="1">'ETF variations'!U67/'ETF price'!V68</f>
        <v>-1.0485797717016276E-2</v>
      </c>
      <c r="V67">
        <f ca="1">'ETF variations'!V67/'ETF price'!W68</f>
        <v>-1.0652463382156898E-3</v>
      </c>
      <c r="W67">
        <f ca="1">'ETF variations'!W67/'ETF price'!X68</f>
        <v>-3.8318370921831455E-3</v>
      </c>
      <c r="X67">
        <f ca="1">'ETF variations'!X67/'ETF price'!Y68</f>
        <v>-1.2375249500998095E-2</v>
      </c>
      <c r="Y67">
        <f ca="1">'ETF variations'!Y67/'ETF price'!Z68</f>
        <v>-2.1778584392015345E-3</v>
      </c>
      <c r="Z67">
        <f ca="1">'ETF variations'!Z67/'ETF price'!AA68</f>
        <v>-8.2164328657313955E-3</v>
      </c>
      <c r="AA67">
        <f ca="1">'ETF variations'!AA67/'ETF price'!AB68</f>
        <v>-1.2740785681783761E-2</v>
      </c>
      <c r="AB67">
        <f ca="1">'ETF variations'!AB67/'ETF price'!AC68</f>
        <v>-5.8050196346252931E-3</v>
      </c>
      <c r="AC67">
        <f ca="1">'ETF variations'!AC67/'ETF price'!AD68</f>
        <v>-8.8391278727164759E-3</v>
      </c>
      <c r="AD67">
        <f ca="1">'ETF variations'!AD67/'ETF price'!AE68</f>
        <v>-9.8756400877834521E-3</v>
      </c>
      <c r="AE67">
        <f ca="1">'ETF variations'!AE67/'ETF price'!AF68</f>
        <v>-4.4673539518900456E-2</v>
      </c>
      <c r="AF67">
        <f ca="1">'ETF variations'!AF67/'ETF price'!AG68</f>
        <v>-1.5743073047858942E-2</v>
      </c>
    </row>
    <row r="68" spans="1:32" x14ac:dyDescent="0.2">
      <c r="A68">
        <f ca="1">'ETF variations'!A68/'ETF price'!B69</f>
        <v>-1.3974251148347007E-2</v>
      </c>
      <c r="B68">
        <f ca="1">'ETF variations'!B68/'ETF price'!C69</f>
        <v>-1.4669078474614109E-2</v>
      </c>
      <c r="C68">
        <f ca="1">'ETF variations'!C68/'ETF price'!D69</f>
        <v>-1.7510506303782269E-2</v>
      </c>
      <c r="D68">
        <f ca="1">'ETF variations'!D68/'ETF price'!E69</f>
        <v>-2.4834550044347318E-2</v>
      </c>
      <c r="E68">
        <f ca="1">'ETF variations'!E68/'ETF price'!F69</f>
        <v>-1.1785095320623912E-2</v>
      </c>
      <c r="F68">
        <f ca="1">'ETF variations'!F68/'ETF price'!G69</f>
        <v>-1.4120202751629275E-2</v>
      </c>
      <c r="G68">
        <f ca="1">'ETF variations'!G68/'ETF price'!H69</f>
        <v>-9.4869992972592965E-3</v>
      </c>
      <c r="H68">
        <f ca="1">'ETF variations'!H68/'ETF price'!I69</f>
        <v>5.9867586984083867E-3</v>
      </c>
      <c r="I68">
        <f ca="1">'ETF variations'!I68/'ETF price'!J69</f>
        <v>3.7193062355308291E-3</v>
      </c>
      <c r="J68">
        <f ca="1">'ETF variations'!J68/'ETF price'!K69</f>
        <v>-4.2565902471808914E-3</v>
      </c>
      <c r="K68">
        <f ca="1">'ETF variations'!K68/'ETF price'!L69</f>
        <v>-2.2611706156009988E-2</v>
      </c>
      <c r="L68">
        <f ca="1">'ETF variations'!L68/'ETF price'!M69</f>
        <v>-7.0466645787660952E-3</v>
      </c>
      <c r="M68">
        <f ca="1">'ETF variations'!M68/'ETF price'!N69</f>
        <v>3.6856848002358839E-3</v>
      </c>
      <c r="N68">
        <f ca="1">'ETF variations'!N68/'ETF price'!O69</f>
        <v>-1.1147540983606553E-2</v>
      </c>
      <c r="O68">
        <f ca="1">'ETF variations'!O68/'ETF price'!P69</f>
        <v>2.7519379844961181E-2</v>
      </c>
      <c r="P68">
        <f ca="1">'ETF variations'!P68/'ETF price'!Q69</f>
        <v>2.6822748640427791E-2</v>
      </c>
      <c r="Q68">
        <f ca="1">'ETF variations'!Q68/'ETF price'!R69</f>
        <v>6.1405503752559277E-3</v>
      </c>
      <c r="R68">
        <f ca="1">'ETF variations'!R68/'ETF price'!S69</f>
        <v>-1.9515368352578395E-3</v>
      </c>
      <c r="S68">
        <f ca="1">'ETF variations'!S68/'ETF price'!T69</f>
        <v>1.2504736642667613E-2</v>
      </c>
      <c r="T68">
        <f ca="1">'ETF variations'!T68/'ETF price'!U69</f>
        <v>1.3678019422787581E-2</v>
      </c>
      <c r="U68">
        <f ca="1">'ETF variations'!U68/'ETF price'!V69</f>
        <v>-2.4681421864520502E-2</v>
      </c>
      <c r="V68">
        <f ca="1">'ETF variations'!V68/'ETF price'!W69</f>
        <v>1.0130631831511666E-2</v>
      </c>
      <c r="W68">
        <f ca="1">'ETF variations'!W68/'ETF price'!X69</f>
        <v>7.8030552808001762E-3</v>
      </c>
      <c r="X68">
        <f ca="1">'ETF variations'!X68/'ETF price'!Y69</f>
        <v>8.0840743734854998E-4</v>
      </c>
      <c r="Y68">
        <f ca="1">'ETF variations'!Y68/'ETF price'!Z69</f>
        <v>8.6091912210501751E-3</v>
      </c>
      <c r="Z68">
        <f ca="1">'ETF variations'!Z68/'ETF price'!AA69</f>
        <v>3.6370984037179168E-3</v>
      </c>
      <c r="AA68">
        <f ca="1">'ETF variations'!AA68/'ETF price'!AB69</f>
        <v>-1.5363343063451915E-3</v>
      </c>
      <c r="AB68">
        <f ca="1">'ETF variations'!AB68/'ETF price'!AC69</f>
        <v>7.2127769191138889E-3</v>
      </c>
      <c r="AC68">
        <f ca="1">'ETF variations'!AC68/'ETF price'!AD69</f>
        <v>-1.4863258026159334E-2</v>
      </c>
      <c r="AD68">
        <f ca="1">'ETF variations'!AD68/'ETF price'!AE69</f>
        <v>-1.4407092722571133E-2</v>
      </c>
      <c r="AE68">
        <f ca="1">'ETF variations'!AE68/'ETF price'!AF69</f>
        <v>-7.1942446043165541E-3</v>
      </c>
      <c r="AF68">
        <f ca="1">'ETF variations'!AF68/'ETF price'!AG69</f>
        <v>-3.8387715930902198E-2</v>
      </c>
    </row>
    <row r="69" spans="1:32" x14ac:dyDescent="0.2">
      <c r="A69">
        <f ca="1">'ETF variations'!A69/'ETF price'!B70</f>
        <v>-2.5195197165540341E-2</v>
      </c>
      <c r="B69">
        <f ca="1">'ETF variations'!B69/'ETF price'!C70</f>
        <v>-2.3689173896642674E-2</v>
      </c>
      <c r="C69">
        <f ca="1">'ETF variations'!C69/'ETF price'!D70</f>
        <v>-2.4340564212241581E-2</v>
      </c>
      <c r="D69">
        <f ca="1">'ETF variations'!D69/'ETF price'!E70</f>
        <v>-2.0499545231931763E-2</v>
      </c>
      <c r="E69">
        <f ca="1">'ETF variations'!E69/'ETF price'!F70</f>
        <v>3.682918274289613E-3</v>
      </c>
      <c r="F69">
        <f ca="1">'ETF variations'!F69/'ETF price'!G70</f>
        <v>-3.3419023136246791E-2</v>
      </c>
      <c r="G69">
        <f ca="1">'ETF variations'!G69/'ETF price'!H70</f>
        <v>-1.2770485987939091E-2</v>
      </c>
      <c r="H69">
        <f ca="1">'ETF variations'!H69/'ETF price'!I70</f>
        <v>-1.9883777917804404E-2</v>
      </c>
      <c r="I69">
        <f ca="1">'ETF variations'!I69/'ETF price'!J70</f>
        <v>-2.0834121072333525E-2</v>
      </c>
      <c r="J69">
        <f ca="1">'ETF variations'!J69/'ETF price'!K70</f>
        <v>-2.3023848807559571E-2</v>
      </c>
      <c r="K69">
        <f ca="1">'ETF variations'!K69/'ETF price'!L70</f>
        <v>-3.342926721275194E-2</v>
      </c>
      <c r="L69">
        <f ca="1">'ETF variations'!L69/'ETF price'!M70</f>
        <v>-2.4759501655890134E-2</v>
      </c>
      <c r="M69">
        <f ca="1">'ETF variations'!M69/'ETF price'!N70</f>
        <v>-1.9829612220916486E-2</v>
      </c>
      <c r="N69">
        <f ca="1">'ETF variations'!N69/'ETF price'!O70</f>
        <v>-2.6525198938992064E-2</v>
      </c>
      <c r="O69">
        <f ca="1">'ETF variations'!O69/'ETF price'!P70</f>
        <v>-3.0051552873129644E-2</v>
      </c>
      <c r="P69">
        <f ca="1">'ETF variations'!P69/'ETF price'!Q70</f>
        <v>-2.96229802513466E-2</v>
      </c>
      <c r="Q69">
        <f ca="1">'ETF variations'!Q69/'ETF price'!R70</f>
        <v>-4.9728752260397571E-3</v>
      </c>
      <c r="R69">
        <f ca="1">'ETF variations'!R69/'ETF price'!S70</f>
        <v>-9.2879256965944321E-3</v>
      </c>
      <c r="S69">
        <f ca="1">'ETF variations'!S69/'ETF price'!T70</f>
        <v>-8.2335329341316939E-3</v>
      </c>
      <c r="T69">
        <f ca="1">'ETF variations'!T69/'ETF price'!U70</f>
        <v>-2.442315476993661E-2</v>
      </c>
      <c r="U69">
        <f ca="1">'ETF variations'!U69/'ETF price'!V70</f>
        <v>-6.7391005363773198E-3</v>
      </c>
      <c r="V69">
        <f ca="1">'ETF variations'!V69/'ETF price'!W70</f>
        <v>-4.4866719451042937E-3</v>
      </c>
      <c r="W69">
        <f ca="1">'ETF variations'!W69/'ETF price'!X70</f>
        <v>-4.6892039258452211E-3</v>
      </c>
      <c r="X69">
        <f ca="1">'ETF variations'!X69/'ETF price'!Y70</f>
        <v>2.827140549272889E-3</v>
      </c>
      <c r="Y69">
        <f ca="1">'ETF variations'!Y69/'ETF price'!Z70</f>
        <v>-4.6886270738158275E-3</v>
      </c>
      <c r="Z69">
        <f ca="1">'ETF variations'!Z69/'ETF price'!AA70</f>
        <v>-1.3690356351922683E-2</v>
      </c>
      <c r="AA69">
        <f ca="1">'ETF variations'!AA69/'ETF price'!AB70</f>
        <v>3.5390060009232805E-3</v>
      </c>
      <c r="AB69">
        <f ca="1">'ETF variations'!AB69/'ETF price'!AC70</f>
        <v>-6.6496163682864548E-3</v>
      </c>
      <c r="AC69">
        <f ca="1">'ETF variations'!AC69/'ETF price'!AD70</f>
        <v>-6.5178032589016291E-2</v>
      </c>
      <c r="AD69">
        <f ca="1">'ETF variations'!AD69/'ETF price'!AE70</f>
        <v>-6.6341829085457257E-2</v>
      </c>
      <c r="AE69">
        <f ca="1">'ETF variations'!AE69/'ETF price'!AF70</f>
        <v>-3.6231884057970891E-2</v>
      </c>
      <c r="AF69">
        <f ca="1">'ETF variations'!AF69/'ETF price'!AG70</f>
        <v>-4.1916167664670594E-2</v>
      </c>
    </row>
    <row r="70" spans="1:32" x14ac:dyDescent="0.2">
      <c r="A70">
        <f ca="1">'ETF variations'!A70/'ETF price'!B71</f>
        <v>-4.4423504072154309E-3</v>
      </c>
      <c r="B70">
        <f ca="1">'ETF variations'!B70/'ETF price'!C71</f>
        <v>-2.7303402622157026E-3</v>
      </c>
      <c r="C70">
        <f ca="1">'ETF variations'!C70/'ETF price'!D71</f>
        <v>-4.4885177453026373E-3</v>
      </c>
      <c r="D70">
        <f ca="1">'ETF variations'!D70/'ETF price'!E71</f>
        <v>-3.0714285714286203E-3</v>
      </c>
      <c r="E70">
        <f ca="1">'ETF variations'!E70/'ETF price'!F71</f>
        <v>1.9220688450114719E-3</v>
      </c>
      <c r="F70">
        <f ca="1">'ETF variations'!F70/'ETF price'!G71</f>
        <v>-1.55775075987842E-2</v>
      </c>
      <c r="G70">
        <f ca="1">'ETF variations'!G70/'ETF price'!H71</f>
        <v>-2.8745957599711929E-3</v>
      </c>
      <c r="H70">
        <f ca="1">'ETF variations'!H70/'ETF price'!I71</f>
        <v>-9.7149796414030543E-3</v>
      </c>
      <c r="I70">
        <f ca="1">'ETF variations'!I70/'ETF price'!J71</f>
        <v>-8.418288538770493E-3</v>
      </c>
      <c r="J70">
        <f ca="1">'ETF variations'!J70/'ETF price'!K71</f>
        <v>-7.6763644737852148E-3</v>
      </c>
      <c r="K70">
        <f ca="1">'ETF variations'!K70/'ETF price'!L71</f>
        <v>-1.9468621163534986E-3</v>
      </c>
      <c r="L70">
        <f ca="1">'ETF variations'!L70/'ETF price'!M71</f>
        <v>-6.4683053040104407E-3</v>
      </c>
      <c r="M70">
        <f ca="1">'ETF variations'!M70/'ETF price'!N71</f>
        <v>-9.1413157500374546E-3</v>
      </c>
      <c r="N70">
        <f ca="1">'ETF variations'!N70/'ETF price'!O71</f>
        <v>1.3623978201634586E-3</v>
      </c>
      <c r="O70">
        <f ca="1">'ETF variations'!O70/'ETF price'!P71</f>
        <v>1.6593207155820602E-2</v>
      </c>
      <c r="P70">
        <f ca="1">'ETF variations'!P70/'ETF price'!Q71</f>
        <v>1.6836262719704048E-2</v>
      </c>
      <c r="Q70">
        <f ca="1">'ETF variations'!Q70/'ETF price'!R71</f>
        <v>2.2716946842339867E-4</v>
      </c>
      <c r="R70">
        <f ca="1">'ETF variations'!R70/'ETF price'!S71</f>
        <v>2.5164473684210546E-2</v>
      </c>
      <c r="S70">
        <f ca="1">'ETF variations'!S70/'ETF price'!T71</f>
        <v>2.9811320754716947E-2</v>
      </c>
      <c r="T70">
        <f ca="1">'ETF variations'!T70/'ETF price'!U71</f>
        <v>5.0899031811894979E-2</v>
      </c>
      <c r="U70">
        <f ca="1">'ETF variations'!U70/'ETF price'!V71</f>
        <v>-7.0617557463307275E-3</v>
      </c>
      <c r="V70">
        <f ca="1">'ETF variations'!V70/'ETF price'!W71</f>
        <v>-1.0869565217391214E-2</v>
      </c>
      <c r="W70">
        <f ca="1">'ETF variations'!W70/'ETF price'!X71</f>
        <v>-9.6417223622219297E-3</v>
      </c>
      <c r="X70">
        <f ca="1">'ETF variations'!X70/'ETF price'!Y71</f>
        <v>-1.0269834877164681E-2</v>
      </c>
      <c r="Y70">
        <f ca="1">'ETF variations'!Y70/'ETF price'!Z71</f>
        <v>-1.0387727986471789E-2</v>
      </c>
      <c r="Z70">
        <f ca="1">'ETF variations'!Z70/'ETF price'!AA71</f>
        <v>-3.0618493570116058E-3</v>
      </c>
      <c r="AA70">
        <f ca="1">'ETF variations'!AA70/'ETF price'!AB71</f>
        <v>-9.199632014719324E-3</v>
      </c>
      <c r="AB70">
        <f ca="1">'ETF variations'!AB70/'ETF price'!AC71</f>
        <v>-1.1500171644352809E-2</v>
      </c>
      <c r="AC70">
        <f ca="1">'ETF variations'!AC70/'ETF price'!AD71</f>
        <v>-1.8721755971594638E-2</v>
      </c>
      <c r="AD70">
        <f ca="1">'ETF variations'!AD70/'ETF price'!AE71</f>
        <v>-1.6860698514652817E-2</v>
      </c>
      <c r="AE70">
        <f ca="1">'ETF variations'!AE70/'ETF price'!AF71</f>
        <v>-2.6315789473684317E-2</v>
      </c>
      <c r="AF70">
        <f ca="1">'ETF variations'!AF70/'ETF price'!AG71</f>
        <v>-2.1527777777777812E-2</v>
      </c>
    </row>
    <row r="71" spans="1:32" x14ac:dyDescent="0.2">
      <c r="A71">
        <f ca="1">'ETF variations'!A71/'ETF price'!B72</f>
        <v>1.6090866067202999E-2</v>
      </c>
      <c r="B71">
        <f ca="1">'ETF variations'!B71/'ETF price'!C72</f>
        <v>1.7434202030115968E-2</v>
      </c>
      <c r="C71">
        <f ca="1">'ETF variations'!C71/'ETF price'!D72</f>
        <v>1.8349585823634267E-2</v>
      </c>
      <c r="D71">
        <f ca="1">'ETF variations'!D71/'ETF price'!E72</f>
        <v>2.1494590528050441E-2</v>
      </c>
      <c r="E71">
        <f ca="1">'ETF variations'!E71/'ETF price'!F72</f>
        <v>2.8426927101499744E-2</v>
      </c>
      <c r="F71">
        <f ca="1">'ETF variations'!F71/'ETF price'!G72</f>
        <v>2.5472790428406025E-2</v>
      </c>
      <c r="G71">
        <f ca="1">'ETF variations'!G71/'ETF price'!H72</f>
        <v>2.0540540540540549E-2</v>
      </c>
      <c r="H71">
        <f ca="1">'ETF variations'!H71/'ETF price'!I72</f>
        <v>4.9051431869004316E-3</v>
      </c>
      <c r="I71">
        <f ca="1">'ETF variations'!I71/'ETF price'!J72</f>
        <v>7.3214424799441253E-3</v>
      </c>
      <c r="J71">
        <f ca="1">'ETF variations'!J71/'ETF price'!K72</f>
        <v>2.4986462442948786E-2</v>
      </c>
      <c r="K71">
        <f ca="1">'ETF variations'!K71/'ETF price'!L72</f>
        <v>3.7406769936890315E-2</v>
      </c>
      <c r="L71">
        <f ca="1">'ETF variations'!L71/'ETF price'!M72</f>
        <v>2.5390625000000038E-2</v>
      </c>
      <c r="M71">
        <f ca="1">'ETF variations'!M71/'ETF price'!N72</f>
        <v>7.1082879612824994E-3</v>
      </c>
      <c r="N71">
        <f ca="1">'ETF variations'!N71/'ETF price'!O72</f>
        <v>1.3605442176870821E-2</v>
      </c>
      <c r="O71">
        <f ca="1">'ETF variations'!O71/'ETF price'!P72</f>
        <v>1.4919663351185943E-2</v>
      </c>
      <c r="P71">
        <f ca="1">'ETF variations'!P71/'ETF price'!Q72</f>
        <v>1.5829694323144058E-2</v>
      </c>
      <c r="Q71">
        <f ca="1">'ETF variations'!Q71/'ETF price'!R72</f>
        <v>1.4762661821485319E-2</v>
      </c>
      <c r="R71">
        <f ca="1">'ETF variations'!R71/'ETF price'!S72</f>
        <v>4.5403497513235976E-2</v>
      </c>
      <c r="S71">
        <f ca="1">'ETF variations'!S71/'ETF price'!T72</f>
        <v>2.1986075485525888E-2</v>
      </c>
      <c r="T71">
        <f ca="1">'ETF variations'!T71/'ETF price'!U72</f>
        <v>3.2113714135298732E-2</v>
      </c>
      <c r="U71">
        <f ca="1">'ETF variations'!U71/'ETF price'!V72</f>
        <v>1.7989122855947656E-2</v>
      </c>
      <c r="V71">
        <f ca="1">'ETF variations'!V71/'ETF price'!W72</f>
        <v>0</v>
      </c>
      <c r="W71">
        <f ca="1">'ETF variations'!W71/'ETF price'!X72</f>
        <v>3.0976877973227252E-3</v>
      </c>
      <c r="X71">
        <f ca="1">'ETF variations'!X71/'ETF price'!Y72</f>
        <v>1.4038657171922785E-2</v>
      </c>
      <c r="Y71">
        <f ca="1">'ETF variations'!Y71/'ETF price'!Z72</f>
        <v>2.1969974368362334E-3</v>
      </c>
      <c r="Z71">
        <f ca="1">'ETF variations'!Z71/'ETF price'!AA72</f>
        <v>4.0950040950040074E-3</v>
      </c>
      <c r="AA71">
        <f ca="1">'ETF variations'!AA71/'ETF price'!AB72</f>
        <v>1.4082327452800936E-2</v>
      </c>
      <c r="AB71">
        <f ca="1">'ETF variations'!AB71/'ETF price'!AC72</f>
        <v>5.7301614863691317E-3</v>
      </c>
      <c r="AC71">
        <f ca="1">'ETF variations'!AC71/'ETF price'!AD72</f>
        <v>4.8026315789473716E-2</v>
      </c>
      <c r="AD71">
        <f ca="1">'ETF variations'!AD71/'ETF price'!AE72</f>
        <v>4.8182931808901729E-2</v>
      </c>
      <c r="AE71">
        <f ca="1">'ETF variations'!AE71/'ETF price'!AF72</f>
        <v>1.9305019305020609E-3</v>
      </c>
      <c r="AF71">
        <f ca="1">'ETF variations'!AF71/'ETF price'!AG72</f>
        <v>3.4066713981547224E-2</v>
      </c>
    </row>
    <row r="72" spans="1:32" x14ac:dyDescent="0.2">
      <c r="A72">
        <f ca="1">'ETF variations'!A72/'ETF price'!B73</f>
        <v>-2.4286379665979147E-2</v>
      </c>
      <c r="B72">
        <f ca="1">'ETF variations'!B72/'ETF price'!C73</f>
        <v>-2.4725832656376952E-2</v>
      </c>
      <c r="C72">
        <f ca="1">'ETF variations'!C72/'ETF price'!D73</f>
        <v>-2.707990115321262E-2</v>
      </c>
      <c r="D72">
        <f ca="1">'ETF variations'!D72/'ETF price'!E73</f>
        <v>-2.763554745037524E-2</v>
      </c>
      <c r="E72">
        <f ca="1">'ETF variations'!E72/'ETF price'!F73</f>
        <v>-1.7975241648295781E-2</v>
      </c>
      <c r="F72">
        <f ca="1">'ETF variations'!F72/'ETF price'!G73</f>
        <v>-1.8818216033120061E-2</v>
      </c>
      <c r="G72">
        <f ca="1">'ETF variations'!G72/'ETF price'!H73</f>
        <v>-1.3064971751412465E-2</v>
      </c>
      <c r="H72">
        <f ca="1">'ETF variations'!H72/'ETF price'!I73</f>
        <v>-4.8094178450937899E-3</v>
      </c>
      <c r="I72">
        <f ca="1">'ETF variations'!I72/'ETF price'!J73</f>
        <v>-5.9924224851156394E-3</v>
      </c>
      <c r="J72">
        <f ca="1">'ETF variations'!J72/'ETF price'!K73</f>
        <v>-1.2377358490565935E-2</v>
      </c>
      <c r="K72">
        <f ca="1">'ETF variations'!K72/'ETF price'!L73</f>
        <v>-2.9200309700254404E-2</v>
      </c>
      <c r="L72">
        <f ca="1">'ETF variations'!L72/'ETF price'!M73</f>
        <v>-1.3333333333333388E-2</v>
      </c>
      <c r="M72">
        <f ca="1">'ETF variations'!M72/'ETF price'!N73</f>
        <v>-5.5563898483256425E-3</v>
      </c>
      <c r="N72">
        <f ca="1">'ETF variations'!N72/'ETF price'!O73</f>
        <v>-2.6845637583892641E-2</v>
      </c>
      <c r="O72">
        <f ca="1">'ETF variations'!O72/'ETF price'!P73</f>
        <v>3.2667420530216218E-3</v>
      </c>
      <c r="P72">
        <f ca="1">'ETF variations'!P72/'ETF price'!Q73</f>
        <v>4.1196489342648036E-3</v>
      </c>
      <c r="Q72">
        <f ca="1">'ETF variations'!Q72/'ETF price'!R73</f>
        <v>-3.3572068039390908E-3</v>
      </c>
      <c r="R72">
        <f ca="1">'ETF variations'!R72/'ETF price'!S73</f>
        <v>1.058931860036829E-2</v>
      </c>
      <c r="S72">
        <f ca="1">'ETF variations'!S72/'ETF price'!T73</f>
        <v>7.5295804948010345E-3</v>
      </c>
      <c r="T72">
        <f ca="1">'ETF variations'!T72/'ETF price'!U73</f>
        <v>1.466462637082366E-2</v>
      </c>
      <c r="U72">
        <f ca="1">'ETF variations'!U72/'ETF price'!V73</f>
        <v>-1.3150684931506763E-2</v>
      </c>
      <c r="V72">
        <f ca="1">'ETF variations'!V72/'ETF price'!W73</f>
        <v>-1.1257035647279595E-2</v>
      </c>
      <c r="W72">
        <f ca="1">'ETF variations'!W72/'ETF price'!X73</f>
        <v>-1.1359876475129604E-2</v>
      </c>
      <c r="X72">
        <f ca="1">'ETF variations'!X72/'ETF price'!Y73</f>
        <v>-9.4301765650081446E-3</v>
      </c>
      <c r="Y72">
        <f ca="1">'ETF variations'!Y72/'ETF price'!Z73</f>
        <v>-1.0717330410424985E-2</v>
      </c>
      <c r="Z72">
        <f ca="1">'ETF variations'!Z72/'ETF price'!AA73</f>
        <v>-5.7096247960848516E-3</v>
      </c>
      <c r="AA72">
        <f ca="1">'ETF variations'!AA72/'ETF price'!AB73</f>
        <v>-1.2818556386387965E-2</v>
      </c>
      <c r="AB72">
        <f ca="1">'ETF variations'!AB72/'ETF price'!AC73</f>
        <v>-1.1049723756906087E-2</v>
      </c>
      <c r="AC72">
        <f ca="1">'ETF variations'!AC72/'ETF price'!AD73</f>
        <v>-3.1387319522912745E-2</v>
      </c>
      <c r="AD72">
        <f ca="1">'ETF variations'!AD72/'ETF price'!AE73</f>
        <v>-3.0775223996883625E-2</v>
      </c>
      <c r="AE72">
        <f ca="1">'ETF variations'!AE72/'ETF price'!AF73</f>
        <v>1.9267822736030758E-2</v>
      </c>
      <c r="AF72">
        <f ca="1">'ETF variations'!AF72/'ETF price'!AG73</f>
        <v>-3.9807824296499664E-2</v>
      </c>
    </row>
    <row r="73" spans="1:32" x14ac:dyDescent="0.2">
      <c r="A73">
        <f ca="1">'ETF variations'!A73/'ETF price'!B74</f>
        <v>3.2733224222587167E-3</v>
      </c>
      <c r="B73">
        <f ca="1">'ETF variations'!B73/'ETF price'!C74</f>
        <v>1.171325940965143E-3</v>
      </c>
      <c r="C73">
        <f ca="1">'ETF variations'!C73/'ETF price'!D74</f>
        <v>3.1749391469998028E-3</v>
      </c>
      <c r="D73">
        <f ca="1">'ETF variations'!D73/'ETF price'!E74</f>
        <v>1.7312270071413154E-2</v>
      </c>
      <c r="E73">
        <f ca="1">'ETF variations'!E73/'ETF price'!F74</f>
        <v>-1.4677948540839135E-2</v>
      </c>
      <c r="F73">
        <f ca="1">'ETF variations'!F73/'ETF price'!G74</f>
        <v>-1.0356731875719201E-2</v>
      </c>
      <c r="G73">
        <f ca="1">'ETF variations'!G73/'ETF price'!H74</f>
        <v>-1.180679785330942E-2</v>
      </c>
      <c r="H73">
        <f ca="1">'ETF variations'!H73/'ETF price'!I74</f>
        <v>-1.1035776110790341E-2</v>
      </c>
      <c r="I73">
        <f ca="1">'ETF variations'!I73/'ETF price'!J74</f>
        <v>-1.3729532106880327E-2</v>
      </c>
      <c r="J73">
        <f ca="1">'ETF variations'!J73/'ETF price'!K74</f>
        <v>-2.8732997096133417E-2</v>
      </c>
      <c r="K73">
        <f ca="1">'ETF variations'!K73/'ETF price'!L74</f>
        <v>-4.7624473054574373E-2</v>
      </c>
      <c r="L73">
        <f ca="1">'ETF variations'!L73/'ETF price'!M74</f>
        <v>-2.5579150579150521E-2</v>
      </c>
      <c r="M73">
        <f ca="1">'ETF variations'!M73/'ETF price'!N74</f>
        <v>-1.3742071881606715E-2</v>
      </c>
      <c r="N73">
        <f ca="1">'ETF variations'!N73/'ETF price'!O74</f>
        <v>-4.2758620689655122E-2</v>
      </c>
      <c r="O73">
        <f ca="1">'ETF variations'!O73/'ETF price'!P74</f>
        <v>1.4652473387601776E-2</v>
      </c>
      <c r="P73">
        <f ca="1">'ETF variations'!P73/'ETF price'!Q74</f>
        <v>1.5875847306457375E-2</v>
      </c>
      <c r="Q73">
        <f ca="1">'ETF variations'!Q73/'ETF price'!R74</f>
        <v>8.9827082865482028E-4</v>
      </c>
      <c r="R73">
        <f ca="1">'ETF variations'!R73/'ETF price'!S74</f>
        <v>-4.4039483675017777E-3</v>
      </c>
      <c r="S73">
        <f ca="1">'ETF variations'!S73/'ETF price'!T74</f>
        <v>1.1387900355871896E-2</v>
      </c>
      <c r="T73">
        <f ca="1">'ETF variations'!T73/'ETF price'!U74</f>
        <v>1.055674249088857E-2</v>
      </c>
      <c r="U73">
        <f ca="1">'ETF variations'!U73/'ETF price'!V74</f>
        <v>-5.2748473070517721E-3</v>
      </c>
      <c r="V73">
        <f ca="1">'ETF variations'!V73/'ETF price'!W74</f>
        <v>5.9636757928977734E-3</v>
      </c>
      <c r="W73">
        <f ca="1">'ETF variations'!W73/'ETF price'!X74</f>
        <v>5.2431950022311345E-3</v>
      </c>
      <c r="X73">
        <f ca="1">'ETF variations'!X73/'ETF price'!Y74</f>
        <v>3.8484909864291037E-3</v>
      </c>
      <c r="Y73">
        <f ca="1">'ETF variations'!Y73/'ETF price'!Z74</f>
        <v>2.9545734334604809E-3</v>
      </c>
      <c r="Z73">
        <f ca="1">'ETF variations'!Z73/'ETF price'!AA74</f>
        <v>-2.4610336341262806E-3</v>
      </c>
      <c r="AA73">
        <f ca="1">'ETF variations'!AA73/'ETF price'!AB74</f>
        <v>3.4008347503477953E-3</v>
      </c>
      <c r="AB73">
        <f ca="1">'ETF variations'!AB73/'ETF price'!AC74</f>
        <v>4.888268156424601E-3</v>
      </c>
      <c r="AC73">
        <f ca="1">'ETF variations'!AC73/'ETF price'!AD74</f>
        <v>2.1386908619572268E-2</v>
      </c>
      <c r="AD73">
        <f ca="1">'ETF variations'!AD73/'ETF price'!AE74</f>
        <v>2.0498392282958262E-2</v>
      </c>
      <c r="AE73">
        <f ca="1">'ETF variations'!AE73/'ETF price'!AF74</f>
        <v>-3.9697542533081276E-2</v>
      </c>
      <c r="AF73">
        <f ca="1">'ETF variations'!AF73/'ETF price'!AG74</f>
        <v>-6.4331665475339424E-3</v>
      </c>
    </row>
    <row r="74" spans="1:32" x14ac:dyDescent="0.2">
      <c r="A74">
        <f ca="1">'ETF variations'!A74/'ETF price'!B75</f>
        <v>1.8760195758564375E-2</v>
      </c>
      <c r="B74">
        <f ca="1">'ETF variations'!B74/'ETF price'!C75</f>
        <v>2.0149234329095496E-2</v>
      </c>
      <c r="C74">
        <f ca="1">'ETF variations'!C74/'ETF price'!D75</f>
        <v>2.120476843548888E-2</v>
      </c>
      <c r="D74">
        <f ca="1">'ETF variations'!D74/'ETF price'!E75</f>
        <v>2.1910231865560542E-2</v>
      </c>
      <c r="E74">
        <f ca="1">'ETF variations'!E74/'ETF price'!F75</f>
        <v>1.6649141254819411E-2</v>
      </c>
      <c r="F74">
        <f ca="1">'ETF variations'!F74/'ETF price'!G75</f>
        <v>2.0542635658914635E-2</v>
      </c>
      <c r="G74">
        <f ca="1">'ETF variations'!G74/'ETF price'!H75</f>
        <v>2.3895727733526436E-2</v>
      </c>
      <c r="H74">
        <f ca="1">'ETF variations'!H74/'ETF price'!I75</f>
        <v>9.5543724017210542E-3</v>
      </c>
      <c r="I74">
        <f ca="1">'ETF variations'!I74/'ETF price'!J75</f>
        <v>1.0608092120829598E-2</v>
      </c>
      <c r="J74">
        <f ca="1">'ETF variations'!J74/'ETF price'!K75</f>
        <v>9.5987411487018018E-3</v>
      </c>
      <c r="K74">
        <f ca="1">'ETF variations'!K74/'ETF price'!L75</f>
        <v>1.2082785022131724E-2</v>
      </c>
      <c r="L74">
        <f ca="1">'ETF variations'!L74/'ETF price'!M75</f>
        <v>1.1226679874525337E-2</v>
      </c>
      <c r="M74">
        <f ca="1">'ETF variations'!M74/'ETF price'!N75</f>
        <v>1.0564997703261334E-2</v>
      </c>
      <c r="N74">
        <f ca="1">'ETF variations'!N74/'ETF price'!O75</f>
        <v>1.3688760806916389E-2</v>
      </c>
      <c r="O74">
        <f ca="1">'ETF variations'!O74/'ETF price'!P75</f>
        <v>-8.1461367563564133E-3</v>
      </c>
      <c r="P74">
        <f ca="1">'ETF variations'!P74/'ETF price'!Q75</f>
        <v>-9.833187006145782E-3</v>
      </c>
      <c r="Q74">
        <f ca="1">'ETF variations'!Q74/'ETF price'!R75</f>
        <v>9.4233789544537067E-3</v>
      </c>
      <c r="R74">
        <f ca="1">'ETF variations'!R74/'ETF price'!S75</f>
        <v>1.2202562538132747E-3</v>
      </c>
      <c r="S74">
        <f ca="1">'ETF variations'!S74/'ETF price'!T75</f>
        <v>-2.5686136523574959E-2</v>
      </c>
      <c r="T74">
        <f ca="1">'ETF variations'!T74/'ETF price'!U75</f>
        <v>-4.4148737719189125E-2</v>
      </c>
      <c r="U74">
        <f ca="1">'ETF variations'!U74/'ETF price'!V75</f>
        <v>2.23276583868268E-2</v>
      </c>
      <c r="V74">
        <f ca="1">'ETF variations'!V74/'ETF price'!W75</f>
        <v>1.3742926434923149E-2</v>
      </c>
      <c r="W74">
        <f ca="1">'ETF variations'!W74/'ETF price'!X75</f>
        <v>1.5536566418821503E-2</v>
      </c>
      <c r="X74">
        <f ca="1">'ETF variations'!X74/'ETF price'!Y75</f>
        <v>3.0468119451170256E-2</v>
      </c>
      <c r="Y74">
        <f ca="1">'ETF variations'!Y74/'ETF price'!Z75</f>
        <v>1.4606603657788115E-2</v>
      </c>
      <c r="Z74">
        <f ca="1">'ETF variations'!Z74/'ETF price'!AA75</f>
        <v>2.0970394736842025E-2</v>
      </c>
      <c r="AA74">
        <f ca="1">'ETF variations'!AA74/'ETF price'!AB75</f>
        <v>3.6049915267293231E-2</v>
      </c>
      <c r="AB74">
        <f ca="1">'ETF variations'!AB74/'ETF price'!AC75</f>
        <v>1.9805420430854769E-2</v>
      </c>
      <c r="AC74">
        <f ca="1">'ETF variations'!AC74/'ETF price'!AD75</f>
        <v>1.9670050761421351E-2</v>
      </c>
      <c r="AD74">
        <f ca="1">'ETF variations'!AD74/'ETF price'!AE75</f>
        <v>2.1268215833005085E-2</v>
      </c>
      <c r="AE74">
        <f ca="1">'ETF variations'!AE74/'ETF price'!AF75</f>
        <v>1.968503937007867E-2</v>
      </c>
      <c r="AF74">
        <f ca="1">'ETF variations'!AF74/'ETF price'!AG75</f>
        <v>2.4460431654676248E-2</v>
      </c>
    </row>
    <row r="75" spans="1:32" x14ac:dyDescent="0.2">
      <c r="A75">
        <f ca="1">'ETF variations'!A75/'ETF price'!B76</f>
        <v>-9.3408059781149161E-4</v>
      </c>
      <c r="B75">
        <f ca="1">'ETF variations'!B75/'ETF price'!C76</f>
        <v>-4.1286507976961229E-3</v>
      </c>
      <c r="C75">
        <f ca="1">'ETF variations'!C75/'ETF price'!D76</f>
        <v>-9.8140495867768893E-3</v>
      </c>
      <c r="D75">
        <f ca="1">'ETF variations'!D75/'ETF price'!E76</f>
        <v>-2.220371912295262E-3</v>
      </c>
      <c r="E75">
        <f ca="1">'ETF variations'!E75/'ETF price'!F76</f>
        <v>-4.4819858645060856E-3</v>
      </c>
      <c r="F75">
        <f ca="1">'ETF variations'!F75/'ETF price'!G76</f>
        <v>-6.0767185719710062E-3</v>
      </c>
      <c r="G75">
        <f ca="1">'ETF variations'!G75/'ETF price'!H76</f>
        <v>-9.900990099009941E-3</v>
      </c>
      <c r="H75">
        <f ca="1">'ETF variations'!H75/'ETF price'!I76</f>
        <v>1.3437364542696242E-2</v>
      </c>
      <c r="I75">
        <f ca="1">'ETF variations'!I75/'ETF price'!J76</f>
        <v>1.2018574160065717E-2</v>
      </c>
      <c r="J75">
        <f ca="1">'ETF variations'!J75/'ETF price'!K76</f>
        <v>5.2992518703242428E-3</v>
      </c>
      <c r="K75">
        <f ca="1">'ETF variations'!K75/'ETF price'!L76</f>
        <v>2.2458628841608977E-3</v>
      </c>
      <c r="L75">
        <f ca="1">'ETF variations'!L75/'ETF price'!M76</f>
        <v>8.8163265306122306E-3</v>
      </c>
      <c r="M75">
        <f ca="1">'ETF variations'!M75/'ETF price'!N76</f>
        <v>1.2878787878787793E-2</v>
      </c>
      <c r="N75">
        <f ca="1">'ETF variations'!N75/'ETF price'!O76</f>
        <v>-2.8429282160626099E-3</v>
      </c>
      <c r="O75">
        <f ca="1">'ETF variations'!O75/'ETF price'!P76</f>
        <v>3.8576406172225273E-3</v>
      </c>
      <c r="P75">
        <f ca="1">'ETF variations'!P75/'ETF price'!Q76</f>
        <v>4.876751197020723E-3</v>
      </c>
      <c r="Q75">
        <f ca="1">'ETF variations'!Q75/'ETF price'!R76</f>
        <v>6.3347410535673837E-3</v>
      </c>
      <c r="R75">
        <f ca="1">'ETF variations'!R75/'ETF price'!S76</f>
        <v>-7.6173065204139479E-4</v>
      </c>
      <c r="S75">
        <f ca="1">'ETF variations'!S75/'ETF price'!T76</f>
        <v>1.083423618634799E-3</v>
      </c>
      <c r="T75">
        <f ca="1">'ETF variations'!T75/'ETF price'!U76</f>
        <v>4.9440541243819342E-3</v>
      </c>
      <c r="U75">
        <f ca="1">'ETF variations'!U75/'ETF price'!V76</f>
        <v>-4.6819546819546906E-2</v>
      </c>
      <c r="V75">
        <f ca="1">'ETF variations'!V75/'ETF price'!W76</f>
        <v>6.9112174375333636E-3</v>
      </c>
      <c r="W75">
        <f ca="1">'ETF variations'!W75/'ETF price'!X76</f>
        <v>7.9772702436891017E-3</v>
      </c>
      <c r="X75">
        <f ca="1">'ETF variations'!X75/'ETF price'!Y76</f>
        <v>7.8323869199138155E-3</v>
      </c>
      <c r="Y75">
        <f ca="1">'ETF variations'!Y75/'ETF price'!Z76</f>
        <v>7.8635373820470089E-3</v>
      </c>
      <c r="Z75">
        <f ca="1">'ETF variations'!Z75/'ETF price'!AA76</f>
        <v>1.8928715263793895E-2</v>
      </c>
      <c r="AA75">
        <f ca="1">'ETF variations'!AA75/'ETF price'!AB76</f>
        <v>6.2453531598513261E-3</v>
      </c>
      <c r="AB75">
        <f ca="1">'ETF variations'!AB75/'ETF price'!AC76</f>
        <v>6.9846678023849501E-3</v>
      </c>
      <c r="AC75">
        <f ca="1">'ETF variations'!AC75/'ETF price'!AD76</f>
        <v>-4.9782202862476707E-3</v>
      </c>
      <c r="AD75">
        <f ca="1">'ETF variations'!AD75/'ETF price'!AE76</f>
        <v>-7.3274199768608283E-3</v>
      </c>
      <c r="AE75">
        <f ca="1">'ETF variations'!AE75/'ETF price'!AF76</f>
        <v>-1.5444015444015458E-2</v>
      </c>
      <c r="AF75">
        <f ca="1">'ETF variations'!AF75/'ETF price'!AG76</f>
        <v>-3.9325842696629247E-2</v>
      </c>
    </row>
    <row r="76" spans="1:32" x14ac:dyDescent="0.2">
      <c r="A76">
        <f ca="1">'ETF variations'!A76/'ETF price'!B77</f>
        <v>-1.696273540804074E-2</v>
      </c>
      <c r="B76">
        <f ca="1">'ETF variations'!B76/'ETF price'!C77</f>
        <v>-1.924454908383658E-2</v>
      </c>
      <c r="C76">
        <f ca="1">'ETF variations'!C76/'ETF price'!D77</f>
        <v>-2.4204486176317094E-2</v>
      </c>
      <c r="D76">
        <f ca="1">'ETF variations'!D76/'ETF price'!E77</f>
        <v>-2.6703755215577211E-2</v>
      </c>
      <c r="E76">
        <f ca="1">'ETF variations'!E76/'ETF price'!F77</f>
        <v>-3.0822510822510842E-2</v>
      </c>
      <c r="F76">
        <f ca="1">'ETF variations'!F76/'ETF price'!G77</f>
        <v>-1.6813144822315676E-2</v>
      </c>
      <c r="G76">
        <f ca="1">'ETF variations'!G76/'ETF price'!H77</f>
        <v>-2.5357142857142887E-2</v>
      </c>
      <c r="H76">
        <f ca="1">'ETF variations'!H76/'ETF price'!I77</f>
        <v>-1.1049329911605442E-2</v>
      </c>
      <c r="I76">
        <f ca="1">'ETF variations'!I76/'ETF price'!J77</f>
        <v>-1.3456718719876649E-2</v>
      </c>
      <c r="J76">
        <f ca="1">'ETF variations'!J76/'ETF price'!K77</f>
        <v>-2.3565891472868264E-2</v>
      </c>
      <c r="K76">
        <f ca="1">'ETF variations'!K76/'ETF price'!L77</f>
        <v>-4.281165231749038E-2</v>
      </c>
      <c r="L76">
        <f ca="1">'ETF variations'!L76/'ETF price'!M77</f>
        <v>-2.3304741867616083E-2</v>
      </c>
      <c r="M76">
        <f ca="1">'ETF variations'!M76/'ETF price'!N77</f>
        <v>-1.3612565445026129E-2</v>
      </c>
      <c r="N76">
        <f ca="1">'ETF variations'!N76/'ETF price'!O77</f>
        <v>-3.5637918745545262E-2</v>
      </c>
      <c r="O76">
        <f ca="1">'ETF variations'!O76/'ETF price'!P77</f>
        <v>-3.1734225858435626E-2</v>
      </c>
      <c r="P76">
        <f ca="1">'ETF variations'!P76/'ETF price'!Q77</f>
        <v>-3.3177446395482264E-2</v>
      </c>
      <c r="Q76">
        <f ca="1">'ETF variations'!Q76/'ETF price'!R77</f>
        <v>-1.6344561016013295E-2</v>
      </c>
      <c r="R76">
        <f ca="1">'ETF variations'!R76/'ETF price'!S77</f>
        <v>-6.1747217563653055E-2</v>
      </c>
      <c r="S76">
        <f ca="1">'ETF variations'!S76/'ETF price'!T77</f>
        <v>-1.4430014430014122E-3</v>
      </c>
      <c r="T76">
        <f ca="1">'ETF variations'!T76/'ETF price'!U77</f>
        <v>1.139306059036781E-2</v>
      </c>
      <c r="U76">
        <f ca="1">'ETF variations'!U76/'ETF price'!V77</f>
        <v>-6.9024774452241061E-2</v>
      </c>
      <c r="V76">
        <f ca="1">'ETF variations'!V76/'ETF price'!W77</f>
        <v>-1.5839493136219678E-2</v>
      </c>
      <c r="W76">
        <f ca="1">'ETF variations'!W76/'ETF price'!X77</f>
        <v>-1.6912402428447399E-2</v>
      </c>
      <c r="X76">
        <f ca="1">'ETF variations'!X76/'ETF price'!Y77</f>
        <v>-1.7485914124732826E-2</v>
      </c>
      <c r="Y76">
        <f ca="1">'ETF variations'!Y76/'ETF price'!Z77</f>
        <v>-1.7044772536310187E-2</v>
      </c>
      <c r="Z76">
        <f ca="1">'ETF variations'!Z76/'ETF price'!AA77</f>
        <v>-6.5217391304347484E-3</v>
      </c>
      <c r="AA76">
        <f ca="1">'ETF variations'!AA76/'ETF price'!AB77</f>
        <v>-2.0540860056154877E-2</v>
      </c>
      <c r="AB76">
        <f ca="1">'ETF variations'!AB76/'ETF price'!AC77</f>
        <v>-1.8947724581289078E-2</v>
      </c>
      <c r="AC76">
        <f ca="1">'ETF variations'!AC76/'ETF price'!AD77</f>
        <v>-6.2539086929329498E-4</v>
      </c>
      <c r="AD76">
        <f ca="1">'ETF variations'!AD76/'ETF price'!AE77</f>
        <v>0</v>
      </c>
      <c r="AE76">
        <f ca="1">'ETF variations'!AE76/'ETF price'!AF77</f>
        <v>-5.2941176470588158E-2</v>
      </c>
      <c r="AF76">
        <f ca="1">'ETF variations'!AF76/'ETF price'!AG77</f>
        <v>-4.6052631578947296E-2</v>
      </c>
    </row>
    <row r="77" spans="1:32" x14ac:dyDescent="0.2">
      <c r="A77">
        <f ca="1">'ETF variations'!A77/'ETF price'!B78</f>
        <v>-2.7989130434782447E-2</v>
      </c>
      <c r="B77">
        <f ca="1">'ETF variations'!B77/'ETF price'!C78</f>
        <v>-2.7632814946247863E-2</v>
      </c>
      <c r="C77">
        <f ca="1">'ETF variations'!C77/'ETF price'!D78</f>
        <v>-2.7050144338714863E-2</v>
      </c>
      <c r="D77">
        <f ca="1">'ETF variations'!D77/'ETF price'!E78</f>
        <v>-2.2220634466990664E-2</v>
      </c>
      <c r="E77">
        <f ca="1">'ETF variations'!E77/'ETF price'!F78</f>
        <v>-2.179739145971054E-2</v>
      </c>
      <c r="F77">
        <f ca="1">'ETF variations'!F77/'ETF price'!G78</f>
        <v>-3.6533229692965456E-2</v>
      </c>
      <c r="G77">
        <f ca="1">'ETF variations'!G77/'ETF price'!H78</f>
        <v>-2.4184683034078423E-2</v>
      </c>
      <c r="H77">
        <f ca="1">'ETF variations'!H77/'ETF price'!I78</f>
        <v>-3.6473725942478212E-2</v>
      </c>
      <c r="I77">
        <f ca="1">'ETF variations'!I77/'ETF price'!J78</f>
        <v>-3.5409989838192768E-2</v>
      </c>
      <c r="J77">
        <f ca="1">'ETF variations'!J77/'ETF price'!K78</f>
        <v>-2.3181962527786502E-2</v>
      </c>
      <c r="K77">
        <f ca="1">'ETF variations'!K77/'ETF price'!L78</f>
        <v>-1.6264169541646049E-2</v>
      </c>
      <c r="L77">
        <f ca="1">'ETF variations'!L77/'ETF price'!M78</f>
        <v>-2.137531068765533E-2</v>
      </c>
      <c r="M77">
        <f ca="1">'ETF variations'!M77/'ETF price'!N78</f>
        <v>-3.5790112223233236E-2</v>
      </c>
      <c r="N77">
        <f ca="1">'ETF variations'!N77/'ETF price'!O78</f>
        <v>-1.0347376201034649E-2</v>
      </c>
      <c r="O77">
        <f ca="1">'ETF variations'!O77/'ETF price'!P78</f>
        <v>-2.4452694917424102E-2</v>
      </c>
      <c r="P77">
        <f ca="1">'ETF variations'!P77/'ETF price'!Q78</f>
        <v>-2.5919503513735415E-2</v>
      </c>
      <c r="Q77">
        <f ca="1">'ETF variations'!Q77/'ETF price'!R78</f>
        <v>-3.7386325362074757E-2</v>
      </c>
      <c r="R77">
        <f ca="1">'ETF variations'!R77/'ETF price'!S78</f>
        <v>-5.069873253168667E-2</v>
      </c>
      <c r="S77">
        <f ca="1">'ETF variations'!S77/'ETF price'!T78</f>
        <v>-1.9147398843930678E-2</v>
      </c>
      <c r="T77">
        <f ca="1">'ETF variations'!T77/'ETF price'!U78</f>
        <v>-2.3169482846902231E-2</v>
      </c>
      <c r="U77">
        <f ca="1">'ETF variations'!U77/'ETF price'!V78</f>
        <v>-7.8449469312414262E-3</v>
      </c>
      <c r="V77">
        <f ca="1">'ETF variations'!V77/'ETF price'!W78</f>
        <v>-2.9774678111587967E-2</v>
      </c>
      <c r="W77">
        <f ca="1">'ETF variations'!W77/'ETF price'!X78</f>
        <v>-2.9223643581826261E-2</v>
      </c>
      <c r="X77">
        <f ca="1">'ETF variations'!X77/'ETF price'!Y78</f>
        <v>-2.5113703776942914E-2</v>
      </c>
      <c r="Y77">
        <f ca="1">'ETF variations'!Y77/'ETF price'!Z78</f>
        <v>-2.9673952863597593E-2</v>
      </c>
      <c r="Z77">
        <f ca="1">'ETF variations'!Z77/'ETF price'!AA78</f>
        <v>-1.7903322060871408E-2</v>
      </c>
      <c r="AA77">
        <f ca="1">'ETF variations'!AA77/'ETF price'!AB78</f>
        <v>-2.097163548581775E-2</v>
      </c>
      <c r="AB77">
        <f ca="1">'ETF variations'!AB77/'ETF price'!AC78</f>
        <v>-3.0350060355233747E-2</v>
      </c>
      <c r="AC77">
        <f ca="1">'ETF variations'!AC77/'ETF price'!AD78</f>
        <v>-4.3178973717146511E-2</v>
      </c>
      <c r="AD77">
        <f ca="1">'ETF variations'!AD77/'ETF price'!AE78</f>
        <v>-4.3123543123543107E-2</v>
      </c>
      <c r="AE77">
        <f ca="1">'ETF variations'!AE77/'ETF price'!AF78</f>
        <v>1.2422360248447124E-2</v>
      </c>
      <c r="AF77">
        <f ca="1">'ETF variations'!AF77/'ETF price'!AG78</f>
        <v>-4.5210727969348642E-2</v>
      </c>
    </row>
    <row r="78" spans="1:32" x14ac:dyDescent="0.2">
      <c r="A78">
        <f ca="1">'ETF variations'!A78/'ETF price'!B79</f>
        <v>1.5026558568632772E-2</v>
      </c>
      <c r="B78">
        <f ca="1">'ETF variations'!B78/'ETF price'!C79</f>
        <v>1.6315577619750547E-2</v>
      </c>
      <c r="C78">
        <f ca="1">'ETF variations'!C78/'ETF price'!D79</f>
        <v>1.8681318681318712E-2</v>
      </c>
      <c r="D78">
        <f ca="1">'ETF variations'!D78/'ETF price'!E79</f>
        <v>1.6879795396419456E-2</v>
      </c>
      <c r="E78">
        <f ca="1">'ETF variations'!E78/'ETF price'!F79</f>
        <v>1.8447488584474848E-2</v>
      </c>
      <c r="F78">
        <f ca="1">'ETF variations'!F78/'ETF price'!G79</f>
        <v>5.2440500201695267E-3</v>
      </c>
      <c r="G78">
        <f ca="1">'ETF variations'!G78/'ETF price'!H79</f>
        <v>1.3518588058580527E-2</v>
      </c>
      <c r="H78">
        <f ca="1">'ETF variations'!H78/'ETF price'!I79</f>
        <v>6.7329991770779217E-3</v>
      </c>
      <c r="I78">
        <f ca="1">'ETF variations'!I78/'ETF price'!J79</f>
        <v>7.2123176661264225E-3</v>
      </c>
      <c r="J78">
        <f ca="1">'ETF variations'!J78/'ETF price'!K79</f>
        <v>9.2652795838751665E-3</v>
      </c>
      <c r="K78">
        <f ca="1">'ETF variations'!K78/'ETF price'!L79</f>
        <v>2.1668336673346566E-2</v>
      </c>
      <c r="L78">
        <f ca="1">'ETF variations'!L78/'ETF price'!M79</f>
        <v>8.2966474771418025E-3</v>
      </c>
      <c r="M78">
        <f ca="1">'ETF variations'!M78/'ETF price'!N79</f>
        <v>7.392261717521215E-3</v>
      </c>
      <c r="N78">
        <f ca="1">'ETF variations'!N78/'ETF price'!O79</f>
        <v>1.3442867811799829E-2</v>
      </c>
      <c r="O78">
        <f ca="1">'ETF variations'!O78/'ETF price'!P79</f>
        <v>-3.3070866141732227E-2</v>
      </c>
      <c r="P78">
        <f ca="1">'ETF variations'!P78/'ETF price'!Q79</f>
        <v>-3.2418251663075125E-2</v>
      </c>
      <c r="Q78">
        <f ca="1">'ETF variations'!Q78/'ETF price'!R79</f>
        <v>-2.7991602519243631E-3</v>
      </c>
      <c r="R78">
        <f ca="1">'ETF variations'!R78/'ETF price'!S79</f>
        <v>-1.9342690859294805E-2</v>
      </c>
      <c r="S78">
        <f ca="1">'ETF variations'!S78/'ETF price'!T79</f>
        <v>-7.3664825046040258E-3</v>
      </c>
      <c r="T78">
        <f ca="1">'ETF variations'!T78/'ETF price'!U79</f>
        <v>-2.1753374393919493E-2</v>
      </c>
      <c r="U78">
        <f ca="1">'ETF variations'!U78/'ETF price'!V79</f>
        <v>-8.2170542635659084E-3</v>
      </c>
      <c r="V78">
        <f ca="1">'ETF variations'!V78/'ETF price'!W79</f>
        <v>1.6588332872544973E-3</v>
      </c>
      <c r="W78">
        <f ca="1">'ETF variations'!W78/'ETF price'!X79</f>
        <v>1.8175621947063114E-3</v>
      </c>
      <c r="X78">
        <f ca="1">'ETF variations'!X78/'ETF price'!Y79</f>
        <v>1.6227180527384464E-3</v>
      </c>
      <c r="Y78">
        <f ca="1">'ETF variations'!Y78/'ETF price'!Z79</f>
        <v>1.5101938082054437E-3</v>
      </c>
      <c r="Z78">
        <f ca="1">'ETF variations'!Z78/'ETF price'!AA79</f>
        <v>-4.6586996151508379E-3</v>
      </c>
      <c r="AA78">
        <f ca="1">'ETF variations'!AA78/'ETF price'!AB79</f>
        <v>1.0787486515640805E-3</v>
      </c>
      <c r="AB78">
        <f ca="1">'ETF variations'!AB78/'ETF price'!AC79</f>
        <v>3.3789791926019E-3</v>
      </c>
      <c r="AC78">
        <f ca="1">'ETF variations'!AC78/'ETF price'!AD79</f>
        <v>1.9620667102681538E-2</v>
      </c>
      <c r="AD78">
        <f ca="1">'ETF variations'!AD78/'ETF price'!AE79</f>
        <v>1.9082419813235989E-2</v>
      </c>
      <c r="AE78">
        <f ca="1">'ETF variations'!AE78/'ETF price'!AF79</f>
        <v>-6.7484662576687129E-2</v>
      </c>
      <c r="AF78">
        <f ca="1">'ETF variations'!AF78/'ETF price'!AG79</f>
        <v>1.6051364365971051E-2</v>
      </c>
    </row>
    <row r="79" spans="1:32" x14ac:dyDescent="0.2">
      <c r="A79">
        <f ca="1">'ETF variations'!A79/'ETF price'!B80</f>
        <v>-3.7251256627418558E-2</v>
      </c>
      <c r="B79">
        <f ca="1">'ETF variations'!B79/'ETF price'!C80</f>
        <v>-3.8074617801600125E-2</v>
      </c>
      <c r="C79">
        <f ca="1">'ETF variations'!C79/'ETF price'!D80</f>
        <v>-3.7756202804746494E-2</v>
      </c>
      <c r="D79">
        <f ca="1">'ETF variations'!D79/'ETF price'!E80</f>
        <v>-4.4337453291175534E-2</v>
      </c>
      <c r="E79">
        <f ca="1">'ETF variations'!E79/'ETF price'!F80</f>
        <v>-3.2460545193687143E-2</v>
      </c>
      <c r="F79">
        <f ca="1">'ETF variations'!F79/'ETF price'!G80</f>
        <v>-4.3739967897271401E-2</v>
      </c>
      <c r="G79">
        <f ca="1">'ETF variations'!G79/'ETF price'!H80</f>
        <v>-3.6680251945164818E-2</v>
      </c>
      <c r="H79">
        <f ca="1">'ETF variations'!H79/'ETF price'!I80</f>
        <v>-1.7611651928364454E-2</v>
      </c>
      <c r="I79">
        <f ca="1">'ETF variations'!I79/'ETF price'!J80</f>
        <v>-2.1602703355056738E-2</v>
      </c>
      <c r="J79">
        <f ca="1">'ETF variations'!J79/'ETF price'!K80</f>
        <v>-3.8573039136737042E-2</v>
      </c>
      <c r="K79">
        <f ca="1">'ETF variations'!K79/'ETF price'!L80</f>
        <v>-5.982591639082991E-2</v>
      </c>
      <c r="L79">
        <f ca="1">'ETF variations'!L79/'ETF price'!M80</f>
        <v>-3.6439966414777411E-2</v>
      </c>
      <c r="M79">
        <f ca="1">'ETF variations'!M79/'ETF price'!N80</f>
        <v>-2.2014051522248192E-2</v>
      </c>
      <c r="N79">
        <f ca="1">'ETF variations'!N79/'ETF price'!O80</f>
        <v>-4.0530582166543899E-2</v>
      </c>
      <c r="O79">
        <f ca="1">'ETF variations'!O79/'ETF price'!P80</f>
        <v>1.3572204125949282E-3</v>
      </c>
      <c r="P79">
        <f ca="1">'ETF variations'!P79/'ETF price'!Q80</f>
        <v>9.6833543139393012E-5</v>
      </c>
      <c r="Q79">
        <f ca="1">'ETF variations'!Q79/'ETF price'!R80</f>
        <v>-1.5438596491227991E-2</v>
      </c>
      <c r="R79">
        <f ca="1">'ETF variations'!R79/'ETF price'!S80</f>
        <v>-1.7455053237912375E-2</v>
      </c>
      <c r="S79">
        <f ca="1">'ETF variations'!S79/'ETF price'!T80</f>
        <v>1.3729128014842338E-2</v>
      </c>
      <c r="T79">
        <f ca="1">'ETF variations'!T79/'ETF price'!U80</f>
        <v>2.4246483590086913E-2</v>
      </c>
      <c r="U79">
        <f ca="1">'ETF variations'!U79/'ETF price'!V80</f>
        <v>-2.5168047522276058E-2</v>
      </c>
      <c r="V79">
        <f ca="1">'ETF variations'!V79/'ETF price'!W80</f>
        <v>-2.5117306099917105E-2</v>
      </c>
      <c r="W79">
        <f ca="1">'ETF variations'!W79/'ETF price'!X80</f>
        <v>-2.6306837509921684E-2</v>
      </c>
      <c r="X79">
        <f ca="1">'ETF variations'!X79/'ETF price'!Y80</f>
        <v>-2.9769137302551759E-2</v>
      </c>
      <c r="Y79">
        <f ca="1">'ETF variations'!Y79/'ETF price'!Z80</f>
        <v>-2.68911786881126E-2</v>
      </c>
      <c r="Z79">
        <f ca="1">'ETF variations'!Z79/'ETF price'!AA80</f>
        <v>-1.5669515669515733E-2</v>
      </c>
      <c r="AA79">
        <f ca="1">'ETF variations'!AA79/'ETF price'!AB80</f>
        <v>-3.0788177339901371E-2</v>
      </c>
      <c r="AB79">
        <f ca="1">'ETF variations'!AB79/'ETF price'!AC80</f>
        <v>-2.995391705069133E-2</v>
      </c>
      <c r="AC79">
        <f ca="1">'ETF variations'!AC79/'ETF price'!AD80</f>
        <v>-5.0673508659396994E-2</v>
      </c>
      <c r="AD79">
        <f ca="1">'ETF variations'!AD79/'ETF price'!AE80</f>
        <v>-4.9402390438247089E-2</v>
      </c>
      <c r="AE79">
        <f ca="1">'ETF variations'!AE79/'ETF price'!AF80</f>
        <v>1.7543859649122823E-2</v>
      </c>
      <c r="AF79">
        <f ca="1">'ETF variations'!AF79/'ETF price'!AG80</f>
        <v>-7.1879936808846773E-2</v>
      </c>
    </row>
    <row r="80" spans="1:32" x14ac:dyDescent="0.2">
      <c r="A80">
        <f ca="1">'ETF variations'!A80/'ETF price'!B81</f>
        <v>1.480474896295232E-2</v>
      </c>
      <c r="B80">
        <f ca="1">'ETF variations'!B80/'ETF price'!C81</f>
        <v>1.0760066975927138E-2</v>
      </c>
      <c r="C80">
        <f ca="1">'ETF variations'!C80/'ETF price'!D81</f>
        <v>1.1210762331837927E-3</v>
      </c>
      <c r="D80">
        <f ca="1">'ETF variations'!D80/'ETF price'!E81</f>
        <v>-5.4139408978118569E-3</v>
      </c>
      <c r="E80">
        <f ca="1">'ETF variations'!E80/'ETF price'!F81</f>
        <v>-1.5569972196478283E-2</v>
      </c>
      <c r="F80">
        <f ca="1">'ETF variations'!F80/'ETF price'!G81</f>
        <v>-5.0356693243809253E-3</v>
      </c>
      <c r="G80">
        <f ca="1">'ETF variations'!G80/'ETF price'!H81</f>
        <v>3.8461538461544473E-4</v>
      </c>
      <c r="H80">
        <f ca="1">'ETF variations'!H80/'ETF price'!I81</f>
        <v>-2.1936459909227841E-3</v>
      </c>
      <c r="I80">
        <f ca="1">'ETF variations'!I80/'ETF price'!J81</f>
        <v>-1.8913695982895767E-3</v>
      </c>
      <c r="J80">
        <f ca="1">'ETF variations'!J80/'ETF price'!K81</f>
        <v>-2.8478096993048278E-3</v>
      </c>
      <c r="K80">
        <f ca="1">'ETF variations'!K80/'ETF price'!L81</f>
        <v>-1.0040422480114696E-2</v>
      </c>
      <c r="L80">
        <f ca="1">'ETF variations'!L80/'ETF price'!M81</f>
        <v>1.9170442662948663E-3</v>
      </c>
      <c r="M80">
        <f ca="1">'ETF variations'!M80/'ETF price'!N81</f>
        <v>-2.2349936143039682E-3</v>
      </c>
      <c r="N80">
        <f ca="1">'ETF variations'!N80/'ETF price'!O81</f>
        <v>-6.1443932411674408E-3</v>
      </c>
      <c r="O80">
        <f ca="1">'ETF variations'!O80/'ETF price'!P81</f>
        <v>1.4638113309840042E-2</v>
      </c>
      <c r="P80">
        <f ca="1">'ETF variations'!P80/'ETF price'!Q81</f>
        <v>1.4910921766072735E-2</v>
      </c>
      <c r="Q80">
        <f ca="1">'ETF variations'!Q80/'ETF price'!R81</f>
        <v>1.4730339748158646E-2</v>
      </c>
      <c r="R80">
        <f ca="1">'ETF variations'!R80/'ETF price'!S81</f>
        <v>1.794279623378927E-2</v>
      </c>
      <c r="S80">
        <f ca="1">'ETF variations'!S80/'ETF price'!T81</f>
        <v>6.9546120058565624E-3</v>
      </c>
      <c r="T80">
        <f ca="1">'ETF variations'!T80/'ETF price'!U81</f>
        <v>-1.1770860580694376E-3</v>
      </c>
      <c r="U80">
        <f ca="1">'ETF variations'!U80/'ETF price'!V81</f>
        <v>2.8864656831302071E-2</v>
      </c>
      <c r="V80">
        <f ca="1">'ETF variations'!V80/'ETF price'!W81</f>
        <v>-8.4937712344284081E-4</v>
      </c>
      <c r="W80">
        <f ca="1">'ETF variations'!W80/'ETF price'!X81</f>
        <v>-1.7468265983464036E-3</v>
      </c>
      <c r="X80">
        <f ca="1">'ETF variations'!X80/'ETF price'!Y81</f>
        <v>-2.087246921310376E-4</v>
      </c>
      <c r="Y80">
        <f ca="1">'ETF variations'!Y80/'ETF price'!Z81</f>
        <v>3.8739669421489073E-4</v>
      </c>
      <c r="Z80">
        <f ca="1">'ETF variations'!Z80/'ETF price'!AA81</f>
        <v>-5.9954517262766002E-3</v>
      </c>
      <c r="AA80">
        <f ca="1">'ETF variations'!AA80/'ETF price'!AB81</f>
        <v>-6.3532401524776284E-4</v>
      </c>
      <c r="AB80">
        <f ca="1">'ETF variations'!AB80/'ETF price'!AC81</f>
        <v>8.0394664717705986E-3</v>
      </c>
      <c r="AC80">
        <f ca="1">'ETF variations'!AC80/'ETF price'!AD81</f>
        <v>1.621621621621611E-2</v>
      </c>
      <c r="AD80">
        <f ca="1">'ETF variations'!AD80/'ETF price'!AE81</f>
        <v>1.5507124895222171E-2</v>
      </c>
      <c r="AE80">
        <f ca="1">'ETF variations'!AE80/'ETF price'!AF81</f>
        <v>4.3103448275863066E-3</v>
      </c>
      <c r="AF80">
        <f ca="1">'ETF variations'!AF80/'ETF price'!AG81</f>
        <v>-7.6595744680850947E-3</v>
      </c>
    </row>
    <row r="81" spans="1:32" x14ac:dyDescent="0.2">
      <c r="A81">
        <f ca="1">'ETF variations'!A81/'ETF price'!B82</f>
        <v>4.0031009937275409E-2</v>
      </c>
      <c r="B81">
        <f ca="1">'ETF variations'!B81/'ETF price'!C82</f>
        <v>4.0463840534448514E-2</v>
      </c>
      <c r="C81">
        <f ca="1">'ETF variations'!C81/'ETF price'!D82</f>
        <v>4.6472564389697713E-2</v>
      </c>
      <c r="D81">
        <f ca="1">'ETF variations'!D81/'ETF price'!E82</f>
        <v>5.5114538444091567E-2</v>
      </c>
      <c r="E81">
        <f ca="1">'ETF variations'!E81/'ETF price'!F82</f>
        <v>1.9581999623423069E-2</v>
      </c>
      <c r="F81">
        <f ca="1">'ETF variations'!F81/'ETF price'!G82</f>
        <v>2.6992830029523431E-2</v>
      </c>
      <c r="G81">
        <f ca="1">'ETF variations'!G81/'ETF price'!H82</f>
        <v>2.4221453287197194E-2</v>
      </c>
      <c r="H81">
        <f ca="1">'ETF variations'!H81/'ETF price'!I82</f>
        <v>1.3797286028352613E-2</v>
      </c>
      <c r="I81">
        <f ca="1">'ETF variations'!I81/'ETF price'!J82</f>
        <v>1.1122554067971116E-2</v>
      </c>
      <c r="J81">
        <f ca="1">'ETF variations'!J81/'ETF price'!K82</f>
        <v>0</v>
      </c>
      <c r="K81">
        <f ca="1">'ETF variations'!K81/'ETF price'!L82</f>
        <v>3.5563751317175449E-3</v>
      </c>
      <c r="L81">
        <f ca="1">'ETF variations'!L81/'ETF price'!M82</f>
        <v>3.6528091842059638E-3</v>
      </c>
      <c r="M81">
        <f ca="1">'ETF variations'!M81/'ETF price'!N82</f>
        <v>1.1360000000000014E-2</v>
      </c>
      <c r="N81">
        <f ca="1">'ETF variations'!N81/'ETF price'!O82</f>
        <v>6.1823802163833135E-3</v>
      </c>
      <c r="O81">
        <f ca="1">'ETF variations'!O81/'ETF price'!P82</f>
        <v>3.0323270104194444E-2</v>
      </c>
      <c r="P81">
        <f ca="1">'ETF variations'!P81/'ETF price'!Q82</f>
        <v>3.1100934936080953E-2</v>
      </c>
      <c r="Q81">
        <f ca="1">'ETF variations'!Q81/'ETF price'!R82</f>
        <v>1.5804261297120044E-2</v>
      </c>
      <c r="R81">
        <f ca="1">'ETF variations'!R81/'ETF price'!S82</f>
        <v>1.8499127399651E-2</v>
      </c>
      <c r="S81">
        <f ca="1">'ETF variations'!S81/'ETF price'!T82</f>
        <v>8.3605961468555742E-3</v>
      </c>
      <c r="T81">
        <f ca="1">'ETF variations'!T81/'ETF price'!U82</f>
        <v>2.2390991226921484E-2</v>
      </c>
      <c r="U81">
        <f ca="1">'ETF variations'!U81/'ETF price'!V82</f>
        <v>9.1957605985037941E-3</v>
      </c>
      <c r="V81">
        <f ca="1">'ETF variations'!V81/'ETF price'!W82</f>
        <v>1.2751487673561997E-2</v>
      </c>
      <c r="W81">
        <f ca="1">'ETF variations'!W81/'ETF price'!X82</f>
        <v>1.4815678954736304E-2</v>
      </c>
      <c r="X81">
        <f ca="1">'ETF variations'!X81/'ETF price'!Y82</f>
        <v>1.4405010438413463E-2</v>
      </c>
      <c r="Y81">
        <f ca="1">'ETF variations'!Y81/'ETF price'!Z82</f>
        <v>1.3811798115399605E-2</v>
      </c>
      <c r="Z81">
        <f ca="1">'ETF variations'!Z81/'ETF price'!AA82</f>
        <v>1.8302828618968439E-2</v>
      </c>
      <c r="AA81">
        <f ca="1">'ETF variations'!AA81/'ETF price'!AB82</f>
        <v>1.4780673871582958E-2</v>
      </c>
      <c r="AB81">
        <f ca="1">'ETF variations'!AB81/'ETF price'!AC82</f>
        <v>1.9757114373753784E-2</v>
      </c>
      <c r="AC81">
        <f ca="1">'ETF variations'!AC81/'ETF price'!AD82</f>
        <v>2.8590425531914994E-2</v>
      </c>
      <c r="AD81">
        <f ca="1">'ETF variations'!AD81/'ETF price'!AE82</f>
        <v>2.9302517540239409E-2</v>
      </c>
      <c r="AE81">
        <f ca="1">'ETF variations'!AE81/'ETF price'!AF82</f>
        <v>-3.6480686695278951E-2</v>
      </c>
      <c r="AF81">
        <f ca="1">'ETF variations'!AF81/'ETF price'!AG82</f>
        <v>2.5728987993138996E-2</v>
      </c>
    </row>
    <row r="82" spans="1:32" x14ac:dyDescent="0.2">
      <c r="A82">
        <f ca="1">'ETF variations'!A82/'ETF price'!B83</f>
        <v>-4.1675137223012845E-2</v>
      </c>
      <c r="B82">
        <f ca="1">'ETF variations'!B82/'ETF price'!C83</f>
        <v>-4.1578576462297408E-2</v>
      </c>
      <c r="C82">
        <f ca="1">'ETF variations'!C82/'ETF price'!D83</f>
        <v>-4.130551096843231E-2</v>
      </c>
      <c r="D82">
        <f ca="1">'ETF variations'!D82/'ETF price'!E83</f>
        <v>-4.2777300085984515E-2</v>
      </c>
      <c r="E82">
        <f ca="1">'ETF variations'!E82/'ETF price'!F83</f>
        <v>-3.8042474607571472E-2</v>
      </c>
      <c r="F82">
        <f ca="1">'ETF variations'!F82/'ETF price'!G83</f>
        <v>-2.0533880903490759E-2</v>
      </c>
      <c r="G82">
        <f ca="1">'ETF variations'!G82/'ETF price'!H83</f>
        <v>-2.7777777777777853E-2</v>
      </c>
      <c r="H82">
        <f ca="1">'ETF variations'!H82/'ETF price'!I83</f>
        <v>-2.5723472668810275E-2</v>
      </c>
      <c r="I82">
        <f ca="1">'ETF variations'!I82/'ETF price'!J83</f>
        <v>-2.4322672642085961E-2</v>
      </c>
      <c r="J82">
        <f ca="1">'ETF variations'!J82/'ETF price'!K83</f>
        <v>-2.0159596808063767E-2</v>
      </c>
      <c r="K82">
        <f ca="1">'ETF variations'!K82/'ETF price'!L83</f>
        <v>-3.0975193594959961E-2</v>
      </c>
      <c r="L82">
        <f ca="1">'ETF variations'!L82/'ETF price'!M83</f>
        <v>-2.5303292894280776E-2</v>
      </c>
      <c r="M82">
        <f ca="1">'ETF variations'!M82/'ETF price'!N83</f>
        <v>-2.4679639297579534E-2</v>
      </c>
      <c r="N82">
        <f ca="1">'ETF variations'!N82/'ETF price'!O83</f>
        <v>-2.1505376344085975E-2</v>
      </c>
      <c r="O82">
        <f ca="1">'ETF variations'!O82/'ETF price'!P83</f>
        <v>-2.5670945157526125E-2</v>
      </c>
      <c r="P82">
        <f ca="1">'ETF variations'!P82/'ETF price'!Q83</f>
        <v>-2.6184307920059199E-2</v>
      </c>
      <c r="Q82">
        <f ca="1">'ETF variations'!Q82/'ETF price'!R83</f>
        <v>-2.0053013714417367E-2</v>
      </c>
      <c r="R82">
        <f ca="1">'ETF variations'!R82/'ETF price'!S83</f>
        <v>-3.684030157642218E-2</v>
      </c>
      <c r="S82">
        <f ca="1">'ETF variations'!S82/'ETF price'!T83</f>
        <v>-7.5702956020186488E-3</v>
      </c>
      <c r="T82">
        <f ca="1">'ETF variations'!T82/'ETF price'!U83</f>
        <v>-1.1782786885245923E-2</v>
      </c>
      <c r="U82">
        <f ca="1">'ETF variations'!U82/'ETF price'!V83</f>
        <v>-8.0308880308879692E-3</v>
      </c>
      <c r="V82">
        <f ca="1">'ETF variations'!V82/'ETF price'!W83</f>
        <v>-3.4415221040850694E-2</v>
      </c>
      <c r="W82">
        <f ca="1">'ETF variations'!W82/'ETF price'!X83</f>
        <v>-3.5176457064030213E-2</v>
      </c>
      <c r="X82">
        <f ca="1">'ETF variations'!X82/'ETF price'!Y83</f>
        <v>-3.1487960485696666E-2</v>
      </c>
      <c r="Y82">
        <f ca="1">'ETF variations'!Y82/'ETF price'!Z83</f>
        <v>-3.5268652915711865E-2</v>
      </c>
      <c r="Z82">
        <f ca="1">'ETF variations'!Z82/'ETF price'!AA83</f>
        <v>-4.8202614379084956E-2</v>
      </c>
      <c r="AA82">
        <f ca="1">'ETF variations'!AA82/'ETF price'!AB83</f>
        <v>-3.1480031323414218E-2</v>
      </c>
      <c r="AB82">
        <f ca="1">'ETF variations'!AB82/'ETF price'!AC83</f>
        <v>-3.4482758620689613E-2</v>
      </c>
      <c r="AC82">
        <f ca="1">'ETF variations'!AC82/'ETF price'!AD83</f>
        <v>-4.3309631544925654E-2</v>
      </c>
      <c r="AD82">
        <f ca="1">'ETF variations'!AD82/'ETF price'!AE83</f>
        <v>-4.4105854049719381E-2</v>
      </c>
      <c r="AE82">
        <f ca="1">'ETF variations'!AE82/'ETF price'!AF83</f>
        <v>1.1135857461024459E-2</v>
      </c>
      <c r="AF82">
        <f ca="1">'ETF variations'!AF82/'ETF price'!AG83</f>
        <v>-5.1003344481605449E-2</v>
      </c>
    </row>
    <row r="83" spans="1:32" x14ac:dyDescent="0.2">
      <c r="A83">
        <f ca="1">'ETF variations'!A83/'ETF price'!B84</f>
        <v>1.5202941592419784E-2</v>
      </c>
      <c r="B83">
        <f ca="1">'ETF variations'!B83/'ETF price'!C84</f>
        <v>1.6530501089324599E-2</v>
      </c>
      <c r="C83">
        <f ca="1">'ETF variations'!C83/'ETF price'!D84</f>
        <v>2.1319343676749598E-2</v>
      </c>
      <c r="D83">
        <f ca="1">'ETF variations'!D83/'ETF price'!E84</f>
        <v>3.3385732465004925E-2</v>
      </c>
      <c r="E83">
        <f ca="1">'ETF variations'!E83/'ETF price'!F84</f>
        <v>1.2478402764446122E-2</v>
      </c>
      <c r="F83">
        <f ca="1">'ETF variations'!F83/'ETF price'!G84</f>
        <v>1.1320754716981114E-2</v>
      </c>
      <c r="G83">
        <f ca="1">'ETF variations'!G83/'ETF price'!H84</f>
        <v>1.8918918918918996E-2</v>
      </c>
      <c r="H83">
        <f ca="1">'ETF variations'!H83/'ETF price'!I84</f>
        <v>-6.2169007598434443E-3</v>
      </c>
      <c r="I83">
        <f ca="1">'ETF variations'!I83/'ETF price'!J84</f>
        <v>-2.9647569734423734E-3</v>
      </c>
      <c r="J83">
        <f ca="1">'ETF variations'!J83/'ETF price'!K84</f>
        <v>1.4659237033861926E-2</v>
      </c>
      <c r="K83">
        <f ca="1">'ETF variations'!K83/'ETF price'!L84</f>
        <v>3.9956657185426021E-2</v>
      </c>
      <c r="L83">
        <f ca="1">'ETF variations'!L83/'ETF price'!M84</f>
        <v>1.2446657183499212E-2</v>
      </c>
      <c r="M83">
        <f ca="1">'ETF variations'!M83/'ETF price'!N84</f>
        <v>-3.0819140308191036E-3</v>
      </c>
      <c r="N83">
        <f ca="1">'ETF variations'!N83/'ETF price'!O84</f>
        <v>3.0612244897959228E-2</v>
      </c>
      <c r="O83">
        <f ca="1">'ETF variations'!O83/'ETF price'!P84</f>
        <v>1.5968063872255335E-2</v>
      </c>
      <c r="P83">
        <f ca="1">'ETF variations'!P83/'ETF price'!Q84</f>
        <v>1.1401425178147295E-2</v>
      </c>
      <c r="Q83">
        <f ca="1">'ETF variations'!Q83/'ETF price'!R84</f>
        <v>-3.0577443255322251E-3</v>
      </c>
      <c r="R83">
        <f ca="1">'ETF variations'!R83/'ETF price'!S84</f>
        <v>-1.2631204412026345E-2</v>
      </c>
      <c r="S83">
        <f ca="1">'ETF variations'!S83/'ETF price'!T84</f>
        <v>1.5256084271703529E-2</v>
      </c>
      <c r="T83">
        <f ca="1">'ETF variations'!T83/'ETF price'!U84</f>
        <v>1.5811301192327615E-2</v>
      </c>
      <c r="U83">
        <f ca="1">'ETF variations'!U83/'ETF price'!V84</f>
        <v>1.1676786548341896E-2</v>
      </c>
      <c r="V83">
        <f ca="1">'ETF variations'!V83/'ETF price'!W84</f>
        <v>2.8977108084627984E-4</v>
      </c>
      <c r="W83">
        <f ca="1">'ETF variations'!W83/'ETF price'!X84</f>
        <v>4.4084356010960363E-3</v>
      </c>
      <c r="X83">
        <f ca="1">'ETF variations'!X83/'ETF price'!Y84</f>
        <v>1.4024649383765332E-2</v>
      </c>
      <c r="Y83">
        <f ca="1">'ETF variations'!Y83/'ETF price'!Z84</f>
        <v>4.2233073775901726E-3</v>
      </c>
      <c r="Z83">
        <f ca="1">'ETF variations'!Z83/'ETF price'!AA84</f>
        <v>-2.5965665236051521E-2</v>
      </c>
      <c r="AA83">
        <f ca="1">'ETF variations'!AA83/'ETF price'!AB84</f>
        <v>1.4068564036222468E-2</v>
      </c>
      <c r="AB83">
        <f ca="1">'ETF variations'!AB83/'ETF price'!AC84</f>
        <v>4.4182621502209495E-3</v>
      </c>
      <c r="AC83">
        <f ca="1">'ETF variations'!AC83/'ETF price'!AD84</f>
        <v>6.081081081081071E-3</v>
      </c>
      <c r="AD83">
        <f ca="1">'ETF variations'!AD83/'ETF price'!AE84</f>
        <v>6.7114093959731603E-3</v>
      </c>
      <c r="AE83">
        <f ca="1">'ETF variations'!AE83/'ETF price'!AF84</f>
        <v>0</v>
      </c>
      <c r="AF83">
        <f ca="1">'ETF variations'!AF83/'ETF price'!AG84</f>
        <v>4.3171806167400899E-2</v>
      </c>
    </row>
    <row r="84" spans="1:32" x14ac:dyDescent="0.2">
      <c r="A84">
        <f ca="1">'ETF variations'!A84/'ETF price'!B85</f>
        <v>1.7413108588145156E-3</v>
      </c>
      <c r="B84">
        <f ca="1">'ETF variations'!B84/'ETF price'!C85</f>
        <v>6.4296621748334744E-4</v>
      </c>
      <c r="C84">
        <f ca="1">'ETF variations'!C84/'ETF price'!D85</f>
        <v>1.3114754098361152E-3</v>
      </c>
      <c r="D84">
        <f ca="1">'ETF variations'!D84/'ETF price'!E85</f>
        <v>8.3303151032233045E-3</v>
      </c>
      <c r="E84">
        <f ca="1">'ETF variations'!E84/'ETF price'!F85</f>
        <v>-7.2051573758058884E-3</v>
      </c>
      <c r="F84">
        <f ca="1">'ETF variations'!F84/'ETF price'!G85</f>
        <v>-8.291873963515577E-4</v>
      </c>
      <c r="G84">
        <f ca="1">'ETF variations'!G84/'ETF price'!H85</f>
        <v>4.1682455475558705E-3</v>
      </c>
      <c r="H84">
        <f ca="1">'ETF variations'!H84/'ETF price'!I85</f>
        <v>3.1665122026567549E-3</v>
      </c>
      <c r="I84">
        <f ca="1">'ETF variations'!I84/'ETF price'!J85</f>
        <v>2.5547598106964243E-3</v>
      </c>
      <c r="J84">
        <f ca="1">'ETF variations'!J84/'ETF price'!K85</f>
        <v>9.1247042919905229E-3</v>
      </c>
      <c r="K84">
        <f ca="1">'ETF variations'!K84/'ETF price'!L85</f>
        <v>9.1169575410254204E-4</v>
      </c>
      <c r="L84">
        <f ca="1">'ETF variations'!L84/'ETF price'!M85</f>
        <v>9.308043554618917E-3</v>
      </c>
      <c r="M84">
        <f ca="1">'ETF variations'!M84/'ETF price'!N85</f>
        <v>2.6033192320207709E-3</v>
      </c>
      <c r="N84">
        <f ca="1">'ETF variations'!N84/'ETF price'!O85</f>
        <v>4.569687738004472E-3</v>
      </c>
      <c r="O84">
        <f ca="1">'ETF variations'!O84/'ETF price'!P85</f>
        <v>2.8028814669286192E-2</v>
      </c>
      <c r="P84">
        <f ca="1">'ETF variations'!P84/'ETF price'!Q85</f>
        <v>3.0624706434945897E-2</v>
      </c>
      <c r="Q84">
        <f ca="1">'ETF variations'!Q84/'ETF price'!R85</f>
        <v>1.1206794856671027E-2</v>
      </c>
      <c r="R84">
        <f ca="1">'ETF variations'!R84/'ETF price'!S85</f>
        <v>2.2702702702702669E-2</v>
      </c>
      <c r="S84">
        <f ca="1">'ETF variations'!S84/'ETF price'!T85</f>
        <v>-1.3953488372093044E-2</v>
      </c>
      <c r="T84">
        <f ca="1">'ETF variations'!T84/'ETF price'!U85</f>
        <v>-2.1561622862975222E-2</v>
      </c>
      <c r="U84">
        <f ca="1">'ETF variations'!U84/'ETF price'!V85</f>
        <v>3.2471529701446587E-2</v>
      </c>
      <c r="V84">
        <f ca="1">'ETF variations'!V84/'ETF price'!W85</f>
        <v>1.303592120509837E-2</v>
      </c>
      <c r="W84">
        <f ca="1">'ETF variations'!W84/'ETF price'!X85</f>
        <v>1.2811387900355853E-2</v>
      </c>
      <c r="X84">
        <f ca="1">'ETF variations'!X84/'ETF price'!Y85</f>
        <v>1.6345347862531459E-2</v>
      </c>
      <c r="Y84">
        <f ca="1">'ETF variations'!Y84/'ETF price'!Z85</f>
        <v>1.3273754764095031E-2</v>
      </c>
      <c r="Z84">
        <f ca="1">'ETF variations'!Z84/'ETF price'!AA85</f>
        <v>1.211720643313499E-2</v>
      </c>
      <c r="AA84">
        <f ca="1">'ETF variations'!AA84/'ETF price'!AB85</f>
        <v>1.3873385424972053E-2</v>
      </c>
      <c r="AB84">
        <f ca="1">'ETF variations'!AB84/'ETF price'!AC85</f>
        <v>1.1180351906158346E-2</v>
      </c>
      <c r="AC84">
        <f ca="1">'ETF variations'!AC84/'ETF price'!AD85</f>
        <v>-2.3505708529214332E-2</v>
      </c>
      <c r="AD84">
        <f ca="1">'ETF variations'!AD84/'ETF price'!AE85</f>
        <v>-2.3750000000000011E-2</v>
      </c>
      <c r="AE84">
        <f ca="1">'ETF variations'!AE84/'ETF price'!AF85</f>
        <v>2.2026431718061595E-2</v>
      </c>
      <c r="AF84">
        <f ca="1">'ETF variations'!AF84/'ETF price'!AG85</f>
        <v>1.6891891891891533E-3</v>
      </c>
    </row>
    <row r="85" spans="1:32" x14ac:dyDescent="0.2">
      <c r="A85">
        <f ca="1">'ETF variations'!A85/'ETF price'!B86</f>
        <v>3.5113336114587758E-2</v>
      </c>
      <c r="B85">
        <f ca="1">'ETF variations'!B85/'ETF price'!C86</f>
        <v>3.4671093143423169E-2</v>
      </c>
      <c r="C85">
        <f ca="1">'ETF variations'!C85/'ETF price'!D86</f>
        <v>3.6564068980571865E-2</v>
      </c>
      <c r="D85">
        <f ca="1">'ETF variations'!D85/'ETF price'!E86</f>
        <v>3.8793103448275905E-2</v>
      </c>
      <c r="E85">
        <f ca="1">'ETF variations'!E85/'ETF price'!F86</f>
        <v>7.8304048892284886E-3</v>
      </c>
      <c r="F85">
        <f ca="1">'ETF variations'!F85/'ETF price'!G86</f>
        <v>3.5684647302904542E-2</v>
      </c>
      <c r="G85">
        <f ca="1">'ETF variations'!G85/'ETF price'!H86</f>
        <v>2.3018867924528279E-2</v>
      </c>
      <c r="H85">
        <f ca="1">'ETF variations'!H85/'ETF price'!I86</f>
        <v>2.2172607591038757E-2</v>
      </c>
      <c r="I85">
        <f ca="1">'ETF variations'!I85/'ETF price'!J86</f>
        <v>2.1555685520929051E-2</v>
      </c>
      <c r="J85">
        <f ca="1">'ETF variations'!J85/'ETF price'!K86</f>
        <v>2.0261219022103164E-2</v>
      </c>
      <c r="K85">
        <f ca="1">'ETF variations'!K85/'ETF price'!L86</f>
        <v>2.2511385816525752E-2</v>
      </c>
      <c r="L85">
        <f ca="1">'ETF variations'!L85/'ETF price'!M86</f>
        <v>1.6704367496084928E-2</v>
      </c>
      <c r="M85">
        <f ca="1">'ETF variations'!M85/'ETF price'!N86</f>
        <v>2.2233041220383068E-2</v>
      </c>
      <c r="N85">
        <f ca="1">'ETF variations'!N85/'ETF price'!O86</f>
        <v>2.2744503411675568E-2</v>
      </c>
      <c r="O85">
        <f ca="1">'ETF variations'!O85/'ETF price'!P86</f>
        <v>4.1533953369856103E-2</v>
      </c>
      <c r="P85">
        <f ca="1">'ETF variations'!P85/'ETF price'!Q86</f>
        <v>4.1290675417008489E-2</v>
      </c>
      <c r="Q85">
        <f ca="1">'ETF variations'!Q85/'ETF price'!R86</f>
        <v>3.2431171255249663E-2</v>
      </c>
      <c r="R85">
        <f ca="1">'ETF variations'!R85/'ETF price'!S86</f>
        <v>2.9422128259337592E-2</v>
      </c>
      <c r="S85">
        <f ca="1">'ETF variations'!S85/'ETF price'!T86</f>
        <v>3.1204644412191691E-2</v>
      </c>
      <c r="T85">
        <f ca="1">'ETF variations'!T85/'ETF price'!U86</f>
        <v>4.6029469291954637E-2</v>
      </c>
      <c r="U85">
        <f ca="1">'ETF variations'!U85/'ETF price'!V86</f>
        <v>5.1572514532717148E-2</v>
      </c>
      <c r="V85">
        <f ca="1">'ETF variations'!V85/'ETF price'!W86</f>
        <v>3.0597655132971129E-2</v>
      </c>
      <c r="W85">
        <f ca="1">'ETF variations'!W85/'ETF price'!X86</f>
        <v>3.0452096509721346E-2</v>
      </c>
      <c r="X85">
        <f ca="1">'ETF variations'!X85/'ETF price'!Y86</f>
        <v>2.7010309278350561E-2</v>
      </c>
      <c r="Y85">
        <f ca="1">'ETF variations'!Y85/'ETF price'!Z86</f>
        <v>2.8923476005188121E-2</v>
      </c>
      <c r="Z85">
        <f ca="1">'ETF variations'!Z85/'ETF price'!AA86</f>
        <v>1.1754462342185442E-2</v>
      </c>
      <c r="AA85">
        <f ca="1">'ETF variations'!AA85/'ETF price'!AB86</f>
        <v>2.736709657124874E-2</v>
      </c>
      <c r="AB85">
        <f ca="1">'ETF variations'!AB85/'ETF price'!AC86</f>
        <v>3.0632590175820151E-2</v>
      </c>
      <c r="AC85">
        <f ca="1">'ETF variations'!AC85/'ETF price'!AD86</f>
        <v>6.0522696011004185E-2</v>
      </c>
      <c r="AD85">
        <f ca="1">'ETF variations'!AD85/'ETF price'!AE86</f>
        <v>6.1459667093469963E-2</v>
      </c>
      <c r="AE85">
        <f ca="1">'ETF variations'!AE85/'ETF price'!AF86</f>
        <v>-7.3275862068965497E-2</v>
      </c>
      <c r="AF85">
        <f ca="1">'ETF variations'!AF85/'ETF price'!AG86</f>
        <v>4.468802698145035E-2</v>
      </c>
    </row>
    <row r="86" spans="1:32" x14ac:dyDescent="0.2">
      <c r="A86">
        <f ca="1">'ETF variations'!A86/'ETF price'!B87</f>
        <v>-4.8095653926244347E-2</v>
      </c>
      <c r="B86">
        <f ca="1">'ETF variations'!B86/'ETF price'!C87</f>
        <v>-5.1053149096931018E-2</v>
      </c>
      <c r="C86">
        <f ca="1">'ETF variations'!C86/'ETF price'!D87</f>
        <v>-5.0752869327155871E-2</v>
      </c>
      <c r="D86">
        <f ca="1">'ETF variations'!D86/'ETF price'!E87</f>
        <v>-4.8478561549100907E-2</v>
      </c>
      <c r="E86">
        <f ca="1">'ETF variations'!E86/'ETF price'!F87</f>
        <v>-5.0028425241614563E-2</v>
      </c>
      <c r="F86">
        <f ca="1">'ETF variations'!F86/'ETF price'!G87</f>
        <v>-4.6875000000000069E-2</v>
      </c>
      <c r="G86">
        <f ca="1">'ETF variations'!G86/'ETF price'!H87</f>
        <v>-4.9428255256362963E-2</v>
      </c>
      <c r="H86">
        <f ca="1">'ETF variations'!H86/'ETF price'!I87</f>
        <v>-1.9432100625141314E-2</v>
      </c>
      <c r="I86">
        <f ca="1">'ETF variations'!I86/'ETF price'!J87</f>
        <v>-2.2654780404023848E-2</v>
      </c>
      <c r="J86">
        <f ca="1">'ETF variations'!J86/'ETF price'!K87</f>
        <v>-3.6927621861152143E-2</v>
      </c>
      <c r="K86">
        <f ca="1">'ETF variations'!K86/'ETF price'!L87</f>
        <v>-6.0193433443624385E-2</v>
      </c>
      <c r="L86">
        <f ca="1">'ETF variations'!L86/'ETF price'!M87</f>
        <v>-3.7994181071367428E-2</v>
      </c>
      <c r="M86">
        <f ca="1">'ETF variations'!M86/'ETF price'!N87</f>
        <v>-2.3019526909033226E-2</v>
      </c>
      <c r="N86">
        <f ca="1">'ETF variations'!N86/'ETF price'!O87</f>
        <v>-5.8561897702001549E-2</v>
      </c>
      <c r="O86">
        <f ca="1">'ETF variations'!O86/'ETF price'!P87</f>
        <v>-1.5045871559633077E-2</v>
      </c>
      <c r="P86">
        <f ca="1">'ETF variations'!P86/'ETF price'!Q87</f>
        <v>-1.6456582633053184E-2</v>
      </c>
      <c r="Q86">
        <f ca="1">'ETF variations'!Q86/'ETF price'!R87</f>
        <v>-3.0960451977401073E-2</v>
      </c>
      <c r="R86">
        <f ca="1">'ETF variations'!R86/'ETF price'!S87</f>
        <v>-5.2883792572308685E-2</v>
      </c>
      <c r="S86">
        <f ca="1">'ETF variations'!S86/'ETF price'!T87</f>
        <v>-5.2779732582688994E-3</v>
      </c>
      <c r="T86">
        <f ca="1">'ETF variations'!T86/'ETF price'!U87</f>
        <v>3.2410870107205825E-3</v>
      </c>
      <c r="U86">
        <f ca="1">'ETF variations'!U86/'ETF price'!V87</f>
        <v>-4.4082211197732098E-2</v>
      </c>
      <c r="V86">
        <f ca="1">'ETF variations'!V86/'ETF price'!W87</f>
        <v>-2.9134295227524896E-2</v>
      </c>
      <c r="W86">
        <f ca="1">'ETF variations'!W86/'ETF price'!X87</f>
        <v>-2.887019777222103E-2</v>
      </c>
      <c r="X86">
        <f ca="1">'ETF variations'!X86/'ETF price'!Y87</f>
        <v>-3.0315197751455632E-2</v>
      </c>
      <c r="Y86">
        <f ca="1">'ETF variations'!Y86/'ETF price'!Z87</f>
        <v>-2.8992814824152242E-2</v>
      </c>
      <c r="Z86">
        <f ca="1">'ETF variations'!Z86/'ETF price'!AA87</f>
        <v>-2.5602409638554171E-2</v>
      </c>
      <c r="AA86">
        <f ca="1">'ETF variations'!AA86/'ETF price'!AB87</f>
        <v>-2.8934476423759854E-2</v>
      </c>
      <c r="AB86">
        <f ca="1">'ETF variations'!AB86/'ETF price'!AC87</f>
        <v>-3.3415406260991883E-2</v>
      </c>
      <c r="AC86">
        <f ca="1">'ETF variations'!AC86/'ETF price'!AD87</f>
        <v>-9.1439688715953316E-2</v>
      </c>
      <c r="AD86">
        <f ca="1">'ETF variations'!AD86/'ETF price'!AE87</f>
        <v>-9.0872537193405767E-2</v>
      </c>
      <c r="AE86">
        <f ca="1">'ETF variations'!AE86/'ETF price'!AF87</f>
        <v>-7.6744186046511551E-2</v>
      </c>
      <c r="AF86">
        <f ca="1">'ETF variations'!AF86/'ETF price'!AG87</f>
        <v>-9.2009685230024257E-2</v>
      </c>
    </row>
    <row r="87" spans="1:32" x14ac:dyDescent="0.2">
      <c r="A87">
        <f ca="1">'ETF variations'!A87/'ETF price'!B88</f>
        <v>-8.0445981229272084E-3</v>
      </c>
      <c r="B87">
        <f ca="1">'ETF variations'!B87/'ETF price'!C88</f>
        <v>-1.0852670902298743E-2</v>
      </c>
      <c r="C87">
        <f ca="1">'ETF variations'!C87/'ETF price'!D88</f>
        <v>-1.1536328341652869E-2</v>
      </c>
      <c r="D87">
        <f ca="1">'ETF variations'!D87/'ETF price'!E88</f>
        <v>-8.8669234682753027E-3</v>
      </c>
      <c r="E87">
        <f ca="1">'ETF variations'!E87/'ETF price'!F88</f>
        <v>-4.0295232395771055E-2</v>
      </c>
      <c r="F87">
        <f ca="1">'ETF variations'!F87/'ETF price'!G88</f>
        <v>-2.3959646910466596E-2</v>
      </c>
      <c r="G87">
        <f ca="1">'ETF variations'!G87/'ETF price'!H88</f>
        <v>-3.1819945673263496E-2</v>
      </c>
      <c r="H87">
        <f ca="1">'ETF variations'!H87/'ETF price'!I88</f>
        <v>-3.1492434134725907E-3</v>
      </c>
      <c r="I87">
        <f ca="1">'ETF variations'!I87/'ETF price'!J88</f>
        <v>-6.9456066945606555E-3</v>
      </c>
      <c r="J87">
        <f ca="1">'ETF variations'!J87/'ETF price'!K88</f>
        <v>-3.5702113156100869E-2</v>
      </c>
      <c r="K87">
        <f ca="1">'ETF variations'!K87/'ETF price'!L88</f>
        <v>-5.0372376438727141E-2</v>
      </c>
      <c r="L87">
        <f ca="1">'ETF variations'!L87/'ETF price'!M88</f>
        <v>-2.028108877423947E-2</v>
      </c>
      <c r="M87">
        <f ca="1">'ETF variations'!M87/'ETF price'!N88</f>
        <v>-6.4998375040623757E-3</v>
      </c>
      <c r="N87">
        <f ca="1">'ETF variations'!N87/'ETF price'!O88</f>
        <v>-4.4881889763779416E-2</v>
      </c>
      <c r="O87">
        <f ca="1">'ETF variations'!O87/'ETF price'!P88</f>
        <v>2.9806259314456109E-2</v>
      </c>
      <c r="P87">
        <f ca="1">'ETF variations'!P87/'ETF price'!Q88</f>
        <v>2.5186899252402976E-2</v>
      </c>
      <c r="Q87">
        <f ca="1">'ETF variations'!Q87/'ETF price'!R88</f>
        <v>-1.4342350746268702E-2</v>
      </c>
      <c r="R87">
        <f ca="1">'ETF variations'!R87/'ETF price'!S88</f>
        <v>-2.1322732200939769E-2</v>
      </c>
      <c r="S87">
        <f ca="1">'ETF variations'!S87/'ETF price'!T88</f>
        <v>1.0611956137248368E-3</v>
      </c>
      <c r="T87">
        <f ca="1">'ETF variations'!T87/'ETF price'!U88</f>
        <v>2.0501988071570471E-2</v>
      </c>
      <c r="U87">
        <f ca="1">'ETF variations'!U87/'ETF price'!V88</f>
        <v>-3.9590747330960879E-2</v>
      </c>
      <c r="V87">
        <f ca="1">'ETF variations'!V87/'ETF price'!W88</f>
        <v>-7.1448985424406967E-3</v>
      </c>
      <c r="W87">
        <f ca="1">'ETF variations'!W87/'ETF price'!X88</f>
        <v>-8.6610486891385164E-3</v>
      </c>
      <c r="X87">
        <f ca="1">'ETF variations'!X87/'ETF price'!Y88</f>
        <v>-1.0973084886128241E-2</v>
      </c>
      <c r="Y87">
        <f ca="1">'ETF variations'!Y87/'ETF price'!Z88</f>
        <v>-7.5295339478125183E-3</v>
      </c>
      <c r="Z87">
        <f ca="1">'ETF variations'!Z87/'ETF price'!AA88</f>
        <v>-1.0156767498344025E-2</v>
      </c>
      <c r="AA87">
        <f ca="1">'ETF variations'!AA87/'ETF price'!AB88</f>
        <v>-1.2612328551158713E-2</v>
      </c>
      <c r="AB87">
        <f ca="1">'ETF variations'!AB87/'ETF price'!AC88</f>
        <v>-1.2372634643376996E-2</v>
      </c>
      <c r="AC87">
        <f ca="1">'ETF variations'!AC87/'ETF price'!AD88</f>
        <v>-8.5653104925052983E-3</v>
      </c>
      <c r="AD87">
        <f ca="1">'ETF variations'!AD87/'ETF price'!AE88</f>
        <v>-9.7302078726226836E-3</v>
      </c>
      <c r="AE87">
        <f ca="1">'ETF variations'!AE87/'ETF price'!AF88</f>
        <v>-0.10075566750629732</v>
      </c>
      <c r="AF87">
        <f ca="1">'ETF variations'!AF87/'ETF price'!AG88</f>
        <v>-3.9999999999999938E-2</v>
      </c>
    </row>
    <row r="88" spans="1:32" x14ac:dyDescent="0.2">
      <c r="A88">
        <f ca="1">'ETF variations'!A88/'ETF price'!B89</f>
        <v>-3.8699580280287388E-2</v>
      </c>
      <c r="B88">
        <f ca="1">'ETF variations'!B88/'ETF price'!C89</f>
        <v>-4.3059958649207454E-2</v>
      </c>
      <c r="C88">
        <f ca="1">'ETF variations'!C88/'ETF price'!D89</f>
        <v>-4.1521714734597717E-2</v>
      </c>
      <c r="D88">
        <f ca="1">'ETF variations'!D88/'ETF price'!E89</f>
        <v>-5.096428833321124E-2</v>
      </c>
      <c r="E88">
        <f ca="1">'ETF variations'!E88/'ETF price'!F89</f>
        <v>-5.632924547911039E-2</v>
      </c>
      <c r="F88">
        <f ca="1">'ETF variations'!F88/'ETF price'!G89</f>
        <v>-5.3832902670111975E-2</v>
      </c>
      <c r="G88">
        <f ca="1">'ETF variations'!G88/'ETF price'!H89</f>
        <v>-4.8897795591182319E-2</v>
      </c>
      <c r="H88">
        <f ca="1">'ETF variations'!H88/'ETF price'!I89</f>
        <v>-2.5889967637540447E-2</v>
      </c>
      <c r="I88">
        <f ca="1">'ETF variations'!I88/'ETF price'!J89</f>
        <v>-3.0757562989803703E-2</v>
      </c>
      <c r="J88">
        <f ca="1">'ETF variations'!J88/'ETF price'!K89</f>
        <v>-5.2045595122382264E-2</v>
      </c>
      <c r="K88">
        <f ca="1">'ETF variations'!K88/'ETF price'!L89</f>
        <v>-8.2133181234849445E-2</v>
      </c>
      <c r="L88">
        <f ca="1">'ETF variations'!L88/'ETF price'!M89</f>
        <v>-5.0118031596150317E-2</v>
      </c>
      <c r="M88">
        <f ca="1">'ETF variations'!M88/'ETF price'!N89</f>
        <v>-3.0421982335623151E-2</v>
      </c>
      <c r="N88">
        <f ca="1">'ETF variations'!N88/'ETF price'!O89</f>
        <v>-8.5737840065952253E-2</v>
      </c>
      <c r="O88">
        <f ca="1">'ETF variations'!O88/'ETF price'!P89</f>
        <v>-8.2730342498794004E-2</v>
      </c>
      <c r="P88">
        <f ca="1">'ETF variations'!P88/'ETF price'!Q89</f>
        <v>-8.5076829585901528E-2</v>
      </c>
      <c r="Q88">
        <f ca="1">'ETF variations'!Q88/'ETF price'!R89</f>
        <v>-3.158641902283215E-2</v>
      </c>
      <c r="R88">
        <f ca="1">'ETF variations'!R88/'ETF price'!S89</f>
        <v>-6.2592319054652762E-2</v>
      </c>
      <c r="S88">
        <f ca="1">'ETF variations'!S88/'ETF price'!T89</f>
        <v>-4.5229681978798626E-2</v>
      </c>
      <c r="T88">
        <f ca="1">'ETF variations'!T88/'ETF price'!U89</f>
        <v>-6.7697552660416438E-2</v>
      </c>
      <c r="U88">
        <f ca="1">'ETF variations'!U88/'ETF price'!V89</f>
        <v>-7.5034738304770726E-2</v>
      </c>
      <c r="V88">
        <f ca="1">'ETF variations'!V88/'ETF price'!W89</f>
        <v>-2.3891767415083632E-2</v>
      </c>
      <c r="W88">
        <f ca="1">'ETF variations'!W88/'ETF price'!X89</f>
        <v>-2.432113341204253E-2</v>
      </c>
      <c r="X88">
        <f ca="1">'ETF variations'!X88/'ETF price'!Y89</f>
        <v>-1.6956248691647524E-2</v>
      </c>
      <c r="Y88">
        <f ca="1">'ETF variations'!Y88/'ETF price'!Z89</f>
        <v>-2.5768476128188344E-2</v>
      </c>
      <c r="Z88">
        <f ca="1">'ETF variations'!Z88/'ETF price'!AA89</f>
        <v>-4.6620566584876115E-2</v>
      </c>
      <c r="AA88">
        <f ca="1">'ETF variations'!AA88/'ETF price'!AB89</f>
        <v>-1.3731438607695982E-2</v>
      </c>
      <c r="AB88">
        <f ca="1">'ETF variations'!AB88/'ETF price'!AC89</f>
        <v>-3.2424465733235042E-2</v>
      </c>
      <c r="AC88">
        <f ca="1">'ETF variations'!AC88/'ETF price'!AD89</f>
        <v>-0.1411087113030958</v>
      </c>
      <c r="AD88">
        <f ca="1">'ETF variations'!AD88/'ETF price'!AE89</f>
        <v>-0.14113443501563197</v>
      </c>
      <c r="AE88">
        <f ca="1">'ETF variations'!AE88/'ETF price'!AF89</f>
        <v>-4.2016806722689051E-2</v>
      </c>
      <c r="AF88">
        <f ca="1">'ETF variations'!AF88/'ETF price'!AG89</f>
        <v>-0.16203703703703703</v>
      </c>
    </row>
    <row r="89" spans="1:32" x14ac:dyDescent="0.2">
      <c r="A89">
        <f ca="1">'ETF variations'!A89/'ETF price'!B90</f>
        <v>1.524457929401319E-2</v>
      </c>
      <c r="B89">
        <f ca="1">'ETF variations'!B89/'ETF price'!C90</f>
        <v>1.4519056261343071E-2</v>
      </c>
      <c r="C89">
        <f ca="1">'ETF variations'!C89/'ETF price'!D90</f>
        <v>1.5689029387659564E-2</v>
      </c>
      <c r="D89">
        <f ca="1">'ETF variations'!D89/'ETF price'!E90</f>
        <v>2.2794004017926264E-2</v>
      </c>
      <c r="E89">
        <f ca="1">'ETF variations'!E89/'ETF price'!F90</f>
        <v>1.5418502202643234E-2</v>
      </c>
      <c r="F89">
        <f ca="1">'ETF variations'!F89/'ETF price'!G90</f>
        <v>-1.2744651797906126E-2</v>
      </c>
      <c r="G89">
        <f ca="1">'ETF variations'!G89/'ETF price'!H90</f>
        <v>6.7425200168563055E-3</v>
      </c>
      <c r="H89">
        <f ca="1">'ETF variations'!H89/'ETF price'!I90</f>
        <v>3.5595633602278345E-3</v>
      </c>
      <c r="I89">
        <f ca="1">'ETF variations'!I89/'ETF price'!J90</f>
        <v>6.6944879151452814E-3</v>
      </c>
      <c r="J89">
        <f ca="1">'ETF variations'!J89/'ETF price'!K90</f>
        <v>2.6659209545115581E-2</v>
      </c>
      <c r="K89">
        <f ca="1">'ETF variations'!K89/'ETF price'!L90</f>
        <v>5.1732173372689108E-2</v>
      </c>
      <c r="L89">
        <f ca="1">'ETF variations'!L89/'ETF price'!M90</f>
        <v>3.4219078570063066E-2</v>
      </c>
      <c r="M89">
        <f ca="1">'ETF variations'!M89/'ETF price'!N90</f>
        <v>5.0607287449392236E-3</v>
      </c>
      <c r="N89">
        <f ca="1">'ETF variations'!N89/'ETF price'!O90</f>
        <v>3.3363390441839585E-2</v>
      </c>
      <c r="O89">
        <f ca="1">'ETF variations'!O89/'ETF price'!P90</f>
        <v>9.0717854325532178E-3</v>
      </c>
      <c r="P89">
        <f ca="1">'ETF variations'!P89/'ETF price'!Q90</f>
        <v>7.4010816965556616E-3</v>
      </c>
      <c r="Q89">
        <f ca="1">'ETF variations'!Q89/'ETF price'!R90</f>
        <v>-6.2301490349377609E-3</v>
      </c>
      <c r="R89">
        <f ca="1">'ETF variations'!R89/'ETF price'!S90</f>
        <v>-1.0636202481780701E-2</v>
      </c>
      <c r="S89">
        <f ca="1">'ETF variations'!S89/'ETF price'!T90</f>
        <v>-5.9215396002960819E-3</v>
      </c>
      <c r="T89">
        <f ca="1">'ETF variations'!T89/'ETF price'!U90</f>
        <v>-2.6642288102389867E-2</v>
      </c>
      <c r="U89">
        <f ca="1">'ETF variations'!U89/'ETF price'!V90</f>
        <v>6.8435987314305414E-3</v>
      </c>
      <c r="V89">
        <f ca="1">'ETF variations'!V89/'ETF price'!W90</f>
        <v>-8.8469478030078798E-3</v>
      </c>
      <c r="W89">
        <f ca="1">'ETF variations'!W89/'ETF price'!X90</f>
        <v>-8.8334946757018876E-3</v>
      </c>
      <c r="X89">
        <f ca="1">'ETF variations'!X89/'ETF price'!Y90</f>
        <v>-1.3202725724020389E-2</v>
      </c>
      <c r="Y89">
        <f ca="1">'ETF variations'!Y89/'ETF price'!Z90</f>
        <v>-6.9817400644469688E-3</v>
      </c>
      <c r="Z89">
        <f ca="1">'ETF variations'!Z89/'ETF price'!AA90</f>
        <v>-2.222742161909225E-2</v>
      </c>
      <c r="AA89">
        <f ca="1">'ETF variations'!AA89/'ETF price'!AB90</f>
        <v>-1.181803464464957E-2</v>
      </c>
      <c r="AB89">
        <f ca="1">'ETF variations'!AB89/'ETF price'!AC90</f>
        <v>-9.5201827875095197E-3</v>
      </c>
      <c r="AC89">
        <f ca="1">'ETF variations'!AC89/'ETF price'!AD90</f>
        <v>1.4249790444258167E-2</v>
      </c>
      <c r="AD89">
        <f ca="1">'ETF variations'!AD89/'ETF price'!AE90</f>
        <v>1.0920436817472743E-2</v>
      </c>
      <c r="AE89">
        <f ca="1">'ETF variations'!AE89/'ETF price'!AF90</f>
        <v>-0.18713450292397665</v>
      </c>
      <c r="AF89">
        <f ca="1">'ETF variations'!AF89/'ETF price'!AG90</f>
        <v>-1.546961325966857E-2</v>
      </c>
    </row>
    <row r="90" spans="1:32" x14ac:dyDescent="0.2">
      <c r="A90">
        <f ca="1">'ETF variations'!A90/'ETF price'!B91</f>
        <v>-3.1562067206064463E-2</v>
      </c>
      <c r="B90">
        <f ca="1">'ETF variations'!B90/'ETF price'!C91</f>
        <v>-3.4244824942499363E-2</v>
      </c>
      <c r="C90">
        <f ca="1">'ETF variations'!C90/'ETF price'!D91</f>
        <v>-3.3544668587896218E-2</v>
      </c>
      <c r="D90">
        <f ca="1">'ETF variations'!D90/'ETF price'!E91</f>
        <v>-2.9538415048727028E-2</v>
      </c>
      <c r="E90">
        <f ca="1">'ETF variations'!E90/'ETF price'!F91</f>
        <v>-2.7331887201735315E-2</v>
      </c>
      <c r="F90">
        <f ca="1">'ETF variations'!F90/'ETF price'!G91</f>
        <v>-2.1668971876440866E-2</v>
      </c>
      <c r="G90">
        <f ca="1">'ETF variations'!G90/'ETF price'!H91</f>
        <v>-3.0975303474257095E-2</v>
      </c>
      <c r="H90">
        <f ca="1">'ETF variations'!H90/'ETF price'!I91</f>
        <v>-6.6209505793332025E-3</v>
      </c>
      <c r="I90">
        <f ca="1">'ETF variations'!I90/'ETF price'!J91</f>
        <v>-1.0752223853527977E-2</v>
      </c>
      <c r="J90">
        <f ca="1">'ETF variations'!J90/'ETF price'!K91</f>
        <v>-3.3412021064100295E-2</v>
      </c>
      <c r="K90">
        <f ca="1">'ETF variations'!K90/'ETF price'!L91</f>
        <v>-7.2230428360413601E-2</v>
      </c>
      <c r="L90">
        <f ca="1">'ETF variations'!L90/'ETF price'!M91</f>
        <v>-3.4750462107208918E-2</v>
      </c>
      <c r="M90">
        <f ca="1">'ETF variations'!M90/'ETF price'!N91</f>
        <v>-9.7348103390399177E-3</v>
      </c>
      <c r="N90">
        <f ca="1">'ETF variations'!N90/'ETF price'!O91</f>
        <v>-5.4973821989528861E-2</v>
      </c>
      <c r="O90">
        <f ca="1">'ETF variations'!O90/'ETF price'!P91</f>
        <v>1.3420195439739428E-2</v>
      </c>
      <c r="P90">
        <f ca="1">'ETF variations'!P90/'ETF price'!Q91</f>
        <v>1.2056136385042866E-2</v>
      </c>
      <c r="Q90">
        <f ca="1">'ETF variations'!Q90/'ETF price'!R91</f>
        <v>4.9170251997549181E-4</v>
      </c>
      <c r="R90">
        <f ca="1">'ETF variations'!R90/'ETF price'!S91</f>
        <v>-7.3661158670116954E-3</v>
      </c>
      <c r="S90">
        <f ca="1">'ETF variations'!S90/'ETF price'!T91</f>
        <v>2.4571854058078935E-2</v>
      </c>
      <c r="T90">
        <f ca="1">'ETF variations'!T90/'ETF price'!U91</f>
        <v>4.8973567690862814E-2</v>
      </c>
      <c r="U90">
        <f ca="1">'ETF variations'!U90/'ETF price'!V91</f>
        <v>-4.1942970822281184E-2</v>
      </c>
      <c r="V90">
        <f ca="1">'ETF variations'!V90/'ETF price'!W91</f>
        <v>-9.2234454031538907E-3</v>
      </c>
      <c r="W90">
        <f ca="1">'ETF variations'!W90/'ETF price'!X91</f>
        <v>-1.1109754608716844E-2</v>
      </c>
      <c r="X90">
        <f ca="1">'ETF variations'!X90/'ETF price'!Y91</f>
        <v>-1.812688821752273E-2</v>
      </c>
      <c r="Y90">
        <f ca="1">'ETF variations'!Y90/'ETF price'!Z91</f>
        <v>-1.1357490535424409E-2</v>
      </c>
      <c r="Z90">
        <f ca="1">'ETF variations'!Z90/'ETF price'!AA91</f>
        <v>-1.4357501794688269E-3</v>
      </c>
      <c r="AA90">
        <f ca="1">'ETF variations'!AA90/'ETF price'!AB91</f>
        <v>-1.6710353866317106E-2</v>
      </c>
      <c r="AB90">
        <f ca="1">'ETF variations'!AB90/'ETF price'!AC91</f>
        <v>-9.2272202998847364E-3</v>
      </c>
      <c r="AC90">
        <f ca="1">'ETF variations'!AC90/'ETF price'!AD91</f>
        <v>-6.6115702479338762E-2</v>
      </c>
      <c r="AD90">
        <f ca="1">'ETF variations'!AD90/'ETF price'!AE91</f>
        <v>-6.4814814814814894E-2</v>
      </c>
      <c r="AE90">
        <f ca="1">'ETF variations'!AE90/'ETF price'!AF91</f>
        <v>0.12589928057553962</v>
      </c>
      <c r="AF90">
        <f ca="1">'ETF variations'!AF90/'ETF price'!AG91</f>
        <v>-0.12008978675645346</v>
      </c>
    </row>
    <row r="91" spans="1:32" x14ac:dyDescent="0.2">
      <c r="A91">
        <f ca="1">'ETF variations'!A91/'ETF price'!B92</f>
        <v>-1.0311606202017194E-2</v>
      </c>
      <c r="B91">
        <f ca="1">'ETF variations'!B91/'ETF price'!C92</f>
        <v>-7.3505630531298695E-3</v>
      </c>
      <c r="C91">
        <f ca="1">'ETF variations'!C91/'ETF price'!D92</f>
        <v>-4.7709923664122815E-3</v>
      </c>
      <c r="D91">
        <f ca="1">'ETF variations'!D91/'ETF price'!E92</f>
        <v>6.0719290051377949E-3</v>
      </c>
      <c r="E91">
        <f ca="1">'ETF variations'!E91/'ETF price'!F92</f>
        <v>7.8055307760926474E-3</v>
      </c>
      <c r="F91">
        <f ca="1">'ETF variations'!F91/'ETF price'!G92</f>
        <v>3.2987747408105695E-3</v>
      </c>
      <c r="G91">
        <f ca="1">'ETF variations'!G91/'ETF price'!H92</f>
        <v>1.9438444924406172E-2</v>
      </c>
      <c r="H91">
        <f ca="1">'ETF variations'!H91/'ETF price'!I92</f>
        <v>9.6802348647147419E-3</v>
      </c>
      <c r="I91">
        <f ca="1">'ETF variations'!I91/'ETF price'!J92</f>
        <v>1.0781788816622282E-2</v>
      </c>
      <c r="J91">
        <f ca="1">'ETF variations'!J91/'ETF price'!K92</f>
        <v>2.8085665977832137E-2</v>
      </c>
      <c r="K91">
        <f ca="1">'ETF variations'!K91/'ETF price'!L92</f>
        <v>3.3434166533991311E-2</v>
      </c>
      <c r="L91">
        <f ca="1">'ETF variations'!L91/'ETF price'!M92</f>
        <v>2.3937188816545385E-2</v>
      </c>
      <c r="M91">
        <f ca="1">'ETF variations'!M91/'ETF price'!N92</f>
        <v>1.1525423728813555E-2</v>
      </c>
      <c r="N91">
        <f ca="1">'ETF variations'!N91/'ETF price'!O92</f>
        <v>3.1394275161588166E-2</v>
      </c>
      <c r="O91">
        <f ca="1">'ETF variations'!O91/'ETF price'!P92</f>
        <v>4.2427359218307828E-3</v>
      </c>
      <c r="P91">
        <f ca="1">'ETF variations'!P91/'ETF price'!Q92</f>
        <v>3.1642624476501016E-3</v>
      </c>
      <c r="Q91">
        <f ca="1">'ETF variations'!Q91/'ETF price'!R92</f>
        <v>-1.8429782528566862E-3</v>
      </c>
      <c r="R91">
        <f ca="1">'ETF variations'!R91/'ETF price'!S92</f>
        <v>-2.1460088247091863E-2</v>
      </c>
      <c r="S91">
        <f ca="1">'ETF variations'!S91/'ETF price'!T92</f>
        <v>4.7238372093022897E-3</v>
      </c>
      <c r="T91">
        <f ca="1">'ETF variations'!T91/'ETF price'!U92</f>
        <v>1.3430544896392902E-2</v>
      </c>
      <c r="U91">
        <f ca="1">'ETF variations'!U91/'ETF price'!V92</f>
        <v>-3.4608063678836431E-3</v>
      </c>
      <c r="V91">
        <f ca="1">'ETF variations'!V91/'ETF price'!W92</f>
        <v>-7.5075075075075083E-3</v>
      </c>
      <c r="W91">
        <f ca="1">'ETF variations'!W91/'ETF price'!X92</f>
        <v>-4.9382716049383418E-3</v>
      </c>
      <c r="X91">
        <f ca="1">'ETF variations'!X91/'ETF price'!Y92</f>
        <v>0</v>
      </c>
      <c r="Y91">
        <f ca="1">'ETF variations'!Y91/'ETF price'!Z92</f>
        <v>-3.2822757111598618E-3</v>
      </c>
      <c r="Z91">
        <f ca="1">'ETF variations'!Z91/'ETF price'!AA92</f>
        <v>7.4287083632878573E-3</v>
      </c>
      <c r="AA91">
        <f ca="1">'ETF variations'!AA91/'ETF price'!AB92</f>
        <v>0</v>
      </c>
      <c r="AB91">
        <f ca="1">'ETF variations'!AB91/'ETF price'!AC92</f>
        <v>-6.4027939464493264E-3</v>
      </c>
      <c r="AC91">
        <f ca="1">'ETF variations'!AC91/'ETF price'!AD92</f>
        <v>-2.3008849557522262E-2</v>
      </c>
      <c r="AD91">
        <f ca="1">'ETF variations'!AD91/'ETF price'!AE92</f>
        <v>-2.5852585258525792E-2</v>
      </c>
      <c r="AE91">
        <f ca="1">'ETF variations'!AE91/'ETF price'!AF92</f>
        <v>3.8338658146964889E-2</v>
      </c>
      <c r="AF91">
        <f ca="1">'ETF variations'!AF91/'ETF price'!AG92</f>
        <v>-1.5306122448979605E-2</v>
      </c>
    </row>
    <row r="92" spans="1:32" x14ac:dyDescent="0.2">
      <c r="A92">
        <f ca="1">'ETF variations'!A92/'ETF price'!B93</f>
        <v>3.3234466499353597E-2</v>
      </c>
      <c r="B92">
        <f ca="1">'ETF variations'!B92/'ETF price'!C93</f>
        <v>3.7824708983738575E-2</v>
      </c>
      <c r="C92">
        <f ca="1">'ETF variations'!C92/'ETF price'!D93</f>
        <v>3.8111217641419066E-2</v>
      </c>
      <c r="D92">
        <f ca="1">'ETF variations'!D92/'ETF price'!E93</f>
        <v>5.0990405447229985E-2</v>
      </c>
      <c r="E92">
        <f ca="1">'ETF variations'!E92/'ETF price'!F93</f>
        <v>4.2044700154901651E-2</v>
      </c>
      <c r="F92">
        <f ca="1">'ETF variations'!F92/'ETF price'!G93</f>
        <v>5.4955378111789653E-2</v>
      </c>
      <c r="G92">
        <f ca="1">'ETF variations'!G92/'ETF price'!H93</f>
        <v>4.6610169491525327E-2</v>
      </c>
      <c r="H92">
        <f ca="1">'ETF variations'!H92/'ETF price'!I93</f>
        <v>1.0609037328094258E-2</v>
      </c>
      <c r="I92">
        <f ca="1">'ETF variations'!I92/'ETF price'!J93</f>
        <v>1.5201243738124072E-2</v>
      </c>
      <c r="J92">
        <f ca="1">'ETF variations'!J92/'ETF price'!K93</f>
        <v>3.3714024668798519E-2</v>
      </c>
      <c r="K92">
        <f ca="1">'ETF variations'!K92/'ETF price'!L93</f>
        <v>5.684794330611613E-2</v>
      </c>
      <c r="L92">
        <f ca="1">'ETF variations'!L92/'ETF price'!M93</f>
        <v>2.9549279970076649E-2</v>
      </c>
      <c r="M92">
        <f ca="1">'ETF variations'!M92/'ETF price'!N93</f>
        <v>1.4410187667560312E-2</v>
      </c>
      <c r="N92">
        <f ca="1">'ETF variations'!N92/'ETF price'!O93</f>
        <v>5.7296329453894408E-2</v>
      </c>
      <c r="O92">
        <f ca="1">'ETF variations'!O92/'ETF price'!P93</f>
        <v>3.4182563052106027E-2</v>
      </c>
      <c r="P92">
        <f ca="1">'ETF variations'!P92/'ETF price'!Q93</f>
        <v>3.3954912329529609E-2</v>
      </c>
      <c r="Q92">
        <f ca="1">'ETF variations'!Q92/'ETF price'!R93</f>
        <v>1.5386509108813394E-2</v>
      </c>
      <c r="R92">
        <f ca="1">'ETF variations'!R92/'ETF price'!S93</f>
        <v>3.0334084853453659E-2</v>
      </c>
      <c r="S92">
        <f ca="1">'ETF variations'!S92/'ETF price'!T93</f>
        <v>1.3743218806510039E-2</v>
      </c>
      <c r="T92">
        <f ca="1">'ETF variations'!T92/'ETF price'!U93</f>
        <v>2.5874037612015614E-2</v>
      </c>
      <c r="U92">
        <f ca="1">'ETF variations'!U92/'ETF price'!V93</f>
        <v>7.1540197951033113E-2</v>
      </c>
      <c r="V92">
        <f ca="1">'ETF variations'!V92/'ETF price'!W93</f>
        <v>1.4523449319213434E-2</v>
      </c>
      <c r="W92">
        <f ca="1">'ETF variations'!W92/'ETF price'!X93</f>
        <v>1.6501240694789237E-2</v>
      </c>
      <c r="X92">
        <f ca="1">'ETF variations'!X92/'ETF price'!Y93</f>
        <v>1.274725274725271E-2</v>
      </c>
      <c r="Y92">
        <f ca="1">'ETF variations'!Y92/'ETF price'!Z93</f>
        <v>1.7014270032930972E-2</v>
      </c>
      <c r="Z92">
        <f ca="1">'ETF variations'!Z92/'ETF price'!AA93</f>
        <v>2.4976213130352146E-2</v>
      </c>
      <c r="AA92">
        <f ca="1">'ETF variations'!AA92/'ETF price'!AB93</f>
        <v>9.1636121292901895E-3</v>
      </c>
      <c r="AB92">
        <f ca="1">'ETF variations'!AB92/'ETF price'!AC93</f>
        <v>2.2066002733841097E-2</v>
      </c>
      <c r="AC92">
        <f ca="1">'ETF variations'!AC92/'ETF price'!AD93</f>
        <v>5.1630434782608724E-2</v>
      </c>
      <c r="AD92">
        <f ca="1">'ETF variations'!AD92/'ETF price'!AE93</f>
        <v>5.4771315640880794E-2</v>
      </c>
      <c r="AE92">
        <f ca="1">'ETF variations'!AE92/'ETF price'!AF93</f>
        <v>-5.2307692307692284E-2</v>
      </c>
      <c r="AF92">
        <f ca="1">'ETF variations'!AF92/'ETF price'!AG93</f>
        <v>8.8082901554404222E-2</v>
      </c>
    </row>
    <row r="93" spans="1:32" x14ac:dyDescent="0.2">
      <c r="A93">
        <f ca="1">'ETF variations'!A93/'ETF price'!B94</f>
        <v>-8.8326218165760122E-3</v>
      </c>
      <c r="B93">
        <f ca="1">'ETF variations'!B93/'ETF price'!C94</f>
        <v>-1.1929904674924387E-2</v>
      </c>
      <c r="C93">
        <f ca="1">'ETF variations'!C93/'ETF price'!D94</f>
        <v>-1.3276379589009532E-2</v>
      </c>
      <c r="D93">
        <f ca="1">'ETF variations'!D93/'ETF price'!E94</f>
        <v>-1.5166016343959376E-2</v>
      </c>
      <c r="E93">
        <f ca="1">'ETF variations'!E93/'ETF price'!F94</f>
        <v>-1.8050541516245515E-2</v>
      </c>
      <c r="F93">
        <f ca="1">'ETF variations'!F93/'ETF price'!G94</f>
        <v>-7.5690115761354272E-3</v>
      </c>
      <c r="G93">
        <f ca="1">'ETF variations'!G93/'ETF price'!H94</f>
        <v>-1.2955465587044546E-2</v>
      </c>
      <c r="H93">
        <f ca="1">'ETF variations'!H93/'ETF price'!I94</f>
        <v>7.3872472783827149E-3</v>
      </c>
      <c r="I93">
        <f ca="1">'ETF variations'!I93/'ETF price'!J94</f>
        <v>6.2957291134932347E-3</v>
      </c>
      <c r="J93">
        <f ca="1">'ETF variations'!J93/'ETF price'!K94</f>
        <v>1.3257910553297304E-3</v>
      </c>
      <c r="K93">
        <f ca="1">'ETF variations'!K93/'ETF price'!L94</f>
        <v>-2.0408163265306207E-3</v>
      </c>
      <c r="L93">
        <f ca="1">'ETF variations'!L93/'ETF price'!M94</f>
        <v>3.6330608537693525E-3</v>
      </c>
      <c r="M93">
        <f ca="1">'ETF variations'!M93/'ETF price'!N94</f>
        <v>6.4420218037661145E-3</v>
      </c>
      <c r="N93">
        <f ca="1">'ETF variations'!N93/'ETF price'!O94</f>
        <v>-1.7781541066892535E-2</v>
      </c>
      <c r="O93">
        <f ca="1">'ETF variations'!O93/'ETF price'!P94</f>
        <v>2.6367912849715219E-2</v>
      </c>
      <c r="P93">
        <f ca="1">'ETF variations'!P93/'ETF price'!Q94</f>
        <v>2.5392552714221608E-2</v>
      </c>
      <c r="Q93">
        <f ca="1">'ETF variations'!Q93/'ETF price'!R94</f>
        <v>-1.8184022305732996E-3</v>
      </c>
      <c r="R93">
        <f ca="1">'ETF variations'!R93/'ETF price'!S94</f>
        <v>2.3871096081161218E-3</v>
      </c>
      <c r="S93">
        <f ca="1">'ETF variations'!S93/'ETF price'!T94</f>
        <v>1.6410988226899653E-2</v>
      </c>
      <c r="T93">
        <f ca="1">'ETF variations'!T93/'ETF price'!U94</f>
        <v>2.2514763779527536E-2</v>
      </c>
      <c r="U93">
        <f ca="1">'ETF variations'!U93/'ETF price'!V94</f>
        <v>-1.5718684167882011E-2</v>
      </c>
      <c r="V93">
        <f ca="1">'ETF variations'!V93/'ETF price'!W94</f>
        <v>-8.3507306889353157E-3</v>
      </c>
      <c r="W93">
        <f ca="1">'ETF variations'!W93/'ETF price'!X94</f>
        <v>-6.9571585499817812E-3</v>
      </c>
      <c r="X93">
        <f ca="1">'ETF variations'!X93/'ETF price'!Y94</f>
        <v>-9.5486111111110616E-3</v>
      </c>
      <c r="Y93">
        <f ca="1">'ETF variations'!Y93/'ETF price'!Z94</f>
        <v>-7.8251484079870249E-3</v>
      </c>
      <c r="Z93">
        <f ca="1">'ETF variations'!Z93/'ETF price'!AA94</f>
        <v>-8.1225342306800053E-3</v>
      </c>
      <c r="AA93">
        <f ca="1">'ETF variations'!AA93/'ETF price'!AB94</f>
        <v>-1.1391778107974208E-2</v>
      </c>
      <c r="AB93">
        <f ca="1">'ETF variations'!AB93/'ETF price'!AC94</f>
        <v>-1.1081390905617222E-2</v>
      </c>
      <c r="AC93">
        <f ca="1">'ETF variations'!AC93/'ETF price'!AD94</f>
        <v>-1.8949181739879317E-2</v>
      </c>
      <c r="AD93">
        <f ca="1">'ETF variations'!AD93/'ETF price'!AE94</f>
        <v>-1.9271948608137014E-2</v>
      </c>
      <c r="AE93">
        <f ca="1">'ETF variations'!AE93/'ETF price'!AF94</f>
        <v>3.8961038961038995E-2</v>
      </c>
      <c r="AF93">
        <f ca="1">'ETF variations'!AF93/'ETF price'!AG94</f>
        <v>-6.7857142857142894E-2</v>
      </c>
    </row>
    <row r="94" spans="1:32" x14ac:dyDescent="0.2">
      <c r="A94">
        <f ca="1">'ETF variations'!A94/'ETF price'!B95</f>
        <v>2.8961829793554179E-2</v>
      </c>
      <c r="B94">
        <f ca="1">'ETF variations'!B94/'ETF price'!C95</f>
        <v>2.8307336799537872E-2</v>
      </c>
      <c r="C94">
        <f ca="1">'ETF variations'!C94/'ETF price'!D95</f>
        <v>2.6676026676026688E-2</v>
      </c>
      <c r="D94">
        <f ca="1">'ETF variations'!D94/'ETF price'!E95</f>
        <v>4.8516109740599389E-2</v>
      </c>
      <c r="E94">
        <f ca="1">'ETF variations'!E94/'ETF price'!F95</f>
        <v>1.340830449826984E-2</v>
      </c>
      <c r="F94">
        <f ca="1">'ETF variations'!F94/'ETF price'!G95</f>
        <v>3.1852848811126107E-2</v>
      </c>
      <c r="G94">
        <f ca="1">'ETF variations'!G94/'ETF price'!H95</f>
        <v>3.1173092698933619E-2</v>
      </c>
      <c r="H94">
        <f ca="1">'ETF variations'!H94/'ETF price'!I95</f>
        <v>1.3739868776534164E-2</v>
      </c>
      <c r="I94">
        <f ca="1">'ETF variations'!I94/'ETF price'!J95</f>
        <v>1.6444031112614079E-2</v>
      </c>
      <c r="J94">
        <f ca="1">'ETF variations'!J94/'ETF price'!K95</f>
        <v>2.8510901226939622E-2</v>
      </c>
      <c r="K94">
        <f ca="1">'ETF variations'!K94/'ETF price'!L95</f>
        <v>4.3821209465381247E-2</v>
      </c>
      <c r="L94">
        <f ca="1">'ETF variations'!L94/'ETF price'!M95</f>
        <v>2.6787330316742027E-2</v>
      </c>
      <c r="M94">
        <f ca="1">'ETF variations'!M94/'ETF price'!N95</f>
        <v>1.6084030855079548E-2</v>
      </c>
      <c r="N94">
        <f ca="1">'ETF variations'!N94/'ETF price'!O95</f>
        <v>3.7068965517241356E-2</v>
      </c>
      <c r="O94">
        <f ca="1">'ETF variations'!O94/'ETF price'!P95</f>
        <v>1.1578820407671065E-2</v>
      </c>
      <c r="P94">
        <f ca="1">'ETF variations'!P94/'ETF price'!Q95</f>
        <v>1.4350717535876798E-2</v>
      </c>
      <c r="Q94">
        <f ca="1">'ETF variations'!Q94/'ETF price'!R95</f>
        <v>2.8297303862035442E-2</v>
      </c>
      <c r="R94">
        <f ca="1">'ETF variations'!R94/'ETF price'!S95</f>
        <v>4.2468743798372705E-2</v>
      </c>
      <c r="S94">
        <f ca="1">'ETF variations'!S94/'ETF price'!T95</f>
        <v>-1.0881010881010837E-2</v>
      </c>
      <c r="T94">
        <f ca="1">'ETF variations'!T94/'ETF price'!U95</f>
        <v>-2.4064492840813381E-2</v>
      </c>
      <c r="U94">
        <f ca="1">'ETF variations'!U94/'ETF price'!V95</f>
        <v>5.3506750082318075E-2</v>
      </c>
      <c r="V94">
        <f ca="1">'ETF variations'!V94/'ETF price'!W95</f>
        <v>2.6766917293233099E-2</v>
      </c>
      <c r="W94">
        <f ca="1">'ETF variations'!W94/'ETF price'!X95</f>
        <v>2.8023598820059011E-2</v>
      </c>
      <c r="X94">
        <f ca="1">'ETF variations'!X94/'ETF price'!Y95</f>
        <v>3.8781770376862312E-2</v>
      </c>
      <c r="Y94">
        <f ca="1">'ETF variations'!Y94/'ETF price'!Z95</f>
        <v>2.7604025020396883E-2</v>
      </c>
      <c r="Z94">
        <f ca="1">'ETF variations'!Z94/'ETF price'!AA95</f>
        <v>1.0762751520823604E-2</v>
      </c>
      <c r="AA94">
        <f ca="1">'ETF variations'!AA94/'ETF price'!AB95</f>
        <v>3.6573146292585131E-2</v>
      </c>
      <c r="AB94">
        <f ca="1">'ETF variations'!AB94/'ETF price'!AC95</f>
        <v>3.2264296754250424E-2</v>
      </c>
      <c r="AC94">
        <f ca="1">'ETF variations'!AC94/'ETF price'!AD95</f>
        <v>1.9315188762071892E-2</v>
      </c>
      <c r="AD94">
        <f ca="1">'ETF variations'!AD94/'ETF price'!AE95</f>
        <v>1.9104803493449857E-2</v>
      </c>
      <c r="AE94">
        <f ca="1">'ETF variations'!AE94/'ETF price'!AF95</f>
        <v>-6.2500000000000056E-2</v>
      </c>
      <c r="AF94">
        <f ca="1">'ETF variations'!AF94/'ETF price'!AG95</f>
        <v>5.8748403575989663E-2</v>
      </c>
    </row>
    <row r="95" spans="1:32" x14ac:dyDescent="0.2">
      <c r="A95">
        <f ca="1">'ETF variations'!A95/'ETF price'!B96</f>
        <v>-4.5756351039260991E-2</v>
      </c>
      <c r="B95">
        <f ca="1">'ETF variations'!B95/'ETF price'!C96</f>
        <v>-4.6095505617977602E-2</v>
      </c>
      <c r="C95">
        <f ca="1">'ETF variations'!C95/'ETF price'!D96</f>
        <v>-4.8205128205128248E-2</v>
      </c>
      <c r="D95">
        <f ca="1">'ETF variations'!D95/'ETF price'!E96</f>
        <v>-5.0406388136318224E-2</v>
      </c>
      <c r="E95">
        <f ca="1">'ETF variations'!E95/'ETF price'!F96</f>
        <v>-3.457106274007677E-2</v>
      </c>
      <c r="F95">
        <f ca="1">'ETF variations'!F95/'ETF price'!G96</f>
        <v>-2.7391304347826044E-2</v>
      </c>
      <c r="G95">
        <f ca="1">'ETF variations'!G95/'ETF price'!H96</f>
        <v>-3.8583929992044505E-2</v>
      </c>
      <c r="H95">
        <f ca="1">'ETF variations'!H95/'ETF price'!I96</f>
        <v>-2.5812837889286639E-2</v>
      </c>
      <c r="I95">
        <f ca="1">'ETF variations'!I95/'ETF price'!J96</f>
        <v>-2.7240590559367783E-2</v>
      </c>
      <c r="J95">
        <f ca="1">'ETF variations'!J95/'ETF price'!K96</f>
        <v>-2.5403364229316803E-2</v>
      </c>
      <c r="K95">
        <f ca="1">'ETF variations'!K95/'ETF price'!L96</f>
        <v>-5.0237895326056388E-2</v>
      </c>
      <c r="L95">
        <f ca="1">'ETF variations'!L95/'ETF price'!M96</f>
        <v>-3.4549621011810222E-2</v>
      </c>
      <c r="M95">
        <f ca="1">'ETF variations'!M95/'ETF price'!N96</f>
        <v>-2.6328541431109603E-2</v>
      </c>
      <c r="N95">
        <f ca="1">'ETF variations'!N95/'ETF price'!O96</f>
        <v>-3.9900249376558491E-2</v>
      </c>
      <c r="O95">
        <f ca="1">'ETF variations'!O95/'ETF price'!P96</f>
        <v>-2.5634911172052053E-2</v>
      </c>
      <c r="P95">
        <f ca="1">'ETF variations'!P95/'ETF price'!Q96</f>
        <v>-2.613871635610767E-2</v>
      </c>
      <c r="Q95">
        <f ca="1">'ETF variations'!Q95/'ETF price'!R96</f>
        <v>-3.1061769221684132E-2</v>
      </c>
      <c r="R95">
        <f ca="1">'ETF variations'!R95/'ETF price'!S96</f>
        <v>-4.1500095183704545E-2</v>
      </c>
      <c r="S95">
        <f ca="1">'ETF variations'!S95/'ETF price'!T96</f>
        <v>-2.1646557842441429E-2</v>
      </c>
      <c r="T95">
        <f ca="1">'ETF variations'!T95/'ETF price'!U96</f>
        <v>-2.2438663543336127E-2</v>
      </c>
      <c r="U95">
        <f ca="1">'ETF variations'!U95/'ETF price'!V96</f>
        <v>-2.3441162681668787E-3</v>
      </c>
      <c r="V95">
        <f ca="1">'ETF variations'!V95/'ETF price'!W96</f>
        <v>-2.7533684827182124E-2</v>
      </c>
      <c r="W95">
        <f ca="1">'ETF variations'!W95/'ETF price'!X96</f>
        <v>-2.6901004304160689E-2</v>
      </c>
      <c r="X95">
        <f ca="1">'ETF variations'!X95/'ETF price'!Y96</f>
        <v>-2.3834634043450653E-2</v>
      </c>
      <c r="Y95">
        <f ca="1">'ETF variations'!Y95/'ETF price'!Z96</f>
        <v>-2.8318115654360019E-2</v>
      </c>
      <c r="Z95">
        <f ca="1">'ETF variations'!Z95/'ETF price'!AA96</f>
        <v>-2.9166666666666782E-2</v>
      </c>
      <c r="AA95">
        <f ca="1">'ETF variations'!AA95/'ETF price'!AB96</f>
        <v>-2.4488480747543145E-2</v>
      </c>
      <c r="AB95">
        <f ca="1">'ETF variations'!AB95/'ETF price'!AC96</f>
        <v>-2.6951151038742238E-2</v>
      </c>
      <c r="AC95">
        <f ca="1">'ETF variations'!AC95/'ETF price'!AD96</f>
        <v>-2.8423772609819129E-2</v>
      </c>
      <c r="AD95">
        <f ca="1">'ETF variations'!AD95/'ETF price'!AE96</f>
        <v>-2.8923406534547544E-2</v>
      </c>
      <c r="AE95">
        <f ca="1">'ETF variations'!AE95/'ETF price'!AF96</f>
        <v>4.0000000000000036E-2</v>
      </c>
      <c r="AF95">
        <f ca="1">'ETF variations'!AF95/'ETF price'!AG96</f>
        <v>-6.8757539203860005E-2</v>
      </c>
    </row>
    <row r="96" spans="1:32" x14ac:dyDescent="0.2">
      <c r="A96">
        <f ca="1">'ETF variations'!A96/'ETF price'!B97</f>
        <v>-1.096657086673717E-2</v>
      </c>
      <c r="B96">
        <f ca="1">'ETF variations'!B96/'ETF price'!C97</f>
        <v>-6.9790040931710234E-3</v>
      </c>
      <c r="C96">
        <f ca="1">'ETF variations'!C96/'ETF price'!D97</f>
        <v>-5.2681992337164484E-3</v>
      </c>
      <c r="D96">
        <f ca="1">'ETF variations'!D96/'ETF price'!E97</f>
        <v>-6.0064569412118882E-3</v>
      </c>
      <c r="E96">
        <f ca="1">'ETF variations'!E96/'ETF price'!F97</f>
        <v>3.0946065428824176E-3</v>
      </c>
      <c r="F96">
        <f ca="1">'ETF variations'!F96/'ETF price'!G97</f>
        <v>1.9222172552525691E-2</v>
      </c>
      <c r="G96">
        <f ca="1">'ETF variations'!G96/'ETF price'!H97</f>
        <v>1.0757136946627967E-2</v>
      </c>
      <c r="H96">
        <f ca="1">'ETF variations'!H96/'ETF price'!I97</f>
        <v>2.1885258715022755E-3</v>
      </c>
      <c r="I96">
        <f ca="1">'ETF variations'!I96/'ETF price'!J97</f>
        <v>3.163745190252162E-3</v>
      </c>
      <c r="J96">
        <f ca="1">'ETF variations'!J96/'ETF price'!K97</f>
        <v>1.2944698837618869E-2</v>
      </c>
      <c r="K96">
        <f ca="1">'ETF variations'!K96/'ETF price'!L97</f>
        <v>2.2543097097392089E-2</v>
      </c>
      <c r="L96">
        <f ca="1">'ETF variations'!L96/'ETF price'!M97</f>
        <v>1.4789118130363248E-2</v>
      </c>
      <c r="M96">
        <f ca="1">'ETF variations'!M96/'ETF price'!N97</f>
        <v>2.9860650298606456E-3</v>
      </c>
      <c r="N96">
        <f ca="1">'ETF variations'!N96/'ETF price'!O97</f>
        <v>3.376623376623366E-2</v>
      </c>
      <c r="O96">
        <f ca="1">'ETF variations'!O96/'ETF price'!P97</f>
        <v>-3.6710719530102442E-3</v>
      </c>
      <c r="P96">
        <f ca="1">'ETF variations'!P96/'ETF price'!Q97</f>
        <v>-3.1003631854016681E-3</v>
      </c>
      <c r="Q96">
        <f ca="1">'ETF variations'!Q96/'ETF price'!R97</f>
        <v>7.0697220867869115E-3</v>
      </c>
      <c r="R96">
        <f ca="1">'ETF variations'!R96/'ETF price'!S97</f>
        <v>1.6087388282025723E-2</v>
      </c>
      <c r="S96">
        <f ca="1">'ETF variations'!S96/'ETF price'!T97</f>
        <v>1.2694958287994247E-2</v>
      </c>
      <c r="T96">
        <f ca="1">'ETF variations'!T96/'ETF price'!U97</f>
        <v>1.6269390843738074E-2</v>
      </c>
      <c r="U96">
        <f ca="1">'ETF variations'!U96/'ETF price'!V97</f>
        <v>4.5112781954887146E-2</v>
      </c>
      <c r="V96">
        <f ca="1">'ETF variations'!V96/'ETF price'!W97</f>
        <v>-6.6265060240965649E-3</v>
      </c>
      <c r="W96">
        <f ca="1">'ETF variations'!W96/'ETF price'!X97</f>
        <v>-7.2490477945693996E-3</v>
      </c>
      <c r="X96">
        <f ca="1">'ETF variations'!X96/'ETF price'!Y97</f>
        <v>-7.7787381158167549E-3</v>
      </c>
      <c r="Y96">
        <f ca="1">'ETF variations'!Y96/'ETF price'!Z97</f>
        <v>-6.8092060465749686E-3</v>
      </c>
      <c r="Z96">
        <f ca="1">'ETF variations'!Z96/'ETF price'!AA97</f>
        <v>-1.9074868860276179E-3</v>
      </c>
      <c r="AA96">
        <f ca="1">'ETF variations'!AA96/'ETF price'!AB97</f>
        <v>-1.2056151940544954E-2</v>
      </c>
      <c r="AB96">
        <f ca="1">'ETF variations'!AB96/'ETF price'!AC97</f>
        <v>-5.3856510867474729E-3</v>
      </c>
      <c r="AC96">
        <f ca="1">'ETF variations'!AC96/'ETF price'!AD97</f>
        <v>2.5709219858156111E-2</v>
      </c>
      <c r="AD96">
        <f ca="1">'ETF variations'!AD96/'ETF price'!AE97</f>
        <v>2.702702702702714E-2</v>
      </c>
      <c r="AE96">
        <f ca="1">'ETF variations'!AE96/'ETF price'!AF97</f>
        <v>-1.9230769230769246E-2</v>
      </c>
      <c r="AF96">
        <f ca="1">'ETF variations'!AF96/'ETF price'!AG97</f>
        <v>4.4041450777202173E-2</v>
      </c>
    </row>
    <row r="97" spans="1:32" x14ac:dyDescent="0.2">
      <c r="A97">
        <f ca="1">'ETF variations'!A97/'ETF price'!B98</f>
        <v>2.2176340139175043E-3</v>
      </c>
      <c r="B97">
        <f ca="1">'ETF variations'!B97/'ETF price'!C98</f>
        <v>1.6309827412370396E-3</v>
      </c>
      <c r="C97">
        <f ca="1">'ETF variations'!C97/'ETF price'!D98</f>
        <v>-6.0182956186804473E-4</v>
      </c>
      <c r="D97">
        <f ca="1">'ETF variations'!D97/'ETF price'!E98</f>
        <v>-5.2874084145323054E-4</v>
      </c>
      <c r="E97">
        <f ca="1">'ETF variations'!E97/'ETF price'!F98</f>
        <v>1.520493609519607E-2</v>
      </c>
      <c r="F97">
        <f ca="1">'ETF variations'!F97/'ETF price'!G98</f>
        <v>-9.6491228070176502E-3</v>
      </c>
      <c r="G97">
        <f ca="1">'ETF variations'!G97/'ETF price'!H98</f>
        <v>2.0466639377814456E-3</v>
      </c>
      <c r="H97">
        <f ca="1">'ETF variations'!H97/'ETF price'!I98</f>
        <v>1.2166588675713635E-2</v>
      </c>
      <c r="I97">
        <f ca="1">'ETF variations'!I97/'ETF price'!J98</f>
        <v>1.2061029662461697E-2</v>
      </c>
      <c r="J97">
        <f ca="1">'ETF variations'!J97/'ETF price'!K98</f>
        <v>5.0421629140224144E-3</v>
      </c>
      <c r="K97">
        <f ca="1">'ETF variations'!K97/'ETF price'!L98</f>
        <v>1.3400576368875972E-2</v>
      </c>
      <c r="L97">
        <f ca="1">'ETF variations'!L97/'ETF price'!M98</f>
        <v>1.2594458438287204E-2</v>
      </c>
      <c r="M97">
        <f ca="1">'ETF variations'!M97/'ETF price'!N98</f>
        <v>1.1247105524313591E-2</v>
      </c>
      <c r="N97">
        <f ca="1">'ETF variations'!N97/'ETF price'!O98</f>
        <v>1.2562814070351789E-2</v>
      </c>
      <c r="O97">
        <f ca="1">'ETF variations'!O97/'ETF price'!P98</f>
        <v>4.298698108572762E-3</v>
      </c>
      <c r="P97">
        <f ca="1">'ETF variations'!P97/'ETF price'!Q98</f>
        <v>4.4428647591967301E-3</v>
      </c>
      <c r="Q97">
        <f ca="1">'ETF variations'!Q97/'ETF price'!R98</f>
        <v>-2.4207213749697751E-3</v>
      </c>
      <c r="R97">
        <f ca="1">'ETF variations'!R97/'ETF price'!S98</f>
        <v>-1.1727912431587066E-2</v>
      </c>
      <c r="S97">
        <f ca="1">'ETF variations'!S97/'ETF price'!T98</f>
        <v>1.4326647564469608E-3</v>
      </c>
      <c r="T97">
        <f ca="1">'ETF variations'!T97/'ETF price'!U98</f>
        <v>1.3278729213204362E-2</v>
      </c>
      <c r="U97">
        <f ca="1">'ETF variations'!U97/'ETF price'!V98</f>
        <v>7.0443645083932685E-3</v>
      </c>
      <c r="V97">
        <f ca="1">'ETF variations'!V97/'ETF price'!W98</f>
        <v>-1.8192844147967002E-3</v>
      </c>
      <c r="W97">
        <f ca="1">'ETF variations'!W97/'ETF price'!X98</f>
        <v>-7.4257425742577077E-4</v>
      </c>
      <c r="X97">
        <f ca="1">'ETF variations'!X97/'ETF price'!Y98</f>
        <v>0</v>
      </c>
      <c r="Y97">
        <f ca="1">'ETF variations'!Y97/'ETF price'!Z98</f>
        <v>2.7423556835316082E-4</v>
      </c>
      <c r="Z97">
        <f ca="1">'ETF variations'!Z97/'ETF price'!AA98</f>
        <v>1.1705685618729145E-2</v>
      </c>
      <c r="AA97">
        <f ca="1">'ETF variations'!AA97/'ETF price'!AB98</f>
        <v>2.6746907388832597E-3</v>
      </c>
      <c r="AB97">
        <f ca="1">'ETF variations'!AB97/'ETF price'!AC98</f>
        <v>2.7074066911622618E-3</v>
      </c>
      <c r="AC97">
        <f ca="1">'ETF variations'!AC97/'ETF price'!AD98</f>
        <v>-2.2471910112359533E-2</v>
      </c>
      <c r="AD97">
        <f ca="1">'ETF variations'!AD97/'ETF price'!AE98</f>
        <v>-2.3093447905477963E-2</v>
      </c>
      <c r="AE97">
        <f ca="1">'ETF variations'!AE97/'ETF price'!AF98</f>
        <v>-3.2679738562091533E-2</v>
      </c>
      <c r="AF97">
        <f ca="1">'ETF variations'!AF97/'ETF price'!AG98</f>
        <v>-4.5905707196029787E-2</v>
      </c>
    </row>
    <row r="98" spans="1:32" x14ac:dyDescent="0.2">
      <c r="A98">
        <f ca="1">'ETF variations'!A98/'ETF price'!B99</f>
        <v>2.2966580192278277E-2</v>
      </c>
      <c r="B98">
        <f ca="1">'ETF variations'!B98/'ETF price'!C99</f>
        <v>2.1168250584717514E-2</v>
      </c>
      <c r="C98">
        <f ca="1">'ETF variations'!C98/'ETF price'!D99</f>
        <v>1.8908828134409167E-2</v>
      </c>
      <c r="D98">
        <f ca="1">'ETF variations'!D98/'ETF price'!E99</f>
        <v>4.3077388149939024E-3</v>
      </c>
      <c r="E98">
        <f ca="1">'ETF variations'!E98/'ETF price'!F99</f>
        <v>1.3674842630779305E-2</v>
      </c>
      <c r="F98">
        <f ca="1">'ETF variations'!F98/'ETF price'!G99</f>
        <v>1.195748449955727E-2</v>
      </c>
      <c r="G98">
        <f ca="1">'ETF variations'!G98/'ETF price'!H99</f>
        <v>5.7189542483660361E-3</v>
      </c>
      <c r="H98">
        <f ca="1">'ETF variations'!H98/'ETF price'!I99</f>
        <v>8.7840961627368343E-3</v>
      </c>
      <c r="I98">
        <f ca="1">'ETF variations'!I98/'ETF price'!J99</f>
        <v>7.8746789068093008E-3</v>
      </c>
      <c r="J98">
        <f ca="1">'ETF variations'!J98/'ETF price'!K99</f>
        <v>7.1793097482916552E-3</v>
      </c>
      <c r="K98">
        <f ca="1">'ETF variations'!K98/'ETF price'!L99</f>
        <v>-2.7015498364851092E-3</v>
      </c>
      <c r="L98">
        <f ca="1">'ETF variations'!L98/'ETF price'!M99</f>
        <v>6.2189054726368414E-3</v>
      </c>
      <c r="M98">
        <f ca="1">'ETF variations'!M98/'ETF price'!N99</f>
        <v>7.6872751063133604E-3</v>
      </c>
      <c r="N98">
        <f ca="1">'ETF variations'!N98/'ETF price'!O99</f>
        <v>-4.1356492969396785E-3</v>
      </c>
      <c r="O98">
        <f ca="1">'ETF variations'!O98/'ETF price'!P99</f>
        <v>2.6415555827320667E-2</v>
      </c>
      <c r="P98">
        <f ca="1">'ETF variations'!P98/'ETF price'!Q99</f>
        <v>2.8485491861288029E-2</v>
      </c>
      <c r="Q98">
        <f ca="1">'ETF variations'!Q98/'ETF price'!R99</f>
        <v>1.8320795923319644E-2</v>
      </c>
      <c r="R98">
        <f ca="1">'ETF variations'!R98/'ETF price'!S99</f>
        <v>3.9952531645569542E-2</v>
      </c>
      <c r="S98">
        <f ca="1">'ETF variations'!S98/'ETF price'!T99</f>
        <v>7.5107296137339359E-3</v>
      </c>
      <c r="T98">
        <f ca="1">'ETF variations'!T98/'ETF price'!U99</f>
        <v>3.9191671769748092E-3</v>
      </c>
      <c r="U98">
        <f ca="1">'ETF variations'!U98/'ETF price'!V99</f>
        <v>8.6322369400208109E-3</v>
      </c>
      <c r="V98">
        <f ca="1">'ETF variations'!V98/'ETF price'!W99</f>
        <v>3.2503037667071695E-2</v>
      </c>
      <c r="W98">
        <f ca="1">'ETF variations'!W98/'ETF price'!X99</f>
        <v>2.9477334654446491E-2</v>
      </c>
      <c r="X98">
        <f ca="1">'ETF variations'!X98/'ETF price'!Y99</f>
        <v>2.5261324041811771E-2</v>
      </c>
      <c r="Y98">
        <f ca="1">'ETF variations'!Y98/'ETF price'!Z99</f>
        <v>3.0020562028786807E-2</v>
      </c>
      <c r="Z98">
        <f ca="1">'ETF variations'!Z98/'ETF price'!AA99</f>
        <v>1.298701298701292E-2</v>
      </c>
      <c r="AA98">
        <f ca="1">'ETF variations'!AA98/'ETF price'!AB99</f>
        <v>2.4508169389796698E-2</v>
      </c>
      <c r="AB98">
        <f ca="1">'ETF variations'!AB98/'ETF price'!AC99</f>
        <v>3.6258437801349956E-2</v>
      </c>
      <c r="AC98">
        <f ca="1">'ETF variations'!AC98/'ETF price'!AD99</f>
        <v>-7.9575596816976006E-3</v>
      </c>
      <c r="AD98">
        <f ca="1">'ETF variations'!AD98/'ETF price'!AE99</f>
        <v>-8.2462891698736728E-3</v>
      </c>
      <c r="AE98">
        <f ca="1">'ETF variations'!AE98/'ETF price'!AF99</f>
        <v>-4.0540540540540577E-2</v>
      </c>
      <c r="AF98">
        <f ca="1">'ETF variations'!AF98/'ETF price'!AG99</f>
        <v>2.2756827048113371E-3</v>
      </c>
    </row>
    <row r="99" spans="1:32" x14ac:dyDescent="0.2">
      <c r="A99">
        <f ca="1">'ETF variations'!A99/'ETF price'!B100</f>
        <v>-1.484299246662177E-2</v>
      </c>
      <c r="B99">
        <f ca="1">'ETF variations'!B99/'ETF price'!C100</f>
        <v>-1.9337817464919447E-2</v>
      </c>
      <c r="C99">
        <f ca="1">'ETF variations'!C99/'ETF price'!D100</f>
        <v>-2.5531914893616982E-2</v>
      </c>
      <c r="D99">
        <f ca="1">'ETF variations'!D99/'ETF price'!E100</f>
        <v>-2.4381067047934239E-2</v>
      </c>
      <c r="E99">
        <f ca="1">'ETF variations'!E99/'ETF price'!F100</f>
        <v>-1.9486081370449757E-2</v>
      </c>
      <c r="F99">
        <f ca="1">'ETF variations'!F99/'ETF price'!G100</f>
        <v>-1.7505470459518693E-2</v>
      </c>
      <c r="G99">
        <f ca="1">'ETF variations'!G99/'ETF price'!H100</f>
        <v>-3.290008123476857E-2</v>
      </c>
      <c r="H99">
        <f ca="1">'ETF variations'!H99/'ETF price'!I100</f>
        <v>2.9789184234648245E-3</v>
      </c>
      <c r="I99">
        <f ca="1">'ETF variations'!I99/'ETF price'!J100</f>
        <v>-8.3563131946228086E-5</v>
      </c>
      <c r="J99">
        <f ca="1">'ETF variations'!J99/'ETF price'!K100</f>
        <v>-1.5973892133287527E-2</v>
      </c>
      <c r="K99">
        <f ca="1">'ETF variations'!K99/'ETF price'!L100</f>
        <v>-3.9064727687482106E-2</v>
      </c>
      <c r="L99">
        <f ca="1">'ETF variations'!L99/'ETF price'!M100</f>
        <v>-1.359703337453652E-2</v>
      </c>
      <c r="M99">
        <f ca="1">'ETF variations'!M99/'ETF price'!N100</f>
        <v>0</v>
      </c>
      <c r="N99">
        <f ca="1">'ETF variations'!N99/'ETF price'!O100</f>
        <v>-4.0697674418604522E-2</v>
      </c>
      <c r="O99">
        <f ca="1">'ETF variations'!O99/'ETF price'!P100</f>
        <v>3.8127010604074008E-3</v>
      </c>
      <c r="P99">
        <f ca="1">'ETF variations'!P99/'ETF price'!Q100</f>
        <v>3.1825219335970267E-3</v>
      </c>
      <c r="Q99">
        <f ca="1">'ETF variations'!Q99/'ETF price'!R100</f>
        <v>-5.719051590611271E-3</v>
      </c>
      <c r="R99">
        <f ca="1">'ETF variations'!R99/'ETF price'!S100</f>
        <v>-1.0079878280715123E-2</v>
      </c>
      <c r="S99">
        <f ca="1">'ETF variations'!S99/'ETF price'!T100</f>
        <v>-7.0997515086983047E-4</v>
      </c>
      <c r="T99">
        <f ca="1">'ETF variations'!T99/'ETF price'!U100</f>
        <v>3.659875564230955E-4</v>
      </c>
      <c r="U99">
        <f ca="1">'ETF variations'!U99/'ETF price'!V100</f>
        <v>-2.1543455806403922E-2</v>
      </c>
      <c r="V99">
        <f ca="1">'ETF variations'!V99/'ETF price'!W100</f>
        <v>-2.0594292438952714E-3</v>
      </c>
      <c r="W99">
        <f ca="1">'ETF variations'!W99/'ETF price'!X100</f>
        <v>-3.1280076997113222E-3</v>
      </c>
      <c r="X99">
        <f ca="1">'ETF variations'!X99/'ETF price'!Y100</f>
        <v>-7.4341546304163434E-3</v>
      </c>
      <c r="Y99">
        <f ca="1">'ETF variations'!Y99/'ETF price'!Z100</f>
        <v>-3.3271227042853341E-3</v>
      </c>
      <c r="Z99">
        <f ca="1">'ETF variations'!Z99/'ETF price'!AA100</f>
        <v>1.1655011655011656E-2</v>
      </c>
      <c r="AA99">
        <f ca="1">'ETF variations'!AA99/'ETF price'!AB100</f>
        <v>-7.4857607811228775E-3</v>
      </c>
      <c r="AB99">
        <f ca="1">'ETF variations'!AB99/'ETF price'!AC100</f>
        <v>-8.1890936162292531E-3</v>
      </c>
      <c r="AC99">
        <f ca="1">'ETF variations'!AC99/'ETF price'!AD100</f>
        <v>1.1586452762923262E-2</v>
      </c>
      <c r="AD99">
        <f ca="1">'ETF variations'!AD99/'ETF price'!AE100</f>
        <v>9.9778270509977667E-3</v>
      </c>
      <c r="AE99">
        <f ca="1">'ETF variations'!AE99/'ETF price'!AF100</f>
        <v>2.1126760563380302E-2</v>
      </c>
      <c r="AF99">
        <f ca="1">'ETF variations'!AF99/'ETF price'!AG100</f>
        <v>-6.0655205968212701E-2</v>
      </c>
    </row>
    <row r="100" spans="1:32" x14ac:dyDescent="0.2">
      <c r="A100">
        <f ca="1">'ETF variations'!A100/'ETF price'!B101</f>
        <v>1.1659600242277347E-2</v>
      </c>
      <c r="B100">
        <f ca="1">'ETF variations'!B100/'ETF price'!C101</f>
        <v>1.4338507021433917E-2</v>
      </c>
      <c r="C100">
        <f ca="1">'ETF variations'!C100/'ETF price'!D101</f>
        <v>1.43134400776323E-2</v>
      </c>
      <c r="D100">
        <f ca="1">'ETF variations'!D100/'ETF price'!E101</f>
        <v>1.797146162745842E-2</v>
      </c>
      <c r="E100">
        <f ca="1">'ETF variations'!E100/'ETF price'!F101</f>
        <v>1.6815898667831473E-2</v>
      </c>
      <c r="F100">
        <f ca="1">'ETF variations'!F100/'ETF price'!G101</f>
        <v>1.2472160356347489E-2</v>
      </c>
      <c r="G100">
        <f ca="1">'ETF variations'!G100/'ETF price'!H101</f>
        <v>1.8479630407391905E-2</v>
      </c>
      <c r="H100">
        <f ca="1">'ETF variations'!H100/'ETF price'!I101</f>
        <v>-3.0462264869386978E-4</v>
      </c>
      <c r="I100">
        <f ca="1">'ETF variations'!I100/'ETF price'!J101</f>
        <v>9.1927126859434592E-4</v>
      </c>
      <c r="J100">
        <f ca="1">'ETF variations'!J100/'ETF price'!K101</f>
        <v>1.6582300576016558E-3</v>
      </c>
      <c r="K100">
        <f ca="1">'ETF variations'!K100/'ETF price'!L101</f>
        <v>4.8961424332343954E-3</v>
      </c>
      <c r="L100">
        <f ca="1">'ETF variations'!L100/'ETF price'!M101</f>
        <v>8.95094880057286E-3</v>
      </c>
      <c r="M100">
        <f ca="1">'ETF variations'!M100/'ETF price'!N101</f>
        <v>1.4608018178867621E-3</v>
      </c>
      <c r="N100">
        <f ca="1">'ETF variations'!N100/'ETF price'!O101</f>
        <v>-1.7316017316018485E-3</v>
      </c>
      <c r="O100">
        <f ca="1">'ETF variations'!O100/'ETF price'!P101</f>
        <v>2.0652818991097863E-2</v>
      </c>
      <c r="P100">
        <f ca="1">'ETF variations'!P100/'ETF price'!Q101</f>
        <v>2.254994426819866E-2</v>
      </c>
      <c r="Q100">
        <f ca="1">'ETF variations'!Q100/'ETF price'!R101</f>
        <v>4.4337926902335567E-3</v>
      </c>
      <c r="R100">
        <f ca="1">'ETF variations'!R100/'ETF price'!S101</f>
        <v>1.5177713736791668E-2</v>
      </c>
      <c r="S100">
        <f ca="1">'ETF variations'!S100/'ETF price'!T101</f>
        <v>7.1047957371226595E-3</v>
      </c>
      <c r="T100">
        <f ca="1">'ETF variations'!T100/'ETF price'!U101</f>
        <v>5.8536585365854144E-3</v>
      </c>
      <c r="U100">
        <f ca="1">'ETF variations'!U100/'ETF price'!V101</f>
        <v>1.6588749811491395E-2</v>
      </c>
      <c r="V100">
        <f ca="1">'ETF variations'!V100/'ETF price'!W101</f>
        <v>7.9599056603772405E-3</v>
      </c>
      <c r="W100">
        <f ca="1">'ETF variations'!W100/'ETF price'!X101</f>
        <v>9.4134685010861825E-3</v>
      </c>
      <c r="X100">
        <f ca="1">'ETF variations'!X100/'ETF price'!Y101</f>
        <v>1.4551679863043008E-2</v>
      </c>
      <c r="Y100">
        <f ca="1">'ETF variations'!Y100/'ETF price'!Z101</f>
        <v>8.9464548003739038E-3</v>
      </c>
      <c r="Z100">
        <f ca="1">'ETF variations'!Z100/'ETF price'!AA101</f>
        <v>5.5299539170507372E-3</v>
      </c>
      <c r="AA100">
        <f ca="1">'ETF variations'!AA100/'ETF price'!AB101</f>
        <v>1.5740285292670943E-2</v>
      </c>
      <c r="AB100">
        <f ca="1">'ETF variations'!AB100/'ETF price'!AC101</f>
        <v>1.1822105460686856E-2</v>
      </c>
      <c r="AC100">
        <f ca="1">'ETF variations'!AC100/'ETF price'!AD101</f>
        <v>6.1674008810572939E-3</v>
      </c>
      <c r="AD100">
        <f ca="1">'ETF variations'!AD100/'ETF price'!AE101</f>
        <v>7.1350164654227534E-3</v>
      </c>
      <c r="AE100">
        <f ca="1">'ETF variations'!AE100/'ETF price'!AF101</f>
        <v>1.7241379310344921E-2</v>
      </c>
      <c r="AF100">
        <f ca="1">'ETF variations'!AF100/'ETF price'!AG101</f>
        <v>3.6256906077348092E-2</v>
      </c>
    </row>
    <row r="101" spans="1:32" x14ac:dyDescent="0.2">
      <c r="A101">
        <f ca="1">'ETF variations'!A101/'ETF price'!B102</f>
        <v>2.4023349797934499E-2</v>
      </c>
      <c r="B101">
        <f ca="1">'ETF variations'!B101/'ETF price'!C102</f>
        <v>2.535703876420865E-2</v>
      </c>
      <c r="C101">
        <f ca="1">'ETF variations'!C101/'ETF price'!D102</f>
        <v>2.5950729490552518E-2</v>
      </c>
      <c r="D101">
        <f ca="1">'ETF variations'!D101/'ETF price'!E102</f>
        <v>3.9096832853462625E-2</v>
      </c>
      <c r="E101">
        <f ca="1">'ETF variations'!E101/'ETF price'!F102</f>
        <v>2.2766323024054878E-2</v>
      </c>
      <c r="F101">
        <f ca="1">'ETF variations'!F101/'ETF price'!G102</f>
        <v>1.9797624285085757E-2</v>
      </c>
      <c r="G101">
        <f ca="1">'ETF variations'!G101/'ETF price'!H102</f>
        <v>3.175257731958761E-2</v>
      </c>
      <c r="H101">
        <f ca="1">'ETF variations'!H101/'ETF price'!I102</f>
        <v>4.266016606993237E-3</v>
      </c>
      <c r="I101">
        <f ca="1">'ETF variations'!I101/'ETF price'!J102</f>
        <v>5.5940552726058421E-3</v>
      </c>
      <c r="J101">
        <f ca="1">'ETF variations'!J101/'ETF price'!K102</f>
        <v>8.9744706804914271E-3</v>
      </c>
      <c r="K101">
        <f ca="1">'ETF variations'!K101/'ETF price'!L102</f>
        <v>1.0925734534179755E-2</v>
      </c>
      <c r="L101">
        <f ca="1">'ETF variations'!L101/'ETF price'!M102</f>
        <v>6.9198012775017843E-3</v>
      </c>
      <c r="M101">
        <f ca="1">'ETF variations'!M101/'ETF price'!N102</f>
        <v>4.5380875202592225E-3</v>
      </c>
      <c r="N101">
        <f ca="1">'ETF variations'!N101/'ETF price'!O102</f>
        <v>1.7346053772766788E-2</v>
      </c>
      <c r="O101">
        <f ca="1">'ETF variations'!O101/'ETF price'!P102</f>
        <v>1.1047796255378566E-2</v>
      </c>
      <c r="P101">
        <f ca="1">'ETF variations'!P101/'ETF price'!Q102</f>
        <v>1.3248364916988078E-2</v>
      </c>
      <c r="Q101">
        <f ca="1">'ETF variations'!Q101/'ETF price'!R102</f>
        <v>1.8372703412073567E-2</v>
      </c>
      <c r="R101">
        <f ca="1">'ETF variations'!R101/'ETF price'!S102</f>
        <v>3.3686601059803062E-2</v>
      </c>
      <c r="S101">
        <f ca="1">'ETF variations'!S101/'ETF price'!T102</f>
        <v>1.0934744268077556E-2</v>
      </c>
      <c r="T101">
        <f ca="1">'ETF variations'!T101/'ETF price'!U102</f>
        <v>2.5581959262851593E-2</v>
      </c>
      <c r="U101">
        <f ca="1">'ETF variations'!U101/'ETF price'!V102</f>
        <v>3.4267912772585708E-2</v>
      </c>
      <c r="V101">
        <f ca="1">'ETF variations'!V101/'ETF price'!W102</f>
        <v>2.3106171395144755E-2</v>
      </c>
      <c r="W101">
        <f ca="1">'ETF variations'!W101/'ETF price'!X102</f>
        <v>2.4151123864179769E-2</v>
      </c>
      <c r="X101">
        <f ca="1">'ETF variations'!X101/'ETF price'!Y102</f>
        <v>2.3623708078464558E-2</v>
      </c>
      <c r="Y101">
        <f ca="1">'ETF variations'!Y101/'ETF price'!Z102</f>
        <v>2.4219163578613E-2</v>
      </c>
      <c r="Z101">
        <f ca="1">'ETF variations'!Z101/'ETF price'!AA102</f>
        <v>-1.14573785517867E-3</v>
      </c>
      <c r="AA101">
        <f ca="1">'ETF variations'!AA101/'ETF price'!AB102</f>
        <v>2.1953188054882961E-2</v>
      </c>
      <c r="AB101">
        <f ca="1">'ETF variations'!AB101/'ETF price'!AC102</f>
        <v>2.6335311572700328E-2</v>
      </c>
      <c r="AC101">
        <f ca="1">'ETF variations'!AC101/'ETF price'!AD102</f>
        <v>-7.0052539404553476E-3</v>
      </c>
      <c r="AD101">
        <f ca="1">'ETF variations'!AD101/'ETF price'!AE102</f>
        <v>-6.5395095367847952E-3</v>
      </c>
      <c r="AE101">
        <f ca="1">'ETF variations'!AE101/'ETF price'!AF102</f>
        <v>8.8135593220338912E-2</v>
      </c>
      <c r="AF101">
        <f ca="1">'ETF variations'!AF101/'ETF price'!AG102</f>
        <v>3.8320559813395487E-2</v>
      </c>
    </row>
    <row r="102" spans="1:32" x14ac:dyDescent="0.2">
      <c r="A102">
        <f ca="1">'ETF variations'!A102/'ETF price'!B103</f>
        <v>3.3837608711539832E-2</v>
      </c>
      <c r="B102">
        <f ca="1">'ETF variations'!B102/'ETF price'!C103</f>
        <v>3.4849346219442835E-2</v>
      </c>
      <c r="C102">
        <f ca="1">'ETF variations'!C102/'ETF price'!D103</f>
        <v>3.6484438745774513E-2</v>
      </c>
      <c r="D102">
        <f ca="1">'ETF variations'!D102/'ETF price'!E103</f>
        <v>4.1125856788683211E-2</v>
      </c>
      <c r="E102">
        <f ca="1">'ETF variations'!E102/'ETF price'!F103</f>
        <v>2.9399412011759884E-2</v>
      </c>
      <c r="F102">
        <f ca="1">'ETF variations'!F102/'ETF price'!G103</f>
        <v>2.5884383088869777E-2</v>
      </c>
      <c r="G102">
        <f ca="1">'ETF variations'!G102/'ETF price'!H103</f>
        <v>3.6770583533173529E-2</v>
      </c>
      <c r="H102">
        <f ca="1">'ETF variations'!H102/'ETF price'!I103</f>
        <v>1.6612303724493648E-2</v>
      </c>
      <c r="I102">
        <f ca="1">'ETF variations'!I102/'ETF price'!J103</f>
        <v>1.8307871139156412E-2</v>
      </c>
      <c r="J102">
        <f ca="1">'ETF variations'!J102/'ETF price'!K103</f>
        <v>3.1951640759930941E-2</v>
      </c>
      <c r="K102">
        <f ca="1">'ETF variations'!K102/'ETF price'!L103</f>
        <v>3.8264933547539133E-2</v>
      </c>
      <c r="L102">
        <f ca="1">'ETF variations'!L102/'ETF price'!M103</f>
        <v>3.471365638766518E-2</v>
      </c>
      <c r="M102">
        <f ca="1">'ETF variations'!M102/'ETF price'!N103</f>
        <v>1.8877057115198478E-2</v>
      </c>
      <c r="N102">
        <f ca="1">'ETF variations'!N102/'ETF price'!O103</f>
        <v>5.7118499573742536E-2</v>
      </c>
      <c r="O102">
        <f ca="1">'ETF variations'!O102/'ETF price'!P103</f>
        <v>1.8288474810213982E-2</v>
      </c>
      <c r="P102">
        <f ca="1">'ETF variations'!P102/'ETF price'!Q103</f>
        <v>1.961271102284004E-2</v>
      </c>
      <c r="Q102">
        <f ca="1">'ETF variations'!Q102/'ETF price'!R103</f>
        <v>2.3430178069353328E-2</v>
      </c>
      <c r="R102">
        <f ca="1">'ETF variations'!R102/'ETF price'!S103</f>
        <v>1.775906261442706E-2</v>
      </c>
      <c r="S102">
        <f ca="1">'ETF variations'!S102/'ETF price'!T103</f>
        <v>1.1863224005582689E-2</v>
      </c>
      <c r="T102">
        <f ca="1">'ETF variations'!T102/'ETF price'!U103</f>
        <v>1.0284903652913941E-2</v>
      </c>
      <c r="U102">
        <f ca="1">'ETF variations'!U102/'ETF price'!V103</f>
        <v>2.2375215146299518E-2</v>
      </c>
      <c r="V102">
        <f ca="1">'ETF variations'!V102/'ETF price'!W103</f>
        <v>1.6866781017724514E-2</v>
      </c>
      <c r="W102">
        <f ca="1">'ETF variations'!W102/'ETF price'!X103</f>
        <v>1.8094793369133753E-2</v>
      </c>
      <c r="X102">
        <f ca="1">'ETF variations'!X102/'ETF price'!Y103</f>
        <v>1.5248300020605851E-2</v>
      </c>
      <c r="Y102">
        <f ca="1">'ETF variations'!Y102/'ETF price'!Z103</f>
        <v>1.7444114226644197E-2</v>
      </c>
      <c r="Z102">
        <f ca="1">'ETF variations'!Z102/'ETF price'!AA103</f>
        <v>2.8217481073640669E-2</v>
      </c>
      <c r="AA102">
        <f ca="1">'ETF variations'!AA102/'ETF price'!AB103</f>
        <v>1.5637340072658268E-2</v>
      </c>
      <c r="AB102">
        <f ca="1">'ETF variations'!AB102/'ETF price'!AC103</f>
        <v>1.7166606432959808E-2</v>
      </c>
      <c r="AC102">
        <f ca="1">'ETF variations'!AC102/'ETF price'!AD103</f>
        <v>-1.9400352733686125E-2</v>
      </c>
      <c r="AD102">
        <f ca="1">'ETF variations'!AD102/'ETF price'!AE103</f>
        <v>-1.8650575973669765E-2</v>
      </c>
      <c r="AE102">
        <f ca="1">'ETF variations'!AE102/'ETF price'!AF103</f>
        <v>4.3613707165109074E-2</v>
      </c>
      <c r="AF102">
        <f ca="1">'ETF variations'!AF102/'ETF price'!AG103</f>
        <v>4.3645699614890981E-2</v>
      </c>
    </row>
    <row r="103" spans="1:32" x14ac:dyDescent="0.2">
      <c r="A103">
        <f ca="1">'ETF variations'!A103/'ETF price'!B104</f>
        <v>-7.139827513078038E-3</v>
      </c>
      <c r="B103">
        <f ca="1">'ETF variations'!B103/'ETF price'!C104</f>
        <v>-8.1305279349557207E-3</v>
      </c>
      <c r="C103">
        <f ca="1">'ETF variations'!C103/'ETF price'!D104</f>
        <v>-6.8600989653621169E-3</v>
      </c>
      <c r="D103">
        <f ca="1">'ETF variations'!D103/'ETF price'!E104</f>
        <v>-5.1127608908810044E-3</v>
      </c>
      <c r="E103">
        <f ca="1">'ETF variations'!E103/'ETF price'!F104</f>
        <v>-2.4479804161566764E-2</v>
      </c>
      <c r="F103">
        <f ca="1">'ETF variations'!F103/'ETF price'!G104</f>
        <v>2.9436501261564459E-3</v>
      </c>
      <c r="G103">
        <f ca="1">'ETF variations'!G103/'ETF price'!H104</f>
        <v>-1.5420200462606096E-2</v>
      </c>
      <c r="H103">
        <f ca="1">'ETF variations'!H103/'ETF price'!I104</f>
        <v>-1.3356215490225492E-2</v>
      </c>
      <c r="I103">
        <f ca="1">'ETF variations'!I103/'ETF price'!J104</f>
        <v>-1.4309592726976196E-2</v>
      </c>
      <c r="J103">
        <f ca="1">'ETF variations'!J103/'ETF price'!K104</f>
        <v>-2.3682008368200821E-2</v>
      </c>
      <c r="K103">
        <f ca="1">'ETF variations'!K103/'ETF price'!L104</f>
        <v>-3.2494021662681137E-2</v>
      </c>
      <c r="L103">
        <f ca="1">'ETF variations'!L103/'ETF price'!M104</f>
        <v>-3.0143051771117098E-2</v>
      </c>
      <c r="M103">
        <f ca="1">'ETF variations'!M103/'ETF price'!N104</f>
        <v>-1.4568487727632648E-2</v>
      </c>
      <c r="N103">
        <f ca="1">'ETF variations'!N103/'ETF price'!O104</f>
        <v>-3.2258064516129059E-2</v>
      </c>
      <c r="O103">
        <f ca="1">'ETF variations'!O103/'ETF price'!P104</f>
        <v>-1.5023155992318968E-2</v>
      </c>
      <c r="P103">
        <f ca="1">'ETF variations'!P103/'ETF price'!Q104</f>
        <v>-1.5988961934907873E-2</v>
      </c>
      <c r="Q103">
        <f ca="1">'ETF variations'!Q103/'ETF price'!R104</f>
        <v>-1.5224358974358955E-2</v>
      </c>
      <c r="R103">
        <f ca="1">'ETF variations'!R103/'ETF price'!S104</f>
        <v>-3.525813995322901E-2</v>
      </c>
      <c r="S103">
        <f ca="1">'ETF variations'!S103/'ETF price'!T104</f>
        <v>-6.8965517241379067E-3</v>
      </c>
      <c r="T103">
        <f ca="1">'ETF variations'!T103/'ETF price'!U104</f>
        <v>1.1701380762936013E-4</v>
      </c>
      <c r="U103">
        <f ca="1">'ETF variations'!U103/'ETF price'!V104</f>
        <v>-2.5252525252526209E-3</v>
      </c>
      <c r="V103">
        <f ca="1">'ETF variations'!V103/'ETF price'!W104</f>
        <v>-2.8113578858589097E-3</v>
      </c>
      <c r="W103">
        <f ca="1">'ETF variations'!W103/'ETF price'!X104</f>
        <v>-3.7839697282421548E-3</v>
      </c>
      <c r="X103">
        <f ca="1">'ETF variations'!X103/'ETF price'!Y104</f>
        <v>-1.420742845544962E-3</v>
      </c>
      <c r="Y103">
        <f ca="1">'ETF variations'!Y103/'ETF price'!Z104</f>
        <v>-3.9370078740155971E-3</v>
      </c>
      <c r="Z103">
        <f ca="1">'ETF variations'!Z103/'ETF price'!AA104</f>
        <v>-1.3386880856760406E-2</v>
      </c>
      <c r="AA103">
        <f ca="1">'ETF variations'!AA103/'ETF price'!AB104</f>
        <v>-4.6656298600312811E-4</v>
      </c>
      <c r="AB103">
        <f ca="1">'ETF variations'!AB103/'ETF price'!AC104</f>
        <v>-8.8825723929644978E-4</v>
      </c>
      <c r="AC103">
        <f ca="1">'ETF variations'!AC103/'ETF price'!AD104</f>
        <v>9.8920863309352652E-2</v>
      </c>
      <c r="AD103">
        <f ca="1">'ETF variations'!AD103/'ETF price'!AE104</f>
        <v>9.7261039686975873E-2</v>
      </c>
      <c r="AE103">
        <f ca="1">'ETF variations'!AE103/'ETF price'!AF104</f>
        <v>-4.7761194029850788E-2</v>
      </c>
      <c r="AF103">
        <f ca="1">'ETF variations'!AF103/'ETF price'!AG104</f>
        <v>4.5510455104550943E-2</v>
      </c>
    </row>
    <row r="104" spans="1:32" x14ac:dyDescent="0.2">
      <c r="A104">
        <f ca="1">'ETF variations'!A104/'ETF price'!B105</f>
        <v>-2.9903880384477572E-3</v>
      </c>
      <c r="B104">
        <f ca="1">'ETF variations'!B104/'ETF price'!C105</f>
        <v>-3.8493492107450652E-3</v>
      </c>
      <c r="C104">
        <f ca="1">'ETF variations'!C104/'ETF price'!D105</f>
        <v>-3.0574113916883253E-3</v>
      </c>
      <c r="D104">
        <f ca="1">'ETF variations'!D104/'ETF price'!E105</f>
        <v>-1.5909890883491862E-2</v>
      </c>
      <c r="E104">
        <f ca="1">'ETF variations'!E104/'ETF price'!F105</f>
        <v>-1.2547051442911392E-3</v>
      </c>
      <c r="F104">
        <f ca="1">'ETF variations'!F104/'ETF price'!G105</f>
        <v>-1.7190775681341725E-2</v>
      </c>
      <c r="G104">
        <f ca="1">'ETF variations'!G104/'ETF price'!H105</f>
        <v>-1.1746280344557585E-2</v>
      </c>
      <c r="H104">
        <f ca="1">'ETF variations'!H104/'ETF price'!I105</f>
        <v>-1.4368902669590693E-2</v>
      </c>
      <c r="I104">
        <f ca="1">'ETF variations'!I104/'ETF price'!J105</f>
        <v>-1.5634047481181242E-2</v>
      </c>
      <c r="J104">
        <f ca="1">'ETF variations'!J104/'ETF price'!K105</f>
        <v>-1.0542555926973549E-2</v>
      </c>
      <c r="K104">
        <f ca="1">'ETF variations'!K104/'ETF price'!L105</f>
        <v>-1.8173887758069204E-2</v>
      </c>
      <c r="L104">
        <f ca="1">'ETF variations'!L104/'ETF price'!M105</f>
        <v>-5.6189640035118572E-3</v>
      </c>
      <c r="M104">
        <f ca="1">'ETF variations'!M104/'ETF price'!N105</f>
        <v>-1.4141089506668737E-2</v>
      </c>
      <c r="N104">
        <f ca="1">'ETF variations'!N104/'ETF price'!O105</f>
        <v>-2.500000000000006E-2</v>
      </c>
      <c r="O104">
        <f ca="1">'ETF variations'!O104/'ETF price'!P105</f>
        <v>1.6284403669724789E-2</v>
      </c>
      <c r="P104">
        <f ca="1">'ETF variations'!P104/'ETF price'!Q105</f>
        <v>1.905311778290995E-2</v>
      </c>
      <c r="Q104">
        <f ca="1">'ETF variations'!Q104/'ETF price'!R105</f>
        <v>-9.9965128443566132E-3</v>
      </c>
      <c r="R104">
        <f ca="1">'ETF variations'!R104/'ETF price'!S105</f>
        <v>-1.8646280067126872E-3</v>
      </c>
      <c r="S104">
        <f ca="1">'ETF variations'!S104/'ETF price'!T105</f>
        <v>4.8611111111111311E-3</v>
      </c>
      <c r="T104">
        <f ca="1">'ETF variations'!T104/'ETF price'!U105</f>
        <v>8.1900081900090546E-4</v>
      </c>
      <c r="U104">
        <f ca="1">'ETF variations'!U104/'ETF price'!V105</f>
        <v>-1.2376933895921175E-2</v>
      </c>
      <c r="V104">
        <f ca="1">'ETF variations'!V104/'ETF price'!W105</f>
        <v>-1.6069918240766853E-2</v>
      </c>
      <c r="W104">
        <f ca="1">'ETF variations'!W104/'ETF price'!X105</f>
        <v>-1.634438305709026E-2</v>
      </c>
      <c r="X104">
        <f ca="1">'ETF variations'!X104/'ETF price'!Y105</f>
        <v>-1.3211382113821253E-2</v>
      </c>
      <c r="Y104">
        <f ca="1">'ETF variations'!Y104/'ETF price'!Z105</f>
        <v>-1.6575290067576326E-2</v>
      </c>
      <c r="Z104">
        <f ca="1">'ETF variations'!Z104/'ETF price'!AA105</f>
        <v>-1.0854816824966008E-2</v>
      </c>
      <c r="AA104">
        <f ca="1">'ETF variations'!AA104/'ETF price'!AB105</f>
        <v>-1.291426793216117E-2</v>
      </c>
      <c r="AB104">
        <f ca="1">'ETF variations'!AB104/'ETF price'!AC105</f>
        <v>-1.6358463726884809E-2</v>
      </c>
      <c r="AC104">
        <f ca="1">'ETF variations'!AC104/'ETF price'!AD105</f>
        <v>-5.0736497545008259E-2</v>
      </c>
      <c r="AD104">
        <f ca="1">'ETF variations'!AD104/'ETF price'!AE105</f>
        <v>-4.9923586347427433E-2</v>
      </c>
      <c r="AE104">
        <f ca="1">'ETF variations'!AE104/'ETF price'!AF105</f>
        <v>-7.2100313479623826E-2</v>
      </c>
      <c r="AF104">
        <f ca="1">'ETF variations'!AF104/'ETF price'!AG105</f>
        <v>-7.8823529411764695E-2</v>
      </c>
    </row>
    <row r="105" spans="1:32" x14ac:dyDescent="0.2">
      <c r="A105">
        <f ca="1">'ETF variations'!A105/'ETF price'!B106</f>
        <v>2.4209098050417668E-2</v>
      </c>
      <c r="B105">
        <f ca="1">'ETF variations'!B105/'ETF price'!C106</f>
        <v>2.7494370465097007E-2</v>
      </c>
      <c r="C105">
        <f ca="1">'ETF variations'!C105/'ETF price'!D106</f>
        <v>3.0440708768741394E-2</v>
      </c>
      <c r="D105">
        <f ca="1">'ETF variations'!D105/'ETF price'!E106</f>
        <v>3.4837971242578189E-2</v>
      </c>
      <c r="E105">
        <f ca="1">'ETF variations'!E105/'ETF price'!F106</f>
        <v>3.3710217755443875E-2</v>
      </c>
      <c r="F105">
        <f ca="1">'ETF variations'!F105/'ETF price'!G106</f>
        <v>4.1382252559726912E-2</v>
      </c>
      <c r="G105">
        <f ca="1">'ETF variations'!G105/'ETF price'!H106</f>
        <v>3.2488114104595893E-2</v>
      </c>
      <c r="H105">
        <f ca="1">'ETF variations'!H105/'ETF price'!I106</f>
        <v>7.9030154223893277E-3</v>
      </c>
      <c r="I105">
        <f ca="1">'ETF variations'!I105/'ETF price'!J106</f>
        <v>1.1554621848739496E-2</v>
      </c>
      <c r="J105">
        <f ca="1">'ETF variations'!J105/'ETF price'!K106</f>
        <v>7.969507969507985E-3</v>
      </c>
      <c r="K105">
        <f ca="1">'ETF variations'!K105/'ETF price'!L106</f>
        <v>1.8362209388419884E-2</v>
      </c>
      <c r="L105">
        <f ca="1">'ETF variations'!L105/'ETF price'!M106</f>
        <v>4.9443757725586091E-3</v>
      </c>
      <c r="M105">
        <f ca="1">'ETF variations'!M105/'ETF price'!N106</f>
        <v>1.0757946210268893E-2</v>
      </c>
      <c r="N105">
        <f ca="1">'ETF variations'!N105/'ETF price'!O106</f>
        <v>3.4188034188034219E-2</v>
      </c>
      <c r="O105">
        <f ca="1">'ETF variations'!O105/'ETF price'!P106</f>
        <v>-3.1595576619273427E-3</v>
      </c>
      <c r="P105">
        <f ca="1">'ETF variations'!P105/'ETF price'!Q106</f>
        <v>-2.1044111695669035E-3</v>
      </c>
      <c r="Q105">
        <f ca="1">'ETF variations'!Q105/'ETF price'!R106</f>
        <v>2.759187507338258E-2</v>
      </c>
      <c r="R105">
        <f ca="1">'ETF variations'!R105/'ETF price'!S106</f>
        <v>3.754903792266015E-2</v>
      </c>
      <c r="S105">
        <f ca="1">'ETF variations'!S105/'ETF price'!T106</f>
        <v>2.2805805114029031E-2</v>
      </c>
      <c r="T105">
        <f ca="1">'ETF variations'!T105/'ETF price'!U106</f>
        <v>1.9990647650222043E-2</v>
      </c>
      <c r="U105">
        <f ca="1">'ETF variations'!U105/'ETF price'!V106</f>
        <v>5.4827684420392972E-2</v>
      </c>
      <c r="V105">
        <f ca="1">'ETF variations'!V105/'ETF price'!W106</f>
        <v>1.3753581661891232E-2</v>
      </c>
      <c r="W105">
        <f ca="1">'ETF variations'!W105/'ETF price'!X106</f>
        <v>1.6147905452843551E-2</v>
      </c>
      <c r="X105">
        <f ca="1">'ETF variations'!X105/'ETF price'!Y106</f>
        <v>1.9155509783728111E-2</v>
      </c>
      <c r="Y105">
        <f ca="1">'ETF variations'!Y105/'ETF price'!Z106</f>
        <v>1.6595358485673554E-2</v>
      </c>
      <c r="Z105">
        <f ca="1">'ETF variations'!Z105/'ETF price'!AA106</f>
        <v>1.5089163237311307E-2</v>
      </c>
      <c r="AA105">
        <f ca="1">'ETF variations'!AA105/'ETF price'!AB106</f>
        <v>2.0491803278688481E-2</v>
      </c>
      <c r="AB105">
        <f ca="1">'ETF variations'!AB105/'ETF price'!AC106</f>
        <v>1.8076644974692697E-2</v>
      </c>
      <c r="AC105">
        <f ca="1">'ETF variations'!AC105/'ETF price'!AD106</f>
        <v>8.6206896551723842E-3</v>
      </c>
      <c r="AD105">
        <f ca="1">'ETF variations'!AD105/'ETF price'!AE106</f>
        <v>8.5790884718498737E-3</v>
      </c>
      <c r="AE105">
        <f ca="1">'ETF variations'!AE105/'ETF price'!AF106</f>
        <v>4.3918918918918887E-2</v>
      </c>
      <c r="AF105">
        <f ca="1">'ETF variations'!AF105/'ETF price'!AG106</f>
        <v>4.3422733077905472E-2</v>
      </c>
    </row>
    <row r="106" spans="1:32" x14ac:dyDescent="0.2">
      <c r="A106">
        <f ca="1">'ETF variations'!A106/'ETF price'!B107</f>
        <v>-2.3915771858875879E-2</v>
      </c>
      <c r="B106">
        <f ca="1">'ETF variations'!B106/'ETF price'!C107</f>
        <v>-2.5405844155844272E-2</v>
      </c>
      <c r="C106">
        <f ca="1">'ETF variations'!C106/'ETF price'!D107</f>
        <v>-2.6785714285714204E-2</v>
      </c>
      <c r="D106">
        <f ca="1">'ETF variations'!D106/'ETF price'!E107</f>
        <v>-2.9863127333056776E-2</v>
      </c>
      <c r="E106">
        <f ca="1">'ETF variations'!E106/'ETF price'!F107</f>
        <v>-1.438120315981367E-2</v>
      </c>
      <c r="F106">
        <f ca="1">'ETF variations'!F106/'ETF price'!G107</f>
        <v>-2.7447767308480201E-2</v>
      </c>
      <c r="G106">
        <f ca="1">'ETF variations'!G106/'ETF price'!H107</f>
        <v>-1.9186492709132773E-2</v>
      </c>
      <c r="H106">
        <f ca="1">'ETF variations'!H106/'ETF price'!I107</f>
        <v>-1.1723507917174332E-2</v>
      </c>
      <c r="I106">
        <f ca="1">'ETF variations'!I106/'ETF price'!J107</f>
        <v>-1.0301142263759043E-2</v>
      </c>
      <c r="J106">
        <f ca="1">'ETF variations'!J106/'ETF price'!K107</f>
        <v>1.2031625988312184E-3</v>
      </c>
      <c r="K106">
        <f ca="1">'ETF variations'!K106/'ETF price'!L107</f>
        <v>3.5480587465464564E-2</v>
      </c>
      <c r="L106">
        <f ca="1">'ETF variations'!L106/'ETF price'!M107</f>
        <v>7.0286417149886789E-3</v>
      </c>
      <c r="M106">
        <f ca="1">'ETF variations'!M106/'ETF price'!N107</f>
        <v>-1.0159651669085558E-2</v>
      </c>
      <c r="N106">
        <f ca="1">'ETF variations'!N106/'ETF price'!O107</f>
        <v>-4.9586776859504543E-3</v>
      </c>
      <c r="O106">
        <f ca="1">'ETF variations'!O106/'ETF price'!P107</f>
        <v>1.3244283450305656E-2</v>
      </c>
      <c r="P106">
        <f ca="1">'ETF variations'!P106/'ETF price'!Q107</f>
        <v>1.2734203909481654E-2</v>
      </c>
      <c r="Q106">
        <f ca="1">'ETF variations'!Q106/'ETF price'!R107</f>
        <v>-9.7120658135282714E-3</v>
      </c>
      <c r="R106">
        <f ca="1">'ETF variations'!R106/'ETF price'!S107</f>
        <v>-2.1425999279798304E-2</v>
      </c>
      <c r="S106">
        <f ca="1">'ETF variations'!S106/'ETF price'!T107</f>
        <v>9.4594594594593767E-3</v>
      </c>
      <c r="T106">
        <f ca="1">'ETF variations'!T106/'ETF price'!U107</f>
        <v>2.5444126074498554E-2</v>
      </c>
      <c r="U106">
        <f ca="1">'ETF variations'!U106/'ETF price'!V107</f>
        <v>-5.6703118671525251E-3</v>
      </c>
      <c r="V106">
        <f ca="1">'ETF variations'!V106/'ETF price'!W107</f>
        <v>-1.4414923685698277E-2</v>
      </c>
      <c r="W106">
        <f ca="1">'ETF variations'!W106/'ETF price'!X107</f>
        <v>-1.4163979732842053E-2</v>
      </c>
      <c r="X106">
        <f ca="1">'ETF variations'!X106/'ETF price'!Y107</f>
        <v>-1.3540824575585987E-2</v>
      </c>
      <c r="Y106">
        <f ca="1">'ETF variations'!Y106/'ETF price'!Z107</f>
        <v>-1.5431705139650476E-2</v>
      </c>
      <c r="Z106">
        <f ca="1">'ETF variations'!Z106/'ETF price'!AA107</f>
        <v>-1.2612612612612505E-2</v>
      </c>
      <c r="AA106">
        <f ca="1">'ETF variations'!AA106/'ETF price'!AB107</f>
        <v>-1.2202656780969911E-2</v>
      </c>
      <c r="AB106">
        <f ca="1">'ETF variations'!AB106/'ETF price'!AC107</f>
        <v>-1.509232954545457E-2</v>
      </c>
      <c r="AC106">
        <f ca="1">'ETF variations'!AC106/'ETF price'!AD107</f>
        <v>-2.564102564102555E-2</v>
      </c>
      <c r="AD106">
        <f ca="1">'ETF variations'!AD106/'ETF price'!AE107</f>
        <v>-2.4986709197235453E-2</v>
      </c>
      <c r="AE106">
        <f ca="1">'ETF variations'!AE106/'ETF price'!AF107</f>
        <v>-6.4724919093851196E-3</v>
      </c>
      <c r="AF106">
        <f ca="1">'ETF variations'!AF106/'ETF price'!AG107</f>
        <v>-4.2839657282741694E-2</v>
      </c>
    </row>
    <row r="107" spans="1:32" x14ac:dyDescent="0.2">
      <c r="A107">
        <f ca="1">'ETF variations'!A107/'ETF price'!B108</f>
        <v>7.1433673833780296E-5</v>
      </c>
      <c r="B107">
        <f ca="1">'ETF variations'!B107/'ETF price'!C108</f>
        <v>5.8299325393530547E-4</v>
      </c>
      <c r="C107">
        <f ca="1">'ETF variations'!C107/'ETF price'!D108</f>
        <v>2.0387359836900282E-3</v>
      </c>
      <c r="D107">
        <f ca="1">'ETF variations'!D107/'ETF price'!E108</f>
        <v>1.7101325352715483E-3</v>
      </c>
      <c r="E107">
        <f ca="1">'ETF variations'!E107/'ETF price'!F108</f>
        <v>2.6715988491574716E-3</v>
      </c>
      <c r="F107">
        <f ca="1">'ETF variations'!F107/'ETF price'!G108</f>
        <v>2.106149957877031E-3</v>
      </c>
      <c r="G107">
        <f ca="1">'ETF variations'!G107/'ETF price'!H108</f>
        <v>7.8247261345854007E-3</v>
      </c>
      <c r="H107">
        <f ca="1">'ETF variations'!H107/'ETF price'!I108</f>
        <v>1.5405946695432317E-4</v>
      </c>
      <c r="I107">
        <f ca="1">'ETF variations'!I107/'ETF price'!J108</f>
        <v>-1.2590758383347099E-3</v>
      </c>
      <c r="J107">
        <f ca="1">'ETF variations'!J107/'ETF price'!K108</f>
        <v>-1.0815450643776868E-2</v>
      </c>
      <c r="K107">
        <f ca="1">'ETF variations'!K107/'ETF price'!L108</f>
        <v>-2.8507232130318593E-2</v>
      </c>
      <c r="L107">
        <f ca="1">'ETF variations'!L107/'ETF price'!M108</f>
        <v>-2.0589774908392946E-2</v>
      </c>
      <c r="M107">
        <f ca="1">'ETF variations'!M107/'ETF price'!N108</f>
        <v>-2.1179537308569983E-3</v>
      </c>
      <c r="N107">
        <f ca="1">'ETF variations'!N107/'ETF price'!O108</f>
        <v>-1.2458471760797224E-2</v>
      </c>
      <c r="O107">
        <f ca="1">'ETF variations'!O107/'ETF price'!P108</f>
        <v>-1.1171936096526481E-3</v>
      </c>
      <c r="P107">
        <f ca="1">'ETF variations'!P107/'ETF price'!Q108</f>
        <v>6.4071760371614843E-4</v>
      </c>
      <c r="Q107">
        <f ca="1">'ETF variations'!Q107/'ETF price'!R108</f>
        <v>9.4611745702087597E-3</v>
      </c>
      <c r="R107">
        <f ca="1">'ETF variations'!R107/'ETF price'!S108</f>
        <v>1.5087396504139839E-2</v>
      </c>
      <c r="S107">
        <f ca="1">'ETF variations'!S107/'ETF price'!T108</f>
        <v>4.3507362784472071E-3</v>
      </c>
      <c r="T107">
        <f ca="1">'ETF variations'!T107/'ETF price'!U108</f>
        <v>-1.2071085279982099E-2</v>
      </c>
      <c r="U107">
        <f ca="1">'ETF variations'!U107/'ETF price'!V108</f>
        <v>4.2634080108621866E-2</v>
      </c>
      <c r="V107">
        <f ca="1">'ETF variations'!V107/'ETF price'!W108</f>
        <v>2.8677946659019624E-3</v>
      </c>
      <c r="W107">
        <f ca="1">'ETF variations'!W107/'ETF price'!X108</f>
        <v>3.5042635206167174E-3</v>
      </c>
      <c r="X107">
        <f ca="1">'ETF variations'!X107/'ETF price'!Y108</f>
        <v>4.302397049784897E-3</v>
      </c>
      <c r="Y107">
        <f ca="1">'ETF variations'!Y107/'ETF price'!Z108</f>
        <v>4.5336787564766098E-3</v>
      </c>
      <c r="Z107">
        <f ca="1">'ETF variations'!Z107/'ETF price'!AA108</f>
        <v>-2.9653284671533426E-3</v>
      </c>
      <c r="AA107">
        <f ca="1">'ETF variations'!AA107/'ETF price'!AB108</f>
        <v>4.6911649726348262E-3</v>
      </c>
      <c r="AB107">
        <f ca="1">'ETF variations'!AB107/'ETF price'!AC108</f>
        <v>1.9830539030106262E-3</v>
      </c>
      <c r="AC107">
        <f ca="1">'ETF variations'!AC107/'ETF price'!AD108</f>
        <v>6.5789473684210523E-2</v>
      </c>
      <c r="AD107">
        <f ca="1">'ETF variations'!AD107/'ETF price'!AE108</f>
        <v>6.6521264994547372E-2</v>
      </c>
      <c r="AE107">
        <f ca="1">'ETF variations'!AE107/'ETF price'!AF108</f>
        <v>-6.1889250814332233E-2</v>
      </c>
      <c r="AF107">
        <f ca="1">'ETF variations'!AF107/'ETF price'!AG108</f>
        <v>1.7902813299232694E-2</v>
      </c>
    </row>
    <row r="108" spans="1:32" x14ac:dyDescent="0.2">
      <c r="A108">
        <f ca="1">'ETF variations'!A108/'ETF price'!B109</f>
        <v>1.1928571428571339E-2</v>
      </c>
      <c r="B108">
        <f ca="1">'ETF variations'!B108/'ETF price'!C109</f>
        <v>1.3290050496642704E-2</v>
      </c>
      <c r="C108">
        <f ca="1">'ETF variations'!C108/'ETF price'!D109</f>
        <v>1.2207527975584925E-2</v>
      </c>
      <c r="D108">
        <f ca="1">'ETF variations'!D108/'ETF price'!E109</f>
        <v>7.9669938824866691E-3</v>
      </c>
      <c r="E108">
        <f ca="1">'ETF variations'!E108/'ETF price'!F109</f>
        <v>1.516704242672683E-2</v>
      </c>
      <c r="F108">
        <f ca="1">'ETF variations'!F108/'ETF price'!G109</f>
        <v>7.9865489701555822E-3</v>
      </c>
      <c r="G108">
        <f ca="1">'ETF variations'!G108/'ETF price'!H109</f>
        <v>1.086956521739121E-2</v>
      </c>
      <c r="H108">
        <f ca="1">'ETF variations'!H108/'ETF price'!I109</f>
        <v>1.3016019716574227E-2</v>
      </c>
      <c r="I108">
        <f ca="1">'ETF variations'!I108/'ETF price'!J109</f>
        <v>1.4077404714880002E-2</v>
      </c>
      <c r="J108">
        <f ca="1">'ETF variations'!J108/'ETF price'!K109</f>
        <v>2.2474835126692152E-2</v>
      </c>
      <c r="K108">
        <f ca="1">'ETF variations'!K108/'ETF price'!L109</f>
        <v>4.9436253252384897E-2</v>
      </c>
      <c r="L108">
        <f ca="1">'ETF variations'!L108/'ETF price'!M109</f>
        <v>2.9574202743630793E-2</v>
      </c>
      <c r="M108">
        <f ca="1">'ETF variations'!M108/'ETF price'!N109</f>
        <v>1.5346938775510167E-2</v>
      </c>
      <c r="N108">
        <f ca="1">'ETF variations'!N108/'ETF price'!O109</f>
        <v>3.8687973086627338E-2</v>
      </c>
      <c r="O108">
        <f ca="1">'ETF variations'!O108/'ETF price'!P109</f>
        <v>2.9862431495358482E-2</v>
      </c>
      <c r="P108">
        <f ca="1">'ETF variations'!P108/'ETF price'!Q109</f>
        <v>3.2415559468544991E-2</v>
      </c>
      <c r="Q108">
        <f ca="1">'ETF variations'!Q108/'ETF price'!R109</f>
        <v>7.2008229511945328E-3</v>
      </c>
      <c r="R108">
        <f ca="1">'ETF variations'!R108/'ETF price'!S109</f>
        <v>3.4801522566612321E-2</v>
      </c>
      <c r="S108">
        <f ca="1">'ETF variations'!S108/'ETF price'!T109</f>
        <v>6.66444518493833E-3</v>
      </c>
      <c r="T108">
        <f ca="1">'ETF variations'!T108/'ETF price'!U109</f>
        <v>1.86672700531735E-2</v>
      </c>
      <c r="U108">
        <f ca="1">'ETF variations'!U108/'ETF price'!V109</f>
        <v>1.0027347310847715E-2</v>
      </c>
      <c r="V108">
        <f ca="1">'ETF variations'!V108/'ETF price'!W109</f>
        <v>7.7209036316843909E-3</v>
      </c>
      <c r="W108">
        <f ca="1">'ETF variations'!W108/'ETF price'!X109</f>
        <v>7.6824583866836995E-3</v>
      </c>
      <c r="X108">
        <f ca="1">'ETF variations'!X108/'ETF price'!Y109</f>
        <v>9.1799265605874269E-3</v>
      </c>
      <c r="Y108">
        <f ca="1">'ETF variations'!Y108/'ETF price'!Z109</f>
        <v>7.0921985815602471E-3</v>
      </c>
      <c r="Z108">
        <f ca="1">'ETF variations'!Z108/'ETF price'!AA109</f>
        <v>1.1667810569663647E-2</v>
      </c>
      <c r="AA108">
        <f ca="1">'ETF variations'!AA108/'ETF price'!AB109</f>
        <v>8.2490272373541024E-3</v>
      </c>
      <c r="AB108">
        <f ca="1">'ETF variations'!AB108/'ETF price'!AC109</f>
        <v>7.9165167326377267E-3</v>
      </c>
      <c r="AC108">
        <f ca="1">'ETF variations'!AC108/'ETF price'!AD109</f>
        <v>-1.1522633744856013E-2</v>
      </c>
      <c r="AD108">
        <f ca="1">'ETF variations'!AD108/'ETF price'!AE109</f>
        <v>-1.3803680981595071E-2</v>
      </c>
      <c r="AE108">
        <f ca="1">'ETF variations'!AE108/'ETF price'!AF109</f>
        <v>2.7777777777777804E-2</v>
      </c>
      <c r="AF108">
        <f ca="1">'ETF variations'!AF108/'ETF price'!AG109</f>
        <v>-1.7587939698492421E-2</v>
      </c>
    </row>
    <row r="109" spans="1:32" x14ac:dyDescent="0.2">
      <c r="A109">
        <f ca="1">'ETF variations'!A109/'ETF price'!B110</f>
        <v>-1.1293851909366799E-2</v>
      </c>
      <c r="B109">
        <f ca="1">'ETF variations'!B109/'ETF price'!C110</f>
        <v>-1.0760932066482317E-2</v>
      </c>
      <c r="C109">
        <f ca="1">'ETF variations'!C109/'ETF price'!D110</f>
        <v>-9.1568955890563176E-3</v>
      </c>
      <c r="D109">
        <f ca="1">'ETF variations'!D109/'ETF price'!E110</f>
        <v>-2.1242060691601915E-2</v>
      </c>
      <c r="E109">
        <f ca="1">'ETF variations'!E109/'ETF price'!F110</f>
        <v>-7.8740157480315081E-3</v>
      </c>
      <c r="F109">
        <f ca="1">'ETF variations'!F109/'ETF price'!G110</f>
        <v>-1.1676396997497961E-2</v>
      </c>
      <c r="G109">
        <f ca="1">'ETF variations'!G109/'ETF price'!H110</f>
        <v>-6.5284178187403289E-3</v>
      </c>
      <c r="H109">
        <f ca="1">'ETF variations'!H109/'ETF price'!I110</f>
        <v>-7.9069413821941156E-3</v>
      </c>
      <c r="I109">
        <f ca="1">'ETF variations'!I109/'ETF price'!J110</f>
        <v>-7.0445880987899416E-3</v>
      </c>
      <c r="J109">
        <f ca="1">'ETF variations'!J109/'ETF price'!K110</f>
        <v>2.5460409063905384E-3</v>
      </c>
      <c r="K109">
        <f ca="1">'ETF variations'!K109/'ETF price'!L110</f>
        <v>8.4022038567493039E-3</v>
      </c>
      <c r="L109">
        <f ca="1">'ETF variations'!L109/'ETF price'!M110</f>
        <v>-2.5956047759127629E-3</v>
      </c>
      <c r="M109">
        <f ca="1">'ETF variations'!M109/'ETF price'!N110</f>
        <v>-6.7534973468402412E-3</v>
      </c>
      <c r="N109">
        <f ca="1">'ETF variations'!N109/'ETF price'!O110</f>
        <v>1.7813765182186286E-2</v>
      </c>
      <c r="O109">
        <f ca="1">'ETF variations'!O109/'ETF price'!P110</f>
        <v>2.1720243266724897E-3</v>
      </c>
      <c r="P109">
        <f ca="1">'ETF variations'!P109/'ETF price'!Q110</f>
        <v>-1.0853554539112704E-3</v>
      </c>
      <c r="Q109">
        <f ca="1">'ETF variations'!Q109/'ETF price'!R110</f>
        <v>-2.0767135724012689E-2</v>
      </c>
      <c r="R109">
        <f ca="1">'ETF variations'!R109/'ETF price'!S110</f>
        <v>-3.8010159397442664E-2</v>
      </c>
      <c r="S109">
        <f ca="1">'ETF variations'!S109/'ETF price'!T110</f>
        <v>8.9374379344587737E-3</v>
      </c>
      <c r="T109">
        <f ca="1">'ETF variations'!T109/'ETF price'!U110</f>
        <v>2.1657041314970996E-2</v>
      </c>
      <c r="U109">
        <f ca="1">'ETF variations'!U109/'ETF price'!V110</f>
        <v>-1.3537906137184079E-2</v>
      </c>
      <c r="V109">
        <f ca="1">'ETF variations'!V109/'ETF price'!W110</f>
        <v>-1.7593643586833272E-2</v>
      </c>
      <c r="W109">
        <f ca="1">'ETF variations'!W109/'ETF price'!X110</f>
        <v>-1.7442532054984302E-2</v>
      </c>
      <c r="X109">
        <f ca="1">'ETF variations'!X109/'ETF price'!Y110</f>
        <v>-1.6575702445926831E-2</v>
      </c>
      <c r="Y109">
        <f ca="1">'ETF variations'!Y109/'ETF price'!Z110</f>
        <v>-1.7541613316261081E-2</v>
      </c>
      <c r="Z109">
        <f ca="1">'ETF variations'!Z109/'ETF price'!AA110</f>
        <v>-2.3971053821800141E-2</v>
      </c>
      <c r="AA109">
        <f ca="1">'ETF variations'!AA109/'ETF price'!AB110</f>
        <v>-1.6980549552330988E-2</v>
      </c>
      <c r="AB109">
        <f ca="1">'ETF variations'!AB109/'ETF price'!AC110</f>
        <v>-1.6065690824705561E-2</v>
      </c>
      <c r="AC109">
        <f ca="1">'ETF variations'!AC109/'ETF price'!AD110</f>
        <v>-3.2472939217318947E-2</v>
      </c>
      <c r="AD109">
        <f ca="1">'ETF variations'!AD109/'ETF price'!AE110</f>
        <v>-3.1622602384655231E-2</v>
      </c>
      <c r="AE109">
        <f ca="1">'ETF variations'!AE109/'ETF price'!AF110</f>
        <v>1.3513513513513526E-2</v>
      </c>
      <c r="AF109">
        <f ca="1">'ETF variations'!AF109/'ETF price'!AG110</f>
        <v>-1.0230179028133002E-2</v>
      </c>
    </row>
    <row r="110" spans="1:32" x14ac:dyDescent="0.2">
      <c r="A110">
        <f ca="1">'ETF variations'!A110/'ETF price'!B111</f>
        <v>-2.6700935246662245E-2</v>
      </c>
      <c r="B110">
        <f ca="1">'ETF variations'!B110/'ETF price'!C111</f>
        <v>-2.8122232063773164E-2</v>
      </c>
      <c r="C110">
        <f ca="1">'ETF variations'!C110/'ETF price'!D111</f>
        <v>-2.8513467823734939E-2</v>
      </c>
      <c r="D110">
        <f ca="1">'ETF variations'!D110/'ETF price'!E111</f>
        <v>-2.9850746268656619E-2</v>
      </c>
      <c r="E110">
        <f ca="1">'ETF variations'!E110/'ETF price'!F111</f>
        <v>-2.1367521367521309E-2</v>
      </c>
      <c r="F110">
        <f ca="1">'ETF variations'!F110/'ETF price'!G111</f>
        <v>-2.4894514767932484E-2</v>
      </c>
      <c r="G110">
        <f ca="1">'ETF variations'!G110/'ETF price'!H111</f>
        <v>-2.8991109393119441E-2</v>
      </c>
      <c r="H110">
        <f ca="1">'ETF variations'!H110/'ETF price'!I111</f>
        <v>-2.2607096329220651E-2</v>
      </c>
      <c r="I110">
        <f ca="1">'ETF variations'!I110/'ETF price'!J111</f>
        <v>-2.3662465570486669E-2</v>
      </c>
      <c r="J110">
        <f ca="1">'ETF variations'!J110/'ETF price'!K111</f>
        <v>-3.5130788114788723E-2</v>
      </c>
      <c r="K110">
        <f ca="1">'ETF variations'!K110/'ETF price'!L111</f>
        <v>-4.0295041660975126E-2</v>
      </c>
      <c r="L110">
        <f ca="1">'ETF variations'!L110/'ETF price'!M111</f>
        <v>-2.5503122831367086E-2</v>
      </c>
      <c r="M110">
        <f ca="1">'ETF variations'!M110/'ETF price'!N111</f>
        <v>-2.3959851060385364E-2</v>
      </c>
      <c r="N110">
        <f ca="1">'ETF variations'!N110/'ETF price'!O111</f>
        <v>-4.0572792362768478E-2</v>
      </c>
      <c r="O110">
        <f ca="1">'ETF variations'!O110/'ETF price'!P111</f>
        <v>-2.2106631989596948E-2</v>
      </c>
      <c r="P110">
        <f ca="1">'ETF variations'!P110/'ETF price'!Q111</f>
        <v>-2.2739619712844335E-2</v>
      </c>
      <c r="Q110">
        <f ca="1">'ETF variations'!Q110/'ETF price'!R111</f>
        <v>-2.3641209873681842E-2</v>
      </c>
      <c r="R110">
        <f ca="1">'ETF variations'!R110/'ETF price'!S111</f>
        <v>-4.7887836853605287E-2</v>
      </c>
      <c r="S110">
        <f ca="1">'ETF variations'!S110/'ETF price'!T111</f>
        <v>1.6404199475065851E-3</v>
      </c>
      <c r="T110">
        <f ca="1">'ETF variations'!T110/'ETF price'!U111</f>
        <v>-9.8923796064789293E-3</v>
      </c>
      <c r="U110">
        <f ca="1">'ETF variations'!U110/'ETF price'!V111</f>
        <v>-2.4571951378904843E-2</v>
      </c>
      <c r="V110">
        <f ca="1">'ETF variations'!V110/'ETF price'!W111</f>
        <v>-2.5129982668977396E-2</v>
      </c>
      <c r="W110">
        <f ca="1">'ETF variations'!W110/'ETF price'!X111</f>
        <v>-2.5276275570185816E-2</v>
      </c>
      <c r="X110">
        <f ca="1">'ETF variations'!X110/'ETF price'!Y111</f>
        <v>-3.00102774922919E-2</v>
      </c>
      <c r="Y110">
        <f ca="1">'ETF variations'!Y110/'ETF price'!Z111</f>
        <v>-2.8802293757331003E-2</v>
      </c>
      <c r="Z110">
        <f ca="1">'ETF variations'!Z110/'ETF price'!AA111</f>
        <v>-2.2937905468025835E-2</v>
      </c>
      <c r="AA110">
        <f ca="1">'ETF variations'!AA110/'ETF price'!AB111</f>
        <v>-3.2192211055276337E-2</v>
      </c>
      <c r="AB110">
        <f ca="1">'ETF variations'!AB110/'ETF price'!AC111</f>
        <v>-3.1930333817126233E-2</v>
      </c>
      <c r="AC110">
        <f ca="1">'ETF variations'!AC110/'ETF price'!AD111</f>
        <v>-4.3029259896728862E-3</v>
      </c>
      <c r="AD110">
        <f ca="1">'ETF variations'!AD110/'ETF price'!AE111</f>
        <v>-4.8179871520342534E-3</v>
      </c>
      <c r="AE110">
        <f ca="1">'ETF variations'!AE110/'ETF price'!AF111</f>
        <v>-4.33333333333333E-2</v>
      </c>
      <c r="AF110">
        <f ca="1">'ETF variations'!AF110/'ETF price'!AG111</f>
        <v>-5.5555555555555629E-2</v>
      </c>
    </row>
    <row r="111" spans="1:32" x14ac:dyDescent="0.2">
      <c r="A111">
        <f ca="1">'ETF variations'!A111/'ETF price'!B112</f>
        <v>-3.8436147583070554E-2</v>
      </c>
      <c r="B111">
        <f ca="1">'ETF variations'!B111/'ETF price'!C112</f>
        <v>-3.924584187742091E-2</v>
      </c>
      <c r="C111">
        <f ca="1">'ETF variations'!C111/'ETF price'!D112</f>
        <v>-4.0139211136891041E-2</v>
      </c>
      <c r="D111">
        <f ca="1">'ETF variations'!D111/'ETF price'!E112</f>
        <v>-3.5525826830174662E-2</v>
      </c>
      <c r="E111">
        <f ca="1">'ETF variations'!E111/'ETF price'!F112</f>
        <v>-3.3270950301518012E-2</v>
      </c>
      <c r="F111">
        <f ca="1">'ETF variations'!F111/'ETF price'!G112</f>
        <v>-3.4617048896581598E-2</v>
      </c>
      <c r="G111">
        <f ca="1">'ETF variations'!G111/'ETF price'!H112</f>
        <v>-3.383757961783445E-2</v>
      </c>
      <c r="H111">
        <f ca="1">'ETF variations'!H111/'ETF price'!I112</f>
        <v>-1.6073388740787294E-2</v>
      </c>
      <c r="I111">
        <f ca="1">'ETF variations'!I111/'ETF price'!J112</f>
        <v>-1.7183158794614156E-2</v>
      </c>
      <c r="J111">
        <f ca="1">'ETF variations'!J111/'ETF price'!K112</f>
        <v>-3.0707141603790136E-2</v>
      </c>
      <c r="K111">
        <f ca="1">'ETF variations'!K111/'ETF price'!L112</f>
        <v>-4.5972103615143804E-2</v>
      </c>
      <c r="L111">
        <f ca="1">'ETF variations'!L111/'ETF price'!M112</f>
        <v>-3.667438134235361E-2</v>
      </c>
      <c r="M111">
        <f ca="1">'ETF variations'!M111/'ETF price'!N112</f>
        <v>-1.7415823519654955E-2</v>
      </c>
      <c r="N111">
        <f ca="1">'ETF variations'!N111/'ETF price'!O112</f>
        <v>-5.7213930348258807E-2</v>
      </c>
      <c r="O111">
        <f ca="1">'ETF variations'!O111/'ETF price'!P112</f>
        <v>-1.6954787234042566E-2</v>
      </c>
      <c r="P111">
        <f ca="1">'ETF variations'!P111/'ETF price'!Q112</f>
        <v>-1.635959339263026E-2</v>
      </c>
      <c r="Q111">
        <f ca="1">'ETF variations'!Q111/'ETF price'!R112</f>
        <v>-3.0623145400593452E-2</v>
      </c>
      <c r="R111">
        <f ca="1">'ETF variations'!R111/'ETF price'!S112</f>
        <v>-6.8846815834767532E-3</v>
      </c>
      <c r="S111">
        <f ca="1">'ETF variations'!S111/'ETF price'!T112</f>
        <v>-9.8264002620373631E-3</v>
      </c>
      <c r="T111">
        <f ca="1">'ETF variations'!T111/'ETF price'!U112</f>
        <v>-1.0430390865173505E-2</v>
      </c>
      <c r="U111">
        <f ca="1">'ETF variations'!U111/'ETF price'!V112</f>
        <v>-1.5945330296127533E-2</v>
      </c>
      <c r="V111">
        <f ca="1">'ETF variations'!V111/'ETF price'!W112</f>
        <v>-3.6148148148148117E-2</v>
      </c>
      <c r="W111">
        <f ca="1">'ETF variations'!W111/'ETF price'!X112</f>
        <v>-3.5942588348811845E-2</v>
      </c>
      <c r="X111">
        <f ca="1">'ETF variations'!X111/'ETF price'!Y112</f>
        <v>-3.454121635939808E-2</v>
      </c>
      <c r="Y111">
        <f ca="1">'ETF variations'!Y111/'ETF price'!Z112</f>
        <v>-3.5158346752549523E-2</v>
      </c>
      <c r="Z111">
        <f ca="1">'ETF variations'!Z111/'ETF price'!AA112</f>
        <v>-2.3713540431586435E-2</v>
      </c>
      <c r="AA111">
        <f ca="1">'ETF variations'!AA111/'ETF price'!AB112</f>
        <v>-3.0504624371247808E-2</v>
      </c>
      <c r="AB111">
        <f ca="1">'ETF variations'!AB111/'ETF price'!AC112</f>
        <v>-4.0292353823088427E-2</v>
      </c>
      <c r="AC111">
        <f ca="1">'ETF variations'!AC111/'ETF price'!AD112</f>
        <v>-3.4572169403630108E-2</v>
      </c>
      <c r="AD111">
        <f ca="1">'ETF variations'!AD111/'ETF price'!AE112</f>
        <v>-3.4427111350188305E-2</v>
      </c>
      <c r="AE111">
        <f ca="1">'ETF variations'!AE111/'ETF price'!AF112</f>
        <v>-0.17073170731707324</v>
      </c>
      <c r="AF111">
        <f ca="1">'ETF variations'!AF111/'ETF price'!AG112</f>
        <v>-4.7879616963064246E-2</v>
      </c>
    </row>
    <row r="112" spans="1:32" x14ac:dyDescent="0.2">
      <c r="A112">
        <f ca="1">'ETF variations'!A112/'ETF price'!B113</f>
        <v>-4.4320695705240692E-2</v>
      </c>
      <c r="B112">
        <f ca="1">'ETF variations'!B112/'ETF price'!C113</f>
        <v>-4.704452481176246E-2</v>
      </c>
      <c r="C112">
        <f ca="1">'ETF variations'!C112/'ETF price'!D113</f>
        <v>-4.8827652888566504E-2</v>
      </c>
      <c r="D112">
        <f ca="1">'ETF variations'!D112/'ETF price'!E113</f>
        <v>-5.7717500192648596E-2</v>
      </c>
      <c r="E112">
        <f ca="1">'ETF variations'!E112/'ETF price'!F113</f>
        <v>-4.775220477522045E-2</v>
      </c>
      <c r="F112">
        <f ca="1">'ETF variations'!F112/'ETF price'!G113</f>
        <v>-5.7373375168085952E-2</v>
      </c>
      <c r="G112">
        <f ca="1">'ETF variations'!G112/'ETF price'!H113</f>
        <v>-5.6036258755665411E-2</v>
      </c>
      <c r="H112">
        <f ca="1">'ETF variations'!H112/'ETF price'!I113</f>
        <v>-3.0281297314527032E-2</v>
      </c>
      <c r="I112">
        <f ca="1">'ETF variations'!I112/'ETF price'!J113</f>
        <v>-3.1966250598008061E-2</v>
      </c>
      <c r="J112">
        <f ca="1">'ETF variations'!J112/'ETF price'!K113</f>
        <v>-4.0821868211441029E-2</v>
      </c>
      <c r="K112">
        <f ca="1">'ETF variations'!K112/'ETF price'!L113</f>
        <v>-5.5348351484409974E-2</v>
      </c>
      <c r="L112">
        <f ca="1">'ETF variations'!L112/'ETF price'!M113</f>
        <v>-3.6037700979486283E-2</v>
      </c>
      <c r="M112">
        <f ca="1">'ETF variations'!M112/'ETF price'!N113</f>
        <v>-3.2579338284942604E-2</v>
      </c>
      <c r="N112">
        <f ca="1">'ETF variations'!N112/'ETF price'!O113</f>
        <v>-6.2445030782761576E-2</v>
      </c>
      <c r="O112">
        <f ca="1">'ETF variations'!O112/'ETF price'!P113</f>
        <v>-5.2192537481681837E-2</v>
      </c>
      <c r="P112">
        <f ca="1">'ETF variations'!P112/'ETF price'!Q113</f>
        <v>-5.4174067495559454E-2</v>
      </c>
      <c r="Q112">
        <f ca="1">'ETF variations'!Q112/'ETF price'!R113</f>
        <v>-3.9059630219174697E-2</v>
      </c>
      <c r="R112">
        <f ca="1">'ETF variations'!R112/'ETF price'!S113</f>
        <v>-7.0286924706335421E-2</v>
      </c>
      <c r="S112">
        <f ca="1">'ETF variations'!S112/'ETF price'!T113</f>
        <v>-1.1247105524313591E-2</v>
      </c>
      <c r="T112">
        <f ca="1">'ETF variations'!T112/'ETF price'!U113</f>
        <v>2.551869521801886E-3</v>
      </c>
      <c r="U112">
        <f ca="1">'ETF variations'!U112/'ETF price'!V113</f>
        <v>-6.2772331154684086E-2</v>
      </c>
      <c r="V112">
        <f ca="1">'ETF variations'!V112/'ETF price'!W113</f>
        <v>-2.9818628957885101E-2</v>
      </c>
      <c r="W112">
        <f ca="1">'ETF variations'!W112/'ETF price'!X113</f>
        <v>-3.2778681346177958E-2</v>
      </c>
      <c r="X112">
        <f ca="1">'ETF variations'!X112/'ETF price'!Y113</f>
        <v>-3.2923617208077259E-2</v>
      </c>
      <c r="Y112">
        <f ca="1">'ETF variations'!Y112/'ETF price'!Z113</f>
        <v>-3.1849791376912462E-2</v>
      </c>
      <c r="Z112">
        <f ca="1">'ETF variations'!Z112/'ETF price'!AA113</f>
        <v>-4.8093271799854356E-2</v>
      </c>
      <c r="AA112">
        <f ca="1">'ETF variations'!AA112/'ETF price'!AB113</f>
        <v>-2.8117154811715478E-2</v>
      </c>
      <c r="AB112">
        <f ca="1">'ETF variations'!AB112/'ETF price'!AC113</f>
        <v>-3.6321031048623303E-2</v>
      </c>
      <c r="AC112">
        <f ca="1">'ETF variations'!AC112/'ETF price'!AD113</f>
        <v>-0.20143240823634737</v>
      </c>
      <c r="AD112">
        <f ca="1">'ETF variations'!AD112/'ETF price'!AE113</f>
        <v>-0.20222841225626736</v>
      </c>
      <c r="AE112">
        <f ca="1">'ETF variations'!AE112/'ETF price'!AF113</f>
        <v>-8.4033613445378234E-3</v>
      </c>
      <c r="AF112">
        <f ca="1">'ETF variations'!AF112/'ETF price'!AG113</f>
        <v>-0.13793103448275862</v>
      </c>
    </row>
    <row r="113" spans="1:32" x14ac:dyDescent="0.2">
      <c r="A113">
        <f ca="1">'ETF variations'!A113/'ETF price'!B114</f>
        <v>6.3058748403575357E-3</v>
      </c>
      <c r="B113">
        <f ca="1">'ETF variations'!B113/'ETF price'!C114</f>
        <v>5.5681712134879255E-3</v>
      </c>
      <c r="C113">
        <f ca="1">'ETF variations'!C113/'ETF price'!D114</f>
        <v>5.4637865311307826E-3</v>
      </c>
      <c r="D113">
        <f ca="1">'ETF variations'!D113/'ETF price'!E114</f>
        <v>5.5610075237160009E-3</v>
      </c>
      <c r="E113">
        <f ca="1">'ETF variations'!E113/'ETF price'!F114</f>
        <v>-3.614185678789331E-3</v>
      </c>
      <c r="F113">
        <f ca="1">'ETF variations'!F113/'ETF price'!G114</f>
        <v>-6.1816452686639352E-3</v>
      </c>
      <c r="G113">
        <f ca="1">'ETF variations'!G113/'ETF price'!H114</f>
        <v>2.1824530772588699E-3</v>
      </c>
      <c r="H113">
        <f ca="1">'ETF variations'!H113/'ETF price'!I114</f>
        <v>-9.5324184402990932E-3</v>
      </c>
      <c r="I113">
        <f ca="1">'ETF variations'!I113/'ETF price'!J114</f>
        <v>-8.4913289603738649E-3</v>
      </c>
      <c r="J113">
        <f ca="1">'ETF variations'!J113/'ETF price'!K114</f>
        <v>2.4535245824290376E-3</v>
      </c>
      <c r="K113">
        <f ca="1">'ETF variations'!K113/'ETF price'!L114</f>
        <v>1.5792798483891569E-3</v>
      </c>
      <c r="L113">
        <f ca="1">'ETF variations'!L113/'ETF price'!M114</f>
        <v>-1.1503067484661652E-3</v>
      </c>
      <c r="M113">
        <f ca="1">'ETF variations'!M113/'ETF price'!N114</f>
        <v>-8.375501657651439E-3</v>
      </c>
      <c r="N113">
        <f ca="1">'ETF variations'!N113/'ETF price'!O114</f>
        <v>4.6904315196998787E-3</v>
      </c>
      <c r="O113">
        <f ca="1">'ETF variations'!O113/'ETF price'!P114</f>
        <v>1.9029495718363059E-3</v>
      </c>
      <c r="P113">
        <f ca="1">'ETF variations'!P113/'ETF price'!Q114</f>
        <v>-7.6824583866840293E-4</v>
      </c>
      <c r="Q113">
        <f ca="1">'ETF variations'!Q113/'ETF price'!R114</f>
        <v>-7.6452599388380288E-3</v>
      </c>
      <c r="R113">
        <f ca="1">'ETF variations'!R113/'ETF price'!S114</f>
        <v>-1.3048881524440815E-2</v>
      </c>
      <c r="S113">
        <f ca="1">'ETF variations'!S113/'ETF price'!T114</f>
        <v>-1.1040481766477143E-2</v>
      </c>
      <c r="T113">
        <f ca="1">'ETF variations'!T113/'ETF price'!U114</f>
        <v>-2.1137671536077873E-2</v>
      </c>
      <c r="U113">
        <f ca="1">'ETF variations'!U113/'ETF price'!V114</f>
        <v>-1.0024698532616559E-2</v>
      </c>
      <c r="V113">
        <f ca="1">'ETF variations'!V113/'ETF price'!W114</f>
        <v>-8.5551330798478951E-3</v>
      </c>
      <c r="W113">
        <f ca="1">'ETF variations'!W113/'ETF price'!X114</f>
        <v>-6.338119260121706E-3</v>
      </c>
      <c r="X113">
        <f ca="1">'ETF variations'!X113/'ETF price'!Y114</f>
        <v>4.3123014071719864E-3</v>
      </c>
      <c r="Y113">
        <f ca="1">'ETF variations'!Y113/'ETF price'!Z114</f>
        <v>-7.3265335440311037E-3</v>
      </c>
      <c r="Z113">
        <f ca="1">'ETF variations'!Z113/'ETF price'!AA114</f>
        <v>-7.1446797652462658E-3</v>
      </c>
      <c r="AA113">
        <f ca="1">'ETF variations'!AA113/'ETF price'!AB114</f>
        <v>7.4048562080247923E-3</v>
      </c>
      <c r="AB113">
        <f ca="1">'ETF variations'!AB113/'ETF price'!AC114</f>
        <v>-5.4711246200608533E-3</v>
      </c>
      <c r="AC113">
        <f ca="1">'ETF variations'!AC113/'ETF price'!AD114</f>
        <v>-4.2600896860986635E-2</v>
      </c>
      <c r="AD113">
        <f ca="1">'ETF variations'!AD113/'ETF price'!AE114</f>
        <v>-4.1201117318435745E-2</v>
      </c>
      <c r="AE113">
        <f ca="1">'ETF variations'!AE113/'ETF price'!AF114</f>
        <v>5.0847457627118689E-2</v>
      </c>
      <c r="AF113">
        <f ca="1">'ETF variations'!AF113/'ETF price'!AG114</f>
        <v>-5.0000000000000417E-3</v>
      </c>
    </row>
    <row r="114" spans="1:32" x14ac:dyDescent="0.2">
      <c r="A114">
        <f ca="1">'ETF variations'!A114/'ETF price'!B115</f>
        <v>2.1099389228206526E-2</v>
      </c>
      <c r="B114">
        <f ca="1">'ETF variations'!B114/'ETF price'!C115</f>
        <v>2.2118418610406591E-2</v>
      </c>
      <c r="C114">
        <f ca="1">'ETF variations'!C114/'ETF price'!D115</f>
        <v>2.3884746619486929E-2</v>
      </c>
      <c r="D114">
        <f ca="1">'ETF variations'!D114/'ETF price'!E115</f>
        <v>1.7160052049446969E-2</v>
      </c>
      <c r="E114">
        <f ca="1">'ETF variations'!E114/'ETF price'!F115</f>
        <v>2.1763772387213803E-2</v>
      </c>
      <c r="F114">
        <f ca="1">'ETF variations'!F114/'ETF price'!G115</f>
        <v>1.8660287081339742E-2</v>
      </c>
      <c r="G114">
        <f ca="1">'ETF variations'!G114/'ETF price'!H115</f>
        <v>2.0905923344947754E-2</v>
      </c>
      <c r="H114">
        <f ca="1">'ETF variations'!H114/'ETF price'!I115</f>
        <v>1.0121961337426358E-2</v>
      </c>
      <c r="I114">
        <f ca="1">'ETF variations'!I114/'ETF price'!J115</f>
        <v>1.1146857583035063E-2</v>
      </c>
      <c r="J114">
        <f ca="1">'ETF variations'!J114/'ETF price'!K115</f>
        <v>2.2874894097712439E-2</v>
      </c>
      <c r="K114">
        <f ca="1">'ETF variations'!K114/'ETF price'!L115</f>
        <v>3.56354462314728E-2</v>
      </c>
      <c r="L114">
        <f ca="1">'ETF variations'!L114/'ETF price'!M115</f>
        <v>2.687140115163145E-2</v>
      </c>
      <c r="M114">
        <f ca="1">'ETF variations'!M114/'ETF price'!N115</f>
        <v>1.1261657575224364E-2</v>
      </c>
      <c r="N114">
        <f ca="1">'ETF variations'!N114/'ETF price'!O115</f>
        <v>3.828197945844989E-2</v>
      </c>
      <c r="O114">
        <f ca="1">'ETF variations'!O114/'ETF price'!P115</f>
        <v>-2.2079772079772075E-2</v>
      </c>
      <c r="P114">
        <f ca="1">'ETF variations'!P114/'ETF price'!Q115</f>
        <v>-1.879378096702548E-2</v>
      </c>
      <c r="Q114">
        <f ca="1">'ETF variations'!Q114/'ETF price'!R115</f>
        <v>-2.5680534155105321E-4</v>
      </c>
      <c r="R114">
        <f ca="1">'ETF variations'!R114/'ETF price'!S115</f>
        <v>2.0986358866736624E-2</v>
      </c>
      <c r="S114">
        <f ca="1">'ETF variations'!S114/'ETF price'!T115</f>
        <v>6.765899864681859E-4</v>
      </c>
      <c r="T114">
        <f ca="1">'ETF variations'!T114/'ETF price'!U115</f>
        <v>-1.7184850197851848E-2</v>
      </c>
      <c r="U114">
        <f ca="1">'ETF variations'!U114/'ETF price'!V115</f>
        <v>3.0085118872908677E-2</v>
      </c>
      <c r="V114">
        <f ca="1">'ETF variations'!V114/'ETF price'!W115</f>
        <v>1.118568232662197E-2</v>
      </c>
      <c r="W114">
        <f ca="1">'ETF variations'!W114/'ETF price'!X115</f>
        <v>1.0674303566779581E-2</v>
      </c>
      <c r="X114">
        <f ca="1">'ETF variations'!X114/'ETF price'!Y115</f>
        <v>6.3276836158192348E-3</v>
      </c>
      <c r="Y114">
        <f ca="1">'ETF variations'!Y114/'ETF price'!Z115</f>
        <v>1.1722141823444318E-2</v>
      </c>
      <c r="Z114">
        <f ca="1">'ETF variations'!Z114/'ETF price'!AA115</f>
        <v>2.2873297352865606E-2</v>
      </c>
      <c r="AA114">
        <f ca="1">'ETF variations'!AA114/'ETF price'!AB115</f>
        <v>8.0341880341880147E-3</v>
      </c>
      <c r="AB114">
        <f ca="1">'ETF variations'!AB114/'ETF price'!AC115</f>
        <v>1.3854930725346368E-2</v>
      </c>
      <c r="AC114">
        <f ca="1">'ETF variations'!AC114/'ETF price'!AD115</f>
        <v>-2.5761124121779728E-2</v>
      </c>
      <c r="AD114">
        <f ca="1">'ETF variations'!AD114/'ETF price'!AE115</f>
        <v>-2.4034959941733436E-2</v>
      </c>
      <c r="AE114">
        <f ca="1">'ETF variations'!AE114/'ETF price'!AF115</f>
        <v>-6.4516129032258118E-2</v>
      </c>
      <c r="AF114">
        <f ca="1">'ETF variations'!AF114/'ETF price'!AG115</f>
        <v>1.8425460636515966E-2</v>
      </c>
    </row>
    <row r="115" spans="1:32" x14ac:dyDescent="0.2">
      <c r="A115">
        <f ca="1">'ETF variations'!A115/'ETF price'!B116</f>
        <v>-4.0705352287733983E-2</v>
      </c>
      <c r="B115">
        <f ca="1">'ETF variations'!B115/'ETF price'!C116</f>
        <v>-4.370327774583093E-2</v>
      </c>
      <c r="C115">
        <f ca="1">'ETF variations'!C115/'ETF price'!D116</f>
        <v>-4.3075783757096954E-2</v>
      </c>
      <c r="D115">
        <f ca="1">'ETF variations'!D115/'ETF price'!E116</f>
        <v>-6.0206284480690715E-2</v>
      </c>
      <c r="E115">
        <f ca="1">'ETF variations'!E115/'ETF price'!F116</f>
        <v>-3.5500332815620178E-2</v>
      </c>
      <c r="F115">
        <f ca="1">'ETF variations'!F115/'ETF price'!G116</f>
        <v>-3.5227806481916396E-2</v>
      </c>
      <c r="G115">
        <f ca="1">'ETF variations'!G115/'ETF price'!H116</f>
        <v>-4.9488054607508533E-2</v>
      </c>
      <c r="H115">
        <f ca="1">'ETF variations'!H115/'ETF price'!I116</f>
        <v>-1.4702258726899436E-2</v>
      </c>
      <c r="I115">
        <f ca="1">'ETF variations'!I115/'ETF price'!J116</f>
        <v>-1.631189782657412E-2</v>
      </c>
      <c r="J115">
        <f ca="1">'ETF variations'!J115/'ETF price'!K116</f>
        <v>-2.613657279587708E-2</v>
      </c>
      <c r="K115">
        <f ca="1">'ETF variations'!K115/'ETF price'!L116</f>
        <v>-2.6035322777101216E-2</v>
      </c>
      <c r="L115">
        <f ca="1">'ETF variations'!L115/'ETF price'!M116</f>
        <v>-2.3177570093457982E-2</v>
      </c>
      <c r="M115">
        <f ca="1">'ETF variations'!M115/'ETF price'!N116</f>
        <v>-1.5834348355663764E-2</v>
      </c>
      <c r="N115">
        <f ca="1">'ETF variations'!N115/'ETF price'!O116</f>
        <v>-2.7877697841726504E-2</v>
      </c>
      <c r="O115">
        <f ca="1">'ETF variations'!O115/'ETF price'!P116</f>
        <v>-5.6324350570526836E-2</v>
      </c>
      <c r="P115">
        <f ca="1">'ETF variations'!P115/'ETF price'!Q116</f>
        <v>-5.6242382030297702E-2</v>
      </c>
      <c r="Q115">
        <f ca="1">'ETF variations'!Q115/'ETF price'!R116</f>
        <v>-3.6090418700231212E-2</v>
      </c>
      <c r="R115">
        <f ca="1">'ETF variations'!R115/'ETF price'!S116</f>
        <v>-4.3165467625899311E-2</v>
      </c>
      <c r="S115">
        <f ca="1">'ETF variations'!S115/'ETF price'!T116</f>
        <v>4.3948613928330819E-3</v>
      </c>
      <c r="T115">
        <f ca="1">'ETF variations'!T115/'ETF price'!U116</f>
        <v>8.3975612561830171E-3</v>
      </c>
      <c r="U115">
        <f ca="1">'ETF variations'!U115/'ETF price'!V116</f>
        <v>-5.6703234078928681E-2</v>
      </c>
      <c r="V115">
        <f ca="1">'ETF variations'!V115/'ETF price'!W116</f>
        <v>-2.5284450063211148E-2</v>
      </c>
      <c r="W115">
        <f ca="1">'ETF variations'!W115/'ETF price'!X116</f>
        <v>-2.8593508500772781E-2</v>
      </c>
      <c r="X115">
        <f ca="1">'ETF variations'!X115/'ETF price'!Y116</f>
        <v>-3.8401077924994406E-2</v>
      </c>
      <c r="Y115">
        <f ca="1">'ETF variations'!Y115/'ETF price'!Z116</f>
        <v>-2.7893005292518994E-2</v>
      </c>
      <c r="Z115">
        <f ca="1">'ETF variations'!Z115/'ETF price'!AA116</f>
        <v>-2.3869346733668237E-2</v>
      </c>
      <c r="AA115">
        <f ca="1">'ETF variations'!AA115/'ETF price'!AB116</f>
        <v>-3.5950483296591444E-2</v>
      </c>
      <c r="AB115">
        <f ca="1">'ETF variations'!AB115/'ETF price'!AC116</f>
        <v>-2.9742765273311836E-2</v>
      </c>
      <c r="AC115">
        <f ca="1">'ETF variations'!AC115/'ETF price'!AD116</f>
        <v>-3.4855769230769343E-2</v>
      </c>
      <c r="AD115">
        <f ca="1">'ETF variations'!AD115/'ETF price'!AE116</f>
        <v>-3.582089552238809E-2</v>
      </c>
      <c r="AE115">
        <f ca="1">'ETF variations'!AE115/'ETF price'!AF116</f>
        <v>0</v>
      </c>
      <c r="AF115">
        <f ca="1">'ETF variations'!AF115/'ETF price'!AG116</f>
        <v>-6.5789473684210578E-2</v>
      </c>
    </row>
    <row r="116" spans="1:32" x14ac:dyDescent="0.2">
      <c r="A116">
        <f ca="1">'ETF variations'!A116/'ETF price'!B117</f>
        <v>9.1505385051421952E-3</v>
      </c>
      <c r="B116">
        <f ca="1">'ETF variations'!B116/'ETF price'!C117</f>
        <v>1.2153052504984571E-2</v>
      </c>
      <c r="C116">
        <f ca="1">'ETF variations'!C116/'ETF price'!D117</f>
        <v>1.0705533341932133E-2</v>
      </c>
      <c r="D116">
        <f ca="1">'ETF variations'!D116/'ETF price'!E117</f>
        <v>3.9986387612727485E-3</v>
      </c>
      <c r="E116">
        <f ca="1">'ETF variations'!E116/'ETF price'!F117</f>
        <v>1.7023234414538808E-2</v>
      </c>
      <c r="F116">
        <f ca="1">'ETF variations'!F116/'ETF price'!G117</f>
        <v>8.7633885102239399E-3</v>
      </c>
      <c r="G116">
        <f ca="1">'ETF variations'!G116/'ETF price'!H117</f>
        <v>2.1095152603231547E-2</v>
      </c>
      <c r="H116">
        <f ca="1">'ETF variations'!H116/'ETF price'!I117</f>
        <v>-5.8352784261414786E-4</v>
      </c>
      <c r="I116">
        <f ca="1">'ETF variations'!I116/'ETF price'!J117</f>
        <v>3.1889207780967477E-3</v>
      </c>
      <c r="J116">
        <f ca="1">'ETF variations'!J116/'ETF price'!K117</f>
        <v>3.5343035343035428E-2</v>
      </c>
      <c r="K116">
        <f ca="1">'ETF variations'!K116/'ETF price'!L117</f>
        <v>5.6901672659058947E-2</v>
      </c>
      <c r="L116">
        <f ca="1">'ETF variations'!L116/'ETF price'!M117</f>
        <v>3.6165327210103342E-2</v>
      </c>
      <c r="M116">
        <f ca="1">'ETF variations'!M116/'ETF price'!N117</f>
        <v>1.7680339462514163E-4</v>
      </c>
      <c r="N116">
        <f ca="1">'ETF variations'!N116/'ETF price'!O117</f>
        <v>4.0703052728954622E-2</v>
      </c>
      <c r="O116">
        <f ca="1">'ETF variations'!O116/'ETF price'!P117</f>
        <v>-5.4669410856701829E-2</v>
      </c>
      <c r="P116">
        <f ca="1">'ETF variations'!P116/'ETF price'!Q117</f>
        <v>-5.5811808118081285E-2</v>
      </c>
      <c r="Q116">
        <f ca="1">'ETF variations'!Q116/'ETF price'!R117</f>
        <v>-1.7321785476348496E-3</v>
      </c>
      <c r="R116">
        <f ca="1">'ETF variations'!R116/'ETF price'!S117</f>
        <v>-2.1482277121370592E-4</v>
      </c>
      <c r="S116">
        <f ca="1">'ETF variations'!S116/'ETF price'!T117</f>
        <v>-3.5678222820599202E-2</v>
      </c>
      <c r="T116">
        <f ca="1">'ETF variations'!T116/'ETF price'!U117</f>
        <v>-4.9281314168377749E-2</v>
      </c>
      <c r="U116">
        <f ca="1">'ETF variations'!U116/'ETF price'!V117</f>
        <v>5.9205558072798703E-2</v>
      </c>
      <c r="V116">
        <f ca="1">'ETF variations'!V116/'ETF price'!W117</f>
        <v>2.9182879377431859E-3</v>
      </c>
      <c r="W116">
        <f ca="1">'ETF variations'!W116/'ETF price'!X117</f>
        <v>5.7014054627418801E-3</v>
      </c>
      <c r="X116">
        <f ca="1">'ETF variations'!X116/'ETF price'!Y117</f>
        <v>1.3778608127043351E-2</v>
      </c>
      <c r="Y116">
        <f ca="1">'ETF variations'!Y116/'ETF price'!Z117</f>
        <v>3.8257798705121416E-3</v>
      </c>
      <c r="Z116">
        <f ca="1">'ETF variations'!Z116/'ETF price'!AA117</f>
        <v>5.9202059202058399E-3</v>
      </c>
      <c r="AA116">
        <f ca="1">'ETF variations'!AA116/'ETF price'!AB117</f>
        <v>1.5303430079155628E-2</v>
      </c>
      <c r="AB116">
        <f ca="1">'ETF variations'!AB116/'ETF price'!AC117</f>
        <v>5.3852526926263054E-3</v>
      </c>
      <c r="AC116">
        <f ca="1">'ETF variations'!AC116/'ETF price'!AD117</f>
        <v>-1.7434620174346164E-2</v>
      </c>
      <c r="AD116">
        <f ca="1">'ETF variations'!AD116/'ETF price'!AE117</f>
        <v>-1.5479876160990657E-2</v>
      </c>
      <c r="AE116">
        <f ca="1">'ETF variations'!AE116/'ETF price'!AF117</f>
        <v>6.0344827586206955E-2</v>
      </c>
      <c r="AF116">
        <f ca="1">'ETF variations'!AF116/'ETF price'!AG117</f>
        <v>6.6021126760564324E-3</v>
      </c>
    </row>
    <row r="117" spans="1:32" x14ac:dyDescent="0.2">
      <c r="A117">
        <f ca="1">'ETF variations'!A117/'ETF price'!B118</f>
        <v>2.2789279409404502E-2</v>
      </c>
      <c r="B117">
        <f ca="1">'ETF variations'!B117/'ETF price'!C118</f>
        <v>2.5265001094399751E-2</v>
      </c>
      <c r="C117">
        <f ca="1">'ETF variations'!C117/'ETF price'!D118</f>
        <v>2.4757529351710026E-2</v>
      </c>
      <c r="D117">
        <f ca="1">'ETF variations'!D117/'ETF price'!E118</f>
        <v>2.6184221676129049E-2</v>
      </c>
      <c r="E117">
        <f ca="1">'ETF variations'!E117/'ETF price'!F118</f>
        <v>2.4202669079393807E-2</v>
      </c>
      <c r="F117">
        <f ca="1">'ETF variations'!F117/'ETF price'!G118</f>
        <v>1.158301158301168E-2</v>
      </c>
      <c r="G117">
        <f ca="1">'ETF variations'!G117/'ETF price'!H118</f>
        <v>1.8461538461538536E-2</v>
      </c>
      <c r="H117">
        <f ca="1">'ETF variations'!H117/'ETF price'!I118</f>
        <v>2.2604053715906194E-2</v>
      </c>
      <c r="I117">
        <f ca="1">'ETF variations'!I117/'ETF price'!J118</f>
        <v>2.5884383088869662E-2</v>
      </c>
      <c r="J117">
        <f ca="1">'ETF variations'!J117/'ETF price'!K118</f>
        <v>2.108433734939761E-2</v>
      </c>
      <c r="K117">
        <f ca="1">'ETF variations'!K117/'ETF price'!L118</f>
        <v>3.5793521668392274E-2</v>
      </c>
      <c r="L117">
        <f ca="1">'ETF variations'!L117/'ETF price'!M118</f>
        <v>1.5327793167128316E-2</v>
      </c>
      <c r="M117">
        <f ca="1">'ETF variations'!M117/'ETF price'!N118</f>
        <v>2.5278416121619227E-2</v>
      </c>
      <c r="N117">
        <f ca="1">'ETF variations'!N117/'ETF price'!O118</f>
        <v>2.6666666666666731E-2</v>
      </c>
      <c r="O117">
        <f ca="1">'ETF variations'!O117/'ETF price'!P118</f>
        <v>4.0141515852496978E-2</v>
      </c>
      <c r="P117">
        <f ca="1">'ETF variations'!P117/'ETF price'!Q118</f>
        <v>5.061064973131419E-2</v>
      </c>
      <c r="Q117">
        <f ca="1">'ETF variations'!Q117/'ETF price'!R118</f>
        <v>8.142018152696202E-3</v>
      </c>
      <c r="R117">
        <f ca="1">'ETF variations'!R117/'ETF price'!S118</f>
        <v>1.5470562956596452E-2</v>
      </c>
      <c r="S117">
        <f ca="1">'ETF variations'!S117/'ETF price'!T118</f>
        <v>-2.4432809773124011E-3</v>
      </c>
      <c r="T117">
        <f ca="1">'ETF variations'!T117/'ETF price'!U118</f>
        <v>8.5193184545235626E-3</v>
      </c>
      <c r="U117">
        <f ca="1">'ETF variations'!U117/'ETF price'!V118</f>
        <v>1.8822187366319798E-2</v>
      </c>
      <c r="V117">
        <f ca="1">'ETF variations'!V117/'ETF price'!W118</f>
        <v>1.4548981571289987E-2</v>
      </c>
      <c r="W117">
        <f ca="1">'ETF variations'!W117/'ETF price'!X118</f>
        <v>1.9380355965721806E-2</v>
      </c>
      <c r="X117">
        <f ca="1">'ETF variations'!X117/'ETF price'!Y118</f>
        <v>1.0135913384013012E-2</v>
      </c>
      <c r="Y117">
        <f ca="1">'ETF variations'!Y117/'ETF price'!Z118</f>
        <v>2.0961594840222909E-2</v>
      </c>
      <c r="Z117">
        <f ca="1">'ETF variations'!Z117/'ETF price'!AA118</f>
        <v>1.049129989764595E-2</v>
      </c>
      <c r="AA117">
        <f ca="1">'ETF variations'!AA117/'ETF price'!AB118</f>
        <v>9.875259875259881E-3</v>
      </c>
      <c r="AB117">
        <f ca="1">'ETF variations'!AB117/'ETF price'!AC118</f>
        <v>2.183765966213437E-2</v>
      </c>
      <c r="AC117">
        <f ca="1">'ETF variations'!AC117/'ETF price'!AD118</f>
        <v>2.0278833967047025E-2</v>
      </c>
      <c r="AD117">
        <f ca="1">'ETF variations'!AD117/'ETF price'!AE118</f>
        <v>1.80817610062892E-2</v>
      </c>
      <c r="AE117">
        <f ca="1">'ETF variations'!AE117/'ETF price'!AF118</f>
        <v>-1.2195121951219433E-2</v>
      </c>
      <c r="AF117">
        <f ca="1">'ETF variations'!AF117/'ETF price'!AG118</f>
        <v>8.26410144293835E-2</v>
      </c>
    </row>
    <row r="118" spans="1:32" x14ac:dyDescent="0.2">
      <c r="A118">
        <f ca="1">'ETF variations'!A118/'ETF price'!B119</f>
        <v>-4.2366232543542453E-3</v>
      </c>
      <c r="B118">
        <f ca="1">'ETF variations'!B118/'ETF price'!C119</f>
        <v>-3.4462777150873632E-3</v>
      </c>
      <c r="C118">
        <f ca="1">'ETF variations'!C118/'ETF price'!D119</f>
        <v>-3.860523038605259E-3</v>
      </c>
      <c r="D118">
        <f ca="1">'ETF variations'!D118/'ETF price'!E119</f>
        <v>-1.0404624277456573E-2</v>
      </c>
      <c r="E118">
        <f ca="1">'ETF variations'!E118/'ETF price'!F119</f>
        <v>-1.1042402826856065E-3</v>
      </c>
      <c r="F118">
        <f ca="1">'ETF variations'!F118/'ETF price'!G119</f>
        <v>-2.3854961832061408E-3</v>
      </c>
      <c r="G118">
        <f ca="1">'ETF variations'!G118/'ETF price'!H119</f>
        <v>-8.6318515321549957E-4</v>
      </c>
      <c r="H118">
        <f ca="1">'ETF variations'!H118/'ETF price'!I119</f>
        <v>1.3866231647634607E-2</v>
      </c>
      <c r="I118">
        <f ca="1">'ETF variations'!I118/'ETF price'!J119</f>
        <v>1.460758709220491E-2</v>
      </c>
      <c r="J118">
        <f ca="1">'ETF variations'!J118/'ETF price'!K119</f>
        <v>1.2335746849021145E-2</v>
      </c>
      <c r="K118">
        <f ca="1">'ETF variations'!K118/'ETF price'!L119</f>
        <v>2.5132086248750608E-2</v>
      </c>
      <c r="L118">
        <f ca="1">'ETF variations'!L118/'ETF price'!M119</f>
        <v>1.6551473263004796E-2</v>
      </c>
      <c r="M118">
        <f ca="1">'ETF variations'!M118/'ETF price'!N119</f>
        <v>1.4655172413793128E-2</v>
      </c>
      <c r="N118">
        <f ca="1">'ETF variations'!N118/'ETF price'!O119</f>
        <v>2.0779220779220644E-2</v>
      </c>
      <c r="O118">
        <f ca="1">'ETF variations'!O118/'ETF price'!P119</f>
        <v>-4.003139717425435E-2</v>
      </c>
      <c r="P118">
        <f ca="1">'ETF variations'!P118/'ETF price'!Q119</f>
        <v>-4.4452710871384742E-2</v>
      </c>
      <c r="Q118">
        <f ca="1">'ETF variations'!Q118/'ETF price'!R119</f>
        <v>-1.2842579107639333E-2</v>
      </c>
      <c r="R118">
        <f ca="1">'ETF variations'!R118/'ETF price'!S119</f>
        <v>-3.8298772746508572E-2</v>
      </c>
      <c r="S118">
        <f ca="1">'ETF variations'!S118/'ETF price'!T119</f>
        <v>-1.7844646606018127E-2</v>
      </c>
      <c r="T118">
        <f ca="1">'ETF variations'!T118/'ETF price'!U119</f>
        <v>-3.7715645449137442E-2</v>
      </c>
      <c r="U118">
        <f ca="1">'ETF variations'!U118/'ETF price'!V119</f>
        <v>-4.7585724282715658E-3</v>
      </c>
      <c r="V118">
        <f ca="1">'ETF variations'!V118/'ETF price'!W119</f>
        <v>-2.2307202039515707E-3</v>
      </c>
      <c r="W118">
        <f ca="1">'ETF variations'!W118/'ETF price'!X119</f>
        <v>-1.4226590791515707E-3</v>
      </c>
      <c r="X118">
        <f ca="1">'ETF variations'!X118/'ETF price'!Y119</f>
        <v>6.8415051311291079E-4</v>
      </c>
      <c r="Y118">
        <f ca="1">'ETF variations'!Y118/'ETF price'!Z119</f>
        <v>-2.4407753050969374E-3</v>
      </c>
      <c r="Z118">
        <f ca="1">'ETF variations'!Z118/'ETF price'!AA119</f>
        <v>1.6206634591035718E-2</v>
      </c>
      <c r="AA118">
        <f ca="1">'ETF variations'!AA118/'ETF price'!AB119</f>
        <v>8.5778006519135811E-4</v>
      </c>
      <c r="AB118">
        <f ca="1">'ETF variations'!AB118/'ETF price'!AC119</f>
        <v>-2.6209677419355352E-3</v>
      </c>
      <c r="AC118">
        <f ca="1">'ETF variations'!AC118/'ETF price'!AD119</f>
        <v>-3.7267080745341699E-2</v>
      </c>
      <c r="AD118">
        <f ca="1">'ETF variations'!AD118/'ETF price'!AE119</f>
        <v>-3.7065637065636967E-2</v>
      </c>
      <c r="AE118">
        <f ca="1">'ETF variations'!AE118/'ETF price'!AF119</f>
        <v>-1.646090534979425E-2</v>
      </c>
      <c r="AF118">
        <f ca="1">'ETF variations'!AF118/'ETF price'!AG119</f>
        <v>-7.1082390953150304E-2</v>
      </c>
    </row>
    <row r="119" spans="1:32" x14ac:dyDescent="0.2">
      <c r="A119">
        <f ca="1">'ETF variations'!A119/'ETF price'!B120</f>
        <v>1.4970059880239453E-2</v>
      </c>
      <c r="B119">
        <f ca="1">'ETF variations'!B119/'ETF price'!C120</f>
        <v>1.5424164524421656E-2</v>
      </c>
      <c r="C119">
        <f ca="1">'ETF variations'!C119/'ETF price'!D120</f>
        <v>1.7752219027378446E-2</v>
      </c>
      <c r="D119">
        <f ca="1">'ETF variations'!D119/'ETF price'!E120</f>
        <v>-6.7590120160213804E-3</v>
      </c>
      <c r="E119">
        <f ca="1">'ETF variations'!E119/'ETF price'!F120</f>
        <v>2.6531063453460159E-2</v>
      </c>
      <c r="F119">
        <f ca="1">'ETF variations'!F119/'ETF price'!G120</f>
        <v>-4.7824007651848702E-4</v>
      </c>
      <c r="G119">
        <f ca="1">'ETF variations'!G119/'ETF price'!H120</f>
        <v>2.1598272138228944E-2</v>
      </c>
      <c r="H119">
        <f ca="1">'ETF variations'!H119/'ETF price'!I120</f>
        <v>2.2445695897023381E-2</v>
      </c>
      <c r="I119">
        <f ca="1">'ETF variations'!I119/'ETF price'!J120</f>
        <v>2.1814056978316825E-2</v>
      </c>
      <c r="J119">
        <f ca="1">'ETF variations'!J119/'ETF price'!K120</f>
        <v>4.2030905077262738E-2</v>
      </c>
      <c r="K119">
        <f ca="1">'ETF variations'!K119/'ETF price'!L120</f>
        <v>6.1847053907229381E-2</v>
      </c>
      <c r="L119">
        <f ca="1">'ETF variations'!L119/'ETF price'!M120</f>
        <v>4.7951332975487558E-2</v>
      </c>
      <c r="M119">
        <f ca="1">'ETF variations'!M119/'ETF price'!N120</f>
        <v>2.5318606627017876E-2</v>
      </c>
      <c r="N119">
        <f ca="1">'ETF variations'!N119/'ETF price'!O120</f>
        <v>6.7854113655640438E-2</v>
      </c>
      <c r="O119">
        <f ca="1">'ETF variations'!O119/'ETF price'!P120</f>
        <v>-3.7067320795857166E-2</v>
      </c>
      <c r="P119">
        <f ca="1">'ETF variations'!P119/'ETF price'!Q120</f>
        <v>-4.6812652068126542E-2</v>
      </c>
      <c r="Q119">
        <f ca="1">'ETF variations'!Q119/'ETF price'!R120</f>
        <v>-1.3680257510729561E-2</v>
      </c>
      <c r="R119">
        <f ca="1">'ETF variations'!R119/'ETF price'!S120</f>
        <v>-3.7183718371837288E-2</v>
      </c>
      <c r="S119">
        <f ca="1">'ETF variations'!S119/'ETF price'!T120</f>
        <v>-2.244389027431418E-2</v>
      </c>
      <c r="T119">
        <f ca="1">'ETF variations'!T119/'ETF price'!U120</f>
        <v>-2.3491592482690303E-2</v>
      </c>
      <c r="U119">
        <f ca="1">'ETF variations'!U119/'ETF price'!V120</f>
        <v>2.7000421881591925E-2</v>
      </c>
      <c r="V119">
        <f ca="1">'ETF variations'!V119/'ETF price'!W120</f>
        <v>-3.8326413286489123E-3</v>
      </c>
      <c r="W119">
        <f ca="1">'ETF variations'!W119/'ETF price'!X120</f>
        <v>-8.1595648232093698E-3</v>
      </c>
      <c r="X119">
        <f ca="1">'ETF variations'!X119/'ETF price'!Y120</f>
        <v>-1.0027347310847876E-2</v>
      </c>
      <c r="Y119">
        <f ca="1">'ETF variations'!Y119/'ETF price'!Z120</f>
        <v>-1.8710420264825799E-3</v>
      </c>
      <c r="Z119">
        <f ca="1">'ETF variations'!Z119/'ETF price'!AA120</f>
        <v>1.9686020433590808E-2</v>
      </c>
      <c r="AA119">
        <f ca="1">'ETF variations'!AA119/'ETF price'!AB120</f>
        <v>-1.3712718546451907E-2</v>
      </c>
      <c r="AB119">
        <f ca="1">'ETF variations'!AB119/'ETF price'!AC120</f>
        <v>-6.0642813826563852E-4</v>
      </c>
      <c r="AC119">
        <f ca="1">'ETF variations'!AC119/'ETF price'!AD120</f>
        <v>3.8709677419354931E-2</v>
      </c>
      <c r="AD119">
        <f ca="1">'ETF variations'!AD119/'ETF price'!AE120</f>
        <v>3.8492381716118573E-2</v>
      </c>
      <c r="AE119">
        <f ca="1">'ETF variations'!AE119/'ETF price'!AF120</f>
        <v>5.8577405857740447E-2</v>
      </c>
      <c r="AF119">
        <f ca="1">'ETF variations'!AF119/'ETF price'!AG120</f>
        <v>4.1739130434782647E-2</v>
      </c>
    </row>
    <row r="120" spans="1:32" x14ac:dyDescent="0.2">
      <c r="A120">
        <f ca="1">'ETF variations'!A120/'ETF price'!B121</f>
        <v>3.5941623971432975E-2</v>
      </c>
      <c r="B120">
        <f ca="1">'ETF variations'!B120/'ETF price'!C121</f>
        <v>3.6859553948161428E-2</v>
      </c>
      <c r="C120">
        <f ca="1">'ETF variations'!C120/'ETF price'!D121</f>
        <v>4.0289890676821045E-2</v>
      </c>
      <c r="D120">
        <f ca="1">'ETF variations'!D120/'ETF price'!E121</f>
        <v>4.4274552633789765E-2</v>
      </c>
      <c r="E120">
        <f ca="1">'ETF variations'!E120/'ETF price'!F121</f>
        <v>3.661425802283013E-2</v>
      </c>
      <c r="F120">
        <f ca="1">'ETF variations'!F120/'ETF price'!G121</f>
        <v>3.3014354066985711E-2</v>
      </c>
      <c r="G120">
        <f ca="1">'ETF variations'!G120/'ETF price'!H121</f>
        <v>3.5517970401691329E-2</v>
      </c>
      <c r="H120">
        <f ca="1">'ETF variations'!H120/'ETF price'!I121</f>
        <v>1.6602407742544536E-2</v>
      </c>
      <c r="I120">
        <f ca="1">'ETF variations'!I120/'ETF price'!J121</f>
        <v>1.6993296614149649E-2</v>
      </c>
      <c r="J120">
        <f ca="1">'ETF variations'!J120/'ETF price'!K121</f>
        <v>1.7201932039657666E-2</v>
      </c>
      <c r="K120">
        <f ca="1">'ETF variations'!K120/'ETF price'!L121</f>
        <v>1.0888101797192684E-2</v>
      </c>
      <c r="L120">
        <f ca="1">'ETF variations'!L120/'ETF price'!M121</f>
        <v>1.3829605600136628E-2</v>
      </c>
      <c r="M120">
        <f ca="1">'ETF variations'!M120/'ETF price'!N121</f>
        <v>1.6241299303944263E-2</v>
      </c>
      <c r="N120">
        <f ca="1">'ETF variations'!N120/'ETF price'!O121</f>
        <v>2.2239872915011862E-2</v>
      </c>
      <c r="O120">
        <f ca="1">'ETF variations'!O120/'ETF price'!P121</f>
        <v>1.3161619020662424E-2</v>
      </c>
      <c r="P120">
        <f ca="1">'ETF variations'!P120/'ETF price'!Q121</f>
        <v>1.6949152542372847E-2</v>
      </c>
      <c r="Q120">
        <f ca="1">'ETF variations'!Q120/'ETF price'!R121</f>
        <v>3.9706282295349296E-2</v>
      </c>
      <c r="R120">
        <f ca="1">'ETF variations'!R120/'ETF price'!S121</f>
        <v>5.3244972577696649E-2</v>
      </c>
      <c r="S120">
        <f ca="1">'ETF variations'!S120/'ETF price'!T121</f>
        <v>9.475218658892056E-3</v>
      </c>
      <c r="T120">
        <f ca="1">'ETF variations'!T120/'ETF price'!U121</f>
        <v>2.8994682198024715E-2</v>
      </c>
      <c r="U120">
        <f ca="1">'ETF variations'!U120/'ETF price'!V121</f>
        <v>1.0132822127892576E-2</v>
      </c>
      <c r="V120">
        <f ca="1">'ETF variations'!V120/'ETF price'!W121</f>
        <v>3.6870791920487402E-2</v>
      </c>
      <c r="W120">
        <f ca="1">'ETF variations'!W120/'ETF price'!X121</f>
        <v>3.6954818490467466E-2</v>
      </c>
      <c r="X120">
        <f ca="1">'ETF variations'!X120/'ETF price'!Y121</f>
        <v>3.5911602209944805E-2</v>
      </c>
      <c r="Y120">
        <f ca="1">'ETF variations'!Y120/'ETF price'!Z121</f>
        <v>3.8356164383561805E-2</v>
      </c>
      <c r="Z120">
        <f ca="1">'ETF variations'!Z120/'ETF price'!AA121</f>
        <v>2.1749755620723375E-2</v>
      </c>
      <c r="AA120">
        <f ca="1">'ETF variations'!AA120/'ETF price'!AB121</f>
        <v>3.4932221063607889E-2</v>
      </c>
      <c r="AB120">
        <f ca="1">'ETF variations'!AB120/'ETF price'!AC121</f>
        <v>3.8025889967637595E-2</v>
      </c>
      <c r="AC120">
        <f ca="1">'ETF variations'!AC120/'ETF price'!AD121</f>
        <v>1.7391304347825935E-2</v>
      </c>
      <c r="AD120">
        <f ca="1">'ETF variations'!AD120/'ETF price'!AE121</f>
        <v>1.6216216216216283E-2</v>
      </c>
      <c r="AE120">
        <f ca="1">'ETF variations'!AE120/'ETF price'!AF121</f>
        <v>2.7667984189723435E-2</v>
      </c>
      <c r="AF120">
        <f ca="1">'ETF variations'!AF120/'ETF price'!AG121</f>
        <v>5.5091819699499174E-2</v>
      </c>
    </row>
    <row r="121" spans="1:32" x14ac:dyDescent="0.2">
      <c r="A121">
        <f ca="1">'ETF variations'!A121/'ETF price'!B122</f>
        <v>-6.7440989134505604E-3</v>
      </c>
      <c r="B121">
        <f ca="1">'ETF variations'!B121/'ETF price'!C122</f>
        <v>-7.2377408946892787E-3</v>
      </c>
      <c r="C121">
        <f ca="1">'ETF variations'!C121/'ETF price'!D122</f>
        <v>-8.6196717440076044E-3</v>
      </c>
      <c r="D121">
        <f ca="1">'ETF variations'!D121/'ETF price'!E122</f>
        <v>-2.7353177795655945E-3</v>
      </c>
      <c r="E121">
        <f ca="1">'ETF variations'!E121/'ETF price'!F122</f>
        <v>-1.0596301682942138E-2</v>
      </c>
      <c r="F121">
        <f ca="1">'ETF variations'!F121/'ETF price'!G122</f>
        <v>-5.5581287633163961E-3</v>
      </c>
      <c r="G121">
        <f ca="1">'ETF variations'!G121/'ETF price'!H122</f>
        <v>-1.6333197223356126E-3</v>
      </c>
      <c r="H121">
        <f ca="1">'ETF variations'!H121/'ETF price'!I122</f>
        <v>3.7151702786379121E-3</v>
      </c>
      <c r="I121">
        <f ca="1">'ETF variations'!I121/'ETF price'!J122</f>
        <v>3.1907300894243708E-3</v>
      </c>
      <c r="J121">
        <f ca="1">'ETF variations'!J121/'ETF price'!K122</f>
        <v>6.664445184938211E-4</v>
      </c>
      <c r="K121">
        <f ca="1">'ETF variations'!K121/'ETF price'!L122</f>
        <v>-3.3739942901635754E-3</v>
      </c>
      <c r="L121">
        <f ca="1">'ETF variations'!L121/'ETF price'!M122</f>
        <v>1.0104412260019395E-3</v>
      </c>
      <c r="M121">
        <f ca="1">'ETF variations'!M121/'ETF price'!N122</f>
        <v>4.2400521852576324E-3</v>
      </c>
      <c r="N121">
        <f ca="1">'ETF variations'!N121/'ETF price'!O122</f>
        <v>-1.2432012432012305E-2</v>
      </c>
      <c r="O121">
        <f ca="1">'ETF variations'!O121/'ETF price'!P122</f>
        <v>2.9333705824835792E-2</v>
      </c>
      <c r="P121">
        <f ca="1">'ETF variations'!P121/'ETF price'!Q122</f>
        <v>3.0722891566265086E-2</v>
      </c>
      <c r="Q121">
        <f ca="1">'ETF variations'!Q121/'ETF price'!R122</f>
        <v>-8.2396024064869938E-3</v>
      </c>
      <c r="R121">
        <f ca="1">'ETF variations'!R121/'ETF price'!S122</f>
        <v>1.5838576697765172E-2</v>
      </c>
      <c r="S121">
        <f ca="1">'ETF variations'!S121/'ETF price'!T122</f>
        <v>-2.1660649819494125E-3</v>
      </c>
      <c r="T121">
        <f ca="1">'ETF variations'!T121/'ETF price'!U122</f>
        <v>2.042574135597405E-2</v>
      </c>
      <c r="U121">
        <f ca="1">'ETF variations'!U121/'ETF price'!V122</f>
        <v>1.7215670326691208E-2</v>
      </c>
      <c r="V121">
        <f ca="1">'ETF variations'!V121/'ETF price'!W122</f>
        <v>-3.401360544217889E-3</v>
      </c>
      <c r="W121">
        <f ca="1">'ETF variations'!W121/'ETF price'!X122</f>
        <v>-3.0222893842084737E-3</v>
      </c>
      <c r="X121">
        <f ca="1">'ETF variations'!X121/'ETF price'!Y122</f>
        <v>-1.3333333333333838E-3</v>
      </c>
      <c r="Y121">
        <f ca="1">'ETF variations'!Y121/'ETF price'!Z122</f>
        <v>-3.8883488404388433E-3</v>
      </c>
      <c r="Z121">
        <f ca="1">'ETF variations'!Z121/'ETF price'!AA122</f>
        <v>-3.587658454915228E-3</v>
      </c>
      <c r="AA121">
        <f ca="1">'ETF variations'!AA121/'ETF price'!AB122</f>
        <v>-1.5113350125943964E-3</v>
      </c>
      <c r="AB121">
        <f ca="1">'ETF variations'!AB121/'ETF price'!AC122</f>
        <v>-5.8456742010911372E-3</v>
      </c>
      <c r="AC121">
        <f ca="1">'ETF variations'!AC121/'ETF price'!AD122</f>
        <v>-1.9536019536019553E-2</v>
      </c>
      <c r="AD121">
        <f ca="1">'ETF variations'!AD121/'ETF price'!AE122</f>
        <v>-2.2036474164133808E-2</v>
      </c>
      <c r="AE121">
        <f ca="1">'ETF variations'!AE121/'ETF price'!AF122</f>
        <v>-3.8461538461538491E-2</v>
      </c>
      <c r="AF121">
        <f ca="1">'ETF variations'!AF121/'ETF price'!AG122</f>
        <v>-5.8544303797468368E-2</v>
      </c>
    </row>
    <row r="122" spans="1:32" x14ac:dyDescent="0.2">
      <c r="A122">
        <f ca="1">'ETF variations'!A122/'ETF price'!B123</f>
        <v>-2.995096190116936E-2</v>
      </c>
      <c r="B122">
        <f ca="1">'ETF variations'!B122/'ETF price'!C123</f>
        <v>-3.091877964513674E-2</v>
      </c>
      <c r="C122">
        <f ca="1">'ETF variations'!C122/'ETF price'!D123</f>
        <v>-3.2753692234397336E-2</v>
      </c>
      <c r="D122">
        <f ca="1">'ETF variations'!D122/'ETF price'!E123</f>
        <v>-2.4362697644401389E-2</v>
      </c>
      <c r="E122">
        <f ca="1">'ETF variations'!E122/'ETF price'!F123</f>
        <v>-2.5829483410331731E-2</v>
      </c>
      <c r="F122">
        <f ca="1">'ETF variations'!F122/'ETF price'!G123</f>
        <v>-2.2356776897997227E-2</v>
      </c>
      <c r="G122">
        <f ca="1">'ETF variations'!G122/'ETF price'!H123</f>
        <v>-2.7402862985684995E-2</v>
      </c>
      <c r="H122">
        <f ca="1">'ETF variations'!H122/'ETF price'!I123</f>
        <v>-1.7427513880320829E-2</v>
      </c>
      <c r="I122">
        <f ca="1">'ETF variations'!I122/'ETF price'!J123</f>
        <v>-1.8037246285833867E-2</v>
      </c>
      <c r="J122">
        <f ca="1">'ETF variations'!J122/'ETF price'!K123</f>
        <v>-2.2977022977023018E-2</v>
      </c>
      <c r="K122">
        <f ca="1">'ETF variations'!K122/'ETF price'!L123</f>
        <v>-3.5677083333333269E-2</v>
      </c>
      <c r="L122">
        <f ca="1">'ETF variations'!L122/'ETF price'!M123</f>
        <v>-2.6749663526244891E-2</v>
      </c>
      <c r="M122">
        <f ca="1">'ETF variations'!M122/'ETF price'!N123</f>
        <v>-1.9324455992205225E-2</v>
      </c>
      <c r="N122">
        <f ca="1">'ETF variations'!N122/'ETF price'!O123</f>
        <v>-3.3044846577498163E-2</v>
      </c>
      <c r="O122">
        <f ca="1">'ETF variations'!O122/'ETF price'!P123</f>
        <v>2.7005021034061733E-2</v>
      </c>
      <c r="P122">
        <f ca="1">'ETF variations'!P122/'ETF price'!Q123</f>
        <v>2.6592635885447146E-2</v>
      </c>
      <c r="Q122">
        <f ca="1">'ETF variations'!Q122/'ETF price'!R123</f>
        <v>-1.0681788210470821E-2</v>
      </c>
      <c r="R122">
        <f ca="1">'ETF variations'!R122/'ETF price'!S123</f>
        <v>-1.6659547202050429E-2</v>
      </c>
      <c r="S122">
        <f ca="1">'ETF variations'!S122/'ETF price'!T123</f>
        <v>1.1939218523878374E-2</v>
      </c>
      <c r="T122">
        <f ca="1">'ETF variations'!T122/'ETF price'!U123</f>
        <v>2.1584468829132907E-2</v>
      </c>
      <c r="U122">
        <f ca="1">'ETF variations'!U122/'ETF price'!V123</f>
        <v>-3.7713219616204857E-2</v>
      </c>
      <c r="V122">
        <f ca="1">'ETF variations'!V122/'ETF price'!W123</f>
        <v>-9.9286379149859365E-3</v>
      </c>
      <c r="W122">
        <f ca="1">'ETF variations'!W122/'ETF price'!X123</f>
        <v>-9.4732853353543013E-3</v>
      </c>
      <c r="X122">
        <f ca="1">'ETF variations'!X122/'ETF price'!Y123</f>
        <v>-6.2305295950156022E-3</v>
      </c>
      <c r="Y122">
        <f ca="1">'ETF variations'!Y122/'ETF price'!Z123</f>
        <v>-9.2011710581348209E-3</v>
      </c>
      <c r="Z122">
        <f ca="1">'ETF variations'!Z122/'ETF price'!AA123</f>
        <v>-1.368218915026388E-2</v>
      </c>
      <c r="AA122">
        <f ca="1">'ETF variations'!AA122/'ETF price'!AB123</f>
        <v>-5.8863101244534376E-3</v>
      </c>
      <c r="AB122">
        <f ca="1">'ETF variations'!AB122/'ETF price'!AC123</f>
        <v>-1.2348098784790328E-2</v>
      </c>
      <c r="AC122">
        <f ca="1">'ETF variations'!AC122/'ETF price'!AD123</f>
        <v>-3.237858032378578E-2</v>
      </c>
      <c r="AD122">
        <f ca="1">'ETF variations'!AD122/'ETF price'!AE123</f>
        <v>-3.1080031080030972E-2</v>
      </c>
      <c r="AE122">
        <f ca="1">'ETF variations'!AE122/'ETF price'!AF123</f>
        <v>-6.4000000000000057E-2</v>
      </c>
      <c r="AF122">
        <f ca="1">'ETF variations'!AF122/'ETF price'!AG123</f>
        <v>-5.8823529411764795E-2</v>
      </c>
    </row>
    <row r="123" spans="1:32" x14ac:dyDescent="0.2">
      <c r="A123">
        <f ca="1">'ETF variations'!A123/'ETF price'!B124</f>
        <v>2.0220874163943917E-3</v>
      </c>
      <c r="B123">
        <f ca="1">'ETF variations'!B123/'ETF price'!C124</f>
        <v>7.8554595443830716E-4</v>
      </c>
      <c r="C123">
        <f ca="1">'ETF variations'!C123/'ETF price'!D124</f>
        <v>-1.2313754463724795E-4</v>
      </c>
      <c r="D123">
        <f ca="1">'ETF variations'!D123/'ETF price'!E124</f>
        <v>-2.3648089961964606E-2</v>
      </c>
      <c r="E123">
        <f ca="1">'ETF variations'!E123/'ETF price'!F124</f>
        <v>-6.4669109721925274E-4</v>
      </c>
      <c r="F123">
        <f ca="1">'ETF variations'!F123/'ETF price'!G124</f>
        <v>-1.8580276322057981E-2</v>
      </c>
      <c r="G123">
        <f ca="1">'ETF variations'!G123/'ETF price'!H124</f>
        <v>-9.2514718250631799E-3</v>
      </c>
      <c r="H123">
        <f ca="1">'ETF variations'!H123/'ETF price'!I124</f>
        <v>8.7113482969706432E-3</v>
      </c>
      <c r="I123">
        <f ca="1">'ETF variations'!I123/'ETF price'!J124</f>
        <v>7.799181725196099E-3</v>
      </c>
      <c r="J123">
        <f ca="1">'ETF variations'!J123/'ETF price'!K124</f>
        <v>5.3680981595091637E-3</v>
      </c>
      <c r="K123">
        <f ca="1">'ETF variations'!K123/'ETF price'!L124</f>
        <v>9.9918984607074643E-3</v>
      </c>
      <c r="L123">
        <f ca="1">'ETF variations'!L123/'ETF price'!M124</f>
        <v>6.7415730337078749E-3</v>
      </c>
      <c r="M123">
        <f ca="1">'ETF variations'!M123/'ETF price'!N124</f>
        <v>8.2795164762377877E-3</v>
      </c>
      <c r="N123">
        <f ca="1">'ETF variations'!N123/'ETF price'!O124</f>
        <v>4.8820179007323435E-3</v>
      </c>
      <c r="O123">
        <f ca="1">'ETF variations'!O123/'ETF price'!P124</f>
        <v>-3.475158562367877E-2</v>
      </c>
      <c r="P123">
        <f ca="1">'ETF variations'!P123/'ETF price'!Q124</f>
        <v>-3.3969067273934894E-2</v>
      </c>
      <c r="Q123">
        <f ca="1">'ETF variations'!Q123/'ETF price'!R124</f>
        <v>-7.1980805118633971E-3</v>
      </c>
      <c r="R123">
        <f ca="1">'ETF variations'!R123/'ETF price'!S124</f>
        <v>-2.8019113814074698E-2</v>
      </c>
      <c r="S123">
        <f ca="1">'ETF variations'!S123/'ETF price'!T124</f>
        <v>-1.7161244190203807E-2</v>
      </c>
      <c r="T123">
        <f ca="1">'ETF variations'!T123/'ETF price'!U124</f>
        <v>-2.0892351274787488E-2</v>
      </c>
      <c r="U123">
        <f ca="1">'ETF variations'!U123/'ETF price'!V124</f>
        <v>-4.0022157595900859E-2</v>
      </c>
      <c r="V123">
        <f ca="1">'ETF variations'!V123/'ETF price'!W124</f>
        <v>-5.6408649326229934E-3</v>
      </c>
      <c r="W123">
        <f ca="1">'ETF variations'!W123/'ETF price'!X124</f>
        <v>-8.0336648814077465E-3</v>
      </c>
      <c r="X123">
        <f ca="1">'ETF variations'!X123/'ETF price'!Y124</f>
        <v>-8.2848186296461592E-3</v>
      </c>
      <c r="Y123">
        <f ca="1">'ETF variations'!Y123/'ETF price'!Z124</f>
        <v>-7.598142676234587E-3</v>
      </c>
      <c r="Z123">
        <f ca="1">'ETF variations'!Z123/'ETF price'!AA124</f>
        <v>-6.3275736188854979E-3</v>
      </c>
      <c r="AA123">
        <f ca="1">'ETF variations'!AA123/'ETF price'!AB124</f>
        <v>-8.4588056166469295E-3</v>
      </c>
      <c r="AB123">
        <f ca="1">'ETF variations'!AB123/'ETF price'!AC124</f>
        <v>-5.7551101409009557E-3</v>
      </c>
      <c r="AC123">
        <f ca="1">'ETF variations'!AC123/'ETF price'!AD124</f>
        <v>0</v>
      </c>
      <c r="AD123">
        <f ca="1">'ETF variations'!AD123/'ETF price'!AE124</f>
        <v>8.0192461908578879E-4</v>
      </c>
      <c r="AE123">
        <f ca="1">'ETF variations'!AE123/'ETF price'!AF124</f>
        <v>-4.700854700854696E-2</v>
      </c>
      <c r="AF123">
        <f ca="1">'ETF variations'!AF123/'ETF price'!AG124</f>
        <v>-4.4642857142857144E-2</v>
      </c>
    </row>
    <row r="124" spans="1:32" x14ac:dyDescent="0.2">
      <c r="A124">
        <f ca="1">'ETF variations'!A124/'ETF price'!B125</f>
        <v>-1.334989133809375E-2</v>
      </c>
      <c r="B124">
        <f ca="1">'ETF variations'!B124/'ETF price'!C125</f>
        <v>-1.4158918005071843E-2</v>
      </c>
      <c r="C124">
        <f ca="1">'ETF variations'!C124/'ETF price'!D125</f>
        <v>-1.5394088669950739E-2</v>
      </c>
      <c r="D124">
        <f ca="1">'ETF variations'!D124/'ETF price'!E125</f>
        <v>-1.3042005420054133E-2</v>
      </c>
      <c r="E124">
        <f ca="1">'ETF variations'!E124/'ETF price'!F125</f>
        <v>-1.2079378774805916E-2</v>
      </c>
      <c r="F124">
        <f ca="1">'ETF variations'!F124/'ETF price'!G125</f>
        <v>-1.3592233009708792E-2</v>
      </c>
      <c r="G124">
        <f ca="1">'ETF variations'!G124/'ETF price'!H125</f>
        <v>-1.1884550084889542E-2</v>
      </c>
      <c r="H124">
        <f ca="1">'ETF variations'!H124/'ETF price'!I125</f>
        <v>-2.2562825799423637E-3</v>
      </c>
      <c r="I124">
        <f ca="1">'ETF variations'!I124/'ETF price'!J125</f>
        <v>-4.1020002537319701E-3</v>
      </c>
      <c r="J124">
        <f ca="1">'ETF variations'!J124/'ETF price'!K125</f>
        <v>-3.0511060259343966E-3</v>
      </c>
      <c r="K124">
        <f ca="1">'ETF variations'!K124/'ETF price'!L125</f>
        <v>-7.085561497326219E-3</v>
      </c>
      <c r="L124">
        <f ca="1">'ETF variations'!L124/'ETF price'!M125</f>
        <v>-8.5851648351648342E-3</v>
      </c>
      <c r="M124">
        <f ca="1">'ETF variations'!M124/'ETF price'!N125</f>
        <v>-3.6130727541468033E-3</v>
      </c>
      <c r="N124">
        <f ca="1">'ETF variations'!N124/'ETF price'!O125</f>
        <v>-1.0526315789473604E-2</v>
      </c>
      <c r="O124">
        <f ca="1">'ETF variations'!O124/'ETF price'!P125</f>
        <v>-2.1081451060917071E-2</v>
      </c>
      <c r="P124">
        <f ca="1">'ETF variations'!P124/'ETF price'!Q125</f>
        <v>-2.2983989784893463E-2</v>
      </c>
      <c r="Q124">
        <f ca="1">'ETF variations'!Q124/'ETF price'!R125</f>
        <v>-1.1815252416756305E-2</v>
      </c>
      <c r="R124">
        <f ca="1">'ETF variations'!R124/'ETF price'!S125</f>
        <v>-3.0167597765363159E-2</v>
      </c>
      <c r="S124">
        <f ca="1">'ETF variations'!S124/'ETF price'!T125</f>
        <v>-3.0920334667151616E-2</v>
      </c>
      <c r="T124">
        <f ca="1">'ETF variations'!T124/'ETF price'!U125</f>
        <v>-3.1344183242917524E-2</v>
      </c>
      <c r="U124">
        <f ca="1">'ETF variations'!U124/'ETF price'!V125</f>
        <v>2.9861511829198033E-2</v>
      </c>
      <c r="V124">
        <f ca="1">'ETF variations'!V124/'ETF price'!W125</f>
        <v>-8.8244563504570172E-3</v>
      </c>
      <c r="W124">
        <f ca="1">'ETF variations'!W124/'ETF price'!X125</f>
        <v>-7.7130736598535607E-3</v>
      </c>
      <c r="X124">
        <f ca="1">'ETF variations'!X124/'ETF price'!Y125</f>
        <v>-9.2571686610972356E-3</v>
      </c>
      <c r="Y124">
        <f ca="1">'ETF variations'!Y124/'ETF price'!Z125</f>
        <v>-7.7981000992485066E-3</v>
      </c>
      <c r="Z124">
        <f ca="1">'ETF variations'!Z124/'ETF price'!AA125</f>
        <v>7.3475385745777957E-4</v>
      </c>
      <c r="AA124">
        <f ca="1">'ETF variations'!AA124/'ETF price'!AB125</f>
        <v>-8.8722061081725982E-3</v>
      </c>
      <c r="AB124">
        <f ca="1">'ETF variations'!AB124/'ETF price'!AC125</f>
        <v>-1.3772455089820456E-2</v>
      </c>
      <c r="AC124">
        <f ca="1">'ETF variations'!AC124/'ETF price'!AD125</f>
        <v>-6.8211068211068135E-2</v>
      </c>
      <c r="AD124">
        <f ca="1">'ETF variations'!AD124/'ETF price'!AE125</f>
        <v>-6.9711538461538533E-2</v>
      </c>
      <c r="AE124">
        <f ca="1">'ETF variations'!AE124/'ETF price'!AF125</f>
        <v>-2.2421524663677049E-2</v>
      </c>
      <c r="AF124">
        <f ca="1">'ETF variations'!AF124/'ETF price'!AG125</f>
        <v>-5.6074766355140158E-2</v>
      </c>
    </row>
    <row r="125" spans="1:32" x14ac:dyDescent="0.2">
      <c r="A125">
        <f ca="1">'ETF variations'!A125/'ETF price'!B126</f>
        <v>2.2813089993706107E-3</v>
      </c>
      <c r="B125">
        <f ca="1">'ETF variations'!B125/'ETF price'!C126</f>
        <v>3.0010718113610817E-3</v>
      </c>
      <c r="C125">
        <f ca="1">'ETF variations'!C125/'ETF price'!D126</f>
        <v>-2.5015634771727356E-4</v>
      </c>
      <c r="D125">
        <f ca="1">'ETF variations'!D125/'ETF price'!E126</f>
        <v>-3.5438476059722064E-2</v>
      </c>
      <c r="E125">
        <f ca="1">'ETF variations'!E125/'ETF price'!F126</f>
        <v>2.0524017467249016E-2</v>
      </c>
      <c r="F125">
        <f ca="1">'ETF variations'!F125/'ETF price'!G126</f>
        <v>1.2303149606299212E-2</v>
      </c>
      <c r="G125">
        <f ca="1">'ETF variations'!G125/'ETF price'!H126</f>
        <v>9.4501718213057927E-3</v>
      </c>
      <c r="H125">
        <f ca="1">'ETF variations'!H125/'ETF price'!I126</f>
        <v>1.1228945726762302E-2</v>
      </c>
      <c r="I125">
        <f ca="1">'ETF variations'!I125/'ETF price'!J126</f>
        <v>1.2738853503184714E-2</v>
      </c>
      <c r="J125">
        <f ca="1">'ETF variations'!J125/'ETF price'!K126</f>
        <v>2.1593131003995632E-2</v>
      </c>
      <c r="K125">
        <f ca="1">'ETF variations'!K125/'ETF price'!L126</f>
        <v>3.0564157802612232E-2</v>
      </c>
      <c r="L125">
        <f ca="1">'ETF variations'!L125/'ETF price'!M126</f>
        <v>2.3727052303429121E-2</v>
      </c>
      <c r="M125">
        <f ca="1">'ETF variations'!M125/'ETF price'!N126</f>
        <v>1.2856436459535209E-2</v>
      </c>
      <c r="N125">
        <f ca="1">'ETF variations'!N125/'ETF price'!O126</f>
        <v>3.1914893617021177E-2</v>
      </c>
      <c r="O125">
        <f ca="1">'ETF variations'!O125/'ETF price'!P126</f>
        <v>1.4962942245839645E-2</v>
      </c>
      <c r="P125">
        <f ca="1">'ETF variations'!P125/'ETF price'!Q126</f>
        <v>1.2265004523977068E-2</v>
      </c>
      <c r="Q125">
        <f ca="1">'ETF variations'!Q125/'ETF price'!R126</f>
        <v>7.0652173913044874E-3</v>
      </c>
      <c r="R125">
        <f ca="1">'ETF variations'!R125/'ETF price'!S126</f>
        <v>4.838709677419375E-3</v>
      </c>
      <c r="S125">
        <f ca="1">'ETF variations'!S125/'ETF price'!T126</f>
        <v>4.8798798798798428E-3</v>
      </c>
      <c r="T125">
        <f ca="1">'ETF variations'!T125/'ETF price'!U126</f>
        <v>1.6428126944617392E-2</v>
      </c>
      <c r="U125">
        <f ca="1">'ETF variations'!U125/'ETF price'!V126</f>
        <v>8.5446140916094603E-3</v>
      </c>
      <c r="V125">
        <f ca="1">'ETF variations'!V125/'ETF price'!W126</f>
        <v>1.3672496025437193E-2</v>
      </c>
      <c r="W125">
        <f ca="1">'ETF variations'!W125/'ETF price'!X126</f>
        <v>1.3602798289933892E-2</v>
      </c>
      <c r="X125">
        <f ca="1">'ETF variations'!X125/'ETF price'!Y126</f>
        <v>1.6864175022789307E-2</v>
      </c>
      <c r="Y125">
        <f ca="1">'ETF variations'!Y125/'ETF price'!Z126</f>
        <v>1.3289511288939591E-2</v>
      </c>
      <c r="Z125">
        <f ca="1">'ETF variations'!Z125/'ETF price'!AA126</f>
        <v>1.7865883504650123E-2</v>
      </c>
      <c r="AA125">
        <f ca="1">'ETF variations'!AA125/'ETF price'!AB126</f>
        <v>1.6698226889309671E-2</v>
      </c>
      <c r="AB125">
        <f ca="1">'ETF variations'!AB125/'ETF price'!AC126</f>
        <v>1.2143290831815451E-2</v>
      </c>
      <c r="AC125">
        <f ca="1">'ETF variations'!AC125/'ETF price'!AD126</f>
        <v>2.7624309392265217E-2</v>
      </c>
      <c r="AD125">
        <f ca="1">'ETF variations'!AD125/'ETF price'!AE126</f>
        <v>3.0146425495262828E-2</v>
      </c>
      <c r="AE125">
        <f ca="1">'ETF variations'!AE125/'ETF price'!AF126</f>
        <v>0</v>
      </c>
      <c r="AF125">
        <f ca="1">'ETF variations'!AF125/'ETF price'!AG126</f>
        <v>1.7821782178217796E-2</v>
      </c>
    </row>
    <row r="126" spans="1:32" x14ac:dyDescent="0.2">
      <c r="A126">
        <f ca="1">'ETF variations'!A126/'ETF price'!B127</f>
        <v>1.2557883996546537E-2</v>
      </c>
      <c r="B126">
        <f ca="1">'ETF variations'!B126/'ETF price'!C127</f>
        <v>1.5296308735077849E-2</v>
      </c>
      <c r="C126">
        <f ca="1">'ETF variations'!C126/'ETF price'!D127</f>
        <v>2.2394595270861902E-2</v>
      </c>
      <c r="D126">
        <f ca="1">'ETF variations'!D126/'ETF price'!E127</f>
        <v>7.9174450671648487E-3</v>
      </c>
      <c r="E126">
        <f ca="1">'ETF variations'!E126/'ETF price'!F127</f>
        <v>1.6046213093709884E-2</v>
      </c>
      <c r="F126">
        <f ca="1">'ETF variations'!F126/'ETF price'!G127</f>
        <v>6.8060281964025552E-3</v>
      </c>
      <c r="G126">
        <f ca="1">'ETF variations'!G126/'ETF price'!H127</f>
        <v>1.7446808510638304E-2</v>
      </c>
      <c r="H126">
        <f ca="1">'ETF variations'!H126/'ETF price'!I127</f>
        <v>-5.7834669956816779E-3</v>
      </c>
      <c r="I126">
        <f ca="1">'ETF variations'!I126/'ETF price'!J127</f>
        <v>-1.4675052410901229E-3</v>
      </c>
      <c r="J126">
        <f ca="1">'ETF variations'!J126/'ETF price'!K127</f>
        <v>2.1968877423649835E-2</v>
      </c>
      <c r="K126">
        <f ca="1">'ETF variations'!K126/'ETF price'!L127</f>
        <v>5.8139534883720777E-2</v>
      </c>
      <c r="L126">
        <f ca="1">'ETF variations'!L126/'ETF price'!M127</f>
        <v>2.3346303501945567E-2</v>
      </c>
      <c r="M126">
        <f ca="1">'ETF variations'!M126/'ETF price'!N127</f>
        <v>-1.1391375101708753E-3</v>
      </c>
      <c r="N126">
        <f ca="1">'ETF variations'!N126/'ETF price'!O127</f>
        <v>6.6613798572561445E-2</v>
      </c>
      <c r="O126">
        <f ca="1">'ETF variations'!O126/'ETF price'!P127</f>
        <v>-3.9680352714246289E-2</v>
      </c>
      <c r="P126">
        <f ca="1">'ETF variations'!P126/'ETF price'!Q127</f>
        <v>-4.1612871188797279E-2</v>
      </c>
      <c r="Q126">
        <f ca="1">'ETF variations'!Q126/'ETF price'!R127</f>
        <v>-2.0102536427415125E-2</v>
      </c>
      <c r="R126">
        <f ca="1">'ETF variations'!R126/'ETF price'!S127</f>
        <v>-4.9071313918825972E-2</v>
      </c>
      <c r="S126">
        <f ca="1">'ETF variations'!S126/'ETF price'!T127</f>
        <v>-6.7239447142323522E-2</v>
      </c>
      <c r="T126">
        <f ca="1">'ETF variations'!T126/'ETF price'!U127</f>
        <v>-8.4363903514142288E-2</v>
      </c>
      <c r="U126">
        <f ca="1">'ETF variations'!U126/'ETF price'!V127</f>
        <v>-5.2777777777777146E-3</v>
      </c>
      <c r="V126">
        <f ca="1">'ETF variations'!V126/'ETF price'!W127</f>
        <v>-3.4504391468004841E-3</v>
      </c>
      <c r="W126">
        <f ca="1">'ETF variations'!W126/'ETF price'!X127</f>
        <v>-1.1503067484661196E-3</v>
      </c>
      <c r="X126">
        <f ca="1">'ETF variations'!X126/'ETF price'!Y127</f>
        <v>3.5858359480054618E-3</v>
      </c>
      <c r="Y126">
        <f ca="1">'ETF variations'!Y126/'ETF price'!Z127</f>
        <v>-1.833309829361098E-3</v>
      </c>
      <c r="Z126">
        <f ca="1">'ETF variations'!Z126/'ETF price'!AA127</f>
        <v>-4.0875210387112696E-3</v>
      </c>
      <c r="AA126">
        <f ca="1">'ETF variations'!AA126/'ETF price'!AB127</f>
        <v>3.3863867253639641E-3</v>
      </c>
      <c r="AB126">
        <f ca="1">'ETF variations'!AB126/'ETF price'!AC127</f>
        <v>2.1995600879823923E-3</v>
      </c>
      <c r="AC126">
        <f ca="1">'ETF variations'!AC126/'ETF price'!AD127</f>
        <v>5.7795698924731138E-2</v>
      </c>
      <c r="AD126">
        <f ca="1">'ETF variations'!AD126/'ETF price'!AE127</f>
        <v>5.6020066889632097E-2</v>
      </c>
      <c r="AE126">
        <f ca="1">'ETF variations'!AE126/'ETF price'!AF127</f>
        <v>3.2110091743119192E-2</v>
      </c>
      <c r="AF126">
        <f ca="1">'ETF variations'!AF126/'ETF price'!AG127</f>
        <v>6.8093385214007887E-2</v>
      </c>
    </row>
    <row r="127" spans="1:32" x14ac:dyDescent="0.2">
      <c r="A127">
        <f ca="1">'ETF variations'!A127/'ETF price'!B128</f>
        <v>8.6039841872724114E-3</v>
      </c>
      <c r="B127">
        <f ca="1">'ETF variations'!B127/'ETF price'!C128</f>
        <v>6.946532747940104E-3</v>
      </c>
      <c r="C127">
        <f ca="1">'ETF variations'!C127/'ETF price'!D128</f>
        <v>7.0974057758198521E-3</v>
      </c>
      <c r="D127">
        <f ca="1">'ETF variations'!D127/'ETF price'!E128</f>
        <v>4.8543689320388102E-3</v>
      </c>
      <c r="E127">
        <f ca="1">'ETF variations'!E127/'ETF price'!F128</f>
        <v>4.4219835754895943E-3</v>
      </c>
      <c r="F127">
        <f ca="1">'ETF variations'!F127/'ETF price'!G128</f>
        <v>-9.6571704490582195E-4</v>
      </c>
      <c r="G127">
        <f ca="1">'ETF variations'!G127/'ETF price'!H128</f>
        <v>-6.6917607695524944E-3</v>
      </c>
      <c r="H127">
        <f ca="1">'ETF variations'!H127/'ETF price'!I128</f>
        <v>6.7478476692779373E-3</v>
      </c>
      <c r="I127">
        <f ca="1">'ETF variations'!I127/'ETF price'!J128</f>
        <v>5.3327734621036399E-3</v>
      </c>
      <c r="J127">
        <f ca="1">'ETF variations'!J127/'ETF price'!K128</f>
        <v>-1.6285318785111977E-4</v>
      </c>
      <c r="K127">
        <f ca="1">'ETF variations'!K127/'ETF price'!L128</f>
        <v>2.469440671689126E-4</v>
      </c>
      <c r="L127">
        <f ca="1">'ETF variations'!L127/'ETF price'!M128</f>
        <v>1.3225326500247692E-3</v>
      </c>
      <c r="M127">
        <f ca="1">'ETF variations'!M127/'ETF price'!N128</f>
        <v>4.561746497230271E-3</v>
      </c>
      <c r="N127">
        <f ca="1">'ETF variations'!N127/'ETF price'!O128</f>
        <v>2.2304832713755493E-3</v>
      </c>
      <c r="O127">
        <f ca="1">'ETF variations'!O127/'ETF price'!P128</f>
        <v>-1.7073170731707284E-2</v>
      </c>
      <c r="P127">
        <f ca="1">'ETF variations'!P127/'ETF price'!Q128</f>
        <v>-1.9378238341968959E-2</v>
      </c>
      <c r="Q127">
        <f ca="1">'ETF variations'!Q127/'ETF price'!R128</f>
        <v>6.3334710174859973E-3</v>
      </c>
      <c r="R127">
        <f ca="1">'ETF variations'!R127/'ETF price'!S128</f>
        <v>-6.9930069930069731E-3</v>
      </c>
      <c r="S127">
        <f ca="1">'ETF variations'!S127/'ETF price'!T128</f>
        <v>-1.4817781337605024E-2</v>
      </c>
      <c r="T127">
        <f ca="1">'ETF variations'!T127/'ETF price'!U128</f>
        <v>-1.4843541053757681E-2</v>
      </c>
      <c r="U127">
        <f ca="1">'ETF variations'!U127/'ETF price'!V128</f>
        <v>-7.819044959508548E-3</v>
      </c>
      <c r="V127">
        <f ca="1">'ETF variations'!V127/'ETF price'!W128</f>
        <v>-2.5180988353792348E-3</v>
      </c>
      <c r="W127">
        <f ca="1">'ETF variations'!W127/'ETF price'!X128</f>
        <v>-4.478566858605355E-3</v>
      </c>
      <c r="X127">
        <f ca="1">'ETF variations'!X127/'ETF price'!Y128</f>
        <v>-7.5926753014739484E-3</v>
      </c>
      <c r="Y127">
        <f ca="1">'ETF variations'!Y127/'ETF price'!Z128</f>
        <v>-3.5320712065555239E-3</v>
      </c>
      <c r="Z127">
        <f ca="1">'ETF variations'!Z127/'ETF price'!AA128</f>
        <v>-7.2428778367940934E-4</v>
      </c>
      <c r="AA127">
        <f ca="1">'ETF variations'!AA127/'ETF price'!AB128</f>
        <v>-7.4249071886601037E-3</v>
      </c>
      <c r="AB127">
        <f ca="1">'ETF variations'!AB127/'ETF price'!AC128</f>
        <v>-5.3870710295290513E-3</v>
      </c>
      <c r="AC127">
        <f ca="1">'ETF variations'!AC127/'ETF price'!AD128</f>
        <v>-7.6238881829733792E-3</v>
      </c>
      <c r="AD127">
        <f ca="1">'ETF variations'!AD127/'ETF price'!AE128</f>
        <v>-5.5423594615993891E-3</v>
      </c>
      <c r="AE127">
        <f ca="1">'ETF variations'!AE127/'ETF price'!AF128</f>
        <v>3.9999999999999938E-2</v>
      </c>
      <c r="AF127">
        <f ca="1">'ETF variations'!AF127/'ETF price'!AG128</f>
        <v>-4.0072859744991009E-2</v>
      </c>
    </row>
    <row r="128" spans="1:32" x14ac:dyDescent="0.2">
      <c r="A128">
        <f ca="1">'ETF variations'!A128/'ETF price'!B129</f>
        <v>2.0673224715647077E-2</v>
      </c>
      <c r="B128">
        <f ca="1">'ETF variations'!B128/'ETF price'!C129</f>
        <v>2.224876810512166E-2</v>
      </c>
      <c r="C128">
        <f ca="1">'ETF variations'!C128/'ETF price'!D129</f>
        <v>2.5273390036451984E-2</v>
      </c>
      <c r="D128">
        <f ca="1">'ETF variations'!D128/'ETF price'!E129</f>
        <v>4.4795783926218788E-2</v>
      </c>
      <c r="E128">
        <f ca="1">'ETF variations'!E128/'ETF price'!F129</f>
        <v>1.9077568134171836E-2</v>
      </c>
      <c r="F128">
        <f ca="1">'ETF variations'!F128/'ETF price'!G129</f>
        <v>3.0449492508458142E-2</v>
      </c>
      <c r="G128">
        <f ca="1">'ETF variations'!G128/'ETF price'!H129</f>
        <v>2.7789473684210534E-2</v>
      </c>
      <c r="H128">
        <f ca="1">'ETF variations'!H128/'ETF price'!I129</f>
        <v>4.2372881355930885E-3</v>
      </c>
      <c r="I128">
        <f ca="1">'ETF variations'!I128/'ETF price'!J129</f>
        <v>7.476401303149363E-3</v>
      </c>
      <c r="J128">
        <f ca="1">'ETF variations'!J128/'ETF price'!K129</f>
        <v>2.4676276569753131E-2</v>
      </c>
      <c r="K128">
        <f ca="1">'ETF variations'!K128/'ETF price'!L129</f>
        <v>3.0243179854338827E-2</v>
      </c>
      <c r="L128">
        <f ca="1">'ETF variations'!L128/'ETF price'!M129</f>
        <v>1.7170216278685806E-2</v>
      </c>
      <c r="M128">
        <f ca="1">'ETF variations'!M128/'ETF price'!N129</f>
        <v>7.7846253649043792E-3</v>
      </c>
      <c r="N128">
        <f ca="1">'ETF variations'!N128/'ETF price'!O129</f>
        <v>4.5252225519287793E-2</v>
      </c>
      <c r="O128">
        <f ca="1">'ETF variations'!O128/'ETF price'!P129</f>
        <v>3.6053130929791254E-2</v>
      </c>
      <c r="P128">
        <f ca="1">'ETF variations'!P128/'ETF price'!Q129</f>
        <v>4.0262073338264849E-2</v>
      </c>
      <c r="Q128">
        <f ca="1">'ETF variations'!Q128/'ETF price'!R129</f>
        <v>8.8931454371321862E-3</v>
      </c>
      <c r="R128">
        <f ca="1">'ETF variations'!R128/'ETF price'!S129</f>
        <v>5.2209810587663878E-2</v>
      </c>
      <c r="S128">
        <f ca="1">'ETF variations'!S128/'ETF price'!T129</f>
        <v>4.1463414634146323E-2</v>
      </c>
      <c r="T128">
        <f ca="1">'ETF variations'!T128/'ETF price'!U129</f>
        <v>3.9093253698927591E-2</v>
      </c>
      <c r="U128">
        <f ca="1">'ETF variations'!U128/'ETF price'!V129</f>
        <v>5.5727554179566471E-2</v>
      </c>
      <c r="V128">
        <f ca="1">'ETF variations'!V128/'ETF price'!W129</f>
        <v>1.4515620069422445E-2</v>
      </c>
      <c r="W128">
        <f ca="1">'ETF variations'!W128/'ETF price'!X129</f>
        <v>1.5167095115681322E-2</v>
      </c>
      <c r="X128">
        <f ca="1">'ETF variations'!X128/'ETF price'!Y129</f>
        <v>1.2151215121512132E-2</v>
      </c>
      <c r="Y128">
        <f ca="1">'ETF variations'!Y128/'ETF price'!Z129</f>
        <v>1.4745498369488049E-2</v>
      </c>
      <c r="Z128">
        <f ca="1">'ETF variations'!Z128/'ETF price'!AA129</f>
        <v>7.248127567045454E-4</v>
      </c>
      <c r="AA128">
        <f ca="1">'ETF variations'!AA128/'ETF price'!AB129</f>
        <v>1.0710642638558357E-2</v>
      </c>
      <c r="AB128">
        <f ca="1">'ETF variations'!AB128/'ETF price'!AC129</f>
        <v>1.8054162487462357E-2</v>
      </c>
      <c r="AC128">
        <f ca="1">'ETF variations'!AC128/'ETF price'!AD129</f>
        <v>7.6824583866837465E-2</v>
      </c>
      <c r="AD128">
        <f ca="1">'ETF variations'!AD128/'ETF price'!AE129</f>
        <v>7.7229299363057224E-2</v>
      </c>
      <c r="AE128">
        <f ca="1">'ETF variations'!AE128/'ETF price'!AF129</f>
        <v>-8.5470085470085548E-3</v>
      </c>
      <c r="AF128">
        <f ca="1">'ETF variations'!AF128/'ETF price'!AG129</f>
        <v>0.10436432637571172</v>
      </c>
    </row>
    <row r="129" spans="1:32" x14ac:dyDescent="0.2">
      <c r="A129">
        <f ca="1">'ETF variations'!A129/'ETF price'!B130</f>
        <v>4.5177320984867309E-4</v>
      </c>
      <c r="B129">
        <f ca="1">'ETF variations'!B129/'ETF price'!C130</f>
        <v>7.0113935144612647E-4</v>
      </c>
      <c r="C129">
        <f ca="1">'ETF variations'!C129/'ETF price'!D130</f>
        <v>9.4809196492057712E-4</v>
      </c>
      <c r="D129">
        <f ca="1">'ETF variations'!D129/'ETF price'!E130</f>
        <v>4.7919293820932593E-3</v>
      </c>
      <c r="E129">
        <f ca="1">'ETF variations'!E129/'ETF price'!F130</f>
        <v>4.1143797572522377E-4</v>
      </c>
      <c r="F129">
        <f ca="1">'ETF variations'!F129/'ETF price'!G130</f>
        <v>-3.2833020637898819E-3</v>
      </c>
      <c r="G129">
        <f ca="1">'ETF variations'!G129/'ETF price'!H130</f>
        <v>-1.6386726751331073E-3</v>
      </c>
      <c r="H129">
        <f ca="1">'ETF variations'!H129/'ETF price'!I130</f>
        <v>2.9919447640967762E-3</v>
      </c>
      <c r="I129">
        <f ca="1">'ETF variations'!I129/'ETF price'!J130</f>
        <v>3.2751544297499771E-3</v>
      </c>
      <c r="J129">
        <f ca="1">'ETF variations'!J129/'ETF price'!K130</f>
        <v>6.6762041010968321E-3</v>
      </c>
      <c r="K129">
        <f ca="1">'ETF variations'!K129/'ETF price'!L130</f>
        <v>1.1622334052240751E-2</v>
      </c>
      <c r="L129">
        <f ca="1">'ETF variations'!L129/'ETF price'!M130</f>
        <v>5.5185846453498361E-3</v>
      </c>
      <c r="M129">
        <f ca="1">'ETF variations'!M129/'ETF price'!N130</f>
        <v>3.2185387833923856E-3</v>
      </c>
      <c r="N129">
        <f ca="1">'ETF variations'!N129/'ETF price'!O130</f>
        <v>0</v>
      </c>
      <c r="O129">
        <f ca="1">'ETF variations'!O129/'ETF price'!P130</f>
        <v>-4.2265426880813093E-4</v>
      </c>
      <c r="P129">
        <f ca="1">'ETF variations'!P129/'ETF price'!Q130</f>
        <v>-4.0633888663136979E-4</v>
      </c>
      <c r="Q129">
        <f ca="1">'ETF variations'!Q129/'ETF price'!R130</f>
        <v>-9.7640358014645899E-3</v>
      </c>
      <c r="R129">
        <f ca="1">'ETF variations'!R129/'ETF price'!S130</f>
        <v>-8.5391183937225355E-3</v>
      </c>
      <c r="S129">
        <f ca="1">'ETF variations'!S129/'ETF price'!T130</f>
        <v>1.7564402810304421E-2</v>
      </c>
      <c r="T129">
        <f ca="1">'ETF variations'!T129/'ETF price'!U130</f>
        <v>2.5996080992815272E-2</v>
      </c>
      <c r="U129">
        <f ca="1">'ETF variations'!U129/'ETF price'!V130</f>
        <v>2.212743268461758E-2</v>
      </c>
      <c r="V129">
        <f ca="1">'ETF variations'!V129/'ETF price'!W130</f>
        <v>-2.1772939346811908E-3</v>
      </c>
      <c r="W129">
        <f ca="1">'ETF variations'!W129/'ETF price'!X130</f>
        <v>-2.9121296530767787E-3</v>
      </c>
      <c r="X129">
        <f ca="1">'ETF variations'!X129/'ETF price'!Y130</f>
        <v>-2.8901734104045235E-3</v>
      </c>
      <c r="Y129">
        <f ca="1">'ETF variations'!Y129/'ETF price'!Z130</f>
        <v>-3.0739136509710615E-3</v>
      </c>
      <c r="Z129">
        <f ca="1">'ETF variations'!Z129/'ETF price'!AA130</f>
        <v>-4.5871559633028688E-3</v>
      </c>
      <c r="AA129">
        <f ca="1">'ETF variations'!AA129/'ETF price'!AB130</f>
        <v>-3.0277544154751843E-3</v>
      </c>
      <c r="AB129">
        <f ca="1">'ETF variations'!AB129/'ETF price'!AC130</f>
        <v>-2.5615763546798535E-3</v>
      </c>
      <c r="AC129">
        <f ca="1">'ETF variations'!AC129/'ETF price'!AD130</f>
        <v>-2.3781212841854429E-3</v>
      </c>
      <c r="AD129">
        <f ca="1">'ETF variations'!AD129/'ETF price'!AE130</f>
        <v>-3.6954915003694707E-3</v>
      </c>
      <c r="AE129">
        <f ca="1">'ETF variations'!AE129/'ETF price'!AF130</f>
        <v>8.6206896551724227E-2</v>
      </c>
      <c r="AF129">
        <f ca="1">'ETF variations'!AF129/'ETF price'!AG130</f>
        <v>4.29553264604811E-2</v>
      </c>
    </row>
    <row r="130" spans="1:32" x14ac:dyDescent="0.2">
      <c r="A130">
        <f ca="1">'ETF variations'!A130/'ETF price'!B131</f>
        <v>-1.3772860690900975E-2</v>
      </c>
      <c r="B130">
        <f ca="1">'ETF variations'!B130/'ETF price'!C131</f>
        <v>-1.5998131605068074E-2</v>
      </c>
      <c r="C130">
        <f ca="1">'ETF variations'!C130/'ETF price'!D131</f>
        <v>-2.1430262846317643E-2</v>
      </c>
      <c r="D130">
        <f ca="1">'ETF variations'!D130/'ETF price'!E131</f>
        <v>-2.3092369477911573E-2</v>
      </c>
      <c r="E130">
        <f ca="1">'ETF variations'!E130/'ETF price'!F131</f>
        <v>-1.6450750565494637E-2</v>
      </c>
      <c r="F130">
        <f ca="1">'ETF variations'!F130/'ETF price'!G131</f>
        <v>-2.7764705882352934E-2</v>
      </c>
      <c r="G130">
        <f ca="1">'ETF variations'!G130/'ETF price'!H131</f>
        <v>-2.2568732047599536E-2</v>
      </c>
      <c r="H130">
        <f ca="1">'ETF variations'!H130/'ETF price'!I131</f>
        <v>-2.5240936209271264E-3</v>
      </c>
      <c r="I130">
        <f ca="1">'ETF variations'!I130/'ETF price'!J131</f>
        <v>-6.0330578512397025E-3</v>
      </c>
      <c r="J130">
        <f ca="1">'ETF variations'!J130/'ETF price'!K131</f>
        <v>-1.8553608084635988E-2</v>
      </c>
      <c r="K130">
        <f ca="1">'ETF variations'!K130/'ETF price'!L131</f>
        <v>-4.4297050811323097E-2</v>
      </c>
      <c r="L130">
        <f ca="1">'ETF variations'!L130/'ETF price'!M131</f>
        <v>-2.1791767554479442E-2</v>
      </c>
      <c r="M130">
        <f ca="1">'ETF variations'!M130/'ETF price'!N131</f>
        <v>-5.6143727943535676E-3</v>
      </c>
      <c r="N130">
        <f ca="1">'ETF variations'!N130/'ETF price'!O131</f>
        <v>-3.6905606813342769E-2</v>
      </c>
      <c r="O130">
        <f ca="1">'ETF variations'!O130/'ETF price'!P131</f>
        <v>-9.5842142353771212E-3</v>
      </c>
      <c r="P130">
        <f ca="1">'ETF variations'!P130/'ETF price'!Q131</f>
        <v>-9.9593495934959756E-3</v>
      </c>
      <c r="Q130">
        <f ca="1">'ETF variations'!Q130/'ETF price'!R131</f>
        <v>-2.7389756231169932E-3</v>
      </c>
      <c r="R130">
        <f ca="1">'ETF variations'!R130/'ETF price'!S131</f>
        <v>-1.6527001862197414E-2</v>
      </c>
      <c r="S130">
        <f ca="1">'ETF variations'!S130/'ETF price'!T131</f>
        <v>-1.9179133103184008E-3</v>
      </c>
      <c r="T130">
        <f ca="1">'ETF variations'!T130/'ETF price'!U131</f>
        <v>-3.9470333587980936E-3</v>
      </c>
      <c r="U130">
        <f ca="1">'ETF variations'!U130/'ETF price'!V131</f>
        <v>-4.7339593114241123E-2</v>
      </c>
      <c r="V130">
        <f ca="1">'ETF variations'!V130/'ETF price'!W131</f>
        <v>-8.1047381546134039E-3</v>
      </c>
      <c r="W130">
        <f ca="1">'ETF variations'!W130/'ETF price'!X131</f>
        <v>-9.1428571428571279E-3</v>
      </c>
      <c r="X130">
        <f ca="1">'ETF variations'!X130/'ETF price'!Y131</f>
        <v>-1.0256410256410275E-2</v>
      </c>
      <c r="Y130">
        <f ca="1">'ETF variations'!Y130/'ETF price'!Z131</f>
        <v>-8.1289418360195979E-3</v>
      </c>
      <c r="Z130">
        <f ca="1">'ETF variations'!Z130/'ETF price'!AA131</f>
        <v>0</v>
      </c>
      <c r="AA130">
        <f ca="1">'ETF variations'!AA130/'ETF price'!AB131</f>
        <v>-9.9544457567066532E-3</v>
      </c>
      <c r="AB130">
        <f ca="1">'ETF variations'!AB130/'ETF price'!AC131</f>
        <v>-7.9020150138284992E-3</v>
      </c>
      <c r="AC130">
        <f ca="1">'ETF variations'!AC130/'ETF price'!AD131</f>
        <v>-6.0786650774731901E-2</v>
      </c>
      <c r="AD130">
        <f ca="1">'ETF variations'!AD130/'ETF price'!AE131</f>
        <v>-6.0830860534124648E-2</v>
      </c>
      <c r="AE130">
        <f ca="1">'ETF variations'!AE130/'ETF price'!AF131</f>
        <v>-1.9841269841269771E-2</v>
      </c>
      <c r="AF130">
        <f ca="1">'ETF variations'!AF130/'ETF price'!AG131</f>
        <v>-6.9192751235584826E-2</v>
      </c>
    </row>
    <row r="131" spans="1:32" x14ac:dyDescent="0.2">
      <c r="A131">
        <f ca="1">'ETF variations'!A131/'ETF price'!B132</f>
        <v>-1.3659951159951099E-2</v>
      </c>
      <c r="B131">
        <f ca="1">'ETF variations'!B131/'ETF price'!C132</f>
        <v>-1.3706758440633729E-2</v>
      </c>
      <c r="C131">
        <f ca="1">'ETF variations'!C131/'ETF price'!D132</f>
        <v>-1.5366001209921478E-2</v>
      </c>
      <c r="D131">
        <f ca="1">'ETF variations'!D131/'ETF price'!E132</f>
        <v>2.8263103802672E-3</v>
      </c>
      <c r="E131">
        <f ca="1">'ETF variations'!E131/'ETF price'!F132</f>
        <v>-2.9270332427346824E-2</v>
      </c>
      <c r="F131">
        <f ca="1">'ETF variations'!F131/'ETF price'!G132</f>
        <v>-2.0813165537270074E-2</v>
      </c>
      <c r="G131">
        <f ca="1">'ETF variations'!G131/'ETF price'!H132</f>
        <v>-8.8161209068010424E-3</v>
      </c>
      <c r="H131">
        <f ca="1">'ETF variations'!H131/'ETF price'!I132</f>
        <v>-1.2729085192853283E-2</v>
      </c>
      <c r="I131">
        <f ca="1">'ETF variations'!I131/'ETF price'!J132</f>
        <v>-1.2014633740749923E-2</v>
      </c>
      <c r="J131">
        <f ca="1">'ETF variations'!J131/'ETF price'!K132</f>
        <v>-6.5159681441557581E-3</v>
      </c>
      <c r="K131">
        <f ca="1">'ETF variations'!K131/'ETF price'!L132</f>
        <v>1.4623869128764492E-2</v>
      </c>
      <c r="L131">
        <f ca="1">'ETF variations'!L131/'ETF price'!M132</f>
        <v>-3.3003300330033472E-3</v>
      </c>
      <c r="M131">
        <f ca="1">'ETF variations'!M131/'ETF price'!N132</f>
        <v>-1.2582674624939524E-2</v>
      </c>
      <c r="N131">
        <f ca="1">'ETF variations'!N131/'ETF price'!O132</f>
        <v>1.47383935151068E-2</v>
      </c>
      <c r="O131">
        <f ca="1">'ETF variations'!O131/'ETF price'!P132</f>
        <v>-1.9496228831649216E-2</v>
      </c>
      <c r="P131">
        <f ca="1">'ETF variations'!P131/'ETF price'!Q132</f>
        <v>-1.9811127078628688E-2</v>
      </c>
      <c r="Q131">
        <f ca="1">'ETF variations'!Q131/'ETF price'!R132</f>
        <v>-1.9225487503431251E-3</v>
      </c>
      <c r="R131">
        <f ca="1">'ETF variations'!R131/'ETF price'!S132</f>
        <v>4.7337278106509544E-3</v>
      </c>
      <c r="S131">
        <f ca="1">'ETF variations'!S131/'ETF price'!T132</f>
        <v>-4.5349730976172162E-2</v>
      </c>
      <c r="T131">
        <f ca="1">'ETF variations'!T131/'ETF price'!U132</f>
        <v>-6.9282883804167222E-2</v>
      </c>
      <c r="U131">
        <f ca="1">'ETF variations'!U131/'ETF price'!V132</f>
        <v>-3.3401779603011605E-2</v>
      </c>
      <c r="V131">
        <f ca="1">'ETF variations'!V131/'ETF price'!W132</f>
        <v>-6.2853551225644025E-3</v>
      </c>
      <c r="W131">
        <f ca="1">'ETF variations'!W131/'ETF price'!X132</f>
        <v>-5.38254517493274E-3</v>
      </c>
      <c r="X131">
        <f ca="1">'ETF variations'!X131/'ETF price'!Y132</f>
        <v>1.5769317413832009E-3</v>
      </c>
      <c r="Y131">
        <f ca="1">'ETF variations'!Y131/'ETF price'!Z132</f>
        <v>-6.3586265366681206E-3</v>
      </c>
      <c r="Z131">
        <f ca="1">'ETF variations'!Z131/'ETF price'!AA132</f>
        <v>-6.3060878001454769E-3</v>
      </c>
      <c r="AA131">
        <f ca="1">'ETF variations'!AA131/'ETF price'!AB132</f>
        <v>-3.4083162917524076E-4</v>
      </c>
      <c r="AB131">
        <f ca="1">'ETF variations'!AB131/'ETF price'!AC132</f>
        <v>-4.1816009557945214E-3</v>
      </c>
      <c r="AC131">
        <f ca="1">'ETF variations'!AC131/'ETF price'!AD132</f>
        <v>-5.5837563451776588E-2</v>
      </c>
      <c r="AD131">
        <f ca="1">'ETF variations'!AD131/'ETF price'!AE132</f>
        <v>-5.6082148499210178E-2</v>
      </c>
      <c r="AE131">
        <f ca="1">'ETF variations'!AE131/'ETF price'!AF132</f>
        <v>-3.6437246963562875E-2</v>
      </c>
      <c r="AF131">
        <f ca="1">'ETF variations'!AF131/'ETF price'!AG132</f>
        <v>-1.4159292035398242E-2</v>
      </c>
    </row>
    <row r="132" spans="1:32" x14ac:dyDescent="0.2">
      <c r="A132">
        <f ca="1">'ETF variations'!A132/'ETF price'!B133</f>
        <v>-2.6305609284332952E-3</v>
      </c>
      <c r="B132">
        <f ca="1">'ETF variations'!B132/'ETF price'!C133</f>
        <v>-2.316207435928233E-3</v>
      </c>
      <c r="C132">
        <f ca="1">'ETF variations'!C132/'ETF price'!D133</f>
        <v>-4.7923322683706146E-3</v>
      </c>
      <c r="D132">
        <f ca="1">'ETF variations'!D132/'ETF price'!E133</f>
        <v>5.6366897258518798E-3</v>
      </c>
      <c r="E132">
        <f ca="1">'ETF variations'!E132/'ETF price'!F133</f>
        <v>-4.0921817790221353E-3</v>
      </c>
      <c r="F132">
        <f ca="1">'ETF variations'!F132/'ETF price'!G133</f>
        <v>-4.448838358872954E-3</v>
      </c>
      <c r="G132">
        <f ca="1">'ETF variations'!G132/'ETF price'!H133</f>
        <v>-3.3883947479880685E-3</v>
      </c>
      <c r="H132">
        <f ca="1">'ETF variations'!H132/'ETF price'!I133</f>
        <v>-9.7087378640776691E-3</v>
      </c>
      <c r="I132">
        <f ca="1">'ETF variations'!I132/'ETF price'!J133</f>
        <v>-7.7003997475279294E-3</v>
      </c>
      <c r="J132">
        <f ca="1">'ETF variations'!J132/'ETF price'!K133</f>
        <v>4.048582995951187E-4</v>
      </c>
      <c r="K132">
        <f ca="1">'ETF variations'!K132/'ETF price'!L133</f>
        <v>1.673384634176121E-2</v>
      </c>
      <c r="L132">
        <f ca="1">'ETF variations'!L132/'ETF price'!M133</f>
        <v>4.4701986754967409E-3</v>
      </c>
      <c r="M132">
        <f ca="1">'ETF variations'!M132/'ETF price'!N133</f>
        <v>-7.5151119098186706E-3</v>
      </c>
      <c r="N132">
        <f ca="1">'ETF variations'!N132/'ETF price'!O133</f>
        <v>2.1060275962236814E-2</v>
      </c>
      <c r="O132">
        <f ca="1">'ETF variations'!O132/'ETF price'!P133</f>
        <v>-1.5965166908563052E-3</v>
      </c>
      <c r="P132">
        <f ca="1">'ETF variations'!P132/'ETF price'!Q133</f>
        <v>0</v>
      </c>
      <c r="Q132">
        <f ca="1">'ETF variations'!Q132/'ETF price'!R133</f>
        <v>-5.7787561915245136E-3</v>
      </c>
      <c r="R132">
        <f ca="1">'ETF variations'!R132/'ETF price'!S133</f>
        <v>2.1672555948174195E-2</v>
      </c>
      <c r="S132">
        <f ca="1">'ETF variations'!S132/'ETF price'!T133</f>
        <v>5.6360708534621811E-3</v>
      </c>
      <c r="T132">
        <f ca="1">'ETF variations'!T132/'ETF price'!U133</f>
        <v>5.2190633154785802E-3</v>
      </c>
      <c r="U132">
        <f ca="1">'ETF variations'!U132/'ETF price'!V133</f>
        <v>7.2227729783317539E-3</v>
      </c>
      <c r="V132">
        <f ca="1">'ETF variations'!V132/'ETF price'!W133</f>
        <v>-8.8551549652119265E-3</v>
      </c>
      <c r="W132">
        <f ca="1">'ETF variations'!W132/'ETF price'!X133</f>
        <v>-1.0694498131684039E-2</v>
      </c>
      <c r="X132">
        <f ca="1">'ETF variations'!X132/'ETF price'!Y133</f>
        <v>-1.5069725596041424E-2</v>
      </c>
      <c r="Y132">
        <f ca="1">'ETF variations'!Y132/'ETF price'!Z133</f>
        <v>-9.9544937428894861E-3</v>
      </c>
      <c r="Z132">
        <f ca="1">'ETF variations'!Z132/'ETF price'!AA133</f>
        <v>-5.3697827678789081E-3</v>
      </c>
      <c r="AA132">
        <f ca="1">'ETF variations'!AA132/'ETF price'!AB133</f>
        <v>-1.6876917831571685E-2</v>
      </c>
      <c r="AB132">
        <f ca="1">'ETF variations'!AB132/'ETF price'!AC133</f>
        <v>-9.7980403919215135E-3</v>
      </c>
      <c r="AC132">
        <f ca="1">'ETF variations'!AC132/'ETF price'!AD133</f>
        <v>1.6129032258064412E-2</v>
      </c>
      <c r="AD132">
        <f ca="1">'ETF variations'!AD132/'ETF price'!AE133</f>
        <v>1.4225941422594137E-2</v>
      </c>
      <c r="AE132">
        <f ca="1">'ETF variations'!AE132/'ETF price'!AF133</f>
        <v>1.2605042016806827E-2</v>
      </c>
      <c r="AF132">
        <f ca="1">'ETF variations'!AF132/'ETF price'!AG133</f>
        <v>-7.1813285457809758E-3</v>
      </c>
    </row>
    <row r="133" spans="1:32" x14ac:dyDescent="0.2">
      <c r="A133">
        <f ca="1">'ETF variations'!A133/'ETF price'!B134</f>
        <v>9.1536731052672942E-3</v>
      </c>
      <c r="B133">
        <f ca="1">'ETF variations'!B133/'ETF price'!C134</f>
        <v>6.7235505170801131E-3</v>
      </c>
      <c r="C133">
        <f ca="1">'ETF variations'!C133/'ETF price'!D134</f>
        <v>3.8276330411162155E-3</v>
      </c>
      <c r="D133">
        <f ca="1">'ETF variations'!D133/'ETF price'!E134</f>
        <v>2.1231422505307854E-2</v>
      </c>
      <c r="E133">
        <f ca="1">'ETF variations'!E133/'ETF price'!F134</f>
        <v>-1.3624567474048497E-2</v>
      </c>
      <c r="F133">
        <f ca="1">'ETF variations'!F133/'ETF price'!G134</f>
        <v>-2.9791459781530424E-3</v>
      </c>
      <c r="G133">
        <f ca="1">'ETF variations'!G133/'ETF price'!H134</f>
        <v>-1.0199745006374925E-2</v>
      </c>
      <c r="H133">
        <f ca="1">'ETF variations'!H133/'ETF price'!I134</f>
        <v>-2.9019607843137609E-3</v>
      </c>
      <c r="I133">
        <f ca="1">'ETF variations'!I133/'ETF price'!J134</f>
        <v>-3.8164701891273247E-3</v>
      </c>
      <c r="J133">
        <f ca="1">'ETF variations'!J133/'ETF price'!K134</f>
        <v>-1.6835289356535801E-2</v>
      </c>
      <c r="K133">
        <f ca="1">'ETF variations'!K133/'ETF price'!L134</f>
        <v>-2.3065833733781859E-2</v>
      </c>
      <c r="L133">
        <f ca="1">'ETF variations'!L133/'ETF price'!M134</f>
        <v>-1.5658480303280087E-2</v>
      </c>
      <c r="M133">
        <f ca="1">'ETF variations'!M133/'ETF price'!N134</f>
        <v>-3.7860082304526236E-3</v>
      </c>
      <c r="N133">
        <f ca="1">'ETF variations'!N133/'ETF price'!O134</f>
        <v>-1.3513513513513604E-2</v>
      </c>
      <c r="O133">
        <f ca="1">'ETF variations'!O133/'ETF price'!P134</f>
        <v>-1.8898095653438165E-2</v>
      </c>
      <c r="P133">
        <f ca="1">'ETF variations'!P133/'ETF price'!Q134</f>
        <v>-1.8012357314902073E-2</v>
      </c>
      <c r="Q133">
        <f ca="1">'ETF variations'!Q133/'ETF price'!R134</f>
        <v>-1.8405756988652065E-2</v>
      </c>
      <c r="R133">
        <f ca="1">'ETF variations'!R133/'ETF price'!S134</f>
        <v>-2.9513488586580448E-2</v>
      </c>
      <c r="S133">
        <f ca="1">'ETF variations'!S133/'ETF price'!T134</f>
        <v>-9.2073658927141876E-3</v>
      </c>
      <c r="T133">
        <f ca="1">'ETF variations'!T133/'ETF price'!U134</f>
        <v>-4.6454433665801802E-3</v>
      </c>
      <c r="U133">
        <f ca="1">'ETF variations'!U133/'ETF price'!V134</f>
        <v>2.8121484814392603E-4</v>
      </c>
      <c r="V133">
        <f ca="1">'ETF variations'!V133/'ETF price'!W134</f>
        <v>-1.9144862795150014E-2</v>
      </c>
      <c r="W133">
        <f ca="1">'ETF variations'!W133/'ETF price'!X134</f>
        <v>-1.8624641833810976E-2</v>
      </c>
      <c r="X133">
        <f ca="1">'ETF variations'!X133/'ETF price'!Y134</f>
        <v>-1.5528659511303944E-2</v>
      </c>
      <c r="Y133">
        <f ca="1">'ETF variations'!Y133/'ETF price'!Z134</f>
        <v>-1.9103705831657544E-2</v>
      </c>
      <c r="Z133">
        <f ca="1">'ETF variations'!Z133/'ETF price'!AA134</f>
        <v>-9.8159509202453647E-3</v>
      </c>
      <c r="AA133">
        <f ca="1">'ETF variations'!AA133/'ETF price'!AB134</f>
        <v>-1.4565632044390556E-2</v>
      </c>
      <c r="AB133">
        <f ca="1">'ETF variations'!AB133/'ETF price'!AC134</f>
        <v>-1.3529886914378062E-2</v>
      </c>
      <c r="AC133">
        <f ca="1">'ETF variations'!AC133/'ETF price'!AD134</f>
        <v>5.1587301587301668E-2</v>
      </c>
      <c r="AD133">
        <f ca="1">'ETF variations'!AD133/'ETF price'!AE134</f>
        <v>5.1980198019802047E-2</v>
      </c>
      <c r="AE133">
        <f ca="1">'ETF variations'!AE133/'ETF price'!AF134</f>
        <v>0</v>
      </c>
      <c r="AF133">
        <f ca="1">'ETF variations'!AF133/'ETF price'!AG134</f>
        <v>1.2658227848101156E-2</v>
      </c>
    </row>
    <row r="134" spans="1:32" x14ac:dyDescent="0.2">
      <c r="A134">
        <f ca="1">'ETF variations'!A134/'ETF price'!B135</f>
        <v>1.7603197786147991E-2</v>
      </c>
      <c r="B134">
        <f ca="1">'ETF variations'!B134/'ETF price'!C135</f>
        <v>1.8358790056903253E-2</v>
      </c>
      <c r="C134">
        <f ca="1">'ETF variations'!C134/'ETF price'!D135</f>
        <v>1.8450184501845018E-2</v>
      </c>
      <c r="D134">
        <f ca="1">'ETF variations'!D134/'ETF price'!E135</f>
        <v>2.3866943866943904E-2</v>
      </c>
      <c r="E134">
        <f ca="1">'ETF variations'!E134/'ETF price'!F135</f>
        <v>1.8636263977198014E-2</v>
      </c>
      <c r="F134">
        <f ca="1">'ETF variations'!F134/'ETF price'!G135</f>
        <v>2.1912350597609629E-2</v>
      </c>
      <c r="G134">
        <f ca="1">'ETF variations'!G134/'ETF price'!H135</f>
        <v>1.9321597252039472E-2</v>
      </c>
      <c r="H134">
        <f ca="1">'ETF variations'!H134/'ETF price'!I135</f>
        <v>2.4148509399826896E-2</v>
      </c>
      <c r="I134">
        <f ca="1">'ETF variations'!I134/'ETF price'!J135</f>
        <v>2.2901413247062932E-2</v>
      </c>
      <c r="J134">
        <f ca="1">'ETF variations'!J134/'ETF price'!K135</f>
        <v>1.4653823989462429E-2</v>
      </c>
      <c r="K134">
        <f ca="1">'ETF variations'!K134/'ETF price'!L135</f>
        <v>1.2911952779144262E-2</v>
      </c>
      <c r="L134">
        <f ca="1">'ETF variations'!L134/'ETF price'!M135</f>
        <v>1.5237776289350363E-2</v>
      </c>
      <c r="M134">
        <f ca="1">'ETF variations'!M134/'ETF price'!N135</f>
        <v>2.3132848645075983E-2</v>
      </c>
      <c r="N134">
        <f ca="1">'ETF variations'!N134/'ETF price'!O135</f>
        <v>1.5861571737563133E-2</v>
      </c>
      <c r="O134">
        <f ca="1">'ETF variations'!O134/'ETF price'!P135</f>
        <v>1.6298710920136444E-2</v>
      </c>
      <c r="P134">
        <f ca="1">'ETF variations'!P134/'ETF price'!Q135</f>
        <v>1.8982617041697784E-2</v>
      </c>
      <c r="Q134">
        <f ca="1">'ETF variations'!Q134/'ETF price'!R135</f>
        <v>1.564923163682503E-2</v>
      </c>
      <c r="R134">
        <f ca="1">'ETF variations'!R134/'ETF price'!S135</f>
        <v>1.9482062247564578E-2</v>
      </c>
      <c r="S134">
        <f ca="1">'ETF variations'!S134/'ETF price'!T135</f>
        <v>1.2929292929292941E-2</v>
      </c>
      <c r="T134">
        <f ca="1">'ETF variations'!T134/'ETF price'!U135</f>
        <v>1.221688400823611E-2</v>
      </c>
      <c r="U134">
        <f ca="1">'ETF variations'!U134/'ETF price'!V135</f>
        <v>-2.0101208883891015E-2</v>
      </c>
      <c r="V134">
        <f ca="1">'ETF variations'!V134/'ETF price'!W135</f>
        <v>3.3832140533506923E-2</v>
      </c>
      <c r="W134">
        <f ca="1">'ETF variations'!W134/'ETF price'!X135</f>
        <v>3.3443928334439418E-2</v>
      </c>
      <c r="X134">
        <f ca="1">'ETF variations'!X134/'ETF price'!Y135</f>
        <v>3.5722570169334243E-2</v>
      </c>
      <c r="Y134">
        <f ca="1">'ETF variations'!Y134/'ETF price'!Z135</f>
        <v>3.309415727046406E-2</v>
      </c>
      <c r="Z134">
        <f ca="1">'ETF variations'!Z134/'ETF price'!AA135</f>
        <v>1.6109045848822764E-2</v>
      </c>
      <c r="AA134">
        <f ca="1">'ETF variations'!AA134/'ETF price'!AB135</f>
        <v>3.3433045926447275E-2</v>
      </c>
      <c r="AB134">
        <f ca="1">'ETF variations'!AB134/'ETF price'!AC135</f>
        <v>3.9303991811668409E-2</v>
      </c>
      <c r="AC134">
        <f ca="1">'ETF variations'!AC134/'ETF price'!AD135</f>
        <v>2.5157232704402538E-2</v>
      </c>
      <c r="AD134">
        <f ca="1">'ETF variations'!AD134/'ETF price'!AE135</f>
        <v>2.7450980392156835E-2</v>
      </c>
      <c r="AE134">
        <f ca="1">'ETF variations'!AE134/'ETF price'!AF135</f>
        <v>8.2987551867219986E-3</v>
      </c>
      <c r="AF134">
        <f ca="1">'ETF variations'!AF134/'ETF price'!AG135</f>
        <v>2.3214285714285854E-2</v>
      </c>
    </row>
    <row r="135" spans="1:32" x14ac:dyDescent="0.2">
      <c r="A135">
        <f ca="1">'ETF variations'!A135/'ETF price'!B136</f>
        <v>-9.6691343103187874E-3</v>
      </c>
      <c r="B135">
        <f ca="1">'ETF variations'!B135/'ETF price'!C136</f>
        <v>-9.0286151221950807E-3</v>
      </c>
      <c r="C135">
        <f ca="1">'ETF variations'!C135/'ETF price'!D136</f>
        <v>-9.4202898550724782E-3</v>
      </c>
      <c r="D135">
        <f ca="1">'ETF variations'!D135/'ETF price'!E136</f>
        <v>-3.2488628979857512E-3</v>
      </c>
      <c r="E135">
        <f ca="1">'ETF variations'!E135/'ETF price'!F136</f>
        <v>1.506672406371078E-3</v>
      </c>
      <c r="F135">
        <f ca="1">'ETF variations'!F135/'ETF price'!G136</f>
        <v>2.4366471734893133E-3</v>
      </c>
      <c r="G135">
        <f ca="1">'ETF variations'!G135/'ETF price'!H136</f>
        <v>-2.1061499578768814E-3</v>
      </c>
      <c r="H135">
        <f ca="1">'ETF variations'!H135/'ETF price'!I136</f>
        <v>-2.112135176651295E-2</v>
      </c>
      <c r="I135">
        <f ca="1">'ETF variations'!I135/'ETF price'!J136</f>
        <v>-2.0932168123179364E-2</v>
      </c>
      <c r="J135">
        <f ca="1">'ETF variations'!J135/'ETF price'!K136</f>
        <v>-2.2150101419878328E-2</v>
      </c>
      <c r="K135">
        <f ca="1">'ETF variations'!K135/'ETF price'!L136</f>
        <v>-3.1929100400631412E-2</v>
      </c>
      <c r="L135">
        <f ca="1">'ETF variations'!L135/'ETF price'!M136</f>
        <v>-2.0946726043212981E-2</v>
      </c>
      <c r="M135">
        <f ca="1">'ETF variations'!M135/'ETF price'!N136</f>
        <v>-2.2125322997416094E-2</v>
      </c>
      <c r="N135">
        <f ca="1">'ETF variations'!N135/'ETF price'!O136</f>
        <v>-2.6259758694109243E-2</v>
      </c>
      <c r="O135">
        <f ca="1">'ETF variations'!O135/'ETF price'!P136</f>
        <v>2.2889634057442675E-2</v>
      </c>
      <c r="P135">
        <f ca="1">'ETF variations'!P135/'ETF price'!Q136</f>
        <v>2.1664050235478884E-2</v>
      </c>
      <c r="Q135">
        <f ca="1">'ETF variations'!Q135/'ETF price'!R136</f>
        <v>2.3598001110492432E-3</v>
      </c>
      <c r="R135">
        <f ca="1">'ETF variations'!R135/'ETF price'!S136</f>
        <v>1.6779305523188209E-2</v>
      </c>
      <c r="S135">
        <f ca="1">'ETF variations'!S135/'ETF price'!T136</f>
        <v>1.874750698045468E-2</v>
      </c>
      <c r="T135">
        <f ca="1">'ETF variations'!T135/'ETF price'!U136</f>
        <v>4.1632763764578348E-2</v>
      </c>
      <c r="U135">
        <f ca="1">'ETF variations'!U135/'ETF price'!V136</f>
        <v>2.3812939320040322E-2</v>
      </c>
      <c r="V135">
        <f ca="1">'ETF variations'!V135/'ETF price'!W136</f>
        <v>-3.7759597230963182E-3</v>
      </c>
      <c r="W135">
        <f ca="1">'ETF variations'!W135/'ETF price'!X136</f>
        <v>-3.5957364838834099E-3</v>
      </c>
      <c r="X135">
        <f ca="1">'ETF variations'!X135/'ETF price'!Y136</f>
        <v>3.8073908174692432E-3</v>
      </c>
      <c r="Y135">
        <f ca="1">'ETF variations'!Y135/'ETF price'!Z136</f>
        <v>-3.9688164422395627E-3</v>
      </c>
      <c r="Z135">
        <f ca="1">'ETF variations'!Z135/'ETF price'!AA136</f>
        <v>-9.7560975609755751E-3</v>
      </c>
      <c r="AA135">
        <f ca="1">'ETF variations'!AA135/'ETF price'!AB136</f>
        <v>5.9594755661502036E-3</v>
      </c>
      <c r="AB135">
        <f ca="1">'ETF variations'!AB135/'ETF price'!AC136</f>
        <v>-1.7727004136301636E-3</v>
      </c>
      <c r="AC135">
        <f ca="1">'ETF variations'!AC135/'ETF price'!AD136</f>
        <v>2.0858895705521463E-2</v>
      </c>
      <c r="AD135">
        <f ca="1">'ETF variations'!AD135/'ETF price'!AE136</f>
        <v>2.0610687022900732E-2</v>
      </c>
      <c r="AE135">
        <f ca="1">'ETF variations'!AE135/'ETF price'!AF136</f>
        <v>4.5267489711934103E-2</v>
      </c>
      <c r="AF135">
        <f ca="1">'ETF variations'!AF135/'ETF price'!AG136</f>
        <v>8.2024432809773076E-2</v>
      </c>
    </row>
    <row r="136" spans="1:32" x14ac:dyDescent="0.2">
      <c r="A136">
        <f ca="1">'ETF variations'!A136/'ETF price'!B137</f>
        <v>3.0511060259344015E-2</v>
      </c>
      <c r="B136">
        <f ca="1">'ETF variations'!B136/'ETF price'!C137</f>
        <v>3.0092592592592723E-2</v>
      </c>
      <c r="C136">
        <f ca="1">'ETF variations'!C136/'ETF price'!D137</f>
        <v>3.2674957327481186E-2</v>
      </c>
      <c r="D136">
        <f ca="1">'ETF variations'!D136/'ETF price'!E137</f>
        <v>4.4084093872229439E-2</v>
      </c>
      <c r="E136">
        <f ca="1">'ETF variations'!E136/'ETF price'!F137</f>
        <v>2.1276595744680892E-2</v>
      </c>
      <c r="F136">
        <f ca="1">'ETF variations'!F136/'ETF price'!G137</f>
        <v>3.548857559552749E-2</v>
      </c>
      <c r="G136">
        <f ca="1">'ETF variations'!G136/'ETF price'!H137</f>
        <v>3.461376108062475E-2</v>
      </c>
      <c r="H136">
        <f ca="1">'ETF variations'!H136/'ETF price'!I137</f>
        <v>1.7026284817575534E-2</v>
      </c>
      <c r="I136">
        <f ca="1">'ETF variations'!I136/'ETF price'!J137</f>
        <v>1.8404386449611017E-2</v>
      </c>
      <c r="J136">
        <f ca="1">'ETF variations'!J136/'ETF price'!K137</f>
        <v>2.5721871888483312E-2</v>
      </c>
      <c r="K136">
        <f ca="1">'ETF variations'!K136/'ETF price'!L137</f>
        <v>4.5146726862302596E-2</v>
      </c>
      <c r="L136">
        <f ca="1">'ETF variations'!L136/'ETF price'!M137</f>
        <v>2.5438005390835548E-2</v>
      </c>
      <c r="M136">
        <f ca="1">'ETF variations'!M136/'ETF price'!N137</f>
        <v>2.0478943022295658E-2</v>
      </c>
      <c r="N136">
        <f ca="1">'ETF variations'!N136/'ETF price'!O137</f>
        <v>3.8629737609329397E-2</v>
      </c>
      <c r="O136">
        <f ca="1">'ETF variations'!O136/'ETF price'!P137</f>
        <v>3.078677309007977E-2</v>
      </c>
      <c r="P136">
        <f ca="1">'ETF variations'!P136/'ETF price'!Q137</f>
        <v>3.1960663798401866E-2</v>
      </c>
      <c r="Q136">
        <f ca="1">'ETF variations'!Q136/'ETF price'!R137</f>
        <v>3.0466694363661586E-2</v>
      </c>
      <c r="R136">
        <f ca="1">'ETF variations'!R136/'ETF price'!S137</f>
        <v>2.6816410726564165E-2</v>
      </c>
      <c r="S136">
        <f ca="1">'ETF variations'!S136/'ETF price'!T137</f>
        <v>3.9154267815192413E-3</v>
      </c>
      <c r="T136">
        <f ca="1">'ETF variations'!T136/'ETF price'!U137</f>
        <v>1.6143731284988867E-2</v>
      </c>
      <c r="U136">
        <f ca="1">'ETF variations'!U136/'ETF price'!V137</f>
        <v>1.7374246882443531E-2</v>
      </c>
      <c r="V136">
        <f ca="1">'ETF variations'!V136/'ETF price'!W137</f>
        <v>3.0006317119393534E-2</v>
      </c>
      <c r="W136">
        <f ca="1">'ETF variations'!W136/'ETF price'!X137</f>
        <v>3.0931821110967796E-2</v>
      </c>
      <c r="X136">
        <f ca="1">'ETF variations'!X136/'ETF price'!Y137</f>
        <v>3.1236055332440844E-2</v>
      </c>
      <c r="Y136">
        <f ca="1">'ETF variations'!Y136/'ETF price'!Z137</f>
        <v>3.1165504482709518E-2</v>
      </c>
      <c r="Z136">
        <f ca="1">'ETF variations'!Z136/'ETF price'!AA137</f>
        <v>2.7586206896551661E-2</v>
      </c>
      <c r="AA136">
        <f ca="1">'ETF variations'!AA136/'ETF price'!AB137</f>
        <v>3.0974949221394692E-2</v>
      </c>
      <c r="AB136">
        <f ca="1">'ETF variations'!AB136/'ETF price'!AC137</f>
        <v>3.1965272296763957E-2</v>
      </c>
      <c r="AC136">
        <f ca="1">'ETF variations'!AC136/'ETF price'!AD137</f>
        <v>8.4134615384615294E-2</v>
      </c>
      <c r="AD136">
        <f ca="1">'ETF variations'!AD136/'ETF price'!AE137</f>
        <v>8.5265519820493685E-2</v>
      </c>
      <c r="AE136">
        <f ca="1">'ETF variations'!AE136/'ETF price'!AF137</f>
        <v>5.9055118110236185E-2</v>
      </c>
      <c r="AF136">
        <f ca="1">'ETF variations'!AF136/'ETF price'!AG137</f>
        <v>0.12580645161290327</v>
      </c>
    </row>
    <row r="137" spans="1:32" x14ac:dyDescent="0.2">
      <c r="A137">
        <f ca="1">'ETF variations'!A137/'ETF price'!B138</f>
        <v>1.5618060695781005E-2</v>
      </c>
      <c r="B137">
        <f ca="1">'ETF variations'!B137/'ETF price'!C138</f>
        <v>1.8697781619129796E-2</v>
      </c>
      <c r="C137">
        <f ca="1">'ETF variations'!C137/'ETF price'!D138</f>
        <v>2.0779220779220672E-2</v>
      </c>
      <c r="D137">
        <f ca="1">'ETF variations'!D137/'ETF price'!E138</f>
        <v>2.552095527979404E-2</v>
      </c>
      <c r="E137">
        <f ca="1">'ETF variations'!E137/'ETF price'!F138</f>
        <v>1.7466329966329928E-2</v>
      </c>
      <c r="F137">
        <f ca="1">'ETF variations'!F137/'ETF price'!G138</f>
        <v>3.0516431924882563E-2</v>
      </c>
      <c r="G137">
        <f ca="1">'ETF variations'!G137/'ETF price'!H138</f>
        <v>2.0399836801305589E-2</v>
      </c>
      <c r="H137">
        <f ca="1">'ETF variations'!H137/'ETF price'!I138</f>
        <v>-9.8750192871470532E-3</v>
      </c>
      <c r="I137">
        <f ca="1">'ETF variations'!I137/'ETF price'!J138</f>
        <v>-6.4273789649415365E-3</v>
      </c>
      <c r="J137">
        <f ca="1">'ETF variations'!J137/'ETF price'!K138</f>
        <v>2.5885779000161232E-3</v>
      </c>
      <c r="K137">
        <f ca="1">'ETF variations'!K137/'ETF price'!L138</f>
        <v>1.4158867290616661E-2</v>
      </c>
      <c r="L137">
        <f ca="1">'ETF variations'!L137/'ETF price'!M138</f>
        <v>4.4356826022671778E-3</v>
      </c>
      <c r="M137">
        <f ca="1">'ETF variations'!M137/'ETF price'!N138</f>
        <v>-7.2827318336299686E-3</v>
      </c>
      <c r="N137">
        <f ca="1">'ETF variations'!N137/'ETF price'!O138</f>
        <v>2.4561403508771906E-2</v>
      </c>
      <c r="O137">
        <f ca="1">'ETF variations'!O137/'ETF price'!P138</f>
        <v>9.6792035398230499E-3</v>
      </c>
      <c r="P137">
        <f ca="1">'ETF variations'!P137/'ETF price'!Q138</f>
        <v>1.379789557276157E-2</v>
      </c>
      <c r="Q137">
        <f ca="1">'ETF variations'!Q137/'ETF price'!R138</f>
        <v>1.7470770057789232E-3</v>
      </c>
      <c r="R137">
        <f ca="1">'ETF variations'!R137/'ETF price'!S138</f>
        <v>2.4553571428571302E-3</v>
      </c>
      <c r="S137">
        <f ca="1">'ETF variations'!S137/'ETF price'!T138</f>
        <v>-7.8003120124803325E-4</v>
      </c>
      <c r="T137">
        <f ca="1">'ETF variations'!T137/'ETF price'!U138</f>
        <v>-5.2530429212043128E-3</v>
      </c>
      <c r="U137">
        <f ca="1">'ETF variations'!U137/'ETF price'!V138</f>
        <v>1.0191433686819927E-2</v>
      </c>
      <c r="V137">
        <f ca="1">'ETF variations'!V137/'ETF price'!W138</f>
        <v>3.679852805887686E-3</v>
      </c>
      <c r="W137">
        <f ca="1">'ETF variations'!W137/'ETF price'!X138</f>
        <v>6.3757969746218923E-3</v>
      </c>
      <c r="X137">
        <f ca="1">'ETF variations'!X137/'ETF price'!Y138</f>
        <v>1.233232366940719E-2</v>
      </c>
      <c r="Y137">
        <f ca="1">'ETF variations'!Y137/'ETF price'!Z138</f>
        <v>4.8302511730611173E-3</v>
      </c>
      <c r="Z137">
        <f ca="1">'ETF variations'!Z137/'ETF price'!AA138</f>
        <v>-5.0335570469798863E-3</v>
      </c>
      <c r="AA137">
        <f ca="1">'ETF variations'!AA137/'ETF price'!AB138</f>
        <v>1.3790838942702404E-2</v>
      </c>
      <c r="AB137">
        <f ca="1">'ETF variations'!AB137/'ETF price'!AC138</f>
        <v>5.1625239005736743E-3</v>
      </c>
      <c r="AC137">
        <f ca="1">'ETF variations'!AC137/'ETF price'!AD138</f>
        <v>1.2195121951219646E-2</v>
      </c>
      <c r="AD137">
        <f ca="1">'ETF variations'!AD137/'ETF price'!AE138</f>
        <v>8.9593383873191445E-3</v>
      </c>
      <c r="AE137">
        <f ca="1">'ETF variations'!AE137/'ETF price'!AF138</f>
        <v>0.11524163568773237</v>
      </c>
      <c r="AF137">
        <f ca="1">'ETF variations'!AF137/'ETF price'!AG138</f>
        <v>4.4412607449856673E-2</v>
      </c>
    </row>
    <row r="138" spans="1:32" x14ac:dyDescent="0.2">
      <c r="A138">
        <f ca="1">'ETF variations'!A138/'ETF price'!B139</f>
        <v>1.4066030172727777E-2</v>
      </c>
      <c r="B138">
        <f ca="1">'ETF variations'!B138/'ETF price'!C139</f>
        <v>1.4536610198252337E-2</v>
      </c>
      <c r="C138">
        <f ca="1">'ETF variations'!C138/'ETF price'!D139</f>
        <v>1.2375665047420858E-2</v>
      </c>
      <c r="D138">
        <f ca="1">'ETF variations'!D138/'ETF price'!E139</f>
        <v>1.6362252663622571E-2</v>
      </c>
      <c r="E138">
        <f ca="1">'ETF variations'!E138/'ETF price'!F139</f>
        <v>1.6959669079627721E-2</v>
      </c>
      <c r="F138">
        <f ca="1">'ETF variations'!F138/'ETF price'!G139</f>
        <v>1.9134396355353155E-2</v>
      </c>
      <c r="G138">
        <f ca="1">'ETF variations'!G138/'ETF price'!H139</f>
        <v>9.5961615353857832E-3</v>
      </c>
      <c r="H138">
        <f ca="1">'ETF variations'!H138/'ETF price'!I139</f>
        <v>1.5817360137135743E-2</v>
      </c>
      <c r="I138">
        <f ca="1">'ETF variations'!I138/'ETF price'!J139</f>
        <v>1.4954213223557096E-2</v>
      </c>
      <c r="J138">
        <f ca="1">'ETF variations'!J138/'ETF price'!K139</f>
        <v>9.3593674358560322E-3</v>
      </c>
      <c r="K138">
        <f ca="1">'ETF variations'!K138/'ETF price'!L139</f>
        <v>-3.7860861334594559E-3</v>
      </c>
      <c r="L138">
        <f ca="1">'ETF variations'!L138/'ETF price'!M139</f>
        <v>3.2711808963036119E-3</v>
      </c>
      <c r="M138">
        <f ca="1">'ETF variations'!M138/'ETF price'!N139</f>
        <v>1.4998369742419214E-2</v>
      </c>
      <c r="N138">
        <f ca="1">'ETF variations'!N138/'ETF price'!O139</f>
        <v>4.1095890410959247E-3</v>
      </c>
      <c r="O138">
        <f ca="1">'ETF variations'!O138/'ETF price'!P139</f>
        <v>-1.7529443987948524E-2</v>
      </c>
      <c r="P138">
        <f ca="1">'ETF variations'!P138/'ETF price'!Q139</f>
        <v>-1.8114168216978307E-2</v>
      </c>
      <c r="Q138">
        <f ca="1">'ETF variations'!Q138/'ETF price'!R139</f>
        <v>1.4220552723369841E-2</v>
      </c>
      <c r="R138">
        <f ca="1">'ETF variations'!R138/'ETF price'!S139</f>
        <v>1.1133377866845752E-3</v>
      </c>
      <c r="S138">
        <f ca="1">'ETF variations'!S138/'ETF price'!T139</f>
        <v>-1.6783762685402017E-2</v>
      </c>
      <c r="T138">
        <f ca="1">'ETF variations'!T138/'ETF price'!U139</f>
        <v>-2.7691911385883637E-2</v>
      </c>
      <c r="U138">
        <f ca="1">'ETF variations'!U138/'ETF price'!V139</f>
        <v>-3.1356509884115855E-3</v>
      </c>
      <c r="V138">
        <f ca="1">'ETF variations'!V138/'ETF price'!W139</f>
        <v>6.416131989000943E-3</v>
      </c>
      <c r="W138">
        <f ca="1">'ETF variations'!W138/'ETF price'!X139</f>
        <v>5.5900621118012772E-3</v>
      </c>
      <c r="X138">
        <f ca="1">'ETF variations'!X138/'ETF price'!Y139</f>
        <v>3.8469758495404942E-3</v>
      </c>
      <c r="Y138">
        <f ca="1">'ETF variations'!Y138/'ETF price'!Z139</f>
        <v>6.180469715698432E-3</v>
      </c>
      <c r="Z138">
        <f ca="1">'ETF variations'!Z138/'ETF price'!AA139</f>
        <v>1.0358949650686575E-2</v>
      </c>
      <c r="AA138">
        <f ca="1">'ETF variations'!AA138/'ETF price'!AB139</f>
        <v>1.6194331983805897E-3</v>
      </c>
      <c r="AB138">
        <f ca="1">'ETF variations'!AB138/'ETF price'!AC139</f>
        <v>7.6089024158264903E-3</v>
      </c>
      <c r="AC138">
        <f ca="1">'ETF variations'!AC138/'ETF price'!AD139</f>
        <v>-2.081051478641854E-2</v>
      </c>
      <c r="AD138">
        <f ca="1">'ETF variations'!AD138/'ETF price'!AE139</f>
        <v>-1.7076502732240435E-2</v>
      </c>
      <c r="AE138">
        <f ca="1">'ETF variations'!AE138/'ETF price'!AF139</f>
        <v>2.3333333333333279E-2</v>
      </c>
      <c r="AF138">
        <f ca="1">'ETF variations'!AF138/'ETF price'!AG139</f>
        <v>1.3717421124828483E-2</v>
      </c>
    </row>
    <row r="139" spans="1:32" x14ac:dyDescent="0.2">
      <c r="A139">
        <f ca="1">'ETF variations'!A139/'ETF price'!B140</f>
        <v>-1.3799051315221991E-2</v>
      </c>
      <c r="B139">
        <f ca="1">'ETF variations'!B139/'ETF price'!C140</f>
        <v>-1.5610626376383415E-2</v>
      </c>
      <c r="C139">
        <f ca="1">'ETF variations'!C139/'ETF price'!D140</f>
        <v>-2.4677253513081188E-2</v>
      </c>
      <c r="D139">
        <f ca="1">'ETF variations'!D139/'ETF price'!E140</f>
        <v>-2.4634968176712992E-2</v>
      </c>
      <c r="E139">
        <f ca="1">'ETF variations'!E139/'ETF price'!F140</f>
        <v>-1.118568232662201E-2</v>
      </c>
      <c r="F139">
        <f ca="1">'ETF variations'!F139/'ETF price'!G140</f>
        <v>-2.1904336164506124E-2</v>
      </c>
      <c r="G139">
        <f ca="1">'ETF variations'!G139/'ETF price'!H140</f>
        <v>-2.1386138613861353E-2</v>
      </c>
      <c r="H139">
        <f ca="1">'ETF variations'!H139/'ETF price'!I140</f>
        <v>-4.1420572217534101E-3</v>
      </c>
      <c r="I139">
        <f ca="1">'ETF variations'!I139/'ETF price'!J140</f>
        <v>-6.0839334492177755E-3</v>
      </c>
      <c r="J139">
        <f ca="1">'ETF variations'!J139/'ETF price'!K140</f>
        <v>-1.9824140687449959E-2</v>
      </c>
      <c r="K139">
        <f ca="1">'ETF variations'!K139/'ETF price'!L140</f>
        <v>-4.1805225653206601E-2</v>
      </c>
      <c r="L139">
        <f ca="1">'ETF variations'!L139/'ETF price'!M140</f>
        <v>-1.8258884903814877E-2</v>
      </c>
      <c r="M139">
        <f ca="1">'ETF variations'!M139/'ETF price'!N140</f>
        <v>-6.2640539672341889E-3</v>
      </c>
      <c r="N139">
        <f ca="1">'ETF variations'!N139/'ETF price'!O140</f>
        <v>-3.8881309686221027E-2</v>
      </c>
      <c r="O139">
        <f ca="1">'ETF variations'!O139/'ETF price'!P140</f>
        <v>-8.2241427376636353E-3</v>
      </c>
      <c r="P139">
        <f ca="1">'ETF variations'!P139/'ETF price'!Q140</f>
        <v>-9.8723573992819599E-3</v>
      </c>
      <c r="Q139">
        <f ca="1">'ETF variations'!Q139/'ETF price'!R140</f>
        <v>-7.1428571428570386E-3</v>
      </c>
      <c r="R139">
        <f ca="1">'ETF variations'!R139/'ETF price'!S140</f>
        <v>-2.7135231316725954E-2</v>
      </c>
      <c r="S139">
        <f ca="1">'ETF variations'!S139/'ETF price'!T140</f>
        <v>-1.1909487892020671E-2</v>
      </c>
      <c r="T139">
        <f ca="1">'ETF variations'!T139/'ETF price'!U140</f>
        <v>-1.2716916147834068E-2</v>
      </c>
      <c r="U139">
        <f ca="1">'ETF variations'!U139/'ETF price'!V140</f>
        <v>-1.4770240700218795E-2</v>
      </c>
      <c r="V139">
        <f ca="1">'ETF variations'!V139/'ETF price'!W140</f>
        <v>-5.7680631451122568E-3</v>
      </c>
      <c r="W139">
        <f ca="1">'ETF variations'!W139/'ETF price'!X140</f>
        <v>-7.2884496602841683E-3</v>
      </c>
      <c r="X139">
        <f ca="1">'ETF variations'!X139/'ETF price'!Y140</f>
        <v>-1.000638705556736E-2</v>
      </c>
      <c r="Y139">
        <f ca="1">'ETF variations'!Y139/'ETF price'!Z140</f>
        <v>-7.3710073710074563E-3</v>
      </c>
      <c r="Z139">
        <f ca="1">'ETF variations'!Z139/'ETF price'!AA140</f>
        <v>7.6299475441106417E-3</v>
      </c>
      <c r="AA139">
        <f ca="1">'ETF variations'!AA139/'ETF price'!AB140</f>
        <v>-1.0347615198059832E-2</v>
      </c>
      <c r="AB139">
        <f ca="1">'ETF variations'!AB139/'ETF price'!AC140</f>
        <v>-7.7402303190484542E-3</v>
      </c>
      <c r="AC139">
        <f ca="1">'ETF variations'!AC139/'ETF price'!AD140</f>
        <v>-2.5727069351230276E-2</v>
      </c>
      <c r="AD139">
        <f ca="1">'ETF variations'!AD139/'ETF price'!AE140</f>
        <v>-2.8492008339124401E-2</v>
      </c>
      <c r="AE139">
        <f ca="1">'ETF variations'!AE139/'ETF price'!AF140</f>
        <v>2.605863192182413E-2</v>
      </c>
      <c r="AF139">
        <f ca="1">'ETF variations'!AF139/'ETF price'!AG140</f>
        <v>-6.2246278755074422E-2</v>
      </c>
    </row>
    <row r="140" spans="1:32" x14ac:dyDescent="0.2">
      <c r="A140">
        <f ca="1">'ETF variations'!A140/'ETF price'!B141</f>
        <v>-6.340183646698765E-3</v>
      </c>
      <c r="B140">
        <f ca="1">'ETF variations'!B140/'ETF price'!C141</f>
        <v>-6.4282275649193837E-3</v>
      </c>
      <c r="C140">
        <f ca="1">'ETF variations'!C140/'ETF price'!D141</f>
        <v>-8.5510132364999877E-3</v>
      </c>
      <c r="D140">
        <f ca="1">'ETF variations'!D140/'ETF price'!E141</f>
        <v>-6.3718716413325976E-3</v>
      </c>
      <c r="E140">
        <f ca="1">'ETF variations'!E140/'ETF price'!F141</f>
        <v>-9.8724804607156907E-3</v>
      </c>
      <c r="F140">
        <f ca="1">'ETF variations'!F140/'ETF price'!G141</f>
        <v>-1.0968921389396638E-2</v>
      </c>
      <c r="G140">
        <f ca="1">'ETF variations'!G140/'ETF price'!H141</f>
        <v>-2.4281667341158344E-3</v>
      </c>
      <c r="H140">
        <f ca="1">'ETF variations'!H140/'ETF price'!I141</f>
        <v>5.2376184240928774E-3</v>
      </c>
      <c r="I140">
        <f ca="1">'ETF variations'!I140/'ETF price'!J141</f>
        <v>4.6221111805121182E-3</v>
      </c>
      <c r="J140">
        <f ca="1">'ETF variations'!J140/'ETF price'!K141</f>
        <v>0</v>
      </c>
      <c r="K140">
        <f ca="1">'ETF variations'!K140/'ETF price'!L141</f>
        <v>3.2226078334158513E-3</v>
      </c>
      <c r="L140">
        <f ca="1">'ETF variations'!L140/'ETF price'!M141</f>
        <v>8.3028894055138264E-4</v>
      </c>
      <c r="M140">
        <f ca="1">'ETF variations'!M140/'ETF price'!N141</f>
        <v>4.5256182317763233E-3</v>
      </c>
      <c r="N140">
        <f ca="1">'ETF variations'!N140/'ETF price'!O141</f>
        <v>-3.5486160397445502E-3</v>
      </c>
      <c r="O140">
        <f ca="1">'ETF variations'!O140/'ETF price'!P141</f>
        <v>3.6683063949402663E-2</v>
      </c>
      <c r="P140">
        <f ca="1">'ETF variations'!P140/'ETF price'!Q141</f>
        <v>3.9782455433578293E-2</v>
      </c>
      <c r="Q140">
        <f ca="1">'ETF variations'!Q140/'ETF price'!R141</f>
        <v>4.1300293098854553E-3</v>
      </c>
      <c r="R140">
        <f ca="1">'ETF variations'!R140/'ETF price'!S141</f>
        <v>3.4064929126657401E-2</v>
      </c>
      <c r="S140">
        <f ca="1">'ETF variations'!S140/'ETF price'!T141</f>
        <v>1.8079550020088361E-2</v>
      </c>
      <c r="T140">
        <f ca="1">'ETF variations'!T140/'ETF price'!U141</f>
        <v>2.2675432711659702E-2</v>
      </c>
      <c r="U140">
        <f ca="1">'ETF variations'!U140/'ETF price'!V141</f>
        <v>1.6240977234869343E-2</v>
      </c>
      <c r="V140">
        <f ca="1">'ETF variations'!V140/'ETF price'!W141</f>
        <v>6.4122137404580412E-3</v>
      </c>
      <c r="W140">
        <f ca="1">'ETF variations'!W140/'ETF price'!X141</f>
        <v>6.8442010950721397E-3</v>
      </c>
      <c r="X140">
        <f ca="1">'ETF variations'!X140/'ETF price'!Y141</f>
        <v>1.4838709677419307E-2</v>
      </c>
      <c r="Y140">
        <f ca="1">'ETF variations'!Y140/'ETF price'!Z141</f>
        <v>6.3256325632564349E-3</v>
      </c>
      <c r="Z140">
        <f ca="1">'ETF variations'!Z140/'ETF price'!AA141</f>
        <v>7.0989115002369001E-4</v>
      </c>
      <c r="AA140">
        <f ca="1">'ETF variations'!AA140/'ETF price'!AB141</f>
        <v>1.6827315798072229E-2</v>
      </c>
      <c r="AB140">
        <f ca="1">'ETF variations'!AB140/'ETF price'!AC141</f>
        <v>4.1856925418569035E-3</v>
      </c>
      <c r="AC140">
        <f ca="1">'ETF variations'!AC140/'ETF price'!AD141</f>
        <v>-3.2146957520091973E-2</v>
      </c>
      <c r="AD140">
        <f ca="1">'ETF variations'!AD140/'ETF price'!AE141</f>
        <v>-3.1473533619456456E-2</v>
      </c>
      <c r="AE140">
        <f ca="1">'ETF variations'!AE140/'ETF price'!AF141</f>
        <v>-6.0317460317460304E-2</v>
      </c>
      <c r="AF140">
        <f ca="1">'ETF variations'!AF140/'ETF price'!AG141</f>
        <v>-4.761904761904763E-2</v>
      </c>
    </row>
    <row r="141" spans="1:32" x14ac:dyDescent="0.2">
      <c r="A141">
        <f ca="1">'ETF variations'!A141/'ETF price'!B142</f>
        <v>-1.6208287495416269E-2</v>
      </c>
      <c r="B141">
        <f ca="1">'ETF variations'!B141/'ETF price'!C142</f>
        <v>-1.8839423131733493E-2</v>
      </c>
      <c r="C141">
        <f ca="1">'ETF variations'!C141/'ETF price'!D142</f>
        <v>-2.2448015122873415E-2</v>
      </c>
      <c r="D141">
        <f ca="1">'ETF variations'!D141/'ETF price'!E142</f>
        <v>-1.6611295681063166E-2</v>
      </c>
      <c r="E141">
        <f ca="1">'ETF variations'!E141/'ETF price'!F142</f>
        <v>-3.5105941005400869E-2</v>
      </c>
      <c r="F141">
        <f ca="1">'ETF variations'!F141/'ETF price'!G142</f>
        <v>-2.3105360443622922E-2</v>
      </c>
      <c r="G141">
        <f ca="1">'ETF variations'!G141/'ETF price'!H142</f>
        <v>-1.825557809330626E-2</v>
      </c>
      <c r="H141">
        <f ca="1">'ETF variations'!H141/'ETF price'!I142</f>
        <v>5.1337062294078304E-3</v>
      </c>
      <c r="I141">
        <f ca="1">'ETF variations'!I141/'ETF price'!J142</f>
        <v>4.4350493243804261E-3</v>
      </c>
      <c r="J141">
        <f ca="1">'ETF variations'!J141/'ETF price'!K142</f>
        <v>2.0388191159680311E-3</v>
      </c>
      <c r="K141">
        <f ca="1">'ETF variations'!K141/'ETF price'!L142</f>
        <v>4.447739065974789E-3</v>
      </c>
      <c r="L141">
        <f ca="1">'ETF variations'!L141/'ETF price'!M142</f>
        <v>7.4664011946241199E-3</v>
      </c>
      <c r="M141">
        <f ca="1">'ETF variations'!M141/'ETF price'!N142</f>
        <v>5.1488334674175433E-3</v>
      </c>
      <c r="N141">
        <f ca="1">'ETF variations'!N141/'ETF price'!O142</f>
        <v>-6.4102564102564005E-3</v>
      </c>
      <c r="O141">
        <f ca="1">'ETF variations'!O141/'ETF price'!P142</f>
        <v>-9.0835140997831028E-3</v>
      </c>
      <c r="P141">
        <f ca="1">'ETF variations'!P141/'ETF price'!Q142</f>
        <v>-6.8771793878341127E-3</v>
      </c>
      <c r="Q141">
        <f ca="1">'ETF variations'!Q141/'ETF price'!R142</f>
        <v>-6.7666180177790242E-3</v>
      </c>
      <c r="R141">
        <f ca="1">'ETF variations'!R141/'ETF price'!S142</f>
        <v>-1.5476453681185119E-3</v>
      </c>
      <c r="S141">
        <f ca="1">'ETF variations'!S141/'ETF price'!T142</f>
        <v>1.9731649565903988E-3</v>
      </c>
      <c r="T141">
        <f ca="1">'ETF variations'!T141/'ETF price'!U142</f>
        <v>-1.3907110994489665E-2</v>
      </c>
      <c r="U141">
        <f ca="1">'ETF variations'!U141/'ETF price'!V142</f>
        <v>-7.9224149706324052E-3</v>
      </c>
      <c r="V141">
        <f ca="1">'ETF variations'!V141/'ETF price'!W142</f>
        <v>-1.3956310679611676E-2</v>
      </c>
      <c r="W141">
        <f ca="1">'ETF variations'!W141/'ETF price'!X142</f>
        <v>-1.2977382276603599E-2</v>
      </c>
      <c r="X141">
        <f ca="1">'ETF variations'!X141/'ETF price'!Y142</f>
        <v>-9.5359186268276271E-3</v>
      </c>
      <c r="Y141">
        <f ca="1">'ETF variations'!Y141/'ETF price'!Z142</f>
        <v>-1.3528286417053963E-2</v>
      </c>
      <c r="Z141">
        <f ca="1">'ETF variations'!Z141/'ETF price'!AA142</f>
        <v>1.8917001655237241E-3</v>
      </c>
      <c r="AA141">
        <f ca="1">'ETF variations'!AA141/'ETF price'!AB142</f>
        <v>-7.712082262210861E-3</v>
      </c>
      <c r="AB141">
        <f ca="1">'ETF variations'!AB141/'ETF price'!AC142</f>
        <v>-1.534672224327401E-2</v>
      </c>
      <c r="AC141">
        <f ca="1">'ETF variations'!AC141/'ETF price'!AD142</f>
        <v>-4.6263345195729604E-2</v>
      </c>
      <c r="AD141">
        <f ca="1">'ETF variations'!AD141/'ETF price'!AE142</f>
        <v>-4.5790251107828604E-2</v>
      </c>
      <c r="AE141">
        <f ca="1">'ETF variations'!AE141/'ETF price'!AF142</f>
        <v>-5.4054054054054106E-2</v>
      </c>
      <c r="AF141">
        <f ca="1">'ETF variations'!AF141/'ETF price'!AG142</f>
        <v>-8.787878787878789E-2</v>
      </c>
    </row>
    <row r="142" spans="1:32" x14ac:dyDescent="0.2">
      <c r="A142">
        <f ca="1">'ETF variations'!A142/'ETF price'!B143</f>
        <v>4.3014760697778522E-2</v>
      </c>
      <c r="B142">
        <f ca="1">'ETF variations'!B142/'ETF price'!C143</f>
        <v>4.3253449527959294E-2</v>
      </c>
      <c r="C142">
        <f ca="1">'ETF variations'!C142/'ETF price'!D143</f>
        <v>4.979453710418183E-2</v>
      </c>
      <c r="D142">
        <f ca="1">'ETF variations'!D142/'ETF price'!E143</f>
        <v>4.5725958516656139E-2</v>
      </c>
      <c r="E142">
        <f ca="1">'ETF variations'!E142/'ETF price'!F143</f>
        <v>1.5931108719052633E-2</v>
      </c>
      <c r="F142">
        <f ca="1">'ETF variations'!F142/'ETF price'!G143</f>
        <v>3.8789025543992446E-2</v>
      </c>
      <c r="G142">
        <f ca="1">'ETF variations'!G142/'ETF price'!H143</f>
        <v>3.719008264462819E-2</v>
      </c>
      <c r="H142">
        <f ca="1">'ETF variations'!H142/'ETF price'!I143</f>
        <v>6.2509528891598809E-3</v>
      </c>
      <c r="I142">
        <f ca="1">'ETF variations'!I142/'ETF price'!J143</f>
        <v>8.5008046878222825E-3</v>
      </c>
      <c r="J142">
        <f ca="1">'ETF variations'!J142/'ETF price'!K143</f>
        <v>9.1967119720028929E-3</v>
      </c>
      <c r="K142">
        <f ca="1">'ETF variations'!K142/'ETF price'!L143</f>
        <v>2.583025830258313E-2</v>
      </c>
      <c r="L142">
        <f ca="1">'ETF variations'!L142/'ETF price'!M143</f>
        <v>1.399868247694337E-2</v>
      </c>
      <c r="M142">
        <f ca="1">'ETF variations'!M142/'ETF price'!N143</f>
        <v>8.0038418440851605E-3</v>
      </c>
      <c r="N142">
        <f ca="1">'ETF variations'!N142/'ETF price'!O143</f>
        <v>3.2258064516129108E-2</v>
      </c>
      <c r="O142">
        <f ca="1">'ETF variations'!O142/'ETF price'!P143</f>
        <v>2.2574907648104957E-2</v>
      </c>
      <c r="P142">
        <f ca="1">'ETF variations'!P142/'ETF price'!Q143</f>
        <v>2.4480639812737785E-2</v>
      </c>
      <c r="Q142">
        <f ca="1">'ETF variations'!Q142/'ETF price'!R143</f>
        <v>1.2022441891530934E-2</v>
      </c>
      <c r="R142">
        <f ca="1">'ETF variations'!R142/'ETF price'!S143</f>
        <v>3.38795394154119E-2</v>
      </c>
      <c r="S142">
        <f ca="1">'ETF variations'!S142/'ETF price'!T143</f>
        <v>2.2843639228042469E-2</v>
      </c>
      <c r="T142">
        <f ca="1">'ETF variations'!T142/'ETF price'!U143</f>
        <v>3.6056412985630761E-2</v>
      </c>
      <c r="U142">
        <f ca="1">'ETF variations'!U142/'ETF price'!V143</f>
        <v>6.1407132039102412E-2</v>
      </c>
      <c r="V142">
        <f ca="1">'ETF variations'!V142/'ETF price'!W143</f>
        <v>1.5384615384615385E-2</v>
      </c>
      <c r="W142">
        <f ca="1">'ETF variations'!W142/'ETF price'!X143</f>
        <v>1.5902829952416681E-2</v>
      </c>
      <c r="X142">
        <f ca="1">'ETF variations'!X142/'ETF price'!Y143</f>
        <v>2.0967051775780846E-2</v>
      </c>
      <c r="Y142">
        <f ca="1">'ETF variations'!Y142/'ETF price'!Z143</f>
        <v>1.5653137553677733E-2</v>
      </c>
      <c r="Z142">
        <f ca="1">'ETF variations'!Z142/'ETF price'!AA143</f>
        <v>5.428369129100873E-3</v>
      </c>
      <c r="AA142">
        <f ca="1">'ETF variations'!AA142/'ETF price'!AB143</f>
        <v>1.8296632124352372E-2</v>
      </c>
      <c r="AB142">
        <f ca="1">'ETF variations'!AB142/'ETF price'!AC143</f>
        <v>1.385414662305174E-2</v>
      </c>
      <c r="AC142">
        <f ca="1">'ETF variations'!AC142/'ETF price'!AD143</f>
        <v>9.2039800995024915E-2</v>
      </c>
      <c r="AD142">
        <f ca="1">'ETF variations'!AD142/'ETF price'!AE143</f>
        <v>9.2879256965944221E-2</v>
      </c>
      <c r="AE142">
        <f ca="1">'ETF variations'!AE142/'ETF price'!AF143</f>
        <v>-2.8571428571428439E-2</v>
      </c>
      <c r="AF142">
        <f ca="1">'ETF variations'!AF142/'ETF price'!AG143</f>
        <v>0.12624584717607987</v>
      </c>
    </row>
    <row r="143" spans="1:32" x14ac:dyDescent="0.2">
      <c r="A143">
        <f ca="1">'ETF variations'!A143/'ETF price'!B144</f>
        <v>1.522407261811161E-2</v>
      </c>
      <c r="B143">
        <f ca="1">'ETF variations'!B143/'ETF price'!C144</f>
        <v>1.4256278888455768E-2</v>
      </c>
      <c r="C143">
        <f ca="1">'ETF variations'!C143/'ETF price'!D144</f>
        <v>1.0706884641952645E-2</v>
      </c>
      <c r="D143">
        <f ca="1">'ETF variations'!D143/'ETF price'!E144</f>
        <v>1.2321562734785987E-2</v>
      </c>
      <c r="E143">
        <f ca="1">'ETF variations'!E143/'ETF price'!F144</f>
        <v>1.335028607755886E-2</v>
      </c>
      <c r="F143">
        <f ca="1">'ETF variations'!F143/'ETF price'!G144</f>
        <v>1.0473588342440821E-2</v>
      </c>
      <c r="G143">
        <f ca="1">'ETF variations'!G143/'ETF price'!H144</f>
        <v>1.5936254980079625E-2</v>
      </c>
      <c r="H143">
        <f ca="1">'ETF variations'!H143/'ETF price'!I144</f>
        <v>6.3636363636363899E-3</v>
      </c>
      <c r="I143">
        <f ca="1">'ETF variations'!I143/'ETF price'!J144</f>
        <v>5.3193665861942449E-3</v>
      </c>
      <c r="J143">
        <f ca="1">'ETF variations'!J143/'ETF price'!K144</f>
        <v>9.6774193548390761E-4</v>
      </c>
      <c r="K143">
        <f ca="1">'ETF variations'!K143/'ETF price'!L144</f>
        <v>-1.0791366906474888E-2</v>
      </c>
      <c r="L143">
        <f ca="1">'ETF variations'!L143/'ETF price'!M144</f>
        <v>-5.1973363651128838E-3</v>
      </c>
      <c r="M143">
        <f ca="1">'ETF variations'!M143/'ETF price'!N144</f>
        <v>5.2405907575035458E-3</v>
      </c>
      <c r="N143">
        <f ca="1">'ETF variations'!N143/'ETF price'!O144</f>
        <v>0</v>
      </c>
      <c r="O143">
        <f ca="1">'ETF variations'!O143/'ETF price'!P144</f>
        <v>5.6194808670056431E-3</v>
      </c>
      <c r="P143">
        <f ca="1">'ETF variations'!P143/'ETF price'!Q144</f>
        <v>3.7128712871287179E-3</v>
      </c>
      <c r="Q143">
        <f ca="1">'ETF variations'!Q143/'ETF price'!R144</f>
        <v>1.7687434002111788E-2</v>
      </c>
      <c r="R143">
        <f ca="1">'ETF variations'!R143/'ETF price'!S144</f>
        <v>7.4962518740629997E-3</v>
      </c>
      <c r="S143">
        <f ca="1">'ETF variations'!S143/'ETF price'!T144</f>
        <v>7.7011936850210144E-4</v>
      </c>
      <c r="T143">
        <f ca="1">'ETF variations'!T143/'ETF price'!U144</f>
        <v>-9.5030178502633761E-3</v>
      </c>
      <c r="U143">
        <f ca="1">'ETF variations'!U143/'ETF price'!V144</f>
        <v>7.5107017771435872E-2</v>
      </c>
      <c r="V143">
        <f ca="1">'ETF variations'!V143/'ETF price'!W144</f>
        <v>7.2727272727273334E-3</v>
      </c>
      <c r="W143">
        <f ca="1">'ETF variations'!W143/'ETF price'!X144</f>
        <v>8.1350918279306152E-3</v>
      </c>
      <c r="X143">
        <f ca="1">'ETF variations'!X143/'ETF price'!Y144</f>
        <v>3.9815590947191474E-3</v>
      </c>
      <c r="Y143">
        <f ca="1">'ETF variations'!Y143/'ETF price'!Z144</f>
        <v>9.1380250954719282E-3</v>
      </c>
      <c r="Z143">
        <f ca="1">'ETF variations'!Z143/'ETF price'!AA144</f>
        <v>3.6854460093896722E-2</v>
      </c>
      <c r="AA143">
        <f ca="1">'ETF variations'!AA143/'ETF price'!AB144</f>
        <v>1.5900779138174607E-4</v>
      </c>
      <c r="AB143">
        <f ca="1">'ETF variations'!AB143/'ETF price'!AC144</f>
        <v>1.100778136268752E-2</v>
      </c>
      <c r="AC143">
        <f ca="1">'ETF variations'!AC143/'ETF price'!AD144</f>
        <v>4.5558086560364509E-2</v>
      </c>
      <c r="AD143">
        <f ca="1">'ETF variations'!AD143/'ETF price'!AE144</f>
        <v>4.7450424929178468E-2</v>
      </c>
      <c r="AE143">
        <f ca="1">'ETF variations'!AE143/'ETF price'!AF144</f>
        <v>6.9852941176470562E-2</v>
      </c>
      <c r="AF143">
        <f ca="1">'ETF variations'!AF143/'ETF price'!AG144</f>
        <v>4.277286135693216E-2</v>
      </c>
    </row>
    <row r="144" spans="1:32" x14ac:dyDescent="0.2">
      <c r="A144">
        <f ca="1">'ETF variations'!A144/'ETF price'!B145</f>
        <v>1.5347789355111285E-2</v>
      </c>
      <c r="B144">
        <f ca="1">'ETF variations'!B144/'ETF price'!C145</f>
        <v>1.6307033437654418E-2</v>
      </c>
      <c r="C144">
        <f ca="1">'ETF variations'!C144/'ETF price'!D145</f>
        <v>1.5377605649846159E-2</v>
      </c>
      <c r="D144">
        <f ca="1">'ETF variations'!D144/'ETF price'!E145</f>
        <v>7.7185690960367521E-3</v>
      </c>
      <c r="E144">
        <f ca="1">'ETF variations'!E144/'ETF price'!F145</f>
        <v>6.4826432455040205E-3</v>
      </c>
      <c r="F144">
        <f ca="1">'ETF variations'!F144/'ETF price'!G145</f>
        <v>1.4871563767462743E-2</v>
      </c>
      <c r="G144">
        <f ca="1">'ETF variations'!G144/'ETF price'!H145</f>
        <v>6.6666666666667339E-3</v>
      </c>
      <c r="H144">
        <f ca="1">'ETF variations'!H144/'ETF price'!I145</f>
        <v>-3.312255344775653E-3</v>
      </c>
      <c r="I144">
        <f ca="1">'ETF variations'!I144/'ETF price'!J145</f>
        <v>-3.6631527534698428E-3</v>
      </c>
      <c r="J144">
        <f ca="1">'ETF variations'!J144/'ETF price'!K145</f>
        <v>-3.2226877215602847E-4</v>
      </c>
      <c r="K144">
        <f ca="1">'ETF variations'!K144/'ETF price'!L145</f>
        <v>-1.6606060606060662E-2</v>
      </c>
      <c r="L144">
        <f ca="1">'ETF variations'!L144/'ETF price'!M145</f>
        <v>-3.7551020408162755E-3</v>
      </c>
      <c r="M144">
        <f ca="1">'ETF variations'!M144/'ETF price'!N145</f>
        <v>-3.4755134281200454E-3</v>
      </c>
      <c r="N144">
        <f ca="1">'ETF variations'!N144/'ETF price'!O145</f>
        <v>-1.111111111111112E-2</v>
      </c>
      <c r="O144">
        <f ca="1">'ETF variations'!O144/'ETF price'!P145</f>
        <v>4.3374135178286394E-2</v>
      </c>
      <c r="P144">
        <f ca="1">'ETF variations'!P144/'ETF price'!Q145</f>
        <v>4.3061747130797606E-2</v>
      </c>
      <c r="Q144">
        <f ca="1">'ETF variations'!Q144/'ETF price'!R145</f>
        <v>1.3359273670557732E-2</v>
      </c>
      <c r="R144">
        <f ca="1">'ETF variations'!R144/'ETF price'!S145</f>
        <v>2.5510204081632713E-2</v>
      </c>
      <c r="S144">
        <f ca="1">'ETF variations'!S144/'ETF price'!T145</f>
        <v>4.6171604463255481E-3</v>
      </c>
      <c r="T144">
        <f ca="1">'ETF variations'!T144/'ETF price'!U145</f>
        <v>1.1927913911577879E-2</v>
      </c>
      <c r="U144">
        <f ca="1">'ETF variations'!U144/'ETF price'!V145</f>
        <v>3.2456563706563683E-2</v>
      </c>
      <c r="V144">
        <f ca="1">'ETF variations'!V144/'ETF price'!W145</f>
        <v>1.4139590854392264E-2</v>
      </c>
      <c r="W144">
        <f ca="1">'ETF variations'!W144/'ETF price'!X145</f>
        <v>1.4060398581733602E-2</v>
      </c>
      <c r="X144">
        <f ca="1">'ETF variations'!X144/'ETF price'!Y145</f>
        <v>1.3358380296389076E-2</v>
      </c>
      <c r="Y144">
        <f ca="1">'ETF variations'!Y144/'ETF price'!Z145</f>
        <v>1.4326260305446713E-2</v>
      </c>
      <c r="Z144">
        <f ca="1">'ETF variations'!Z144/'ETF price'!AA145</f>
        <v>3.8487661308580869E-3</v>
      </c>
      <c r="AA144">
        <f ca="1">'ETF variations'!AA144/'ETF price'!AB145</f>
        <v>1.3990461049284619E-2</v>
      </c>
      <c r="AB144">
        <f ca="1">'ETF variations'!AB144/'ETF price'!AC145</f>
        <v>1.1638821100056268E-2</v>
      </c>
      <c r="AC144">
        <f ca="1">'ETF variations'!AC144/'ETF price'!AD145</f>
        <v>3.2679738562092745E-3</v>
      </c>
      <c r="AD144">
        <f ca="1">'ETF variations'!AD144/'ETF price'!AE145</f>
        <v>2.7045300878972903E-3</v>
      </c>
      <c r="AE144">
        <f ca="1">'ETF variations'!AE144/'ETF price'!AF145</f>
        <v>4.8109965635738716E-2</v>
      </c>
      <c r="AF144">
        <f ca="1">'ETF variations'!AF144/'ETF price'!AG145</f>
        <v>-1.1315417256011324E-2</v>
      </c>
    </row>
    <row r="145" spans="1:32" x14ac:dyDescent="0.2">
      <c r="A145">
        <f ca="1">'ETF variations'!A145/'ETF price'!B146</f>
        <v>-2.1494938288725714E-3</v>
      </c>
      <c r="B145">
        <f ca="1">'ETF variations'!B145/'ETF price'!C146</f>
        <v>-1.7828200972446466E-3</v>
      </c>
      <c r="C145">
        <f ca="1">'ETF variations'!C145/'ETF price'!D146</f>
        <v>-1.4583800762844453E-3</v>
      </c>
      <c r="D145">
        <f ca="1">'ETF variations'!D145/'ETF price'!E146</f>
        <v>3.829724554426353E-3</v>
      </c>
      <c r="E145">
        <f ca="1">'ETF variations'!E145/'ETF price'!F146</f>
        <v>8.3108248493661216E-4</v>
      </c>
      <c r="F145">
        <f ca="1">'ETF variations'!F145/'ETF price'!G146</f>
        <v>1.1101243339253997E-2</v>
      </c>
      <c r="G145">
        <f ca="1">'ETF variations'!G145/'ETF price'!H146</f>
        <v>-3.8955979742891084E-3</v>
      </c>
      <c r="H145">
        <f ca="1">'ETF variations'!H145/'ETF price'!I146</f>
        <v>-7.4018126888218891E-3</v>
      </c>
      <c r="I145">
        <f ca="1">'ETF variations'!I145/'ETF price'!J146</f>
        <v>-8.0477143674169659E-3</v>
      </c>
      <c r="J145">
        <f ca="1">'ETF variations'!J145/'ETF price'!K146</f>
        <v>-1.4587362991618329E-2</v>
      </c>
      <c r="K145">
        <f ca="1">'ETF variations'!K145/'ETF price'!L146</f>
        <v>-2.0460988536916021E-2</v>
      </c>
      <c r="L145">
        <f ca="1">'ETF variations'!L145/'ETF price'!M146</f>
        <v>-1.0160603080957138E-2</v>
      </c>
      <c r="M145">
        <f ca="1">'ETF variations'!M145/'ETF price'!N146</f>
        <v>-7.6093849080532162E-3</v>
      </c>
      <c r="N145">
        <f ca="1">'ETF variations'!N145/'ETF price'!O146</f>
        <v>-1.9662921348314561E-2</v>
      </c>
      <c r="O145">
        <f ca="1">'ETF variations'!O145/'ETF price'!P146</f>
        <v>-2.0657995409334412E-2</v>
      </c>
      <c r="P145">
        <f ca="1">'ETF variations'!P145/'ETF price'!Q146</f>
        <v>-2.1369464399381598E-2</v>
      </c>
      <c r="Q145">
        <f ca="1">'ETF variations'!Q145/'ETF price'!R146</f>
        <v>-8.0634839370279723E-3</v>
      </c>
      <c r="R145">
        <f ca="1">'ETF variations'!R145/'ETF price'!S146</f>
        <v>-1.0572139303482693E-2</v>
      </c>
      <c r="S145">
        <f ca="1">'ETF variations'!S145/'ETF price'!T146</f>
        <v>-2.029873611643053E-2</v>
      </c>
      <c r="T145">
        <f ca="1">'ETF variations'!T145/'ETF price'!U146</f>
        <v>-3.7411915438821289E-2</v>
      </c>
      <c r="U145">
        <f ca="1">'ETF variations'!U145/'ETF price'!V146</f>
        <v>-2.5943671847610133E-2</v>
      </c>
      <c r="V145">
        <f ca="1">'ETF variations'!V145/'ETF price'!W146</f>
        <v>-8.3061406110946645E-3</v>
      </c>
      <c r="W145">
        <f ca="1">'ETF variations'!W145/'ETF price'!X146</f>
        <v>-6.751868820834366E-3</v>
      </c>
      <c r="X145">
        <f ca="1">'ETF variations'!X145/'ETF price'!Y146</f>
        <v>1.8537590113285977E-3</v>
      </c>
      <c r="Y145">
        <f ca="1">'ETF variations'!Y145/'ETF price'!Z146</f>
        <v>-8.2611592271817497E-3</v>
      </c>
      <c r="Z145">
        <f ca="1">'ETF variations'!Z145/'ETF price'!AA146</f>
        <v>-9.0211998195761315E-3</v>
      </c>
      <c r="AA145">
        <f ca="1">'ETF variations'!AA145/'ETF price'!AB146</f>
        <v>7.8394481028531136E-4</v>
      </c>
      <c r="AB145">
        <f ca="1">'ETF variations'!AB145/'ETF price'!AC146</f>
        <v>-4.453516422341844E-3</v>
      </c>
      <c r="AC145">
        <f ca="1">'ETF variations'!AC145/'ETF price'!AD146</f>
        <v>-4.1259500542888246E-2</v>
      </c>
      <c r="AD145">
        <f ca="1">'ETF variations'!AD145/'ETF price'!AE146</f>
        <v>-4.180714767363447E-2</v>
      </c>
      <c r="AE145">
        <f ca="1">'ETF variations'!AE145/'ETF price'!AF146</f>
        <v>-3.2786885245901523E-2</v>
      </c>
      <c r="AF145">
        <f ca="1">'ETF variations'!AF145/'ETF price'!AG146</f>
        <v>-1.0014306151645247E-2</v>
      </c>
    </row>
    <row r="146" spans="1:32" x14ac:dyDescent="0.2">
      <c r="A146">
        <f ca="1">'ETF variations'!A146/'ETF price'!B147</f>
        <v>-7.0877631853242321E-3</v>
      </c>
      <c r="B146">
        <f ca="1">'ETF variations'!B146/'ETF price'!C147</f>
        <v>-5.1685879742383095E-3</v>
      </c>
      <c r="C146">
        <f ca="1">'ETF variations'!C146/'ETF price'!D147</f>
        <v>-2.583979328165419E-3</v>
      </c>
      <c r="D146">
        <f ca="1">'ETF variations'!D146/'ETF price'!E147</f>
        <v>-1.9075568598680801E-3</v>
      </c>
      <c r="E146">
        <f ca="1">'ETF variations'!E146/'ETF price'!F147</f>
        <v>5.3975503425368072E-3</v>
      </c>
      <c r="F146">
        <f ca="1">'ETF variations'!F146/'ETF price'!G147</f>
        <v>-5.2700922266140093E-3</v>
      </c>
      <c r="G146">
        <f ca="1">'ETF variations'!G146/'ETF price'!H147</f>
        <v>6.257332811888938E-3</v>
      </c>
      <c r="H146">
        <f ca="1">'ETF variations'!H146/'ETF price'!I147</f>
        <v>-3.5763201947953045E-3</v>
      </c>
      <c r="I146">
        <f ca="1">'ETF variations'!I146/'ETF price'!J147</f>
        <v>-7.8247261345851964E-4</v>
      </c>
      <c r="J146">
        <f ca="1">'ETF variations'!J146/'ETF price'!K147</f>
        <v>2.9443035904146517E-3</v>
      </c>
      <c r="K146">
        <f ca="1">'ETF variations'!K146/'ETF price'!L147</f>
        <v>1.9000880835535486E-2</v>
      </c>
      <c r="L146">
        <f ca="1">'ETF variations'!L146/'ETF price'!M147</f>
        <v>9.9337748344371091E-3</v>
      </c>
      <c r="M146">
        <f ca="1">'ETF variations'!M146/'ETF price'!N147</f>
        <v>-1.2779552715654679E-3</v>
      </c>
      <c r="N146">
        <f ca="1">'ETF variations'!N146/'ETF price'!O147</f>
        <v>1.8624641833810872E-2</v>
      </c>
      <c r="O146">
        <f ca="1">'ETF variations'!O146/'ETF price'!P147</f>
        <v>-2.3437499999999041E-3</v>
      </c>
      <c r="P146">
        <f ca="1">'ETF variations'!P146/'ETF price'!Q147</f>
        <v>-1.579632038654541E-3</v>
      </c>
      <c r="Q146">
        <f ca="1">'ETF variations'!Q146/'ETF price'!R147</f>
        <v>-1.0193548387096855E-2</v>
      </c>
      <c r="R146">
        <f ca="1">'ETF variations'!R146/'ETF price'!S147</f>
        <v>-1.340875759480397E-2</v>
      </c>
      <c r="S146">
        <f ca="1">'ETF variations'!S146/'ETF price'!T147</f>
        <v>-5.0820953870210715E-3</v>
      </c>
      <c r="T146">
        <f ca="1">'ETF variations'!T146/'ETF price'!U147</f>
        <v>1.0648209769732615E-2</v>
      </c>
      <c r="U146">
        <f ca="1">'ETF variations'!U146/'ETF price'!V147</f>
        <v>9.8380323935213856E-3</v>
      </c>
      <c r="V146">
        <f ca="1">'ETF variations'!V146/'ETF price'!W147</f>
        <v>-1.1067903081064836E-2</v>
      </c>
      <c r="W146">
        <f ca="1">'ETF variations'!W146/'ETF price'!X147</f>
        <v>-1.1896091284292181E-2</v>
      </c>
      <c r="X146">
        <f ca="1">'ETF variations'!X146/'ETF price'!Y147</f>
        <v>-1.2335526315789503E-2</v>
      </c>
      <c r="Y146">
        <f ca="1">'ETF variations'!Y146/'ETF price'!Z147</f>
        <v>-1.0345290877334545E-2</v>
      </c>
      <c r="Z146">
        <f ca="1">'ETF variations'!Z146/'ETF price'!AA147</f>
        <v>-1.3199817933545707E-2</v>
      </c>
      <c r="AA146">
        <f ca="1">'ETF variations'!AA146/'ETF price'!AB147</f>
        <v>-1.1593294689017623E-2</v>
      </c>
      <c r="AB146">
        <f ca="1">'ETF variations'!AB146/'ETF price'!AC147</f>
        <v>-1.3233923578751181E-2</v>
      </c>
      <c r="AC146">
        <f ca="1">'ETF variations'!AC146/'ETF price'!AD147</f>
        <v>0</v>
      </c>
      <c r="AD146">
        <f ca="1">'ETF variations'!AD146/'ETF price'!AE147</f>
        <v>-1.4074595355384482E-3</v>
      </c>
      <c r="AE146">
        <f ca="1">'ETF variations'!AE146/'ETF price'!AF147</f>
        <v>3.3898305084745037E-3</v>
      </c>
      <c r="AF146">
        <f ca="1">'ETF variations'!AF146/'ETF price'!AG147</f>
        <v>4.9132947976878595E-2</v>
      </c>
    </row>
    <row r="147" spans="1:32" x14ac:dyDescent="0.2">
      <c r="A147">
        <f ca="1">'ETF variations'!A147/'ETF price'!B148</f>
        <v>2.6593883406816513E-2</v>
      </c>
      <c r="B147">
        <f ca="1">'ETF variations'!B147/'ETF price'!C148</f>
        <v>2.899654543970847E-2</v>
      </c>
      <c r="C147">
        <f ca="1">'ETF variations'!C147/'ETF price'!D148</f>
        <v>2.8947961252534276E-2</v>
      </c>
      <c r="D147">
        <f ca="1">'ETF variations'!D147/'ETF price'!E148</f>
        <v>2.7785945310202891E-2</v>
      </c>
      <c r="E147">
        <f ca="1">'ETF variations'!E147/'ETF price'!F148</f>
        <v>3.6341110881684867E-2</v>
      </c>
      <c r="F147">
        <f ca="1">'ETF variations'!F147/'ETF price'!G148</f>
        <v>1.7218543046357643E-2</v>
      </c>
      <c r="G147">
        <f ca="1">'ETF variations'!G147/'ETF price'!H148</f>
        <v>1.7877963466770341E-2</v>
      </c>
      <c r="H147">
        <f ca="1">'ETF variations'!H147/'ETF price'!I148</f>
        <v>9.1638029782360984E-3</v>
      </c>
      <c r="I147">
        <f ca="1">'ETF variations'!I147/'ETF price'!J148</f>
        <v>1.0015249556938577E-2</v>
      </c>
      <c r="J147">
        <f ca="1">'ETF variations'!J147/'ETF price'!K148</f>
        <v>3.8326673733996598E-2</v>
      </c>
      <c r="K147">
        <f ca="1">'ETF variations'!K147/'ETF price'!L148</f>
        <v>3.803408248950356E-2</v>
      </c>
      <c r="L147">
        <f ca="1">'ETF variations'!L147/'ETF price'!M148</f>
        <v>2.2295081967213106E-2</v>
      </c>
      <c r="M147">
        <f ca="1">'ETF variations'!M147/'ETF price'!N148</f>
        <v>1.0396673064619298E-2</v>
      </c>
      <c r="N147">
        <f ca="1">'ETF variations'!N147/'ETF price'!O148</f>
        <v>5.2742616033755269E-2</v>
      </c>
      <c r="O147">
        <f ca="1">'ETF variations'!O147/'ETF price'!P148</f>
        <v>-2.8713129731140728E-2</v>
      </c>
      <c r="P147">
        <f ca="1">'ETF variations'!P147/'ETF price'!Q148</f>
        <v>-2.7361563517915289E-2</v>
      </c>
      <c r="Q147">
        <f ca="1">'ETF variations'!Q147/'ETF price'!R148</f>
        <v>1.0428888019816519E-3</v>
      </c>
      <c r="R147">
        <f ca="1">'ETF variations'!R147/'ETF price'!S148</f>
        <v>-3.6101083032491336E-3</v>
      </c>
      <c r="S147">
        <f ca="1">'ETF variations'!S147/'ETF price'!T148</f>
        <v>-8.6444007858545724E-3</v>
      </c>
      <c r="T147">
        <f ca="1">'ETF variations'!T147/'ETF price'!U148</f>
        <v>-3.1608060055314177E-2</v>
      </c>
      <c r="U147">
        <f ca="1">'ETF variations'!U147/'ETF price'!V148</f>
        <v>-2.8513722228822688E-2</v>
      </c>
      <c r="V147">
        <f ca="1">'ETF variations'!V147/'ETF price'!W148</f>
        <v>1.5124016938898971E-2</v>
      </c>
      <c r="W147">
        <f ca="1">'ETF variations'!W147/'ETF price'!X148</f>
        <v>1.5356265356265355E-2</v>
      </c>
      <c r="X147">
        <f ca="1">'ETF variations'!X147/'ETF price'!Y148</f>
        <v>1.269775187343879E-2</v>
      </c>
      <c r="Y147">
        <f ca="1">'ETF variations'!Y147/'ETF price'!Z148</f>
        <v>1.5476513711648121E-2</v>
      </c>
      <c r="Z147">
        <f ca="1">'ETF variations'!Z147/'ETF price'!AA148</f>
        <v>4.1512915129151224E-3</v>
      </c>
      <c r="AA147">
        <f ca="1">'ETF variations'!AA147/'ETF price'!AB148</f>
        <v>1.0936757013789787E-2</v>
      </c>
      <c r="AB147">
        <f ca="1">'ETF variations'!AB147/'ETF price'!AC148</f>
        <v>1.5867019267094891E-2</v>
      </c>
      <c r="AC147">
        <f ca="1">'ETF variations'!AC147/'ETF price'!AD148</f>
        <v>2.3782559456398535E-2</v>
      </c>
      <c r="AD147">
        <f ca="1">'ETF variations'!AD147/'ETF price'!AE148</f>
        <v>2.3960535588442557E-2</v>
      </c>
      <c r="AE147">
        <f ca="1">'ETF variations'!AE147/'ETF price'!AF148</f>
        <v>6.4189189189189172E-2</v>
      </c>
      <c r="AF147">
        <f ca="1">'ETF variations'!AF147/'ETF price'!AG148</f>
        <v>5.6473829201101951E-2</v>
      </c>
    </row>
    <row r="148" spans="1:32" x14ac:dyDescent="0.2">
      <c r="A148">
        <f ca="1">'ETF variations'!A148/'ETF price'!B149</f>
        <v>4.567455177585493E-3</v>
      </c>
      <c r="B148">
        <f ca="1">'ETF variations'!B148/'ETF price'!C149</f>
        <v>3.172169499590231E-3</v>
      </c>
      <c r="C148">
        <f ca="1">'ETF variations'!C148/'ETF price'!D149</f>
        <v>4.9261083743842677E-3</v>
      </c>
      <c r="D148">
        <f ca="1">'ETF variations'!D148/'ETF price'!E149</f>
        <v>7.223573165498637E-3</v>
      </c>
      <c r="E148">
        <f ca="1">'ETF variations'!E148/'ETF price'!F149</f>
        <v>-1.4146244271767302E-2</v>
      </c>
      <c r="F148">
        <f ca="1">'ETF variations'!F148/'ETF price'!G149</f>
        <v>8.2465277777778335E-3</v>
      </c>
      <c r="G148">
        <f ca="1">'ETF variations'!G148/'ETF price'!H149</f>
        <v>3.4364261168384823E-3</v>
      </c>
      <c r="H148">
        <f ca="1">'ETF variations'!H148/'ETF price'!I149</f>
        <v>-4.9186530457813521E-3</v>
      </c>
      <c r="I148">
        <f ca="1">'ETF variations'!I148/'ETF price'!J149</f>
        <v>-2.2443483228597543E-3</v>
      </c>
      <c r="J148">
        <f ca="1">'ETF variations'!J148/'ETF price'!K149</f>
        <v>2.2382784889656865E-2</v>
      </c>
      <c r="K148">
        <f ca="1">'ETF variations'!K148/'ETF price'!L149</f>
        <v>5.5317630264096973E-2</v>
      </c>
      <c r="L148">
        <f ca="1">'ETF variations'!L148/'ETF price'!M149</f>
        <v>4.4259140474663325E-2</v>
      </c>
      <c r="M148">
        <f ca="1">'ETF variations'!M148/'ETF price'!N149</f>
        <v>-2.5328478708248172E-3</v>
      </c>
      <c r="N148">
        <f ca="1">'ETF variations'!N148/'ETF price'!O149</f>
        <v>2.4716098864395405E-2</v>
      </c>
      <c r="O148">
        <f ca="1">'ETF variations'!O148/'ETF price'!P149</f>
        <v>-3.70868046224134E-2</v>
      </c>
      <c r="P148">
        <f ca="1">'ETF variations'!P148/'ETF price'!Q149</f>
        <v>-3.683858004018762E-2</v>
      </c>
      <c r="Q148">
        <f ca="1">'ETF variations'!Q148/'ETF price'!R149</f>
        <v>6.5112644875631143E-4</v>
      </c>
      <c r="R148">
        <f ca="1">'ETF variations'!R148/'ETF price'!S149</f>
        <v>1.0017050298380197E-2</v>
      </c>
      <c r="S148">
        <f ca="1">'ETF variations'!S148/'ETF price'!T149</f>
        <v>-1.0701545778834703E-2</v>
      </c>
      <c r="T148">
        <f ca="1">'ETF variations'!T148/'ETF price'!U149</f>
        <v>-2.7199782401740785E-2</v>
      </c>
      <c r="U148">
        <f ca="1">'ETF variations'!U148/'ETF price'!V149</f>
        <v>2.0667726550079465E-2</v>
      </c>
      <c r="V148">
        <f ca="1">'ETF variations'!V148/'ETF price'!W149</f>
        <v>-3.277711561382581E-3</v>
      </c>
      <c r="W148">
        <f ca="1">'ETF variations'!W148/'ETF price'!X149</f>
        <v>-3.2667876588023015E-3</v>
      </c>
      <c r="X148">
        <f ca="1">'ETF variations'!X148/'ETF price'!Y149</f>
        <v>-5.755395683453261E-3</v>
      </c>
      <c r="Y148">
        <f ca="1">'ETF variations'!Y148/'ETF price'!Z149</f>
        <v>-2.8074866310159592E-3</v>
      </c>
      <c r="Z148">
        <f ca="1">'ETF variations'!Z148/'ETF price'!AA149</f>
        <v>9.1869545245749072E-4</v>
      </c>
      <c r="AA148">
        <f ca="1">'ETF variations'!AA148/'ETF price'!AB149</f>
        <v>-7.8394481028535596E-3</v>
      </c>
      <c r="AB148">
        <f ca="1">'ETF variations'!AB148/'ETF price'!AC149</f>
        <v>1.1156563778356688E-3</v>
      </c>
      <c r="AC148">
        <f ca="1">'ETF variations'!AC148/'ETF price'!AD149</f>
        <v>-4.6460176991150438E-2</v>
      </c>
      <c r="AD148">
        <f ca="1">'ETF variations'!AD148/'ETF price'!AE149</f>
        <v>-4.8176187198898782E-2</v>
      </c>
      <c r="AE148">
        <f ca="1">'ETF variations'!AE148/'ETF price'!AF149</f>
        <v>5.0793650793650842E-2</v>
      </c>
      <c r="AF148">
        <f ca="1">'ETF variations'!AF148/'ETF price'!AG149</f>
        <v>5.2151238591916609E-3</v>
      </c>
    </row>
    <row r="149" spans="1:32" x14ac:dyDescent="0.2">
      <c r="A149">
        <f ca="1">'ETF variations'!A149/'ETF price'!B150</f>
        <v>-2.3072747014115324E-3</v>
      </c>
      <c r="B149">
        <f ca="1">'ETF variations'!B149/'ETF price'!C150</f>
        <v>-1.5547181743920308E-3</v>
      </c>
      <c r="C149">
        <f ca="1">'ETF variations'!C149/'ETF price'!D150</f>
        <v>-2.5054466230937252E-3</v>
      </c>
      <c r="D149">
        <f ca="1">'ETF variations'!D149/'ETF price'!E150</f>
        <v>-7.8108357594264197E-3</v>
      </c>
      <c r="E149">
        <f ca="1">'ETF variations'!E149/'ETF price'!F150</f>
        <v>1.0105092966855295E-2</v>
      </c>
      <c r="F149">
        <f ca="1">'ETF variations'!F149/'ETF price'!G150</f>
        <v>-6.4571674558761144E-3</v>
      </c>
      <c r="G149">
        <f ca="1">'ETF variations'!G149/'ETF price'!H150</f>
        <v>5.7077625570775715E-3</v>
      </c>
      <c r="H149">
        <f ca="1">'ETF variations'!H149/'ETF price'!I150</f>
        <v>-3.8022813688221572E-4</v>
      </c>
      <c r="I149">
        <f ca="1">'ETF variations'!I149/'ETF price'!J150</f>
        <v>1.3496380516134822E-3</v>
      </c>
      <c r="J149">
        <f ca="1">'ETF variations'!J149/'ETF price'!K150</f>
        <v>9.6789061299738122E-3</v>
      </c>
      <c r="K149">
        <f ca="1">'ETF variations'!K149/'ETF price'!L150</f>
        <v>4.0468943749295501E-2</v>
      </c>
      <c r="L149">
        <f ca="1">'ETF variations'!L149/'ETF price'!M150</f>
        <v>1.8273955773955738E-2</v>
      </c>
      <c r="M149">
        <f ca="1">'ETF variations'!M149/'ETF price'!N150</f>
        <v>1.4283447071893891E-3</v>
      </c>
      <c r="N149">
        <f ca="1">'ETF variations'!N149/'ETF price'!O150</f>
        <v>1.6949152542372867E-2</v>
      </c>
      <c r="O149">
        <f ca="1">'ETF variations'!O149/'ETF price'!P150</f>
        <v>1.9815796818308706E-2</v>
      </c>
      <c r="P149">
        <f ca="1">'ETF variations'!P149/'ETF price'!Q150</f>
        <v>2.0961653089608578E-2</v>
      </c>
      <c r="Q149">
        <f ca="1">'ETF variations'!Q149/'ETF price'!R150</f>
        <v>3.5137948984903175E-3</v>
      </c>
      <c r="R149">
        <f ca="1">'ETF variations'!R149/'ETF price'!S150</f>
        <v>2.278961806288243E-2</v>
      </c>
      <c r="S149">
        <f ca="1">'ETF variations'!S149/'ETF price'!T150</f>
        <v>-3.6057692307692249E-3</v>
      </c>
      <c r="T149">
        <f ca="1">'ETF variations'!T149/'ETF price'!U150</f>
        <v>1.3980148189577963E-4</v>
      </c>
      <c r="U149">
        <f ca="1">'ETF variations'!U149/'ETF price'!V150</f>
        <v>1.5696141864366193E-2</v>
      </c>
      <c r="V149">
        <f ca="1">'ETF variations'!V149/'ETF price'!W150</f>
        <v>7.1748878923765282E-3</v>
      </c>
      <c r="W149">
        <f ca="1">'ETF variations'!W149/'ETF price'!X150</f>
        <v>7.5260985676135544E-3</v>
      </c>
      <c r="X149">
        <f ca="1">'ETF variations'!X149/'ETF price'!Y150</f>
        <v>9.0965474467646235E-3</v>
      </c>
      <c r="Y149">
        <f ca="1">'ETF variations'!Y149/'ETF price'!Z150</f>
        <v>7.2395763507171473E-3</v>
      </c>
      <c r="Z149">
        <f ca="1">'ETF variations'!Z149/'ETF price'!AA150</f>
        <v>3.2124827902707794E-3</v>
      </c>
      <c r="AA149">
        <f ca="1">'ETF variations'!AA149/'ETF price'!AB150</f>
        <v>1.2010113780025365E-2</v>
      </c>
      <c r="AB149">
        <f ca="1">'ETF variations'!AB149/'ETF price'!AC150</f>
        <v>9.1010401188706333E-3</v>
      </c>
      <c r="AC149">
        <f ca="1">'ETF variations'!AC149/'ETF price'!AD150</f>
        <v>2.2041763341067437E-2</v>
      </c>
      <c r="AD149">
        <f ca="1">'ETF variations'!AD149/'ETF price'!AE150</f>
        <v>2.4584237165582057E-2</v>
      </c>
      <c r="AE149">
        <f ca="1">'ETF variations'!AE149/'ETF price'!AF150</f>
        <v>3.6253776435045348E-2</v>
      </c>
      <c r="AF149">
        <f ca="1">'ETF variations'!AF149/'ETF price'!AG150</f>
        <v>1.5564202334630364E-2</v>
      </c>
    </row>
    <row r="150" spans="1:32" x14ac:dyDescent="0.2">
      <c r="A150">
        <f ca="1">'ETF variations'!A150/'ETF price'!B151</f>
        <v>-8.5022445925724381E-3</v>
      </c>
      <c r="B150">
        <f ca="1">'ETF variations'!B150/'ETF price'!C151</f>
        <v>-6.9411454209553853E-3</v>
      </c>
      <c r="C150">
        <f ca="1">'ETF variations'!C150/'ETF price'!D151</f>
        <v>-6.0063339521677101E-3</v>
      </c>
      <c r="D150">
        <f ca="1">'ETF variations'!D150/'ETF price'!E151</f>
        <v>-1.5100551062763798E-2</v>
      </c>
      <c r="E150">
        <f ca="1">'ETF variations'!E150/'ETF price'!F151</f>
        <v>-4.0016006402553064E-4</v>
      </c>
      <c r="F150">
        <f ca="1">'ETF variations'!F150/'ETF price'!G151</f>
        <v>-4.3327556325822303E-3</v>
      </c>
      <c r="G150">
        <f ca="1">'ETF variations'!G150/'ETF price'!H151</f>
        <v>6.0537268255770015E-3</v>
      </c>
      <c r="H150">
        <f ca="1">'ETF variations'!H150/'ETF price'!I151</f>
        <v>2.358311144922041E-3</v>
      </c>
      <c r="I150">
        <f ca="1">'ETF variations'!I150/'ETF price'!J151</f>
        <v>4.4110439470674079E-3</v>
      </c>
      <c r="J150">
        <f ca="1">'ETF variations'!J150/'ETF price'!K151</f>
        <v>4.4887401095557167E-3</v>
      </c>
      <c r="K150">
        <f ca="1">'ETF variations'!K150/'ETF price'!L151</f>
        <v>1.7226435536294729E-2</v>
      </c>
      <c r="L150">
        <f ca="1">'ETF variations'!L150/'ETF price'!M151</f>
        <v>3.7701704117026088E-3</v>
      </c>
      <c r="M150">
        <f ca="1">'ETF variations'!M150/'ETF price'!N151</f>
        <v>4.4374009508716498E-3</v>
      </c>
      <c r="N150">
        <f ca="1">'ETF variations'!N150/'ETF price'!O151</f>
        <v>-3.846153846153878E-3</v>
      </c>
      <c r="O150">
        <f ca="1">'ETF variations'!O150/'ETF price'!P151</f>
        <v>5.1997810618499649E-3</v>
      </c>
      <c r="P150">
        <f ca="1">'ETF variations'!P150/'ETF price'!Q151</f>
        <v>4.0867957575168017E-3</v>
      </c>
      <c r="Q150">
        <f ca="1">'ETF variations'!Q150/'ETF price'!R151</f>
        <v>5.5764492283751372E-3</v>
      </c>
      <c r="R150">
        <f ca="1">'ETF variations'!R150/'ETF price'!S151</f>
        <v>8.665153703321677E-3</v>
      </c>
      <c r="S150">
        <f ca="1">'ETF variations'!S150/'ETF price'!T151</f>
        <v>1.206272617611583E-2</v>
      </c>
      <c r="T150">
        <f ca="1">'ETF variations'!T150/'ETF price'!U151</f>
        <v>2.7956388034665918E-2</v>
      </c>
      <c r="U150">
        <f ca="1">'ETF variations'!U150/'ETF price'!V151</f>
        <v>7.0779756989502009E-3</v>
      </c>
      <c r="V150">
        <f ca="1">'ETF variations'!V150/'ETF price'!W151</f>
        <v>-5.9364796675559581E-4</v>
      </c>
      <c r="W150">
        <f ca="1">'ETF variations'!W150/'ETF price'!X151</f>
        <v>-3.6144578313254379E-4</v>
      </c>
      <c r="X150">
        <f ca="1">'ETF variations'!X150/'ETF price'!Y151</f>
        <v>0</v>
      </c>
      <c r="Y150">
        <f ca="1">'ETF variations'!Y150/'ETF price'!Z151</f>
        <v>0</v>
      </c>
      <c r="Z150">
        <f ca="1">'ETF variations'!Z150/'ETF price'!AA151</f>
        <v>7.319304666056731E-3</v>
      </c>
      <c r="AA150">
        <f ca="1">'ETF variations'!AA150/'ETF price'!AB151</f>
        <v>-4.6845721424111701E-4</v>
      </c>
      <c r="AB150">
        <f ca="1">'ETF variations'!AB150/'ETF price'!AC151</f>
        <v>-5.1536904104546501E-3</v>
      </c>
      <c r="AC150">
        <f ca="1">'ETF variations'!AC150/'ETF price'!AD151</f>
        <v>4.4267877412031642E-2</v>
      </c>
      <c r="AD150">
        <f ca="1">'ETF variations'!AD150/'ETF price'!AE151</f>
        <v>4.3754410726887738E-2</v>
      </c>
      <c r="AE150">
        <f ca="1">'ETF variations'!AE150/'ETF price'!AF151</f>
        <v>1.4577259475218606E-2</v>
      </c>
      <c r="AF150">
        <f ca="1">'ETF variations'!AF150/'ETF price'!AG151</f>
        <v>4.3422733077905472E-2</v>
      </c>
    </row>
    <row r="151" spans="1:32" x14ac:dyDescent="0.2">
      <c r="A151">
        <f ca="1">'ETF variations'!A151/'ETF price'!B152</f>
        <v>-1.0015778280853453E-2</v>
      </c>
      <c r="B151">
        <f ca="1">'ETF variations'!B151/'ETF price'!C152</f>
        <v>-1.2278417094107968E-2</v>
      </c>
      <c r="C151">
        <f ca="1">'ETF variations'!C151/'ETF price'!D152</f>
        <v>-1.439244122170954E-2</v>
      </c>
      <c r="D151">
        <f ca="1">'ETF variations'!D151/'ETF price'!E152</f>
        <v>-4.5850893765441082E-2</v>
      </c>
      <c r="E151">
        <f ca="1">'ETF variations'!E151/'ETF price'!F152</f>
        <v>-7.8062449959968088E-3</v>
      </c>
      <c r="F151">
        <f ca="1">'ETF variations'!F151/'ETF price'!G152</f>
        <v>-2.5674499564838985E-2</v>
      </c>
      <c r="G151">
        <f ca="1">'ETF variations'!G151/'ETF price'!H152</f>
        <v>-1.9932305377961684E-2</v>
      </c>
      <c r="H151">
        <f ca="1">'ETF variations'!H151/'ETF price'!I152</f>
        <v>-3.0358227079536832E-3</v>
      </c>
      <c r="I151">
        <f ca="1">'ETF variations'!I151/'ETF price'!J152</f>
        <v>-6.099544567338972E-3</v>
      </c>
      <c r="J151">
        <f ca="1">'ETF variations'!J151/'ETF price'!K152</f>
        <v>-1.6056956752253309E-2</v>
      </c>
      <c r="K151">
        <f ca="1">'ETF variations'!K151/'ETF price'!L152</f>
        <v>-3.344339120247098E-2</v>
      </c>
      <c r="L151">
        <f ca="1">'ETF variations'!L151/'ETF price'!M152</f>
        <v>-1.6075721153846263E-2</v>
      </c>
      <c r="M151">
        <f ca="1">'ETF variations'!M151/'ETF price'!N152</f>
        <v>-6.7844745976648737E-3</v>
      </c>
      <c r="N151">
        <f ca="1">'ETF variations'!N151/'ETF price'!O152</f>
        <v>-3.4749034749034693E-2</v>
      </c>
      <c r="O151">
        <f ca="1">'ETF variations'!O151/'ETF price'!P152</f>
        <v>1.7560577184862598E-2</v>
      </c>
      <c r="P151">
        <f ca="1">'ETF variations'!P151/'ETF price'!Q152</f>
        <v>1.8703362728946672E-2</v>
      </c>
      <c r="Q151">
        <f ca="1">'ETF variations'!Q151/'ETF price'!R152</f>
        <v>-4.9006964147537994E-3</v>
      </c>
      <c r="R151">
        <f ca="1">'ETF variations'!R151/'ETF price'!S152</f>
        <v>7.9770914297402455E-3</v>
      </c>
      <c r="S151">
        <f ca="1">'ETF variations'!S151/'ETF price'!T152</f>
        <v>8.3432657926101432E-3</v>
      </c>
      <c r="T151">
        <f ca="1">'ETF variations'!T151/'ETF price'!U152</f>
        <v>-1.2238237693772559E-3</v>
      </c>
      <c r="U151">
        <f ca="1">'ETF variations'!U151/'ETF price'!V152</f>
        <v>5.6225840459176498E-3</v>
      </c>
      <c r="V151">
        <f ca="1">'ETF variations'!V151/'ETF price'!W152</f>
        <v>5.0490050490050991E-3</v>
      </c>
      <c r="W151">
        <f ca="1">'ETF variations'!W151/'ETF price'!X152</f>
        <v>4.4594431722309816E-3</v>
      </c>
      <c r="X151">
        <f ca="1">'ETF variations'!X151/'ETF price'!Y152</f>
        <v>2.6633886498667373E-3</v>
      </c>
      <c r="Y151">
        <f ca="1">'ETF variations'!Y151/'ETF price'!Z152</f>
        <v>3.4606681751631189E-3</v>
      </c>
      <c r="Z151">
        <f ca="1">'ETF variations'!Z151/'ETF price'!AA152</f>
        <v>7.9473206176203775E-3</v>
      </c>
      <c r="AA151">
        <f ca="1">'ETF variations'!AA151/'ETF price'!AB152</f>
        <v>3.4369629745352108E-3</v>
      </c>
      <c r="AB151">
        <f ca="1">'ETF variations'!AB151/'ETF price'!AC152</f>
        <v>-9.2506938020346272E-4</v>
      </c>
      <c r="AC151">
        <f ca="1">'ETF variations'!AC151/'ETF price'!AD152</f>
        <v>-3.9130434782608636E-2</v>
      </c>
      <c r="AD151">
        <f ca="1">'ETF variations'!AD151/'ETF price'!AE152</f>
        <v>-3.7863421230561106E-2</v>
      </c>
      <c r="AE151">
        <f ca="1">'ETF variations'!AE151/'ETF price'!AF152</f>
        <v>1.7241379310344845E-2</v>
      </c>
      <c r="AF151">
        <f ca="1">'ETF variations'!AF151/'ETF price'!AG152</f>
        <v>-5.3855569155446696E-2</v>
      </c>
    </row>
    <row r="152" spans="1:32" x14ac:dyDescent="0.2">
      <c r="A152">
        <f ca="1">'ETF variations'!A152/'ETF price'!B153</f>
        <v>2.7302335250502373E-2</v>
      </c>
      <c r="B152">
        <f ca="1">'ETF variations'!B152/'ETF price'!C153</f>
        <v>3.0512579039418897E-2</v>
      </c>
      <c r="C152">
        <f ca="1">'ETF variations'!C152/'ETF price'!D153</f>
        <v>3.2995206777393912E-2</v>
      </c>
      <c r="D152">
        <f ca="1">'ETF variations'!D152/'ETF price'!E153</f>
        <v>4.1504835884547932E-2</v>
      </c>
      <c r="E152">
        <f ca="1">'ETF variations'!E152/'ETF price'!F153</f>
        <v>3.2479322170667728E-2</v>
      </c>
      <c r="F152">
        <f ca="1">'ETF variations'!F152/'ETF price'!G153</f>
        <v>4.4662795891022775E-2</v>
      </c>
      <c r="G152">
        <f ca="1">'ETF variations'!G152/'ETF price'!H153</f>
        <v>3.8372985418265546E-2</v>
      </c>
      <c r="H152">
        <f ca="1">'ETF variations'!H152/'ETF price'!I153</f>
        <v>1.0886114494518713E-2</v>
      </c>
      <c r="I152">
        <f ca="1">'ETF variations'!I152/'ETF price'!J153</f>
        <v>1.3133131494967712E-2</v>
      </c>
      <c r="J152">
        <f ca="1">'ETF variations'!J152/'ETF price'!K153</f>
        <v>2.4093603263797978E-2</v>
      </c>
      <c r="K152">
        <f ca="1">'ETF variations'!K152/'ETF price'!L153</f>
        <v>3.3057851239669422E-2</v>
      </c>
      <c r="L152">
        <f ca="1">'ETF variations'!L152/'ETF price'!M153</f>
        <v>2.0613834173156338E-2</v>
      </c>
      <c r="M152">
        <f ca="1">'ETF variations'!M152/'ETF price'!N153</f>
        <v>1.3661636219221595E-2</v>
      </c>
      <c r="N152">
        <f ca="1">'ETF variations'!N152/'ETF price'!O153</f>
        <v>7.3333333333333431E-2</v>
      </c>
      <c r="O152">
        <f ca="1">'ETF variations'!O152/'ETF price'!P153</f>
        <v>7.2240802675586123E-3</v>
      </c>
      <c r="P152">
        <f ca="1">'ETF variations'!P152/'ETF price'!Q153</f>
        <v>8.0859969558599153E-3</v>
      </c>
      <c r="Q152">
        <f ca="1">'ETF variations'!Q152/'ETF price'!R153</f>
        <v>2.8382581648522521E-2</v>
      </c>
      <c r="R152">
        <f ca="1">'ETF variations'!R152/'ETF price'!S153</f>
        <v>3.5511363636363633E-2</v>
      </c>
      <c r="S152">
        <f ca="1">'ETF variations'!S152/'ETF price'!T153</f>
        <v>1.3790386130811719E-2</v>
      </c>
      <c r="T152">
        <f ca="1">'ETF variations'!T152/'ETF price'!U153</f>
        <v>1.1844792375765694E-2</v>
      </c>
      <c r="U152">
        <f ca="1">'ETF variations'!U152/'ETF price'!V153</f>
        <v>4.9854397204426339E-2</v>
      </c>
      <c r="V152">
        <f ca="1">'ETF variations'!V152/'ETF price'!W153</f>
        <v>2.2458628841607504E-2</v>
      </c>
      <c r="W152">
        <f ca="1">'ETF variations'!W152/'ETF price'!X153</f>
        <v>2.3878089752819711E-2</v>
      </c>
      <c r="X152">
        <f ca="1">'ETF variations'!X152/'ETF price'!Y153</f>
        <v>2.5541479362484677E-2</v>
      </c>
      <c r="Y152">
        <f ca="1">'ETF variations'!Y152/'ETF price'!Z153</f>
        <v>2.4406419949595481E-2</v>
      </c>
      <c r="Z152">
        <f ca="1">'ETF variations'!Z152/'ETF price'!AA153</f>
        <v>1.3516557783284555E-2</v>
      </c>
      <c r="AA152">
        <f ca="1">'ETF variations'!AA152/'ETF price'!AB153</f>
        <v>2.2108049198194014E-2</v>
      </c>
      <c r="AB152">
        <f ca="1">'ETF variations'!AB152/'ETF price'!AC153</f>
        <v>2.6111111111111047E-2</v>
      </c>
      <c r="AC152">
        <f ca="1">'ETF variations'!AC152/'ETF price'!AD153</f>
        <v>2.7149321266968351E-2</v>
      </c>
      <c r="AD152">
        <f ca="1">'ETF variations'!AD152/'ETF price'!AE153</f>
        <v>2.6001405481377315E-2</v>
      </c>
      <c r="AE152">
        <f ca="1">'ETF variations'!AE152/'ETF price'!AF153</f>
        <v>-6.2146892655367283E-2</v>
      </c>
      <c r="AF152">
        <f ca="1">'ETF variations'!AF152/'ETF price'!AG153</f>
        <v>9.8318240620957273E-2</v>
      </c>
    </row>
    <row r="153" spans="1:32" x14ac:dyDescent="0.2">
      <c r="A153">
        <f ca="1">'ETF variations'!A153/'ETF price'!B154</f>
        <v>-3.9123102866779934E-3</v>
      </c>
      <c r="B153">
        <f ca="1">'ETF variations'!B153/'ETF price'!C154</f>
        <v>-5.7964959920625272E-3</v>
      </c>
      <c r="C153">
        <f ca="1">'ETF variations'!C153/'ETF price'!D154</f>
        <v>-6.7983166073162342E-3</v>
      </c>
      <c r="D153">
        <f ca="1">'ETF variations'!D153/'ETF price'!E154</f>
        <v>-1.2430535244222544E-3</v>
      </c>
      <c r="E153">
        <f ca="1">'ETF variations'!E153/'ETF price'!F154</f>
        <v>-1.4654161781946073E-2</v>
      </c>
      <c r="F153">
        <f ca="1">'ETF variations'!F153/'ETF price'!G154</f>
        <v>-6.4129970072681541E-3</v>
      </c>
      <c r="G153">
        <f ca="1">'ETF variations'!G153/'ETF price'!H154</f>
        <v>-5.1736881005172587E-3</v>
      </c>
      <c r="H153">
        <f ca="1">'ETF variations'!H153/'ETF price'!I154</f>
        <v>-6.4763912945250794E-3</v>
      </c>
      <c r="I153">
        <f ca="1">'ETF variations'!I153/'ETF price'!J154</f>
        <v>-6.9458466260146137E-3</v>
      </c>
      <c r="J153">
        <f ca="1">'ETF variations'!J153/'ETF price'!K154</f>
        <v>-1.315393866506314E-2</v>
      </c>
      <c r="K153">
        <f ca="1">'ETF variations'!K153/'ETF price'!L154</f>
        <v>-3.1679999999999986E-2</v>
      </c>
      <c r="L153">
        <f ca="1">'ETF variations'!L153/'ETF price'!M154</f>
        <v>-2.2890484739676857E-2</v>
      </c>
      <c r="M153">
        <f ca="1">'ETF variations'!M153/'ETF price'!N154</f>
        <v>-6.7387556809277499E-3</v>
      </c>
      <c r="N153">
        <f ca="1">'ETF variations'!N153/'ETF price'!O154</f>
        <v>-2.2981366459627388E-2</v>
      </c>
      <c r="O153">
        <f ca="1">'ETF variations'!O153/'ETF price'!P154</f>
        <v>3.440031876743245E-2</v>
      </c>
      <c r="P153">
        <f ca="1">'ETF variations'!P153/'ETF price'!Q154</f>
        <v>3.5576106445220308E-2</v>
      </c>
      <c r="Q153">
        <f ca="1">'ETF variations'!Q153/'ETF price'!R154</f>
        <v>3.4026465028356681E-3</v>
      </c>
      <c r="R153">
        <f ca="1">'ETF variations'!R153/'ETF price'!S154</f>
        <v>8.230452674897153E-3</v>
      </c>
      <c r="S153">
        <f ca="1">'ETF variations'!S153/'ETF price'!T154</f>
        <v>1.9432568985619899E-2</v>
      </c>
      <c r="T153">
        <f ca="1">'ETF variations'!T153/'ETF price'!U154</f>
        <v>2.6372443487621206E-2</v>
      </c>
      <c r="U153">
        <f ca="1">'ETF variations'!U153/'ETF price'!V154</f>
        <v>-2.4409186730278361E-2</v>
      </c>
      <c r="V153">
        <f ca="1">'ETF variations'!V153/'ETF price'!W154</f>
        <v>1.184971098265886E-2</v>
      </c>
      <c r="W153">
        <f ca="1">'ETF variations'!W153/'ETF price'!X154</f>
        <v>1.0781671159029669E-2</v>
      </c>
      <c r="X153">
        <f ca="1">'ETF variations'!X153/'ETF price'!Y154</f>
        <v>1.3548515640565844E-2</v>
      </c>
      <c r="Y153">
        <f ca="1">'ETF variations'!Y153/'ETF price'!Z154</f>
        <v>9.9702188268806936E-3</v>
      </c>
      <c r="Z153">
        <f ca="1">'ETF variations'!Z153/'ETF price'!AA154</f>
        <v>-4.6677039342076206E-3</v>
      </c>
      <c r="AA153">
        <f ca="1">'ETF variations'!AA153/'ETF price'!AB154</f>
        <v>1.3861386138613808E-2</v>
      </c>
      <c r="AB153">
        <f ca="1">'ETF variations'!AB153/'ETF price'!AC154</f>
        <v>8.6626962642123093E-3</v>
      </c>
      <c r="AC153">
        <f ca="1">'ETF variations'!AC153/'ETF price'!AD154</f>
        <v>2.6431718061674034E-2</v>
      </c>
      <c r="AD153">
        <f ca="1">'ETF variations'!AD153/'ETF price'!AE154</f>
        <v>2.6027397260274025E-2</v>
      </c>
      <c r="AE153">
        <f ca="1">'ETF variations'!AE153/'ETF price'!AF154</f>
        <v>0.11144578313253016</v>
      </c>
      <c r="AF153">
        <f ca="1">'ETF variations'!AF153/'ETF price'!AG154</f>
        <v>1.766784452296824E-2</v>
      </c>
    </row>
    <row r="154" spans="1:32" x14ac:dyDescent="0.2">
      <c r="A154">
        <f ca="1">'ETF variations'!A154/'ETF price'!B155</f>
        <v>1.9909257127378795E-2</v>
      </c>
      <c r="B154">
        <f ca="1">'ETF variations'!B154/'ETF price'!C155</f>
        <v>2.0773695406676014E-2</v>
      </c>
      <c r="C154">
        <f ca="1">'ETF variations'!C154/'ETF price'!D155</f>
        <v>2.2055627987831235E-2</v>
      </c>
      <c r="D154">
        <f ca="1">'ETF variations'!D154/'ETF price'!E155</f>
        <v>2.9211508895233978E-2</v>
      </c>
      <c r="E154">
        <f ca="1">'ETF variations'!E154/'ETF price'!F155</f>
        <v>1.5268689272258638E-2</v>
      </c>
      <c r="F154">
        <f ca="1">'ETF variations'!F154/'ETF price'!G155</f>
        <v>2.2375215146299619E-2</v>
      </c>
      <c r="G154">
        <f ca="1">'ETF variations'!G154/'ETF price'!H155</f>
        <v>1.9687964338781484E-2</v>
      </c>
      <c r="H154">
        <f ca="1">'ETF variations'!H154/'ETF price'!I155</f>
        <v>1.2809823391192281E-2</v>
      </c>
      <c r="I154">
        <f ca="1">'ETF variations'!I154/'ETF price'!J155</f>
        <v>1.2768899190760907E-2</v>
      </c>
      <c r="J154">
        <f ca="1">'ETF variations'!J154/'ETF price'!K155</f>
        <v>9.3685733871583382E-3</v>
      </c>
      <c r="K154">
        <f ca="1">'ETF variations'!K154/'ETF price'!L155</f>
        <v>3.3046926635822871E-2</v>
      </c>
      <c r="L154">
        <f ca="1">'ETF variations'!L154/'ETF price'!M155</f>
        <v>1.087122952074711E-2</v>
      </c>
      <c r="M154">
        <f ca="1">'ETF variations'!M154/'ETF price'!N155</f>
        <v>1.262227832123705E-2</v>
      </c>
      <c r="N154">
        <f ca="1">'ETF variations'!N154/'ETF price'!O155</f>
        <v>2.6700572155117491E-2</v>
      </c>
      <c r="O154">
        <f ca="1">'ETF variations'!O154/'ETF price'!P155</f>
        <v>7.5757575757576202E-3</v>
      </c>
      <c r="P154">
        <f ca="1">'ETF variations'!P154/'ETF price'!Q155</f>
        <v>9.1124476034262804E-3</v>
      </c>
      <c r="Q154">
        <f ca="1">'ETF variations'!Q154/'ETF price'!R155</f>
        <v>1.8839487565938205E-2</v>
      </c>
      <c r="R154">
        <f ca="1">'ETF variations'!R154/'ETF price'!S155</f>
        <v>2.0213799805636524E-2</v>
      </c>
      <c r="S154">
        <f ca="1">'ETF variations'!S154/'ETF price'!T155</f>
        <v>-5.3373999237514508E-3</v>
      </c>
      <c r="T154">
        <f ca="1">'ETF variations'!T154/'ETF price'!U155</f>
        <v>-1.7042475091767137E-2</v>
      </c>
      <c r="U154">
        <f ca="1">'ETF variations'!U154/'ETF price'!V155</f>
        <v>1.3078585238257607E-2</v>
      </c>
      <c r="V154">
        <f ca="1">'ETF variations'!V154/'ETF price'!W155</f>
        <v>1.5709797200799895E-2</v>
      </c>
      <c r="W154">
        <f ca="1">'ETF variations'!W154/'ETF price'!X155</f>
        <v>1.5652173913043414E-2</v>
      </c>
      <c r="X154">
        <f ca="1">'ETF variations'!X154/'ETF price'!Y155</f>
        <v>1.4940043247493713E-2</v>
      </c>
      <c r="Y154">
        <f ca="1">'ETF variations'!Y154/'ETF price'!Z155</f>
        <v>1.6666666666666632E-2</v>
      </c>
      <c r="Z154">
        <f ca="1">'ETF variations'!Z154/'ETF price'!AA155</f>
        <v>1.6971862438588611E-2</v>
      </c>
      <c r="AA154">
        <f ca="1">'ETF variations'!AA154/'ETF price'!AB155</f>
        <v>1.5324519230769171E-2</v>
      </c>
      <c r="AB154">
        <f ca="1">'ETF variations'!AB154/'ETF price'!AC155</f>
        <v>1.3419216317767043E-2</v>
      </c>
      <c r="AC154">
        <f ca="1">'ETF variations'!AC154/'ETF price'!AD155</f>
        <v>-2.1459227467810699E-3</v>
      </c>
      <c r="AD154">
        <f ca="1">'ETF variations'!AD154/'ETF price'!AE155</f>
        <v>-1.3351134846461665E-3</v>
      </c>
      <c r="AE154">
        <f ca="1">'ETF variations'!AE154/'ETF price'!AF155</f>
        <v>-3.7940379403794071E-2</v>
      </c>
      <c r="AF154">
        <f ca="1">'ETF variations'!AF154/'ETF price'!AG155</f>
        <v>5.7870370370370364E-2</v>
      </c>
    </row>
    <row r="155" spans="1:32" x14ac:dyDescent="0.2">
      <c r="A155">
        <f ca="1">'ETF variations'!A155/'ETF price'!B156</f>
        <v>6.3076820928224453E-3</v>
      </c>
      <c r="B155">
        <f ca="1">'ETF variations'!B155/'ETF price'!C156</f>
        <v>6.0461047648450285E-3</v>
      </c>
      <c r="C155">
        <f ca="1">'ETF variations'!C155/'ETF price'!D156</f>
        <v>4.5710641012013057E-3</v>
      </c>
      <c r="D155">
        <f ca="1">'ETF variations'!D155/'ETF price'!E156</f>
        <v>3.7700953193911019E-3</v>
      </c>
      <c r="E155">
        <f ca="1">'ETF variations'!E155/'ETF price'!F156</f>
        <v>8.7890624999999167E-3</v>
      </c>
      <c r="F155">
        <f ca="1">'ETF variations'!F155/'ETF price'!G156</f>
        <v>1.6835016835016474E-3</v>
      </c>
      <c r="G155">
        <f ca="1">'ETF variations'!G155/'ETF price'!H156</f>
        <v>2.1857923497268588E-3</v>
      </c>
      <c r="H155">
        <f ca="1">'ETF variations'!H155/'ETF price'!I156</f>
        <v>5.0142194282292128E-3</v>
      </c>
      <c r="I155">
        <f ca="1">'ETF variations'!I155/'ETF price'!J156</f>
        <v>5.5812085926520228E-3</v>
      </c>
      <c r="J155">
        <f ca="1">'ETF variations'!J155/'ETF price'!K156</f>
        <v>1.7355870811952782E-2</v>
      </c>
      <c r="K155">
        <f ca="1">'ETF variations'!K155/'ETF price'!L156</f>
        <v>1.1942844956280705E-2</v>
      </c>
      <c r="L155">
        <f ca="1">'ETF variations'!L155/'ETF price'!M156</f>
        <v>1.0299909118449059E-2</v>
      </c>
      <c r="M155">
        <f ca="1">'ETF variations'!M155/'ETF price'!N156</f>
        <v>6.2324711748206829E-3</v>
      </c>
      <c r="N155">
        <f ca="1">'ETF variations'!N155/'ETF price'!O156</f>
        <v>8.0495356037153295E-3</v>
      </c>
      <c r="O155">
        <f ca="1">'ETF variations'!O155/'ETF price'!P156</f>
        <v>-1.9497897285586863E-2</v>
      </c>
      <c r="P155">
        <f ca="1">'ETF variations'!P155/'ETF price'!Q156</f>
        <v>-2.0679068087411885E-2</v>
      </c>
      <c r="Q155">
        <f ca="1">'ETF variations'!Q155/'ETF price'!R156</f>
        <v>-6.1637080867864107E-4</v>
      </c>
      <c r="R155">
        <f ca="1">'ETF variations'!R155/'ETF price'!S156</f>
        <v>-1.5812535721089833E-2</v>
      </c>
      <c r="S155">
        <f ca="1">'ETF variations'!S155/'ETF price'!T156</f>
        <v>-1.2265235722499053E-2</v>
      </c>
      <c r="T155">
        <f ca="1">'ETF variations'!T155/'ETF price'!U156</f>
        <v>-2.8007468658308995E-2</v>
      </c>
      <c r="U155">
        <f ca="1">'ETF variations'!U155/'ETF price'!V156</f>
        <v>-2.1329142343960231E-3</v>
      </c>
      <c r="V155">
        <f ca="1">'ETF variations'!V155/'ETF price'!W156</f>
        <v>-2.8121484814412585E-4</v>
      </c>
      <c r="W155">
        <f ca="1">'ETF variations'!W155/'ETF price'!X156</f>
        <v>9.1324200913256296E-4</v>
      </c>
      <c r="X155">
        <f ca="1">'ETF variations'!X155/'ETF price'!Y156</f>
        <v>3.6800309897346063E-3</v>
      </c>
      <c r="Y155">
        <f ca="1">'ETF variations'!Y155/'ETF price'!Z156</f>
        <v>8.8272383354359892E-4</v>
      </c>
      <c r="Z155">
        <f ca="1">'ETF variations'!Z155/'ETF price'!AA156</f>
        <v>4.3917435221783674E-3</v>
      </c>
      <c r="AA155">
        <f ca="1">'ETF variations'!AA155/'ETF price'!AB156</f>
        <v>5.1790470553419437E-3</v>
      </c>
      <c r="AB155">
        <f ca="1">'ETF variations'!AB155/'ETF price'!AC156</f>
        <v>3.8841807909604318E-3</v>
      </c>
      <c r="AC155">
        <f ca="1">'ETF variations'!AC155/'ETF price'!AD156</f>
        <v>-8.6021505376344155E-3</v>
      </c>
      <c r="AD155">
        <f ca="1">'ETF variations'!AD155/'ETF price'!AE156</f>
        <v>-1.0695187165775409E-2</v>
      </c>
      <c r="AE155">
        <f ca="1">'ETF variations'!AE155/'ETF price'!AF156</f>
        <v>7.0422535211267609E-2</v>
      </c>
      <c r="AF155">
        <f ca="1">'ETF variations'!AF155/'ETF price'!AG156</f>
        <v>5.4704595185994451E-3</v>
      </c>
    </row>
    <row r="156" spans="1:32" x14ac:dyDescent="0.2">
      <c r="A156">
        <f ca="1">'ETF variations'!A156/'ETF price'!B157</f>
        <v>-2.7051992610187159E-3</v>
      </c>
      <c r="B156">
        <f ca="1">'ETF variations'!B156/'ETF price'!C157</f>
        <v>-3.4779940158043039E-3</v>
      </c>
      <c r="C156">
        <f ca="1">'ETF variations'!C156/'ETF price'!D157</f>
        <v>-4.6560846560846324E-3</v>
      </c>
      <c r="D156">
        <f ca="1">'ETF variations'!D156/'ETF price'!E157</f>
        <v>-1.0275671461980135E-2</v>
      </c>
      <c r="E156">
        <f ca="1">'ETF variations'!E156/'ETF price'!F157</f>
        <v>5.8083252662151288E-4</v>
      </c>
      <c r="F156">
        <f ca="1">'ETF variations'!F156/'ETF price'!G157</f>
        <v>-1.0504201680672268E-2</v>
      </c>
      <c r="G156">
        <f ca="1">'ETF variations'!G156/'ETF price'!H157</f>
        <v>-1.817520901490393E-3</v>
      </c>
      <c r="H156">
        <f ca="1">'ETF variations'!H156/'ETF price'!I157</f>
        <v>-2.6807655074836938E-3</v>
      </c>
      <c r="I156">
        <f ca="1">'ETF variations'!I156/'ETF price'!J157</f>
        <v>-4.8714262897300705E-3</v>
      </c>
      <c r="J156">
        <f ca="1">'ETF variations'!J156/'ETF price'!K157</f>
        <v>-1.3573653760569531E-2</v>
      </c>
      <c r="K156">
        <f ca="1">'ETF variations'!K156/'ETF price'!L157</f>
        <v>-2.6448893572181296E-2</v>
      </c>
      <c r="L156">
        <f ca="1">'ETF variations'!L156/'ETF price'!M157</f>
        <v>-1.0494752623688198E-2</v>
      </c>
      <c r="M156">
        <f ca="1">'ETF variations'!M156/'ETF price'!N157</f>
        <v>-4.8002477547228594E-3</v>
      </c>
      <c r="N156">
        <f ca="1">'ETF variations'!N156/'ETF price'!O157</f>
        <v>-3.7469287469287543E-2</v>
      </c>
      <c r="O156">
        <f ca="1">'ETF variations'!O156/'ETF price'!P157</f>
        <v>-2.3394853132309933E-3</v>
      </c>
      <c r="P156">
        <f ca="1">'ETF variations'!P156/'ETF price'!Q157</f>
        <v>-1.0142923005993492E-3</v>
      </c>
      <c r="Q156">
        <f ca="1">'ETF variations'!Q156/'ETF price'!R157</f>
        <v>5.5507586036758708E-3</v>
      </c>
      <c r="R156">
        <f ca="1">'ETF variations'!R156/'ETF price'!S157</f>
        <v>8.7108013937282781E-3</v>
      </c>
      <c r="S156">
        <f ca="1">'ETF variations'!S156/'ETF price'!T157</f>
        <v>-1.1253395421032176E-2</v>
      </c>
      <c r="T156">
        <f ca="1">'ETF variations'!T156/'ETF price'!U157</f>
        <v>-2.2502744237102097E-2</v>
      </c>
      <c r="U156">
        <f ca="1">'ETF variations'!U156/'ETF price'!V157</f>
        <v>-1.3949825627179602E-2</v>
      </c>
      <c r="V156">
        <f ca="1">'ETF variations'!V156/'ETF price'!W157</f>
        <v>7.3136427566808755E-3</v>
      </c>
      <c r="W156">
        <f ca="1">'ETF variations'!W156/'ETF price'!X157</f>
        <v>6.0447080291969307E-3</v>
      </c>
      <c r="X156">
        <f ca="1">'ETF variations'!X156/'ETF price'!Y157</f>
        <v>9.6487842531840992E-3</v>
      </c>
      <c r="Y156">
        <f ca="1">'ETF variations'!Y156/'ETF price'!Z157</f>
        <v>5.7956406702783635E-3</v>
      </c>
      <c r="Z156">
        <f ca="1">'ETF variations'!Z156/'ETF price'!AA157</f>
        <v>-3.9352864013992069E-3</v>
      </c>
      <c r="AA156">
        <f ca="1">'ETF variations'!AA156/'ETF price'!AB157</f>
        <v>8.979832180185476E-3</v>
      </c>
      <c r="AB156">
        <f ca="1">'ETF variations'!AB156/'ETF price'!AC157</f>
        <v>5.2761167780513039E-3</v>
      </c>
      <c r="AC156">
        <f ca="1">'ETF variations'!AC156/'ETF price'!AD157</f>
        <v>-2.1691973969632699E-3</v>
      </c>
      <c r="AD156">
        <f ca="1">'ETF variations'!AD156/'ETF price'!AE157</f>
        <v>-2.0270270270271039E-3</v>
      </c>
      <c r="AE156">
        <f ca="1">'ETF variations'!AE156/'ETF price'!AF157</f>
        <v>-5.2631578947368472E-3</v>
      </c>
      <c r="AF156">
        <f ca="1">'ETF variations'!AF156/'ETF price'!AG157</f>
        <v>-5.0054406964091303E-2</v>
      </c>
    </row>
    <row r="157" spans="1:32" x14ac:dyDescent="0.2">
      <c r="A157">
        <f ca="1">'ETF variations'!A157/'ETF price'!B158</f>
        <v>-7.1452199801522488E-3</v>
      </c>
      <c r="B157">
        <f ca="1">'ETF variations'!B157/'ETF price'!C158</f>
        <v>-8.4173788077091631E-3</v>
      </c>
      <c r="C157">
        <f ca="1">'ETF variations'!C157/'ETF price'!D158</f>
        <v>-1.1163087391026973E-2</v>
      </c>
      <c r="D157">
        <f ca="1">'ETF variations'!D157/'ETF price'!E158</f>
        <v>-2.4130030073034544E-2</v>
      </c>
      <c r="E157">
        <f ca="1">'ETF variations'!E157/'ETF price'!F158</f>
        <v>-1.6447368421052658E-2</v>
      </c>
      <c r="F157">
        <f ca="1">'ETF variations'!F157/'ETF price'!G158</f>
        <v>-2.1231422505307854E-2</v>
      </c>
      <c r="G157">
        <f ca="1">'ETF variations'!G157/'ETF price'!H158</f>
        <v>-2.2578295702840531E-2</v>
      </c>
      <c r="H157">
        <f ca="1">'ETF variations'!H157/'ETF price'!I158</f>
        <v>-5.8239378779959767E-3</v>
      </c>
      <c r="I157">
        <f ca="1">'ETF variations'!I157/'ETF price'!J158</f>
        <v>-7.7842869753631241E-3</v>
      </c>
      <c r="J157">
        <f ca="1">'ETF variations'!J157/'ETF price'!K158</f>
        <v>-1.9475148507406597E-2</v>
      </c>
      <c r="K157">
        <f ca="1">'ETF variations'!K157/'ETF price'!L158</f>
        <v>-3.0522783851066212E-2</v>
      </c>
      <c r="L157">
        <f ca="1">'ETF variations'!L157/'ETF price'!M158</f>
        <v>-1.6363636363636337E-2</v>
      </c>
      <c r="M157">
        <f ca="1">'ETF variations'!M157/'ETF price'!N158</f>
        <v>-7.9352730667496194E-3</v>
      </c>
      <c r="N157">
        <f ca="1">'ETF variations'!N157/'ETF price'!O158</f>
        <v>-3.3822590938098238E-2</v>
      </c>
      <c r="O157">
        <f ca="1">'ETF variations'!O157/'ETF price'!P158</f>
        <v>8.3376758728504492E-3</v>
      </c>
      <c r="P157">
        <f ca="1">'ETF variations'!P157/'ETF price'!Q158</f>
        <v>7.7533690234447422E-3</v>
      </c>
      <c r="Q157">
        <f ca="1">'ETF variations'!Q157/'ETF price'!R158</f>
        <v>-1.3738959764474857E-2</v>
      </c>
      <c r="R157">
        <f ca="1">'ETF variations'!R157/'ETF price'!S158</f>
        <v>-2.6674342736518912E-2</v>
      </c>
      <c r="S157">
        <f ca="1">'ETF variations'!S157/'ETF price'!T158</f>
        <v>3.9246467817895554E-3</v>
      </c>
      <c r="T157">
        <f ca="1">'ETF variations'!T157/'ETF price'!U158</f>
        <v>1.1370016844469432E-2</v>
      </c>
      <c r="U157">
        <f ca="1">'ETF variations'!U157/'ETF price'!V158</f>
        <v>-1.1637193382772507E-2</v>
      </c>
      <c r="V157">
        <f ca="1">'ETF variations'!V157/'ETF price'!W158</f>
        <v>-5.0265289025411813E-3</v>
      </c>
      <c r="W157">
        <f ca="1">'ETF variations'!W157/'ETF price'!X158</f>
        <v>-5.5549257453802849E-3</v>
      </c>
      <c r="X157">
        <f ca="1">'ETF variations'!X157/'ETF price'!Y158</f>
        <v>-1.1467889908256907E-2</v>
      </c>
      <c r="Y157">
        <f ca="1">'ETF variations'!Y157/'ETF price'!Z158</f>
        <v>-5.3864461981710209E-3</v>
      </c>
      <c r="Z157">
        <f ca="1">'ETF variations'!Z157/'ETF price'!AA158</f>
        <v>-2.8533801580334188E-3</v>
      </c>
      <c r="AA157">
        <f ca="1">'ETF variations'!AA157/'ETF price'!AB158</f>
        <v>-1.1672016340823042E-2</v>
      </c>
      <c r="AB157">
        <f ca="1">'ETF variations'!AB157/'ETF price'!AC158</f>
        <v>-8.2225332400279721E-3</v>
      </c>
      <c r="AC157">
        <f ca="1">'ETF variations'!AC157/'ETF price'!AD158</f>
        <v>-3.0434782608695584E-2</v>
      </c>
      <c r="AD157">
        <f ca="1">'ETF variations'!AD157/'ETF price'!AE158</f>
        <v>-3.1144211238997906E-2</v>
      </c>
      <c r="AE157">
        <f ca="1">'ETF variations'!AE157/'ETF price'!AF158</f>
        <v>-3.1746031746031661E-2</v>
      </c>
      <c r="AF157">
        <f ca="1">'ETF variations'!AF157/'ETF price'!AG158</f>
        <v>-6.7583046964490245E-2</v>
      </c>
    </row>
    <row r="158" spans="1:32" x14ac:dyDescent="0.2">
      <c r="A158">
        <f ca="1">'ETF variations'!A158/'ETF price'!B159</f>
        <v>5.1975744652495584E-3</v>
      </c>
      <c r="B158">
        <f ca="1">'ETF variations'!B158/'ETF price'!C159</f>
        <v>5.2278785682860285E-3</v>
      </c>
      <c r="C158">
        <f ca="1">'ETF variations'!C158/'ETF price'!D159</f>
        <v>4.3006128373292273E-3</v>
      </c>
      <c r="D158">
        <f ca="1">'ETF variations'!D158/'ETF price'!E159</f>
        <v>2.2818988920683937E-2</v>
      </c>
      <c r="E158">
        <f ca="1">'ETF variations'!E158/'ETF price'!F159</f>
        <v>6.2954947865433855E-3</v>
      </c>
      <c r="F158">
        <f ca="1">'ETF variations'!F158/'ETF price'!G159</f>
        <v>0</v>
      </c>
      <c r="G158">
        <f ca="1">'ETF variations'!G158/'ETF price'!H159</f>
        <v>3.3532041728762986E-3</v>
      </c>
      <c r="H158">
        <f ca="1">'ETF variations'!H158/'ETF price'!I159</f>
        <v>-4.4310927525347604E-3</v>
      </c>
      <c r="I158">
        <f ca="1">'ETF variations'!I158/'ETF price'!J159</f>
        <v>-4.4079585894532649E-3</v>
      </c>
      <c r="J158">
        <f ca="1">'ETF variations'!J158/'ETF price'!K159</f>
        <v>-1.1349693251533882E-2</v>
      </c>
      <c r="K158">
        <f ca="1">'ETF variations'!K158/'ETF price'!L159</f>
        <v>-7.8151166685272826E-3</v>
      </c>
      <c r="L158">
        <f ca="1">'ETF variations'!L158/'ETF price'!M159</f>
        <v>-2.7726432532348554E-3</v>
      </c>
      <c r="M158">
        <f ca="1">'ETF variations'!M158/'ETF price'!N159</f>
        <v>-4.8619824341279046E-3</v>
      </c>
      <c r="N158">
        <f ca="1">'ETF variations'!N158/'ETF price'!O159</f>
        <v>-1.5852047556142682E-2</v>
      </c>
      <c r="O158">
        <f ca="1">'ETF variations'!O158/'ETF price'!P159</f>
        <v>2.6873385012919873E-2</v>
      </c>
      <c r="P158">
        <f ca="1">'ETF variations'!P158/'ETF price'!Q159</f>
        <v>2.9584172925444126E-2</v>
      </c>
      <c r="Q158">
        <f ca="1">'ETF variations'!Q158/'ETF price'!R159</f>
        <v>3.1094527363184077E-3</v>
      </c>
      <c r="R158">
        <f ca="1">'ETF variations'!R158/'ETF price'!S159</f>
        <v>2.4053627760252345E-2</v>
      </c>
      <c r="S158">
        <f ca="1">'ETF variations'!S158/'ETF price'!T159</f>
        <v>1.5246286161063353E-2</v>
      </c>
      <c r="T158">
        <f ca="1">'ETF variations'!T158/'ETF price'!U159</f>
        <v>2.9979181124219247E-2</v>
      </c>
      <c r="U158">
        <f ca="1">'ETF variations'!U158/'ETF price'!V159</f>
        <v>1.2005079071915115E-2</v>
      </c>
      <c r="V158">
        <f ca="1">'ETF variations'!V158/'ETF price'!W159</f>
        <v>1.1226494527083678E-3</v>
      </c>
      <c r="W158">
        <f ca="1">'ETF variations'!W158/'ETF price'!X159</f>
        <v>1.4819881440947954E-3</v>
      </c>
      <c r="X158">
        <f ca="1">'ETF variations'!X158/'ETF price'!Y159</f>
        <v>3.093580819798989E-3</v>
      </c>
      <c r="Y158">
        <f ca="1">'ETF variations'!Y158/'ETF price'!Z159</f>
        <v>2.5188916876572875E-3</v>
      </c>
      <c r="Z158">
        <f ca="1">'ETF variations'!Z158/'ETF price'!AA159</f>
        <v>-6.8236847897865348E-3</v>
      </c>
      <c r="AA158">
        <f ca="1">'ETF variations'!AA158/'ETF price'!AB159</f>
        <v>3.1000885739593735E-3</v>
      </c>
      <c r="AB158">
        <f ca="1">'ETF variations'!AB158/'ETF price'!AC159</f>
        <v>1.0583877227024567E-3</v>
      </c>
      <c r="AC158">
        <f ca="1">'ETF variations'!AC158/'ETF price'!AD159</f>
        <v>4.48430493273553E-3</v>
      </c>
      <c r="AD158">
        <f ca="1">'ETF variations'!AD158/'ETF price'!AE159</f>
        <v>5.5904961565338973E-3</v>
      </c>
      <c r="AE158">
        <f ca="1">'ETF variations'!AE158/'ETF price'!AF159</f>
        <v>-5.4644808743169446E-2</v>
      </c>
      <c r="AF158">
        <f ca="1">'ETF variations'!AF158/'ETF price'!AG159</f>
        <v>-1.5970515970516064E-2</v>
      </c>
    </row>
    <row r="159" spans="1:32" x14ac:dyDescent="0.2">
      <c r="A159">
        <f ca="1">'ETF variations'!A159/'ETF price'!B160</f>
        <v>-1.8163738813390659E-2</v>
      </c>
      <c r="B159">
        <f ca="1">'ETF variations'!B159/'ETF price'!C160</f>
        <v>-1.9258000566411828E-2</v>
      </c>
      <c r="C159">
        <f ca="1">'ETF variations'!C159/'ETF price'!D160</f>
        <v>-2.2053313349748447E-2</v>
      </c>
      <c r="D159">
        <f ca="1">'ETF variations'!D159/'ETF price'!E160</f>
        <v>-2.7044476327116283E-2</v>
      </c>
      <c r="E159">
        <f ca="1">'ETF variations'!E159/'ETF price'!F160</f>
        <v>-2.0723362658846434E-2</v>
      </c>
      <c r="F159">
        <f ca="1">'ETF variations'!F159/'ETF price'!G160</f>
        <v>-3.1670281995661624E-2</v>
      </c>
      <c r="G159">
        <f ca="1">'ETF variations'!G159/'ETF price'!H160</f>
        <v>-2.3022651318232491E-2</v>
      </c>
      <c r="H159">
        <f ca="1">'ETF variations'!H159/'ETF price'!I160</f>
        <v>2.7157513578755675E-3</v>
      </c>
      <c r="I159">
        <f ca="1">'ETF variations'!I159/'ETF price'!J160</f>
        <v>2.8433323855555942E-4</v>
      </c>
      <c r="J159">
        <f ca="1">'ETF variations'!J159/'ETF price'!K160</f>
        <v>-9.8510704312750694E-3</v>
      </c>
      <c r="K159">
        <f ca="1">'ETF variations'!K159/'ETF price'!L160</f>
        <v>-1.8003825812985354E-2</v>
      </c>
      <c r="L159">
        <f ca="1">'ETF variations'!L159/'ETF price'!M160</f>
        <v>-2.3169601482853179E-3</v>
      </c>
      <c r="M159">
        <f ca="1">'ETF variations'!M159/'ETF price'!N160</f>
        <v>7.8802206461776447E-4</v>
      </c>
      <c r="N159">
        <f ca="1">'ETF variations'!N159/'ETF price'!O160</f>
        <v>-3.3557046979865772E-2</v>
      </c>
      <c r="O159">
        <f ca="1">'ETF variations'!O159/'ETF price'!P160</f>
        <v>-2.5163563160556407E-4</v>
      </c>
      <c r="P159">
        <f ca="1">'ETF variations'!P159/'ETF price'!Q160</f>
        <v>-2.3129614802952668E-3</v>
      </c>
      <c r="Q159">
        <f ca="1">'ETF variations'!Q159/'ETF price'!R160</f>
        <v>-1.8350898946063284E-2</v>
      </c>
      <c r="R159">
        <f ca="1">'ETF variations'!R159/'ETF price'!S160</f>
        <v>-3.2152483634963314E-2</v>
      </c>
      <c r="S159">
        <f ca="1">'ETF variations'!S159/'ETF price'!T160</f>
        <v>-3.850596842509823E-4</v>
      </c>
      <c r="T159">
        <f ca="1">'ETF variations'!T159/'ETF price'!U160</f>
        <v>-2.0212909311412407E-3</v>
      </c>
      <c r="U159">
        <f ca="1">'ETF variations'!U159/'ETF price'!V160</f>
        <v>-3.2508269647542012E-2</v>
      </c>
      <c r="V159">
        <f ca="1">'ETF variations'!V159/'ETF price'!W160</f>
        <v>-1.9904681805438768E-2</v>
      </c>
      <c r="W159">
        <f ca="1">'ETF variations'!W159/'ETF price'!X160</f>
        <v>-2.0034149117814353E-2</v>
      </c>
      <c r="X159">
        <f ca="1">'ETF variations'!X159/'ETF price'!Y160</f>
        <v>-1.7733230531996949E-2</v>
      </c>
      <c r="Y159">
        <f ca="1">'ETF variations'!Y159/'ETF price'!Z160</f>
        <v>-2.148241206030143E-2</v>
      </c>
      <c r="Z159">
        <f ca="1">'ETF variations'!Z159/'ETF price'!AA160</f>
        <v>-9.75177304964534E-3</v>
      </c>
      <c r="AA159">
        <f ca="1">'ETF variations'!AA159/'ETF price'!AB160</f>
        <v>-1.6335540838852088E-2</v>
      </c>
      <c r="AB159">
        <f ca="1">'ETF variations'!AB159/'ETF price'!AC160</f>
        <v>-2.0440528634361174E-2</v>
      </c>
      <c r="AC159">
        <f ca="1">'ETF variations'!AC159/'ETF price'!AD160</f>
        <v>-9.0401785714285768E-2</v>
      </c>
      <c r="AD159">
        <f ca="1">'ETF variations'!AD159/'ETF price'!AE160</f>
        <v>-9.1035441278665766E-2</v>
      </c>
      <c r="AE159">
        <f ca="1">'ETF variations'!AE159/'ETF price'!AF160</f>
        <v>-2.0231213872832325E-2</v>
      </c>
      <c r="AF159">
        <f ca="1">'ETF variations'!AF159/'ETF price'!AG160</f>
        <v>-0.10736579275905112</v>
      </c>
    </row>
    <row r="160" spans="1:32" x14ac:dyDescent="0.2">
      <c r="A160">
        <f ca="1">'ETF variations'!A160/'ETF price'!B161</f>
        <v>-2.7884680305178742E-2</v>
      </c>
      <c r="B160">
        <f ca="1">'ETF variations'!B160/'ETF price'!C161</f>
        <v>-2.7432861680623706E-2</v>
      </c>
      <c r="C160">
        <f ca="1">'ETF variations'!C160/'ETF price'!D161</f>
        <v>-2.8790366721401155E-2</v>
      </c>
      <c r="D160">
        <f ca="1">'ETF variations'!D160/'ETF price'!E161</f>
        <v>-3.7602300376022961E-2</v>
      </c>
      <c r="E160">
        <f ca="1">'ETF variations'!E160/'ETF price'!F161</f>
        <v>-1.896586144939115E-2</v>
      </c>
      <c r="F160">
        <f ca="1">'ETF variations'!F160/'ETF price'!G161</f>
        <v>-3.1810035842293943E-2</v>
      </c>
      <c r="G160">
        <f ca="1">'ETF variations'!G160/'ETF price'!H161</f>
        <v>-2.2805017103762749E-2</v>
      </c>
      <c r="H160">
        <f ca="1">'ETF variations'!H160/'ETF price'!I161</f>
        <v>-1.3090580800481349E-2</v>
      </c>
      <c r="I160">
        <f ca="1">'ETF variations'!I160/'ETF price'!J161</f>
        <v>-1.3400471046860972E-2</v>
      </c>
      <c r="J160">
        <f ca="1">'ETF variations'!J160/'ETF price'!K161</f>
        <v>-1.5981198589894292E-2</v>
      </c>
      <c r="K160">
        <f ca="1">'ETF variations'!K160/'ETF price'!L161</f>
        <v>-1.5354646499369649E-2</v>
      </c>
      <c r="L160">
        <f ca="1">'ETF variations'!L160/'ETF price'!M161</f>
        <v>-1.6720854621458513E-2</v>
      </c>
      <c r="M160">
        <f ca="1">'ETF variations'!M160/'ETF price'!N161</f>
        <v>-1.3700787401574762E-2</v>
      </c>
      <c r="N160">
        <f ca="1">'ETF variations'!N160/'ETF price'!O161</f>
        <v>-2.222222222222224E-2</v>
      </c>
      <c r="O160">
        <f ca="1">'ETF variations'!O160/'ETF price'!P161</f>
        <v>-1.8877422602566257E-3</v>
      </c>
      <c r="P160">
        <f ca="1">'ETF variations'!P160/'ETF price'!Q161</f>
        <v>-1.1591618368257659E-3</v>
      </c>
      <c r="Q160">
        <f ca="1">'ETF variations'!Q160/'ETF price'!R161</f>
        <v>-1.5915119363395291E-2</v>
      </c>
      <c r="R160">
        <f ca="1">'ETF variations'!R160/'ETF price'!S161</f>
        <v>-9.7473642331410773E-3</v>
      </c>
      <c r="S160">
        <f ca="1">'ETF variations'!S160/'ETF price'!T161</f>
        <v>8.859784283513113E-3</v>
      </c>
      <c r="T160">
        <f ca="1">'ETF variations'!T160/'ETF price'!U161</f>
        <v>8.3715906022144813E-3</v>
      </c>
      <c r="U160">
        <f ca="1">'ETF variations'!U160/'ETF price'!V161</f>
        <v>-1.7566611648196121E-2</v>
      </c>
      <c r="V160">
        <f ca="1">'ETF variations'!V160/'ETF price'!W161</f>
        <v>-2.2025171624714047E-2</v>
      </c>
      <c r="W160">
        <f ca="1">'ETF variations'!W160/'ETF price'!X161</f>
        <v>-2.1837611801603086E-2</v>
      </c>
      <c r="X160">
        <f ca="1">'ETF variations'!X160/'ETF price'!Y161</f>
        <v>-2.4529042386185244E-2</v>
      </c>
      <c r="Y160">
        <f ca="1">'ETF variations'!Y160/'ETF price'!Z161</f>
        <v>-2.1055334446013617E-2</v>
      </c>
      <c r="Z160">
        <f ca="1">'ETF variations'!Z160/'ETF price'!AA161</f>
        <v>-2.0814682184422555E-2</v>
      </c>
      <c r="AA160">
        <f ca="1">'ETF variations'!AA160/'ETF price'!AB161</f>
        <v>-2.3638539796528999E-2</v>
      </c>
      <c r="AB160">
        <f ca="1">'ETF variations'!AB160/'ETF price'!AC161</f>
        <v>-2.1046950890447953E-2</v>
      </c>
      <c r="AC160">
        <f ca="1">'ETF variations'!AC160/'ETF price'!AD161</f>
        <v>-1.2269938650306704E-2</v>
      </c>
      <c r="AD160">
        <f ca="1">'ETF variations'!AD160/'ETF price'!AE161</f>
        <v>-1.1467889908256907E-2</v>
      </c>
      <c r="AE160">
        <f ca="1">'ETF variations'!AE160/'ETF price'!AF161</f>
        <v>-8.5545722713864319E-2</v>
      </c>
      <c r="AF160">
        <f ca="1">'ETF variations'!AF160/'ETF price'!AG161</f>
        <v>-4.475524475524479E-2</v>
      </c>
    </row>
    <row r="161" spans="1:32" x14ac:dyDescent="0.2">
      <c r="A161">
        <f ca="1">'ETF variations'!A161/'ETF price'!B162</f>
        <v>-2.6392554521461001E-3</v>
      </c>
      <c r="B161">
        <f ca="1">'ETF variations'!B161/'ETF price'!C162</f>
        <v>-2.3483049017490945E-3</v>
      </c>
      <c r="C161">
        <f ca="1">'ETF variations'!C161/'ETF price'!D162</f>
        <v>-2.2542831379621601E-3</v>
      </c>
      <c r="D161">
        <f ca="1">'ETF variations'!D161/'ETF price'!E162</f>
        <v>4.9796981536811896E-3</v>
      </c>
      <c r="E161">
        <f ca="1">'ETF variations'!E161/'ETF price'!F162</f>
        <v>8.1400081400081117E-3</v>
      </c>
      <c r="F161">
        <f ca="1">'ETF variations'!F161/'ETF price'!G162</f>
        <v>-4.627487274409075E-4</v>
      </c>
      <c r="G161">
        <f ca="1">'ETF variations'!G161/'ETF price'!H162</f>
        <v>3.8895371450789614E-4</v>
      </c>
      <c r="H161">
        <f ca="1">'ETF variations'!H161/'ETF price'!I162</f>
        <v>-1.3950297301417993E-2</v>
      </c>
      <c r="I161">
        <f ca="1">'ETF variations'!I161/'ETF price'!J162</f>
        <v>-1.1812644056634855E-2</v>
      </c>
      <c r="J161">
        <f ca="1">'ETF variations'!J161/'ETF price'!K162</f>
        <v>-1.9106759016001504E-3</v>
      </c>
      <c r="K161">
        <f ca="1">'ETF variations'!K161/'ETF price'!L162</f>
        <v>2.1529151635051719E-2</v>
      </c>
      <c r="L161">
        <f ca="1">'ETF variations'!L161/'ETF price'!M162</f>
        <v>-3.1491103763186231E-3</v>
      </c>
      <c r="M161">
        <f ca="1">'ETF variations'!M161/'ETF price'!N162</f>
        <v>-1.1975091809037202E-2</v>
      </c>
      <c r="N161">
        <f ca="1">'ETF variations'!N161/'ETF price'!O162</f>
        <v>1.4559659090909095E-2</v>
      </c>
      <c r="O161">
        <f ca="1">'ETF variations'!O161/'ETF price'!P162</f>
        <v>3.6061026352288479E-2</v>
      </c>
      <c r="P161">
        <f ca="1">'ETF variations'!P161/'ETF price'!Q162</f>
        <v>3.4011783610069651E-2</v>
      </c>
      <c r="Q161">
        <f ca="1">'ETF variations'!Q161/'ETF price'!R162</f>
        <v>9.8831985624439778E-3</v>
      </c>
      <c r="R161">
        <f ca="1">'ETF variations'!R161/'ETF price'!S162</f>
        <v>2.4507834471675347E-2</v>
      </c>
      <c r="S161">
        <f ca="1">'ETF variations'!S161/'ETF price'!T162</f>
        <v>1.6418480336006097E-2</v>
      </c>
      <c r="T161">
        <f ca="1">'ETF variations'!T161/'ETF price'!U162</f>
        <v>2.878950187466512E-2</v>
      </c>
      <c r="U161">
        <f ca="1">'ETF variations'!U161/'ETF price'!V162</f>
        <v>7.0802832113284943E-3</v>
      </c>
      <c r="V161">
        <f ca="1">'ETF variations'!V161/'ETF price'!W162</f>
        <v>-4.094764551038332E-3</v>
      </c>
      <c r="W161">
        <f ca="1">'ETF variations'!W161/'ETF price'!X162</f>
        <v>-3.3250207813797284E-3</v>
      </c>
      <c r="X161">
        <f ca="1">'ETF variations'!X161/'ETF price'!Y162</f>
        <v>-3.2186682760008789E-3</v>
      </c>
      <c r="Y161">
        <f ca="1">'ETF variations'!Y161/'ETF price'!Z162</f>
        <v>-3.2786885245901639E-3</v>
      </c>
      <c r="Z161">
        <f ca="1">'ETF variations'!Z161/'ETF price'!AA162</f>
        <v>-1.5085714285714208E-2</v>
      </c>
      <c r="AA161">
        <f ca="1">'ETF variations'!AA161/'ETF price'!AB162</f>
        <v>-5.6696291756053408E-3</v>
      </c>
      <c r="AB161">
        <f ca="1">'ETF variations'!AB161/'ETF price'!AC162</f>
        <v>-4.4101433296582504E-3</v>
      </c>
      <c r="AC161">
        <f ca="1">'ETF variations'!AC161/'ETF price'!AD162</f>
        <v>2.4844720496894318E-2</v>
      </c>
      <c r="AD161">
        <f ca="1">'ETF variations'!AD161/'ETF price'!AE162</f>
        <v>2.474864655839136E-2</v>
      </c>
      <c r="AE161">
        <f ca="1">'ETF variations'!AE161/'ETF price'!AF162</f>
        <v>-2.5806451612903247E-2</v>
      </c>
      <c r="AF161">
        <f ca="1">'ETF variations'!AF161/'ETF price'!AG162</f>
        <v>2.92825768667643E-2</v>
      </c>
    </row>
    <row r="162" spans="1:32" x14ac:dyDescent="0.2">
      <c r="A162">
        <f ca="1">'ETF variations'!A162/'ETF price'!B163</f>
        <v>6.2674094707523267E-4</v>
      </c>
      <c r="B162">
        <f ca="1">'ETF variations'!B162/'ETF price'!C163</f>
        <v>1.6233327020371902E-3</v>
      </c>
      <c r="C162">
        <f ca="1">'ETF variations'!C162/'ETF price'!D163</f>
        <v>2.3723452327158606E-3</v>
      </c>
      <c r="D162">
        <f ca="1">'ETF variations'!D162/'ETF price'!E163</f>
        <v>2.5156273822227785E-3</v>
      </c>
      <c r="E162">
        <f ca="1">'ETF variations'!E162/'ETF price'!F163</f>
        <v>4.8445700444085986E-3</v>
      </c>
      <c r="F162">
        <f ca="1">'ETF variations'!F162/'ETF price'!G163</f>
        <v>7.8703703703702846E-3</v>
      </c>
      <c r="G162">
        <f ca="1">'ETF variations'!G162/'ETF price'!H163</f>
        <v>7.7760497667186176E-3</v>
      </c>
      <c r="H162">
        <f ca="1">'ETF variations'!H162/'ETF price'!I163</f>
        <v>1.2369540007730699E-3</v>
      </c>
      <c r="I162">
        <f ca="1">'ETF variations'!I162/'ETF price'!J163</f>
        <v>3.41538589695528E-3</v>
      </c>
      <c r="J162">
        <f ca="1">'ETF variations'!J162/'ETF price'!K163</f>
        <v>1.3559862806093871E-2</v>
      </c>
      <c r="K162">
        <f ca="1">'ETF variations'!K162/'ETF price'!L163</f>
        <v>2.1075415812257851E-2</v>
      </c>
      <c r="L162">
        <f ca="1">'ETF variations'!L162/'ETF price'!M163</f>
        <v>1.1688516821986966E-2</v>
      </c>
      <c r="M162">
        <f ca="1">'ETF variations'!M162/'ETF price'!N163</f>
        <v>4.0400775694893337E-3</v>
      </c>
      <c r="N162">
        <f ca="1">'ETF variations'!N162/'ETF price'!O163</f>
        <v>3.7451872593629691E-2</v>
      </c>
      <c r="O162">
        <f ca="1">'ETF variations'!O162/'ETF price'!P163</f>
        <v>1.2291590604843678E-2</v>
      </c>
      <c r="P162">
        <f ca="1">'ETF variations'!P162/'ETF price'!Q163</f>
        <v>1.2863679530346154E-2</v>
      </c>
      <c r="Q162">
        <f ca="1">'ETF variations'!Q162/'ETF price'!R163</f>
        <v>2.1606507371630334E-3</v>
      </c>
      <c r="R162">
        <f ca="1">'ETF variations'!R162/'ETF price'!S163</f>
        <v>2.137254901960791E-2</v>
      </c>
      <c r="S162">
        <f ca="1">'ETF variations'!S162/'ETF price'!T163</f>
        <v>1.0518407212621997E-2</v>
      </c>
      <c r="T162">
        <f ca="1">'ETF variations'!T162/'ETF price'!U163</f>
        <v>1.5749056358193517E-2</v>
      </c>
      <c r="U162">
        <f ca="1">'ETF variations'!U162/'ETF price'!V163</f>
        <v>2.0614871306005766E-2</v>
      </c>
      <c r="V162">
        <f ca="1">'ETF variations'!V162/'ETF price'!W163</f>
        <v>5.2863436123347938E-3</v>
      </c>
      <c r="W162">
        <f ca="1">'ETF variations'!W162/'ETF price'!X163</f>
        <v>3.9318479685451959E-3</v>
      </c>
      <c r="X162">
        <f ca="1">'ETF variations'!X162/'ETF price'!Y163</f>
        <v>-2.4217961654893531E-3</v>
      </c>
      <c r="Y162">
        <f ca="1">'ETF variations'!Y162/'ETF price'!Z163</f>
        <v>4.9999999999999403E-3</v>
      </c>
      <c r="Z162">
        <f ca="1">'ETF variations'!Z162/'ETF price'!AA163</f>
        <v>7.8904618240890293E-3</v>
      </c>
      <c r="AA162">
        <f ca="1">'ETF variations'!AA162/'ETF price'!AB163</f>
        <v>-2.15749730312838E-3</v>
      </c>
      <c r="AB162">
        <f ca="1">'ETF variations'!AB162/'ETF price'!AC163</f>
        <v>3.1376891842008437E-3</v>
      </c>
      <c r="AC162">
        <f ca="1">'ETF variations'!AC162/'ETF price'!AD163</f>
        <v>9.6969696969697056E-3</v>
      </c>
      <c r="AD162">
        <f ca="1">'ETF variations'!AD162/'ETF price'!AE163</f>
        <v>7.5471698113207279E-3</v>
      </c>
      <c r="AE162">
        <f ca="1">'ETF variations'!AE162/'ETF price'!AF163</f>
        <v>9.9337748344370206E-3</v>
      </c>
      <c r="AF162">
        <f ca="1">'ETF variations'!AF162/'ETF price'!AG163</f>
        <v>1.2802275960170676E-2</v>
      </c>
    </row>
    <row r="163" spans="1:32" x14ac:dyDescent="0.2">
      <c r="A163">
        <f ca="1">'ETF variations'!A163/'ETF price'!B164</f>
        <v>1.6911406500104441E-2</v>
      </c>
      <c r="B163">
        <f ca="1">'ETF variations'!B163/'ETF price'!C164</f>
        <v>1.815185975527411E-2</v>
      </c>
      <c r="C163">
        <f ca="1">'ETF variations'!C163/'ETF price'!D164</f>
        <v>2.0962470415868358E-2</v>
      </c>
      <c r="D163">
        <f ca="1">'ETF variations'!D163/'ETF price'!E164</f>
        <v>3.6651205231541494E-2</v>
      </c>
      <c r="E163">
        <f ca="1">'ETF variations'!E163/'ETF price'!F164</f>
        <v>7.4327038971473969E-3</v>
      </c>
      <c r="F163">
        <f ca="1">'ETF variations'!F163/'ETF price'!G164</f>
        <v>1.6077170418006496E-2</v>
      </c>
      <c r="G163">
        <f ca="1">'ETF variations'!G163/'ETF price'!H164</f>
        <v>2.2376543209876476E-2</v>
      </c>
      <c r="H163">
        <f ca="1">'ETF variations'!H163/'ETF price'!I164</f>
        <v>1.1041618407845007E-2</v>
      </c>
      <c r="I163">
        <f ca="1">'ETF variations'!I163/'ETF price'!J164</f>
        <v>1.1290523431987045E-2</v>
      </c>
      <c r="J163">
        <f ca="1">'ETF variations'!J163/'ETF price'!K164</f>
        <v>2.9904776894625774E-3</v>
      </c>
      <c r="K163">
        <f ca="1">'ETF variations'!K163/'ETF price'!L164</f>
        <v>-2.9008144594442811E-3</v>
      </c>
      <c r="L163">
        <f ca="1">'ETF variations'!L163/'ETF price'!M164</f>
        <v>-1.5612802498047513E-3</v>
      </c>
      <c r="M163">
        <f ca="1">'ETF variations'!M163/'ETF price'!N164</f>
        <v>1.0461934653146605E-2</v>
      </c>
      <c r="N163">
        <f ca="1">'ETF variations'!N163/'ETF price'!O164</f>
        <v>1.4170040485829897E-2</v>
      </c>
      <c r="O163">
        <f ca="1">'ETF variations'!O163/'ETF price'!P164</f>
        <v>7.6941572493386184E-3</v>
      </c>
      <c r="P163">
        <f ca="1">'ETF variations'!P163/'ETF price'!Q164</f>
        <v>6.6484827821343432E-3</v>
      </c>
      <c r="Q163">
        <f ca="1">'ETF variations'!Q163/'ETF price'!R164</f>
        <v>2.2701331642358991E-2</v>
      </c>
      <c r="R163">
        <f ca="1">'ETF variations'!R163/'ETF price'!S164</f>
        <v>2.6108658091764242E-2</v>
      </c>
      <c r="S163">
        <f ca="1">'ETF variations'!S163/'ETF price'!T164</f>
        <v>-1.4126394052044574E-2</v>
      </c>
      <c r="T163">
        <f ca="1">'ETF variations'!T163/'ETF price'!U164</f>
        <v>-1.9733470015376807E-2</v>
      </c>
      <c r="U163">
        <f ca="1">'ETF variations'!U163/'ETF price'!V164</f>
        <v>2.1482778750729587E-2</v>
      </c>
      <c r="V163">
        <f ca="1">'ETF variations'!V163/'ETF price'!W164</f>
        <v>1.5483494011101408E-2</v>
      </c>
      <c r="W163">
        <f ca="1">'ETF variations'!W163/'ETF price'!X164</f>
        <v>1.5665796344647438E-2</v>
      </c>
      <c r="X163">
        <f ca="1">'ETF variations'!X163/'ETF price'!Y164</f>
        <v>1.5779890754602493E-2</v>
      </c>
      <c r="Y163">
        <f ca="1">'ETF variations'!Y163/'ETF price'!Z164</f>
        <v>1.5056297460068155E-2</v>
      </c>
      <c r="Z163">
        <f ca="1">'ETF variations'!Z163/'ETF price'!AA164</f>
        <v>1.5427124107759652E-2</v>
      </c>
      <c r="AA163">
        <f ca="1">'ETF variations'!AA163/'ETF price'!AB164</f>
        <v>1.4980694980694964E-2</v>
      </c>
      <c r="AB163">
        <f ca="1">'ETF variations'!AB163/'ETF price'!AC164</f>
        <v>1.5823367065317378E-2</v>
      </c>
      <c r="AC163">
        <f ca="1">'ETF variations'!AC163/'ETF price'!AD164</f>
        <v>-6.0024009603842389E-3</v>
      </c>
      <c r="AD163">
        <f ca="1">'ETF variations'!AD163/'ETF price'!AE164</f>
        <v>-8.2397003745317936E-3</v>
      </c>
      <c r="AE163">
        <f ca="1">'ETF variations'!AE163/'ETF price'!AF164</f>
        <v>1.6393442622950907E-2</v>
      </c>
      <c r="AF163">
        <f ca="1">'ETF variations'!AF163/'ETF price'!AG164</f>
        <v>5.6179775280898927E-3</v>
      </c>
    </row>
    <row r="164" spans="1:32" x14ac:dyDescent="0.2">
      <c r="A164">
        <f ca="1">'ETF variations'!A164/'ETF price'!B165</f>
        <v>-4.2704626334519637E-2</v>
      </c>
      <c r="B164">
        <f ca="1">'ETF variations'!B164/'ETF price'!C165</f>
        <v>-4.2342079431194064E-2</v>
      </c>
      <c r="C164">
        <f ca="1">'ETF variations'!C164/'ETF price'!D165</f>
        <v>-4.4927696213710205E-2</v>
      </c>
      <c r="D164">
        <f ca="1">'ETF variations'!D164/'ETF price'!E165</f>
        <v>-5.670065282769763E-2</v>
      </c>
      <c r="E164">
        <f ca="1">'ETF variations'!E164/'ETF price'!F165</f>
        <v>-2.6719840478564235E-2</v>
      </c>
      <c r="F164">
        <f ca="1">'ETF variations'!F164/'ETF price'!G165</f>
        <v>-4.0687160940325595E-2</v>
      </c>
      <c r="G164">
        <f ca="1">'ETF variations'!G164/'ETF price'!H165</f>
        <v>-3.7358490566037676E-2</v>
      </c>
      <c r="H164">
        <f ca="1">'ETF variations'!H164/'ETF price'!I165</f>
        <v>-2.787536276157012E-2</v>
      </c>
      <c r="I164">
        <f ca="1">'ETF variations'!I164/'ETF price'!J165</f>
        <v>-2.9717194105816233E-2</v>
      </c>
      <c r="J164">
        <f ca="1">'ETF variations'!J164/'ETF price'!K165</f>
        <v>-3.5307963907414669E-2</v>
      </c>
      <c r="K164">
        <f ca="1">'ETF variations'!K164/'ETF price'!L165</f>
        <v>-4.8450262951773501E-2</v>
      </c>
      <c r="L164">
        <f ca="1">'ETF variations'!L164/'ETF price'!M165</f>
        <v>-3.252541047693519E-2</v>
      </c>
      <c r="M164">
        <f ca="1">'ETF variations'!M164/'ETF price'!N165</f>
        <v>-2.899012424338962E-2</v>
      </c>
      <c r="N164">
        <f ca="1">'ETF variations'!N164/'ETF price'!O165</f>
        <v>-5.8549567531603397E-2</v>
      </c>
      <c r="O164">
        <f ca="1">'ETF variations'!O164/'ETF price'!P165</f>
        <v>-1.1691720353137555E-2</v>
      </c>
      <c r="P164">
        <f ca="1">'ETF variations'!P164/'ETF price'!Q165</f>
        <v>-1.0753598645215886E-2</v>
      </c>
      <c r="Q164">
        <f ca="1">'ETF variations'!Q164/'ETF price'!R165</f>
        <v>-3.0629960317460302E-2</v>
      </c>
      <c r="R164">
        <f ca="1">'ETF variations'!R164/'ETF price'!S165</f>
        <v>-2.6192703461178777E-2</v>
      </c>
      <c r="S164">
        <f ca="1">'ETF variations'!S164/'ETF price'!T165</f>
        <v>4.1478129713423614E-3</v>
      </c>
      <c r="T164">
        <f ca="1">'ETF variations'!T164/'ETF price'!U165</f>
        <v>-8.4967320261438647E-3</v>
      </c>
      <c r="U164">
        <f ca="1">'ETF variations'!U164/'ETF price'!V165</f>
        <v>-2.023088352954619E-2</v>
      </c>
      <c r="V164">
        <f ca="1">'ETF variations'!V164/'ETF price'!W165</f>
        <v>-2.9919447640966605E-2</v>
      </c>
      <c r="W164">
        <f ca="1">'ETF variations'!W164/'ETF price'!X165</f>
        <v>-3.0030380930123782E-2</v>
      </c>
      <c r="X164">
        <f ca="1">'ETF variations'!X164/'ETF price'!Y165</f>
        <v>-2.7484564827723611E-2</v>
      </c>
      <c r="Y164">
        <f ca="1">'ETF variations'!Y164/'ETF price'!Z165</f>
        <v>-3.0439829743325156E-2</v>
      </c>
      <c r="Z164">
        <f ca="1">'ETF variations'!Z164/'ETF price'!AA165</f>
        <v>-2.5396825396825497E-2</v>
      </c>
      <c r="AA164">
        <f ca="1">'ETF variations'!AA164/'ETF price'!AB165</f>
        <v>-2.4345709068776544E-2</v>
      </c>
      <c r="AB164">
        <f ca="1">'ETF variations'!AB164/'ETF price'!AC165</f>
        <v>-3.4051802209744658E-2</v>
      </c>
      <c r="AC164">
        <f ca="1">'ETF variations'!AC164/'ETF price'!AD165</f>
        <v>-5.3140096618357432E-2</v>
      </c>
      <c r="AD164">
        <f ca="1">'ETF variations'!AD164/'ETF price'!AE165</f>
        <v>-4.9093655589123895E-2</v>
      </c>
      <c r="AE164">
        <f ca="1">'ETF variations'!AE164/'ETF price'!AF165</f>
        <v>0</v>
      </c>
      <c r="AF164">
        <f ca="1">'ETF variations'!AF164/'ETF price'!AG165</f>
        <v>-7.5418994413407825E-2</v>
      </c>
    </row>
    <row r="165" spans="1:32" x14ac:dyDescent="0.2">
      <c r="A165">
        <f ca="1">'ETF variations'!A165/'ETF price'!B166</f>
        <v>-1.3225621961681401E-2</v>
      </c>
      <c r="B165">
        <f ca="1">'ETF variations'!B165/'ETF price'!C166</f>
        <v>-1.2909660082555405E-2</v>
      </c>
      <c r="C165">
        <f ca="1">'ETF variations'!C165/'ETF price'!D166</f>
        <v>-1.4563106796116401E-2</v>
      </c>
      <c r="D165">
        <f ca="1">'ETF variations'!D165/'ETF price'!E166</f>
        <v>-2.0217729393468074E-2</v>
      </c>
      <c r="E165">
        <f ca="1">'ETF variations'!E165/'ETF price'!F166</f>
        <v>-8.3999180495800789E-3</v>
      </c>
      <c r="F165">
        <f ca="1">'ETF variations'!F165/'ETF price'!G166</f>
        <v>-1.4137606032045107E-2</v>
      </c>
      <c r="G165">
        <f ca="1">'ETF variations'!G165/'ETF price'!H166</f>
        <v>-1.3328106624852993E-2</v>
      </c>
      <c r="H165">
        <f ca="1">'ETF variations'!H165/'ETF price'!I166</f>
        <v>-6.9919082410244363E-3</v>
      </c>
      <c r="I165">
        <f ca="1">'ETF variations'!I165/'ETF price'!J166</f>
        <v>-7.5722323279326202E-3</v>
      </c>
      <c r="J165">
        <f ca="1">'ETF variations'!J165/'ETF price'!K166</f>
        <v>-6.9133794225295529E-3</v>
      </c>
      <c r="K165">
        <f ca="1">'ETF variations'!K165/'ETF price'!L166</f>
        <v>-1.2699905926622911E-2</v>
      </c>
      <c r="L165">
        <f ca="1">'ETF variations'!L165/'ETF price'!M166</f>
        <v>-1.2607079359948183E-2</v>
      </c>
      <c r="M165">
        <f ca="1">'ETF variations'!M165/'ETF price'!N166</f>
        <v>-7.8740157480315619E-3</v>
      </c>
      <c r="N165">
        <f ca="1">'ETF variations'!N165/'ETF price'!O166</f>
        <v>-1.6961130742049486E-2</v>
      </c>
      <c r="O165">
        <f ca="1">'ETF variations'!O165/'ETF price'!P166</f>
        <v>1.508932882665379E-2</v>
      </c>
      <c r="P165">
        <f ca="1">'ETF variations'!P165/'ETF price'!Q166</f>
        <v>1.3866301463665194E-2</v>
      </c>
      <c r="Q165">
        <f ca="1">'ETF variations'!Q165/'ETF price'!R166</f>
        <v>-7.0359472943584134E-3</v>
      </c>
      <c r="R165">
        <f ca="1">'ETF variations'!R165/'ETF price'!S166</f>
        <v>-5.7636887608068623E-3</v>
      </c>
      <c r="S165">
        <f ca="1">'ETF variations'!S165/'ETF price'!T166</f>
        <v>1.4645137063462283E-2</v>
      </c>
      <c r="T165">
        <f ca="1">'ETF variations'!T165/'ETF price'!U166</f>
        <v>3.7442320369149684E-2</v>
      </c>
      <c r="U165">
        <f ca="1">'ETF variations'!U165/'ETF price'!V166</f>
        <v>-1.1782547830144718E-2</v>
      </c>
      <c r="V165">
        <f ca="1">'ETF variations'!V165/'ETF price'!W166</f>
        <v>-7.1174377224199883E-3</v>
      </c>
      <c r="W165">
        <f ca="1">'ETF variations'!W165/'ETF price'!X166</f>
        <v>-8.3122515359596669E-3</v>
      </c>
      <c r="X165">
        <f ca="1">'ETF variations'!X165/'ETF price'!Y166</f>
        <v>-1.4130657382756456E-2</v>
      </c>
      <c r="Y165">
        <f ca="1">'ETF variations'!Y165/'ETF price'!Z166</f>
        <v>-7.9819076759346623E-3</v>
      </c>
      <c r="Z165">
        <f ca="1">'ETF variations'!Z165/'ETF price'!AA166</f>
        <v>-8.6086551884596903E-3</v>
      </c>
      <c r="AA165">
        <f ca="1">'ETF variations'!AA165/'ETF price'!AB166</f>
        <v>-1.5595757953836666E-2</v>
      </c>
      <c r="AB165">
        <f ca="1">'ETF variations'!AB165/'ETF price'!AC166</f>
        <v>-7.8754922182636741E-3</v>
      </c>
      <c r="AC165">
        <f ca="1">'ETF variations'!AC165/'ETF price'!AD166</f>
        <v>-1.9132653061224421E-2</v>
      </c>
      <c r="AD165">
        <f ca="1">'ETF variations'!AD165/'ETF price'!AE166</f>
        <v>-2.1445591739475741E-2</v>
      </c>
      <c r="AE165">
        <f ca="1">'ETF variations'!AE165/'ETF price'!AF166</f>
        <v>-9.0322580645161368E-2</v>
      </c>
      <c r="AF165">
        <f ca="1">'ETF variations'!AF165/'ETF price'!AG166</f>
        <v>1.3595166163141973E-2</v>
      </c>
    </row>
    <row r="166" spans="1:32" x14ac:dyDescent="0.2">
      <c r="A166">
        <f ca="1">'ETF variations'!A166/'ETF price'!B167</f>
        <v>-1.0432514670723739E-2</v>
      </c>
      <c r="B166">
        <f ca="1">'ETF variations'!B166/'ETF price'!C167</f>
        <v>-1.0075496056804398E-2</v>
      </c>
      <c r="C166">
        <f ca="1">'ETF variations'!C166/'ETF price'!D167</f>
        <v>-9.6176401595121676E-3</v>
      </c>
      <c r="D166">
        <f ca="1">'ETF variations'!D166/'ETF price'!E167</f>
        <v>-1.1666666666666657E-2</v>
      </c>
      <c r="E166">
        <f ca="1">'ETF variations'!E166/'ETF price'!F167</f>
        <v>-4.3388429752066297E-3</v>
      </c>
      <c r="F166">
        <f ca="1">'ETF variations'!F166/'ETF price'!G167</f>
        <v>-9.5602294455068276E-3</v>
      </c>
      <c r="G166">
        <f ca="1">'ETF variations'!G166/'ETF price'!H167</f>
        <v>-8.3432657926102837E-3</v>
      </c>
      <c r="H166">
        <f ca="1">'ETF variations'!H166/'ETF price'!I167</f>
        <v>-6.6455696202531913E-3</v>
      </c>
      <c r="I166">
        <f ca="1">'ETF variations'!I166/'ETF price'!J167</f>
        <v>-7.8857630008524904E-3</v>
      </c>
      <c r="J166">
        <f ca="1">'ETF variations'!J166/'ETF price'!K167</f>
        <v>-7.8624078624078119E-3</v>
      </c>
      <c r="K166">
        <f ca="1">'ETF variations'!K166/'ETF price'!L167</f>
        <v>-1.0242972844211523E-2</v>
      </c>
      <c r="L166">
        <f ca="1">'ETF variations'!L166/'ETF price'!M167</f>
        <v>-8.5120314290391737E-3</v>
      </c>
      <c r="M166">
        <f ca="1">'ETF variations'!M166/'ETF price'!N167</f>
        <v>-7.2751322751322383E-3</v>
      </c>
      <c r="N166">
        <f ca="1">'ETF variations'!N166/'ETF price'!O167</f>
        <v>-8.6268871315600994E-3</v>
      </c>
      <c r="O166">
        <f ca="1">'ETF variations'!O166/'ETF price'!P167</f>
        <v>-3.3892258294684369E-2</v>
      </c>
      <c r="P166">
        <f ca="1">'ETF variations'!P166/'ETF price'!Q167</f>
        <v>-3.5626846770789353E-2</v>
      </c>
      <c r="Q166">
        <f ca="1">'ETF variations'!Q166/'ETF price'!R167</f>
        <v>-1.6361762432362925E-2</v>
      </c>
      <c r="R166">
        <f ca="1">'ETF variations'!R166/'ETF price'!S167</f>
        <v>-4.2898550724637656E-2</v>
      </c>
      <c r="S166">
        <f ca="1">'ETF variations'!S166/'ETF price'!T167</f>
        <v>-2.7757216876387863E-2</v>
      </c>
      <c r="T166">
        <f ca="1">'ETF variations'!T166/'ETF price'!U167</f>
        <v>-4.0920066082094281E-2</v>
      </c>
      <c r="U166">
        <f ca="1">'ETF variations'!U166/'ETF price'!V167</f>
        <v>-1.2749380238460612E-2</v>
      </c>
      <c r="V166">
        <f ca="1">'ETF variations'!V166/'ETF price'!W167</f>
        <v>-5.3763440860214971E-3</v>
      </c>
      <c r="W166">
        <f ca="1">'ETF variations'!W166/'ETF price'!X167</f>
        <v>-4.7376093294458988E-3</v>
      </c>
      <c r="X166">
        <f ca="1">'ETF variations'!X166/'ETF price'!Y167</f>
        <v>-2.492729538844982E-3</v>
      </c>
      <c r="Y166">
        <f ca="1">'ETF variations'!Y166/'ETF price'!Z167</f>
        <v>-5.229985248759372E-3</v>
      </c>
      <c r="Z166">
        <f ca="1">'ETF variations'!Z166/'ETF price'!AA167</f>
        <v>-1.4315888289133993E-2</v>
      </c>
      <c r="AA166">
        <f ca="1">'ETF variations'!AA166/'ETF price'!AB167</f>
        <v>-7.9214195183772431E-4</v>
      </c>
      <c r="AB166">
        <f ca="1">'ETF variations'!AB166/'ETF price'!AC167</f>
        <v>-3.5910035910035483E-3</v>
      </c>
      <c r="AC166">
        <f ca="1">'ETF variations'!AC166/'ETF price'!AD167</f>
        <v>-1.1703511053316091E-2</v>
      </c>
      <c r="AD166">
        <f ca="1">'ETF variations'!AD166/'ETF price'!AE167</f>
        <v>-1.1363636363636409E-2</v>
      </c>
      <c r="AE166">
        <f ca="1">'ETF variations'!AE166/'ETF price'!AF167</f>
        <v>5.319148936170226E-2</v>
      </c>
      <c r="AF166">
        <f ca="1">'ETF variations'!AF166/'ETF price'!AG167</f>
        <v>-5.9612518628912124E-3</v>
      </c>
    </row>
    <row r="167" spans="1:32" x14ac:dyDescent="0.2">
      <c r="A167">
        <f ca="1">'ETF variations'!A167/'ETF price'!B168</f>
        <v>-9.7371696317447281E-3</v>
      </c>
      <c r="B167">
        <f ca="1">'ETF variations'!B167/'ETF price'!C168</f>
        <v>-9.7527784078023771E-3</v>
      </c>
      <c r="C167">
        <f ca="1">'ETF variations'!C167/'ETF price'!D168</f>
        <v>-7.93462813832309E-3</v>
      </c>
      <c r="D167">
        <f ca="1">'ETF variations'!D167/'ETF price'!E168</f>
        <v>-1.0439251585963198E-2</v>
      </c>
      <c r="E167">
        <f ca="1">'ETF variations'!E167/'ETF price'!F168</f>
        <v>-1.1205644324548644E-2</v>
      </c>
      <c r="F167">
        <f ca="1">'ETF variations'!F167/'ETF price'!G168</f>
        <v>-5.791505791505668E-3</v>
      </c>
      <c r="G167">
        <f ca="1">'ETF variations'!G167/'ETF price'!H168</f>
        <v>-8.0128205128204844E-3</v>
      </c>
      <c r="H167">
        <f ca="1">'ETF variations'!H167/'ETF price'!I168</f>
        <v>-6.371455877668024E-3</v>
      </c>
      <c r="I167">
        <f ca="1">'ETF variations'!I167/'ETF price'!J168</f>
        <v>-5.1127819548872086E-3</v>
      </c>
      <c r="J167">
        <f ca="1">'ETF variations'!J167/'ETF price'!K168</f>
        <v>2.6415717351823773E-3</v>
      </c>
      <c r="K167">
        <f ca="1">'ETF variations'!K167/'ETF price'!L168</f>
        <v>7.2202166064982984E-3</v>
      </c>
      <c r="L167">
        <f ca="1">'ETF variations'!L167/'ETF price'!M168</f>
        <v>-1.4858841010401752E-3</v>
      </c>
      <c r="M167">
        <f ca="1">'ETF variations'!M167/'ETF price'!N168</f>
        <v>-5.1632245169887124E-3</v>
      </c>
      <c r="N167">
        <f ca="1">'ETF variations'!N167/'ETF price'!O168</f>
        <v>2.9006526468456076E-3</v>
      </c>
      <c r="O167">
        <f ca="1">'ETF variations'!O167/'ETF price'!P168</f>
        <v>-9.1088133924174652E-3</v>
      </c>
      <c r="P167">
        <f ca="1">'ETF variations'!P167/'ETF price'!Q168</f>
        <v>-6.4781581020748411E-3</v>
      </c>
      <c r="Q167">
        <f ca="1">'ETF variations'!Q167/'ETF price'!R168</f>
        <v>-1.2311722331368668E-2</v>
      </c>
      <c r="R167">
        <f ca="1">'ETF variations'!R167/'ETF price'!S168</f>
        <v>-8.0759135877245831E-3</v>
      </c>
      <c r="S167">
        <f ca="1">'ETF variations'!S167/'ETF price'!T168</f>
        <v>-2.0936429387133641E-2</v>
      </c>
      <c r="T167">
        <f ca="1">'ETF variations'!T167/'ETF price'!U168</f>
        <v>-3.1270703590830784E-2</v>
      </c>
      <c r="U167">
        <f ca="1">'ETF variations'!U167/'ETF price'!V168</f>
        <v>8.3702020805931227E-3</v>
      </c>
      <c r="V167">
        <f ca="1">'ETF variations'!V167/'ETF price'!W168</f>
        <v>-7.5075075075075083E-3</v>
      </c>
      <c r="W167">
        <f ca="1">'ETF variations'!W167/'ETF price'!X168</f>
        <v>-7.3233247894545156E-3</v>
      </c>
      <c r="X167">
        <f ca="1">'ETF variations'!X167/'ETF price'!Y168</f>
        <v>-7.080383173677705E-3</v>
      </c>
      <c r="Y167">
        <f ca="1">'ETF variations'!Y167/'ETF price'!Z168</f>
        <v>-6.6055540576976145E-3</v>
      </c>
      <c r="Z167">
        <f ca="1">'ETF variations'!Z167/'ETF price'!AA168</f>
        <v>-3.5714285714285375E-3</v>
      </c>
      <c r="AA167">
        <f ca="1">'ETF variations'!AA167/'ETF price'!AB168</f>
        <v>-7.6105914063738208E-3</v>
      </c>
      <c r="AB167">
        <f ca="1">'ETF variations'!AB167/'ETF price'!AC168</f>
        <v>-6.8285280728376217E-3</v>
      </c>
      <c r="AC167">
        <f ca="1">'ETF variations'!AC167/'ETF price'!AD168</f>
        <v>1.4473684210526359E-2</v>
      </c>
      <c r="AD167">
        <f ca="1">'ETF variations'!AD167/'ETF price'!AE168</f>
        <v>1.4778325123152686E-2</v>
      </c>
      <c r="AE167">
        <f ca="1">'ETF variations'!AE167/'ETF price'!AF168</f>
        <v>3.3670033670032949E-3</v>
      </c>
      <c r="AF167">
        <f ca="1">'ETF variations'!AF167/'ETF price'!AG168</f>
        <v>2.6986506746626643E-2</v>
      </c>
    </row>
    <row r="168" spans="1:32" x14ac:dyDescent="0.2">
      <c r="A168">
        <f ca="1">'ETF variations'!A168/'ETF price'!B169</f>
        <v>-4.8794913499925823E-3</v>
      </c>
      <c r="B168">
        <f ca="1">'ETF variations'!B168/'ETF price'!C169</f>
        <v>-8.7608795235912321E-3</v>
      </c>
      <c r="C168">
        <f ca="1">'ETF variations'!C168/'ETF price'!D169</f>
        <v>-7.7593410528827922E-3</v>
      </c>
      <c r="D168">
        <f ca="1">'ETF variations'!D168/'ETF price'!E169</f>
        <v>-1.8583137223078847E-2</v>
      </c>
      <c r="E168">
        <f ca="1">'ETF variations'!E168/'ETF price'!F169</f>
        <v>-3.378803777544595E-2</v>
      </c>
      <c r="F168">
        <f ca="1">'ETF variations'!F168/'ETF price'!G169</f>
        <v>-2.2330097087378681E-2</v>
      </c>
      <c r="G168">
        <f ca="1">'ETF variations'!G168/'ETF price'!H169</f>
        <v>-9.2891760904685143E-3</v>
      </c>
      <c r="H168">
        <f ca="1">'ETF variations'!H168/'ETF price'!I169</f>
        <v>1.6431548573260638E-2</v>
      </c>
      <c r="I168">
        <f ca="1">'ETF variations'!I168/'ETF price'!J169</f>
        <v>1.3948868543789902E-2</v>
      </c>
      <c r="J168">
        <f ca="1">'ETF variations'!J168/'ETF price'!K169</f>
        <v>1.4490367199077928E-2</v>
      </c>
      <c r="K168">
        <f ca="1">'ETF variations'!K168/'ETF price'!L169</f>
        <v>2.1744324970131339E-2</v>
      </c>
      <c r="L168">
        <f ca="1">'ETF variations'!L168/'ETF price'!M169</f>
        <v>1.4550264550264593E-2</v>
      </c>
      <c r="M168">
        <f ca="1">'ETF variations'!M168/'ETF price'!N169</f>
        <v>1.3728444667671192E-2</v>
      </c>
      <c r="N168">
        <f ca="1">'ETF variations'!N168/'ETF price'!O169</f>
        <v>1.3015184381778721E-2</v>
      </c>
      <c r="O168">
        <f ca="1">'ETF variations'!O168/'ETF price'!P169</f>
        <v>-2.4596273291925517E-2</v>
      </c>
      <c r="P168">
        <f ca="1">'ETF variations'!P168/'ETF price'!Q169</f>
        <v>-2.5112344699973518E-2</v>
      </c>
      <c r="Q168">
        <f ca="1">'ETF variations'!Q168/'ETF price'!R169</f>
        <v>-1.312823232992965E-2</v>
      </c>
      <c r="R168">
        <f ca="1">'ETF variations'!R168/'ETF price'!S169</f>
        <v>-3.7858742112762044E-2</v>
      </c>
      <c r="S168">
        <f ca="1">'ETF variations'!S168/'ETF price'!T169</f>
        <v>-2.1384136858475785E-2</v>
      </c>
      <c r="T168">
        <f ca="1">'ETF variations'!T168/'ETF price'!U169</f>
        <v>-2.9544521953221128E-2</v>
      </c>
      <c r="U168">
        <f ca="1">'ETF variations'!U168/'ETF price'!V169</f>
        <v>-1.8261591367247622E-2</v>
      </c>
      <c r="V168">
        <f ca="1">'ETF variations'!V168/'ETF price'!W169</f>
        <v>3.0257186081694837E-3</v>
      </c>
      <c r="W168">
        <f ca="1">'ETF variations'!W168/'ETF price'!X169</f>
        <v>1.5984261650067067E-3</v>
      </c>
      <c r="X168">
        <f ca="1">'ETF variations'!X168/'ETF price'!Y169</f>
        <v>-7.9697986577181752E-3</v>
      </c>
      <c r="Y168">
        <f ca="1">'ETF variations'!Y168/'ETF price'!Z169</f>
        <v>2.5783688424480624E-3</v>
      </c>
      <c r="Z168">
        <f ca="1">'ETF variations'!Z168/'ETF price'!AA169</f>
        <v>3.5842293906809693E-3</v>
      </c>
      <c r="AA168">
        <f ca="1">'ETF variations'!AA168/'ETF price'!AB169</f>
        <v>-5.7517175267615675E-3</v>
      </c>
      <c r="AB168">
        <f ca="1">'ETF variations'!AB168/'ETF price'!AC169</f>
        <v>1.7188693659282545E-3</v>
      </c>
      <c r="AC168">
        <f ca="1">'ETF variations'!AC168/'ETF price'!AD169</f>
        <v>-1.8158236057068702E-2</v>
      </c>
      <c r="AD168">
        <f ca="1">'ETF variations'!AD168/'ETF price'!AE169</f>
        <v>-1.6990291262135849E-2</v>
      </c>
      <c r="AE168">
        <f ca="1">'ETF variations'!AE168/'ETF price'!AF169</f>
        <v>-2.6845637583892641E-2</v>
      </c>
      <c r="AF168">
        <f ca="1">'ETF variations'!AF168/'ETF price'!AG169</f>
        <v>-4.6715328467153198E-2</v>
      </c>
    </row>
    <row r="169" spans="1:32" x14ac:dyDescent="0.2">
      <c r="A169">
        <f ca="1">'ETF variations'!A169/'ETF price'!B170</f>
        <v>-1.3001485884101041E-2</v>
      </c>
      <c r="B169">
        <f ca="1">'ETF variations'!B169/'ETF price'!C170</f>
        <v>-1.1755531165155247E-2</v>
      </c>
      <c r="C169">
        <f ca="1">'ETF variations'!C169/'ETF price'!D170</f>
        <v>-1.2391722810394624E-2</v>
      </c>
      <c r="D169">
        <f ca="1">'ETF variations'!D169/'ETF price'!E170</f>
        <v>-1.0914503059368226E-2</v>
      </c>
      <c r="E169">
        <f ca="1">'ETF variations'!E169/'ETF price'!F170</f>
        <v>-6.5160729800173142E-3</v>
      </c>
      <c r="F169">
        <f ca="1">'ETF variations'!F169/'ETF price'!G170</f>
        <v>-9.9304865938430621E-3</v>
      </c>
      <c r="G169">
        <f ca="1">'ETF variations'!G169/'ETF price'!H170</f>
        <v>-6.930289441500273E-3</v>
      </c>
      <c r="H169">
        <f ca="1">'ETF variations'!H169/'ETF price'!I170</f>
        <v>-1.4352180427411146E-2</v>
      </c>
      <c r="I169">
        <f ca="1">'ETF variations'!I169/'ETF price'!J170</f>
        <v>-1.4310660590314687E-2</v>
      </c>
      <c r="J169">
        <f ca="1">'ETF variations'!J169/'ETF price'!K170</f>
        <v>-1.647459827950009E-2</v>
      </c>
      <c r="K169">
        <f ca="1">'ETF variations'!K169/'ETF price'!L170</f>
        <v>-2.0930776426566794E-2</v>
      </c>
      <c r="L169">
        <f ca="1">'ETF variations'!L169/'ETF price'!M170</f>
        <v>-2.2327249022164236E-2</v>
      </c>
      <c r="M169">
        <f ca="1">'ETF variations'!M169/'ETF price'!N170</f>
        <v>-1.502890173410399E-2</v>
      </c>
      <c r="N169">
        <f ca="1">'ETF variations'!N169/'ETF price'!O170</f>
        <v>-2.7123483226266881E-2</v>
      </c>
      <c r="O169">
        <f ca="1">'ETF variations'!O169/'ETF price'!P170</f>
        <v>1.8339276617422285E-2</v>
      </c>
      <c r="P169">
        <f ca="1">'ETF variations'!P169/'ETF price'!Q170</f>
        <v>2.0788141720896575E-2</v>
      </c>
      <c r="Q169">
        <f ca="1">'ETF variations'!Q169/'ETF price'!R170</f>
        <v>-9.4060736361203153E-4</v>
      </c>
      <c r="R169">
        <f ca="1">'ETF variations'!R169/'ETF price'!S170</f>
        <v>8.2504759889992264E-3</v>
      </c>
      <c r="S169">
        <f ca="1">'ETF variations'!S169/'ETF price'!T170</f>
        <v>6.7540723083034625E-3</v>
      </c>
      <c r="T169">
        <f ca="1">'ETF variations'!T169/'ETF price'!U170</f>
        <v>6.7653276955603097E-3</v>
      </c>
      <c r="U169">
        <f ca="1">'ETF variations'!U169/'ETF price'!V170</f>
        <v>-2.3553569271651198E-2</v>
      </c>
      <c r="V169">
        <f ca="1">'ETF variations'!V169/'ETF price'!W170</f>
        <v>-7.8431372549019017E-3</v>
      </c>
      <c r="W169">
        <f ca="1">'ETF variations'!W169/'ETF price'!X170</f>
        <v>-7.6110974711513677E-3</v>
      </c>
      <c r="X169">
        <f ca="1">'ETF variations'!X169/'ETF price'!Y170</f>
        <v>-6.5539112050738944E-3</v>
      </c>
      <c r="Y169">
        <f ca="1">'ETF variations'!Y169/'ETF price'!Z170</f>
        <v>-7.98592311857051E-3</v>
      </c>
      <c r="Z169">
        <f ca="1">'ETF variations'!Z169/'ETF price'!AA170</f>
        <v>-1.7142857142857116E-2</v>
      </c>
      <c r="AA169">
        <f ca="1">'ETF variations'!AA169/'ETF price'!AB170</f>
        <v>-7.3919331512131408E-3</v>
      </c>
      <c r="AB169">
        <f ca="1">'ETF variations'!AB169/'ETF price'!AC170</f>
        <v>-7.8169685414681347E-3</v>
      </c>
      <c r="AC169">
        <f ca="1">'ETF variations'!AC169/'ETF price'!AD170</f>
        <v>3.9630118890355828E-3</v>
      </c>
      <c r="AD169">
        <f ca="1">'ETF variations'!AD169/'ETF price'!AE170</f>
        <v>2.4691358024690833E-3</v>
      </c>
      <c r="AE169">
        <f ca="1">'ETF variations'!AE169/'ETF price'!AF170</f>
        <v>-1.3793103448275874E-2</v>
      </c>
      <c r="AF169">
        <f ca="1">'ETF variations'!AF169/'ETF price'!AG170</f>
        <v>-1.071975497702914E-2</v>
      </c>
    </row>
    <row r="170" spans="1:32" x14ac:dyDescent="0.2">
      <c r="A170">
        <f ca="1">'ETF variations'!A170/'ETF price'!B171</f>
        <v>-6.6240120436582275E-3</v>
      </c>
      <c r="B170">
        <f ca="1">'ETF variations'!B170/'ETF price'!C171</f>
        <v>-7.2482829168492224E-3</v>
      </c>
      <c r="C170">
        <f ca="1">'ETF variations'!C170/'ETF price'!D171</f>
        <v>-9.3799488366428339E-3</v>
      </c>
      <c r="D170">
        <f ca="1">'ETF variations'!D170/'ETF price'!E171</f>
        <v>-1.1536532352449504E-2</v>
      </c>
      <c r="E170">
        <f ca="1">'ETF variations'!E170/'ETF price'!F171</f>
        <v>-3.9352864013992069E-3</v>
      </c>
      <c r="F170">
        <f ca="1">'ETF variations'!F170/'ETF price'!G171</f>
        <v>-5.0150451354062896E-3</v>
      </c>
      <c r="G170">
        <f ca="1">'ETF variations'!G170/'ETF price'!H171</f>
        <v>-6.5681444991789878E-3</v>
      </c>
      <c r="H170">
        <f ca="1">'ETF variations'!H170/'ETF price'!I171</f>
        <v>9.60076806144528E-4</v>
      </c>
      <c r="I170">
        <f ca="1">'ETF variations'!I170/'ETF price'!J171</f>
        <v>-7.7777297671004979E-4</v>
      </c>
      <c r="J170">
        <f ca="1">'ETF variations'!J170/'ETF price'!K171</f>
        <v>-1.3614984734714015E-2</v>
      </c>
      <c r="K170">
        <f ca="1">'ETF variations'!K170/'ETF price'!L171</f>
        <v>-2.8544129941478567E-2</v>
      </c>
      <c r="L170">
        <f ca="1">'ETF variations'!L170/'ETF price'!M171</f>
        <v>-1.5002500416736099E-2</v>
      </c>
      <c r="M170">
        <f ca="1">'ETF variations'!M170/'ETF price'!N171</f>
        <v>-1.1737089201877982E-3</v>
      </c>
      <c r="N170">
        <f ca="1">'ETF variations'!N170/'ETF price'!O171</f>
        <v>-2.1276595744680916E-2</v>
      </c>
      <c r="O170">
        <f ca="1">'ETF variations'!O170/'ETF price'!P171</f>
        <v>-9.2546273136567651E-3</v>
      </c>
      <c r="P170">
        <f ca="1">'ETF variations'!P170/'ETF price'!Q171</f>
        <v>-1.1067823623162741E-2</v>
      </c>
      <c r="Q170">
        <f ca="1">'ETF variations'!Q170/'ETF price'!R171</f>
        <v>-3.0934767989238706E-3</v>
      </c>
      <c r="R170">
        <f ca="1">'ETF variations'!R170/'ETF price'!S171</f>
        <v>7.1338648762065346E-3</v>
      </c>
      <c r="S170">
        <f ca="1">'ETF variations'!S170/'ETF price'!T171</f>
        <v>-5.9194948697710572E-3</v>
      </c>
      <c r="T170">
        <f ca="1">'ETF variations'!T170/'ETF price'!U171</f>
        <v>-1.399972000560705E-4</v>
      </c>
      <c r="U170">
        <f ca="1">'ETF variations'!U170/'ETF price'!V171</f>
        <v>1.8678871845620868E-2</v>
      </c>
      <c r="V170">
        <f ca="1">'ETF variations'!V170/'ETF price'!W171</f>
        <v>-2.432350258437163E-3</v>
      </c>
      <c r="W170">
        <f ca="1">'ETF variations'!W170/'ETF price'!X171</f>
        <v>-3.0925284512617517E-3</v>
      </c>
      <c r="X170">
        <f ca="1">'ETF variations'!X170/'ETF price'!Y171</f>
        <v>-1.53224090231964E-2</v>
      </c>
      <c r="Y170">
        <f ca="1">'ETF variations'!Y170/'ETF price'!Z171</f>
        <v>-2.0466639377814937E-3</v>
      </c>
      <c r="Z170">
        <f ca="1">'ETF variations'!Z170/'ETF price'!AA171</f>
        <v>1.0416666666666659E-2</v>
      </c>
      <c r="AA170">
        <f ca="1">'ETF variations'!AA170/'ETF price'!AB171</f>
        <v>-1.618908855431439E-2</v>
      </c>
      <c r="AB170">
        <f ca="1">'ETF variations'!AB170/'ETF price'!AC171</f>
        <v>-2.113758647194455E-3</v>
      </c>
      <c r="AC170">
        <f ca="1">'ETF variations'!AC170/'ETF price'!AD171</f>
        <v>-5.657894736842102E-2</v>
      </c>
      <c r="AD170">
        <f ca="1">'ETF variations'!AD170/'ETF price'!AE171</f>
        <v>-5.8292282430213394E-2</v>
      </c>
      <c r="AE170">
        <f ca="1">'ETF variations'!AE170/'ETF price'!AF171</f>
        <v>-2.0979020979020997E-2</v>
      </c>
      <c r="AF170">
        <f ca="1">'ETF variations'!AF170/'ETF price'!AG171</f>
        <v>-4.1795665634674857E-2</v>
      </c>
    </row>
    <row r="171" spans="1:32" x14ac:dyDescent="0.2">
      <c r="A171">
        <f ca="1">'ETF variations'!A171/'ETF price'!B172</f>
        <v>1.5988482230810137E-2</v>
      </c>
      <c r="B171">
        <f ca="1">'ETF variations'!B171/'ETF price'!C172</f>
        <v>1.5927223481614412E-2</v>
      </c>
      <c r="C171">
        <f ca="1">'ETF variations'!C171/'ETF price'!D172</f>
        <v>1.7092966060009845E-2</v>
      </c>
      <c r="D171">
        <f ca="1">'ETF variations'!D171/'ETF price'!E172</f>
        <v>1.6914749661705007E-2</v>
      </c>
      <c r="E171">
        <f ca="1">'ETF variations'!E171/'ETF price'!F172</f>
        <v>1.6900790166812906E-2</v>
      </c>
      <c r="F171">
        <f ca="1">'ETF variations'!F171/'ETF price'!G172</f>
        <v>1.2600806451612904E-2</v>
      </c>
      <c r="G171">
        <f ca="1">'ETF variations'!G171/'ETF price'!H172</f>
        <v>3.0991735537190084E-2</v>
      </c>
      <c r="H171">
        <f ca="1">'ETF variations'!H171/'ETF price'!I172</f>
        <v>1.6305651027096205E-2</v>
      </c>
      <c r="I171">
        <f ca="1">'ETF variations'!I171/'ETF price'!J172</f>
        <v>1.8335135135135173E-2</v>
      </c>
      <c r="J171">
        <f ca="1">'ETF variations'!J171/'ETF price'!K172</f>
        <v>2.802409235402371E-2</v>
      </c>
      <c r="K171">
        <f ca="1">'ETF variations'!K171/'ETF price'!L172</f>
        <v>4.2414556183919386E-2</v>
      </c>
      <c r="L171">
        <f ca="1">'ETF variations'!L171/'ETF price'!M172</f>
        <v>3.0123540362159314E-2</v>
      </c>
      <c r="M171">
        <f ca="1">'ETF variations'!M171/'ETF price'!N172</f>
        <v>1.89692798388451E-2</v>
      </c>
      <c r="N171">
        <f ca="1">'ETF variations'!N171/'ETF price'!O172</f>
        <v>4.4227886056971505E-2</v>
      </c>
      <c r="O171">
        <f ca="1">'ETF variations'!O171/'ETF price'!P172</f>
        <v>-1.1613228982580178E-2</v>
      </c>
      <c r="P171">
        <f ca="1">'ETF variations'!P171/'ETF price'!Q172</f>
        <v>-1.1728892470230122E-2</v>
      </c>
      <c r="Q171">
        <f ca="1">'ETF variations'!Q171/'ETF price'!R172</f>
        <v>2.7657852131678318E-2</v>
      </c>
      <c r="R171">
        <f ca="1">'ETF variations'!R171/'ETF price'!S172</f>
        <v>8.9583333333333268E-3</v>
      </c>
      <c r="S171">
        <f ca="1">'ETF variations'!S171/'ETF price'!T172</f>
        <v>-2.3818975784041341E-2</v>
      </c>
      <c r="T171">
        <f ca="1">'ETF variations'!T171/'ETF price'!U172</f>
        <v>-5.3206384766171899E-2</v>
      </c>
      <c r="U171">
        <f ca="1">'ETF variations'!U171/'ETF price'!V172</f>
        <v>6.156648451730428E-2</v>
      </c>
      <c r="V171">
        <f ca="1">'ETF variations'!V171/'ETF price'!W172</f>
        <v>1.9811033221578744E-2</v>
      </c>
      <c r="W171">
        <f ca="1">'ETF variations'!W171/'ETF price'!X172</f>
        <v>1.9977664722670298E-2</v>
      </c>
      <c r="X171">
        <f ca="1">'ETF variations'!X171/'ETF price'!Y172</f>
        <v>2.0099416468554131E-2</v>
      </c>
      <c r="Y171">
        <f ca="1">'ETF variations'!Y171/'ETF price'!Z172</f>
        <v>2.0235165436149904E-2</v>
      </c>
      <c r="Z171">
        <f ca="1">'ETF variations'!Z171/'ETF price'!AA172</f>
        <v>1.918005274514498E-2</v>
      </c>
      <c r="AA171">
        <f ca="1">'ETF variations'!AA171/'ETF price'!AB172</f>
        <v>1.9252920849103086E-2</v>
      </c>
      <c r="AB171">
        <f ca="1">'ETF variations'!AB171/'ETF price'!AC172</f>
        <v>1.8678990949354879E-2</v>
      </c>
      <c r="AC171">
        <f ca="1">'ETF variations'!AC171/'ETF price'!AD172</f>
        <v>1.5341701534170199E-2</v>
      </c>
      <c r="AD171">
        <f ca="1">'ETF variations'!AD171/'ETF price'!AE172</f>
        <v>1.6564952048822971E-2</v>
      </c>
      <c r="AE171">
        <f ca="1">'ETF variations'!AE171/'ETF price'!AF172</f>
        <v>3.5714285714286542E-3</v>
      </c>
      <c r="AF171">
        <f ca="1">'ETF variations'!AF171/'ETF price'!AG172</f>
        <v>3.5541195476575076E-2</v>
      </c>
    </row>
    <row r="172" spans="1:32" x14ac:dyDescent="0.2">
      <c r="A172">
        <f ca="1">'ETF variations'!A172/'ETF price'!B173</f>
        <v>3.4307875894986537E-3</v>
      </c>
      <c r="B172">
        <f ca="1">'ETF variations'!B172/'ETF price'!C173</f>
        <v>6.0275878057263277E-3</v>
      </c>
      <c r="C172">
        <f ca="1">'ETF variations'!C172/'ETF price'!D173</f>
        <v>5.1988876798453251E-3</v>
      </c>
      <c r="D172">
        <f ca="1">'ETF variations'!D172/'ETF price'!E173</f>
        <v>1.6799733865602216E-2</v>
      </c>
      <c r="E172">
        <f ca="1">'ETF variations'!E172/'ETF price'!F173</f>
        <v>1.165551478523633E-2</v>
      </c>
      <c r="F172">
        <f ca="1">'ETF variations'!F172/'ETF price'!G173</f>
        <v>1.5928322548531621E-2</v>
      </c>
      <c r="G172">
        <f ca="1">'ETF variations'!G172/'ETF price'!H173</f>
        <v>1.3226452905811698E-2</v>
      </c>
      <c r="H172">
        <f ca="1">'ETF variations'!H172/'ETF price'!I173</f>
        <v>1.7381046008651261E-2</v>
      </c>
      <c r="I172">
        <f ca="1">'ETF variations'!I172/'ETF price'!J173</f>
        <v>1.8981697736634245E-2</v>
      </c>
      <c r="J172">
        <f ca="1">'ETF variations'!J172/'ETF price'!K173</f>
        <v>3.3281796728781864E-2</v>
      </c>
      <c r="K172">
        <f ca="1">'ETF variations'!K172/'ETF price'!L173</f>
        <v>3.1017808703856529E-2</v>
      </c>
      <c r="L172">
        <f ca="1">'ETF variations'!L172/'ETF price'!M173</f>
        <v>2.2671266633809802E-2</v>
      </c>
      <c r="M172">
        <f ca="1">'ETF variations'!M172/'ETF price'!N173</f>
        <v>1.9110378912685282E-2</v>
      </c>
      <c r="N172">
        <f ca="1">'ETF variations'!N172/'ETF price'!O173</f>
        <v>2.7817659727207542E-2</v>
      </c>
      <c r="O172">
        <f ca="1">'ETF variations'!O172/'ETF price'!P173</f>
        <v>4.3422733077905932E-3</v>
      </c>
      <c r="P172">
        <f ca="1">'ETF variations'!P172/'ETF price'!Q173</f>
        <v>5.8887479615872956E-3</v>
      </c>
      <c r="Q172">
        <f ca="1">'ETF variations'!Q172/'ETF price'!R173</f>
        <v>9.7151109360639996E-3</v>
      </c>
      <c r="R172">
        <f ca="1">'ETF variations'!R172/'ETF price'!S173</f>
        <v>6.1945075366507778E-3</v>
      </c>
      <c r="S172">
        <f ca="1">'ETF variations'!S172/'ETF price'!T173</f>
        <v>4.0666937779585775E-3</v>
      </c>
      <c r="T172">
        <f ca="1">'ETF variations'!T172/'ETF price'!U173</f>
        <v>6.9506063294883002E-3</v>
      </c>
      <c r="U172">
        <f ca="1">'ETF variations'!U172/'ETF price'!V173</f>
        <v>3.7748798901852927E-3</v>
      </c>
      <c r="V172">
        <f ca="1">'ETF variations'!V172/'ETF price'!W173</f>
        <v>1.7632994620442207E-2</v>
      </c>
      <c r="W172">
        <f ca="1">'ETF variations'!W172/'ETF price'!X173</f>
        <v>1.6301703163017073E-2</v>
      </c>
      <c r="X172">
        <f ca="1">'ETF variations'!X172/'ETF price'!Y173</f>
        <v>2.1186440677966101E-2</v>
      </c>
      <c r="Y172">
        <f ca="1">'ETF variations'!Y172/'ETF price'!Z173</f>
        <v>1.7555615116590755E-2</v>
      </c>
      <c r="Z172">
        <f ca="1">'ETF variations'!Z172/'ETF price'!AA173</f>
        <v>2.8228652081864164E-3</v>
      </c>
      <c r="AA172">
        <f ca="1">'ETF variations'!AA172/'ETF price'!AB173</f>
        <v>2.1472392638036897E-2</v>
      </c>
      <c r="AB172">
        <f ca="1">'ETF variations'!AB172/'ETF price'!AC173</f>
        <v>1.7580340264650277E-2</v>
      </c>
      <c r="AC172">
        <f ca="1">'ETF variations'!AC172/'ETF price'!AD173</f>
        <v>1.7857142857142842E-2</v>
      </c>
      <c r="AD172">
        <f ca="1">'ETF variations'!AD172/'ETF price'!AE173</f>
        <v>2.0583190394511168E-2</v>
      </c>
      <c r="AE172">
        <f ca="1">'ETF variations'!AE172/'ETF price'!AF173</f>
        <v>-2.1352313167259804E-2</v>
      </c>
      <c r="AF172">
        <f ca="1">'ETF variations'!AF172/'ETF price'!AG173</f>
        <v>6.8642745709828312E-2</v>
      </c>
    </row>
    <row r="173" spans="1:32" x14ac:dyDescent="0.2">
      <c r="A173">
        <f ca="1">'ETF variations'!A173/'ETF price'!B174</f>
        <v>1.9771071800208092E-2</v>
      </c>
      <c r="B173">
        <f ca="1">'ETF variations'!B173/'ETF price'!C174</f>
        <v>2.1603871413757345E-2</v>
      </c>
      <c r="C173">
        <f ca="1">'ETF variations'!C173/'ETF price'!D174</f>
        <v>2.4416646620158782E-2</v>
      </c>
      <c r="D173">
        <f ca="1">'ETF variations'!D173/'ETF price'!E174</f>
        <v>2.40471127106167E-2</v>
      </c>
      <c r="E173">
        <f ca="1">'ETF variations'!E173/'ETF price'!F174</f>
        <v>3.3070194154043192E-2</v>
      </c>
      <c r="F173">
        <f ca="1">'ETF variations'!F173/'ETF price'!G174</f>
        <v>2.939735423811864E-2</v>
      </c>
      <c r="G173">
        <f ca="1">'ETF variations'!G173/'ETF price'!H174</f>
        <v>2.0569620253164538E-2</v>
      </c>
      <c r="H173">
        <f ca="1">'ETF variations'!H173/'ETF price'!I174</f>
        <v>8.8126159554729917E-3</v>
      </c>
      <c r="I173">
        <f ca="1">'ETF variations'!I173/'ETF price'!J174</f>
        <v>9.2932155359226106E-3</v>
      </c>
      <c r="J173">
        <f ca="1">'ETF variations'!J173/'ETF price'!K174</f>
        <v>1.1182863443061913E-2</v>
      </c>
      <c r="K173">
        <f ca="1">'ETF variations'!K173/'ETF price'!L174</f>
        <v>6.749027682452567E-3</v>
      </c>
      <c r="L173">
        <f ca="1">'ETF variations'!L173/'ETF price'!M174</f>
        <v>1.301204819277112E-2</v>
      </c>
      <c r="M173">
        <f ca="1">'ETF variations'!M173/'ETF price'!N174</f>
        <v>9.3760103459424229E-3</v>
      </c>
      <c r="N173">
        <f ca="1">'ETF variations'!N173/'ETF price'!O174</f>
        <v>1.3445084686572305E-2</v>
      </c>
      <c r="O173">
        <f ca="1">'ETF variations'!O173/'ETF price'!P174</f>
        <v>2.4923702950152515E-2</v>
      </c>
      <c r="P173">
        <f ca="1">'ETF variations'!P173/'ETF price'!Q174</f>
        <v>2.5488606682878487E-2</v>
      </c>
      <c r="Q173">
        <f ca="1">'ETF variations'!Q173/'ETF price'!R174</f>
        <v>1.5082564035886058E-2</v>
      </c>
      <c r="R173">
        <f ca="1">'ETF variations'!R173/'ETF price'!S174</f>
        <v>3.7964293043299846E-2</v>
      </c>
      <c r="S173">
        <f ca="1">'ETF variations'!S173/'ETF price'!T174</f>
        <v>2.8351559335763436E-2</v>
      </c>
      <c r="T173">
        <f ca="1">'ETF variations'!T173/'ETF price'!U174</f>
        <v>4.4206197679541648E-2</v>
      </c>
      <c r="U173">
        <f ca="1">'ETF variations'!U173/'ETF price'!V174</f>
        <v>4.5584045584052711E-4</v>
      </c>
      <c r="V173">
        <f ca="1">'ETF variations'!V173/'ETF price'!W174</f>
        <v>9.1042584434655599E-3</v>
      </c>
      <c r="W173">
        <f ca="1">'ETF variations'!W173/'ETF price'!X174</f>
        <v>1.0294469715106528E-2</v>
      </c>
      <c r="X173">
        <f ca="1">'ETF variations'!X173/'ETF price'!Y174</f>
        <v>1.4730290456431405E-2</v>
      </c>
      <c r="Y173">
        <f ca="1">'ETF variations'!Y173/'ETF price'!Z174</f>
        <v>9.482418016594215E-3</v>
      </c>
      <c r="Z173">
        <f ca="1">'ETF variations'!Z173/'ETF price'!AA174</f>
        <v>9.6176401595119993E-3</v>
      </c>
      <c r="AA173">
        <f ca="1">'ETF variations'!AA173/'ETF price'!AB174</f>
        <v>1.2328117591275391E-2</v>
      </c>
      <c r="AB173">
        <f ca="1">'ETF variations'!AB173/'ETF price'!AC174</f>
        <v>1.3375441203789688E-2</v>
      </c>
      <c r="AC173">
        <f ca="1">'ETF variations'!AC173/'ETF price'!AD174</f>
        <v>0.10796221322537121</v>
      </c>
      <c r="AD173">
        <f ca="1">'ETF variations'!AD173/'ETF price'!AE174</f>
        <v>0.10672268907563022</v>
      </c>
      <c r="AE173">
        <f ca="1">'ETF variations'!AE173/'ETF price'!AF174</f>
        <v>5.818181818181823E-2</v>
      </c>
      <c r="AF173">
        <f ca="1">'ETF variations'!AF173/'ETF price'!AG174</f>
        <v>7.883211678832118E-2</v>
      </c>
    </row>
    <row r="174" spans="1:32" x14ac:dyDescent="0.2">
      <c r="A174">
        <f ca="1">'ETF variations'!A174/'ETF price'!B175</f>
        <v>1.603498542274065E-2</v>
      </c>
      <c r="B174">
        <f ca="1">'ETF variations'!B174/'ETF price'!C175</f>
        <v>1.5846162521851767E-2</v>
      </c>
      <c r="C174">
        <f ca="1">'ETF variations'!C174/'ETF price'!D175</f>
        <v>1.3737231419513933E-2</v>
      </c>
      <c r="D174">
        <f ca="1">'ETF variations'!D174/'ETF price'!E175</f>
        <v>4.8722044728434456E-3</v>
      </c>
      <c r="E174">
        <f ca="1">'ETF variations'!E174/'ETF price'!F175</f>
        <v>1.6109045848822823E-2</v>
      </c>
      <c r="F174">
        <f ca="1">'ETF variations'!F174/'ETF price'!G175</f>
        <v>1.1423131841979935E-2</v>
      </c>
      <c r="G174">
        <f ca="1">'ETF variations'!G174/'ETF price'!H175</f>
        <v>5.8139534883720374E-3</v>
      </c>
      <c r="H174">
        <f ca="1">'ETF variations'!H174/'ETF price'!I175</f>
        <v>6.6666666666667018E-3</v>
      </c>
      <c r="I174">
        <f ca="1">'ETF variations'!I174/'ETF price'!J175</f>
        <v>6.2760642470787824E-3</v>
      </c>
      <c r="J174">
        <f ca="1">'ETF variations'!J174/'ETF price'!K175</f>
        <v>1.7912772585668983E-3</v>
      </c>
      <c r="K174">
        <f ca="1">'ETF variations'!K174/'ETF price'!L175</f>
        <v>7.6127712759913833E-3</v>
      </c>
      <c r="L174">
        <f ca="1">'ETF variations'!L174/'ETF price'!M175</f>
        <v>2.2201078338090798E-3</v>
      </c>
      <c r="M174">
        <f ca="1">'ETF variations'!M174/'ETF price'!N175</f>
        <v>6.7264573991031662E-3</v>
      </c>
      <c r="N174">
        <f ca="1">'ETF variations'!N174/'ETF price'!O175</f>
        <v>6.2026188835285915E-3</v>
      </c>
      <c r="O174">
        <f ca="1">'ETF variations'!O174/'ETF price'!P175</f>
        <v>1.8362282878411962E-2</v>
      </c>
      <c r="P174">
        <f ca="1">'ETF variations'!P174/'ETF price'!Q175</f>
        <v>1.730194976286667E-2</v>
      </c>
      <c r="Q174">
        <f ca="1">'ETF variations'!Q174/'ETF price'!R175</f>
        <v>9.3505828102985016E-3</v>
      </c>
      <c r="R174">
        <f ca="1">'ETF variations'!R174/'ETF price'!S175</f>
        <v>-5.9311981020168322E-4</v>
      </c>
      <c r="S174">
        <f ca="1">'ETF variations'!S174/'ETF price'!T175</f>
        <v>1.3784954706577309E-2</v>
      </c>
      <c r="T174">
        <f ca="1">'ETF variations'!T174/'ETF price'!U175</f>
        <v>1.7862165963431931E-2</v>
      </c>
      <c r="U174">
        <f ca="1">'ETF variations'!U174/'ETF price'!V175</f>
        <v>4.6702357899532582E-3</v>
      </c>
      <c r="V174">
        <f ca="1">'ETF variations'!V174/'ETF price'!W175</f>
        <v>8.1490104772992192E-3</v>
      </c>
      <c r="W174">
        <f ca="1">'ETF variations'!W174/'ETF price'!X175</f>
        <v>9.0047393364927827E-3</v>
      </c>
      <c r="X174">
        <f ca="1">'ETF variations'!X174/'ETF price'!Y175</f>
        <v>1.1040686976078641E-2</v>
      </c>
      <c r="Y174">
        <f ca="1">'ETF variations'!Y174/'ETF price'!Z175</f>
        <v>8.0887149380298798E-3</v>
      </c>
      <c r="Z174">
        <f ca="1">'ETF variations'!Z174/'ETF price'!AA175</f>
        <v>8.3643122676579796E-3</v>
      </c>
      <c r="AA174">
        <f ca="1">'ETF variations'!AA174/'ETF price'!AB175</f>
        <v>9.9921935987509845E-3</v>
      </c>
      <c r="AB174">
        <f ca="1">'ETF variations'!AB174/'ETF price'!AC175</f>
        <v>8.7992667277727588E-3</v>
      </c>
      <c r="AC174">
        <f ca="1">'ETF variations'!AC174/'ETF price'!AD175</f>
        <v>5.2375152253349537E-2</v>
      </c>
      <c r="AD174">
        <f ca="1">'ETF variations'!AD174/'ETF price'!AE175</f>
        <v>5.1632498101746374E-2</v>
      </c>
      <c r="AE174">
        <f ca="1">'ETF variations'!AE174/'ETF price'!AF175</f>
        <v>7.5601374570446647E-2</v>
      </c>
      <c r="AF174">
        <f ca="1">'ETF variations'!AF174/'ETF price'!AG175</f>
        <v>3.112313937753727E-2</v>
      </c>
    </row>
    <row r="175" spans="1:32" x14ac:dyDescent="0.2">
      <c r="A175">
        <f ca="1">'ETF variations'!A175/'ETF price'!B176</f>
        <v>-5.3084648493543794E-2</v>
      </c>
      <c r="B175">
        <f ca="1">'ETF variations'!B175/'ETF price'!C176</f>
        <v>-5.2375929832352473E-2</v>
      </c>
      <c r="C175">
        <f ca="1">'ETF variations'!C175/'ETF price'!D176</f>
        <v>-5.6868195506138482E-2</v>
      </c>
      <c r="D175">
        <f ca="1">'ETF variations'!D175/'ETF price'!E176</f>
        <v>-6.215722120658141E-2</v>
      </c>
      <c r="E175">
        <f ca="1">'ETF variations'!E175/'ETF price'!F176</f>
        <v>-4.0243902439024468E-2</v>
      </c>
      <c r="F175">
        <f ca="1">'ETF variations'!F175/'ETF price'!G176</f>
        <v>-5.5529411764705869E-2</v>
      </c>
      <c r="G175">
        <f ca="1">'ETF variations'!G175/'ETF price'!H176</f>
        <v>-4.2003853564547201E-2</v>
      </c>
      <c r="H175">
        <f ca="1">'ETF variations'!H175/'ETF price'!I176</f>
        <v>-3.3036461901499607E-2</v>
      </c>
      <c r="I175">
        <f ca="1">'ETF variations'!I175/'ETF price'!J176</f>
        <v>-3.3195191005703513E-2</v>
      </c>
      <c r="J175">
        <f ca="1">'ETF variations'!J175/'ETF price'!K176</f>
        <v>-4.5012827489699078E-2</v>
      </c>
      <c r="K175">
        <f ca="1">'ETF variations'!K175/'ETF price'!L176</f>
        <v>-5.1195308976093888E-2</v>
      </c>
      <c r="L175">
        <f ca="1">'ETF variations'!L175/'ETF price'!M176</f>
        <v>-4.2405063291139238E-2</v>
      </c>
      <c r="M175">
        <f ca="1">'ETF variations'!M175/'ETF price'!N176</f>
        <v>-3.3884823417117446E-2</v>
      </c>
      <c r="N175">
        <f ca="1">'ETF variations'!N175/'ETF price'!O176</f>
        <v>-5.958904109589036E-2</v>
      </c>
      <c r="O175">
        <f ca="1">'ETF variations'!O175/'ETF price'!P176</f>
        <v>-2.5219298245613954E-2</v>
      </c>
      <c r="P175">
        <f ca="1">'ETF variations'!P175/'ETF price'!Q176</f>
        <v>-2.5209358542691893E-2</v>
      </c>
      <c r="Q175">
        <f ca="1">'ETF variations'!Q175/'ETF price'!R176</f>
        <v>-3.5659898477157392E-2</v>
      </c>
      <c r="R175">
        <f ca="1">'ETF variations'!R175/'ETF price'!S176</f>
        <v>-3.6399604352126538E-2</v>
      </c>
      <c r="S175">
        <f ca="1">'ETF variations'!S175/'ETF price'!T176</f>
        <v>-5.0505050505050119E-3</v>
      </c>
      <c r="T175">
        <f ca="1">'ETF variations'!T175/'ETF price'!U176</f>
        <v>-4.9744369213762527E-3</v>
      </c>
      <c r="U175">
        <f ca="1">'ETF variations'!U175/'ETF price'!V176</f>
        <v>-1.746031746031753E-2</v>
      </c>
      <c r="V175">
        <f ca="1">'ETF variations'!V175/'ETF price'!W176</f>
        <v>-3.7240184757505748E-2</v>
      </c>
      <c r="W175">
        <f ca="1">'ETF variations'!W175/'ETF price'!X176</f>
        <v>-3.7224048849225012E-2</v>
      </c>
      <c r="X175">
        <f ca="1">'ETF variations'!X175/'ETF price'!Y176</f>
        <v>-3.3164812942366034E-2</v>
      </c>
      <c r="Y175">
        <f ca="1">'ETF variations'!Y175/'ETF price'!Z176</f>
        <v>-3.7142487381907473E-2</v>
      </c>
      <c r="Z175">
        <f ca="1">'ETF variations'!Z175/'ETF price'!AA176</f>
        <v>-3.801843317972347E-2</v>
      </c>
      <c r="AA175">
        <f ca="1">'ETF variations'!AA175/'ETF price'!AB176</f>
        <v>-3.1689596537331846E-2</v>
      </c>
      <c r="AB175">
        <f ca="1">'ETF variations'!AB175/'ETF price'!AC176</f>
        <v>-4.01599127748501E-2</v>
      </c>
      <c r="AC175">
        <f ca="1">'ETF variations'!AC175/'ETF price'!AD176</f>
        <v>-9.7222222222222307E-2</v>
      </c>
      <c r="AD175">
        <f ca="1">'ETF variations'!AD175/'ETF price'!AE176</f>
        <v>-9.8194945848375417E-2</v>
      </c>
      <c r="AE175">
        <f ca="1">'ETF variations'!AE175/'ETF price'!AF176</f>
        <v>3.1948881789137407E-2</v>
      </c>
      <c r="AF175">
        <f ca="1">'ETF variations'!AF175/'ETF price'!AG176</f>
        <v>-9.7112860892388478E-2</v>
      </c>
    </row>
    <row r="176" spans="1:32" x14ac:dyDescent="0.2">
      <c r="A176">
        <f ca="1">'ETF variations'!A176/'ETF price'!B177</f>
        <v>3.6363636363635587E-3</v>
      </c>
      <c r="B176">
        <f ca="1">'ETF variations'!B176/'ETF price'!C177</f>
        <v>4.3349638264841726E-3</v>
      </c>
      <c r="C176">
        <f ca="1">'ETF variations'!C176/'ETF price'!D177</f>
        <v>4.7893896598303612E-3</v>
      </c>
      <c r="D176">
        <f ca="1">'ETF variations'!D176/'ETF price'!E177</f>
        <v>1.1356894652089189E-2</v>
      </c>
      <c r="E176">
        <f ca="1">'ETF variations'!E176/'ETF price'!F177</f>
        <v>-2.5412960609910514E-3</v>
      </c>
      <c r="F176">
        <f ca="1">'ETF variations'!F176/'ETF price'!G177</f>
        <v>-9.9651220727451782E-4</v>
      </c>
      <c r="G176">
        <f ca="1">'ETF variations'!G176/'ETF price'!H177</f>
        <v>-4.0225261464191513E-4</v>
      </c>
      <c r="H176">
        <f ca="1">'ETF variations'!H176/'ETF price'!I177</f>
        <v>5.5105093285045409E-4</v>
      </c>
      <c r="I176">
        <f ca="1">'ETF variations'!I176/'ETF price'!J177</f>
        <v>1.01858925388341E-3</v>
      </c>
      <c r="J176">
        <f ca="1">'ETF variations'!J176/'ETF price'!K177</f>
        <v>8.7919244545750421E-3</v>
      </c>
      <c r="K176">
        <f ca="1">'ETF variations'!K176/'ETF price'!L177</f>
        <v>1.1290705966246765E-2</v>
      </c>
      <c r="L176">
        <f ca="1">'ETF variations'!L176/'ETF price'!M177</f>
        <v>8.9226701916721596E-3</v>
      </c>
      <c r="M176">
        <f ca="1">'ETF variations'!M176/'ETF price'!N177</f>
        <v>9.8797958175534783E-4</v>
      </c>
      <c r="N176">
        <f ca="1">'ETF variations'!N176/'ETF price'!O177</f>
        <v>1.3109978150036396E-2</v>
      </c>
      <c r="O176">
        <f ca="1">'ETF variations'!O176/'ETF price'!P177</f>
        <v>2.8246469191350966E-2</v>
      </c>
      <c r="P176">
        <f ca="1">'ETF variations'!P176/'ETF price'!Q177</f>
        <v>3.1086706226197903E-2</v>
      </c>
      <c r="Q176">
        <f ca="1">'ETF variations'!Q176/'ETF price'!R177</f>
        <v>-1.2238452427950949E-2</v>
      </c>
      <c r="R176">
        <f ca="1">'ETF variations'!R176/'ETF price'!S177</f>
        <v>-3.0589201396017285E-2</v>
      </c>
      <c r="S176">
        <f ca="1">'ETF variations'!S176/'ETF price'!T177</f>
        <v>4.2951971885981819E-3</v>
      </c>
      <c r="T176">
        <f ca="1">'ETF variations'!T176/'ETF price'!U177</f>
        <v>9.9986113039855409E-3</v>
      </c>
      <c r="U176">
        <f ca="1">'ETF variations'!U176/'ETF price'!V177</f>
        <v>1.9501500115393467E-2</v>
      </c>
      <c r="V176">
        <f ca="1">'ETF variations'!V176/'ETF price'!W177</f>
        <v>-2.9985007496252298E-3</v>
      </c>
      <c r="W176">
        <f ca="1">'ETF variations'!W176/'ETF price'!X177</f>
        <v>-7.3179656055601984E-4</v>
      </c>
      <c r="X176">
        <f ca="1">'ETF variations'!X176/'ETF price'!Y177</f>
        <v>1.4641288433382197E-3</v>
      </c>
      <c r="Y176">
        <f ca="1">'ETF variations'!Y176/'ETF price'!Z177</f>
        <v>-1.6129032258065125E-3</v>
      </c>
      <c r="Z176">
        <f ca="1">'ETF variations'!Z176/'ETF price'!AA177</f>
        <v>-1.2215568862275402E-2</v>
      </c>
      <c r="AA176">
        <f ca="1">'ETF variations'!AA176/'ETF price'!AB177</f>
        <v>2.5542784163473274E-3</v>
      </c>
      <c r="AB176">
        <f ca="1">'ETF variations'!AB176/'ETF price'!AC177</f>
        <v>-2.461188943582025E-3</v>
      </c>
      <c r="AC176">
        <f ca="1">'ETF variations'!AC176/'ETF price'!AD177</f>
        <v>-1.7948717948717909E-2</v>
      </c>
      <c r="AD176">
        <f ca="1">'ETF variations'!AD176/'ETF price'!AE177</f>
        <v>-1.6813450760608556E-2</v>
      </c>
      <c r="AE176">
        <f ca="1">'ETF variations'!AE176/'ETF price'!AF177</f>
        <v>1.2383900928792581E-2</v>
      </c>
      <c r="AF176">
        <f ca="1">'ETF variations'!AF176/'ETF price'!AG177</f>
        <v>2.9069767441861137E-3</v>
      </c>
    </row>
    <row r="177" spans="1:32" x14ac:dyDescent="0.2">
      <c r="A177">
        <f ca="1">'ETF variations'!A177/'ETF price'!B178</f>
        <v>-2.3022342995168955E-2</v>
      </c>
      <c r="B177">
        <f ca="1">'ETF variations'!B177/'ETF price'!C178</f>
        <v>-2.2252034180057733E-2</v>
      </c>
      <c r="C177">
        <f ca="1">'ETF variations'!C177/'ETF price'!D178</f>
        <v>-2.2977267171840572E-2</v>
      </c>
      <c r="D177">
        <f ca="1">'ETF variations'!D177/'ETF price'!E178</f>
        <v>-1.6592642252576922E-2</v>
      </c>
      <c r="E177">
        <f ca="1">'ETF variations'!E177/'ETF price'!F178</f>
        <v>-1.167728237791941E-2</v>
      </c>
      <c r="F177">
        <f ca="1">'ETF variations'!F177/'ETF price'!G178</f>
        <v>-1.2967581047381624E-2</v>
      </c>
      <c r="G177">
        <f ca="1">'ETF variations'!G177/'ETF price'!H178</f>
        <v>-6.0362173038230231E-3</v>
      </c>
      <c r="H177">
        <f ca="1">'ETF variations'!H177/'ETF price'!I178</f>
        <v>5.5861526357199685E-3</v>
      </c>
      <c r="I177">
        <f ca="1">'ETF variations'!I177/'ETF price'!J178</f>
        <v>4.5365895022470666E-3</v>
      </c>
      <c r="J177">
        <f ca="1">'ETF variations'!J177/'ETF price'!K178</f>
        <v>1.0490639122013835E-3</v>
      </c>
      <c r="K177">
        <f ca="1">'ETF variations'!K177/'ETF price'!L178</f>
        <v>1.3045011164649187E-2</v>
      </c>
      <c r="L177">
        <f ca="1">'ETF variations'!L177/'ETF price'!M178</f>
        <v>4.9132001310186234E-3</v>
      </c>
      <c r="M177">
        <f ca="1">'ETF variations'!M177/'ETF price'!N178</f>
        <v>5.4285244283598993E-3</v>
      </c>
      <c r="N177">
        <f ca="1">'ETF variations'!N177/'ETF price'!O178</f>
        <v>1.9769949676491757E-2</v>
      </c>
      <c r="O177">
        <f ca="1">'ETF variations'!O177/'ETF price'!P178</f>
        <v>-2.5768810015801513E-2</v>
      </c>
      <c r="P177">
        <f ca="1">'ETF variations'!P177/'ETF price'!Q178</f>
        <v>-2.568287235870121E-2</v>
      </c>
      <c r="Q177">
        <f ca="1">'ETF variations'!Q177/'ETF price'!R178</f>
        <v>-1.3189448441247123E-2</v>
      </c>
      <c r="R177">
        <f ca="1">'ETF variations'!R177/'ETF price'!S178</f>
        <v>-2.7530707327403581E-2</v>
      </c>
      <c r="S177">
        <f ca="1">'ETF variations'!S177/'ETF price'!T178</f>
        <v>-2.9160186625194401E-2</v>
      </c>
      <c r="T177">
        <f ca="1">'ETF variations'!T177/'ETF price'!U178</f>
        <v>-4.0835968651175565E-2</v>
      </c>
      <c r="U177">
        <f ca="1">'ETF variations'!U177/'ETF price'!V178</f>
        <v>-3.7804187889077412E-2</v>
      </c>
      <c r="V177">
        <f ca="1">'ETF variations'!V177/'ETF price'!W178</f>
        <v>3.3082706766917121E-3</v>
      </c>
      <c r="W177">
        <f ca="1">'ETF variations'!W177/'ETF price'!X178</f>
        <v>3.0513853289393382E-3</v>
      </c>
      <c r="X177">
        <f ca="1">'ETF variations'!X177/'ETF price'!Y178</f>
        <v>1.0651629072681662E-2</v>
      </c>
      <c r="Y177">
        <f ca="1">'ETF variations'!Y177/'ETF price'!Z178</f>
        <v>2.5578890683898457E-3</v>
      </c>
      <c r="Z177">
        <f ca="1">'ETF variations'!Z177/'ETF price'!AA178</f>
        <v>-2.1823472356934978E-2</v>
      </c>
      <c r="AA177">
        <f ca="1">'ETF variations'!AA177/'ETF price'!AB178</f>
        <v>1.1624203821656114E-2</v>
      </c>
      <c r="AB177">
        <f ca="1">'ETF variations'!AB177/'ETF price'!AC178</f>
        <v>1.1387360030366725E-3</v>
      </c>
      <c r="AC177">
        <f ca="1">'ETF variations'!AC177/'ETF price'!AD178</f>
        <v>-9.1383812010444234E-3</v>
      </c>
      <c r="AD177">
        <f ca="1">'ETF variations'!AD177/'ETF price'!AE178</f>
        <v>-9.7719869706839758E-3</v>
      </c>
      <c r="AE177">
        <f ca="1">'ETF variations'!AE177/'ETF price'!AF178</f>
        <v>-7.0336391437308868E-2</v>
      </c>
      <c r="AF177">
        <f ca="1">'ETF variations'!AF177/'ETF price'!AG178</f>
        <v>-1.4492753623188482E-2</v>
      </c>
    </row>
    <row r="178" spans="1:32" x14ac:dyDescent="0.2">
      <c r="A178">
        <f ca="1">'ETF variations'!A178/'ETF price'!B179</f>
        <v>-5.562852507146711E-3</v>
      </c>
      <c r="B178">
        <f ca="1">'ETF variations'!B178/'ETF price'!C179</f>
        <v>-7.4867267195609108E-3</v>
      </c>
      <c r="C178">
        <f ca="1">'ETF variations'!C178/'ETF price'!D179</f>
        <v>-8.3812859644733766E-3</v>
      </c>
      <c r="D178">
        <f ca="1">'ETF variations'!D178/'ETF price'!E179</f>
        <v>6.0502769492970431E-3</v>
      </c>
      <c r="E178">
        <f ca="1">'ETF variations'!E178/'ETF price'!F179</f>
        <v>-1.9763694951664763E-2</v>
      </c>
      <c r="F178">
        <f ca="1">'ETF variations'!F178/'ETF price'!G179</f>
        <v>-1.8191005558362783E-2</v>
      </c>
      <c r="G178">
        <f ca="1">'ETF variations'!G178/'ETF price'!H179</f>
        <v>-1.6194331983805613E-2</v>
      </c>
      <c r="H178">
        <f ca="1">'ETF variations'!H178/'ETF price'!I179</f>
        <v>-2.8166810108755137E-3</v>
      </c>
      <c r="I178">
        <f ca="1">'ETF variations'!I178/'ETF price'!J179</f>
        <v>-4.7693411556155637E-3</v>
      </c>
      <c r="J178">
        <f ca="1">'ETF variations'!J178/'ETF price'!K179</f>
        <v>-8.7867795243853561E-3</v>
      </c>
      <c r="K178">
        <f ca="1">'ETF variations'!K178/'ETF price'!L179</f>
        <v>-3.3990719257540679E-2</v>
      </c>
      <c r="L178">
        <f ca="1">'ETF variations'!L178/'ETF price'!M179</f>
        <v>-8.9634941329856128E-3</v>
      </c>
      <c r="M178">
        <f ca="1">'ETF variations'!M178/'ETF price'!N179</f>
        <v>-8.9986910994763938E-3</v>
      </c>
      <c r="N178">
        <f ca="1">'ETF variations'!N178/'ETF price'!O179</f>
        <v>-3.8420867113147683E-2</v>
      </c>
      <c r="O178">
        <f ca="1">'ETF variations'!O178/'ETF price'!P179</f>
        <v>-2.1334996880848507E-2</v>
      </c>
      <c r="P178">
        <f ca="1">'ETF variations'!P178/'ETF price'!Q179</f>
        <v>-2.3362426165917355E-2</v>
      </c>
      <c r="Q178">
        <f ca="1">'ETF variations'!Q178/'ETF price'!R179</f>
        <v>-1.5795868772782336E-2</v>
      </c>
      <c r="R178">
        <f ca="1">'ETF variations'!R178/'ETF price'!S179</f>
        <v>-1.2195121951219561E-2</v>
      </c>
      <c r="S178">
        <f ca="1">'ETF variations'!S178/'ETF price'!T179</f>
        <v>-3.6043251902282683E-3</v>
      </c>
      <c r="T178">
        <f ca="1">'ETF variations'!T178/'ETF price'!U179</f>
        <v>2.006880733944962E-3</v>
      </c>
      <c r="U178">
        <f ca="1">'ETF variations'!U178/'ETF price'!V179</f>
        <v>-3.5289965886367645E-4</v>
      </c>
      <c r="V178">
        <f ca="1">'ETF variations'!V178/'ETF price'!W179</f>
        <v>-8.9928057553955981E-3</v>
      </c>
      <c r="W178">
        <f ca="1">'ETF variations'!W178/'ETF price'!X179</f>
        <v>-9.6130445363836244E-3</v>
      </c>
      <c r="X178">
        <f ca="1">'ETF variations'!X178/'ETF price'!Y179</f>
        <v>-9.7127505682992124E-3</v>
      </c>
      <c r="Y178">
        <f ca="1">'ETF variations'!Y178/'ETF price'!Z179</f>
        <v>-1.0205451859809388E-2</v>
      </c>
      <c r="Z178">
        <f ca="1">'ETF variations'!Z178/'ETF price'!AA179</f>
        <v>2.4789291026271714E-4</v>
      </c>
      <c r="AA178">
        <f ca="1">'ETF variations'!AA178/'ETF price'!AB179</f>
        <v>-9.1295450968046313E-3</v>
      </c>
      <c r="AB178">
        <f ca="1">'ETF variations'!AB178/'ETF price'!AC179</f>
        <v>-1.0236966824644533E-2</v>
      </c>
      <c r="AC178">
        <f ca="1">'ETF variations'!AC178/'ETF price'!AD179</f>
        <v>-7.9051383399208978E-3</v>
      </c>
      <c r="AD178">
        <f ca="1">'ETF variations'!AD178/'ETF price'!AE179</f>
        <v>-8.2236842105262858E-3</v>
      </c>
      <c r="AE178">
        <f ca="1">'ETF variations'!AE178/'ETF price'!AF179</f>
        <v>0</v>
      </c>
      <c r="AF178">
        <f ca="1">'ETF variations'!AF178/'ETF price'!AG179</f>
        <v>-5.2941176470588151E-2</v>
      </c>
    </row>
    <row r="179" spans="1:32" x14ac:dyDescent="0.2">
      <c r="A179">
        <f ca="1">'ETF variations'!A179/'ETF price'!B180</f>
        <v>5.6716649832957017E-3</v>
      </c>
      <c r="B179">
        <f ca="1">'ETF variations'!B179/'ETF price'!C180</f>
        <v>7.8437265214125126E-3</v>
      </c>
      <c r="C179">
        <f ca="1">'ETF variations'!C179/'ETF price'!D180</f>
        <v>8.704427904629719E-3</v>
      </c>
      <c r="D179">
        <f ca="1">'ETF variations'!D179/'ETF price'!E180</f>
        <v>5.2515669998306333E-3</v>
      </c>
      <c r="E179">
        <f ca="1">'ETF variations'!E179/'ETF price'!F180</f>
        <v>1.18343195266272E-2</v>
      </c>
      <c r="F179">
        <f ca="1">'ETF variations'!F179/'ETF price'!G180</f>
        <v>1.5440041173443715E-3</v>
      </c>
      <c r="G179">
        <f ca="1">'ETF variations'!G179/'ETF price'!H180</f>
        <v>4.1152263374484715E-3</v>
      </c>
      <c r="H179">
        <f ca="1">'ETF variations'!H179/'ETF price'!I180</f>
        <v>-9.3369948999607513E-3</v>
      </c>
      <c r="I179">
        <f ca="1">'ETF variations'!I179/'ETF price'!J180</f>
        <v>-5.9796437659034134E-3</v>
      </c>
      <c r="J179">
        <f ca="1">'ETF variations'!J179/'ETF price'!K180</f>
        <v>-9.4339622641509153E-3</v>
      </c>
      <c r="K179">
        <f ca="1">'ETF variations'!K179/'ETF price'!L180</f>
        <v>-1.2489492013930492E-2</v>
      </c>
      <c r="L179">
        <f ca="1">'ETF variations'!L179/'ETF price'!M180</f>
        <v>-5.4267390231870641E-3</v>
      </c>
      <c r="M179">
        <f ca="1">'ETF variations'!M179/'ETF price'!N180</f>
        <v>-5.2831434703648717E-3</v>
      </c>
      <c r="N179">
        <f ca="1">'ETF variations'!N179/'ETF price'!O180</f>
        <v>-1.2463343108504393E-2</v>
      </c>
      <c r="O179">
        <f ca="1">'ETF variations'!O179/'ETF price'!P180</f>
        <v>-1.0198878123406389E-2</v>
      </c>
      <c r="P179">
        <f ca="1">'ETF variations'!P179/'ETF price'!Q180</f>
        <v>1.9859180357465144E-3</v>
      </c>
      <c r="Q179">
        <f ca="1">'ETF variations'!Q179/'ETF price'!R180</f>
        <v>1.0836762688614431E-2</v>
      </c>
      <c r="R179">
        <f ca="1">'ETF variations'!R179/'ETF price'!S180</f>
        <v>3.3730158730158756E-2</v>
      </c>
      <c r="S179">
        <f ca="1">'ETF variations'!S179/'ETF price'!T180</f>
        <v>3.2154340836013607E-3</v>
      </c>
      <c r="T179">
        <f ca="1">'ETF variations'!T179/'ETF price'!U180</f>
        <v>2.1459227467809936E-3</v>
      </c>
      <c r="U179">
        <f ca="1">'ETF variations'!U179/'ETF price'!V180</f>
        <v>-8.1195575429512563E-3</v>
      </c>
      <c r="V179">
        <f ca="1">'ETF variations'!V179/'ETF price'!W180</f>
        <v>6.0496067755594594E-3</v>
      </c>
      <c r="W179">
        <f ca="1">'ETF variations'!W179/'ETF price'!X180</f>
        <v>1.1549330384568101E-2</v>
      </c>
      <c r="X179">
        <f ca="1">'ETF variations'!X179/'ETF price'!Y180</f>
        <v>9.5993322203672959E-3</v>
      </c>
      <c r="Y179">
        <f ca="1">'ETF variations'!Y179/'ETF price'!Z180</f>
        <v>1.1260344593678098E-2</v>
      </c>
      <c r="Z179">
        <f ca="1">'ETF variations'!Z179/'ETF price'!AA180</f>
        <v>-1.0904584882280169E-2</v>
      </c>
      <c r="AA179">
        <f ca="1">'ETF variations'!AA179/'ETF price'!AB180</f>
        <v>1.1119936457505889E-2</v>
      </c>
      <c r="AB179">
        <f ca="1">'ETF variations'!AB179/'ETF price'!AC180</f>
        <v>8.0444359318138613E-3</v>
      </c>
      <c r="AC179">
        <f ca="1">'ETF variations'!AC179/'ETF price'!AD180</f>
        <v>-5.3120849933598986E-3</v>
      </c>
      <c r="AD179">
        <f ca="1">'ETF variations'!AD179/'ETF price'!AE180</f>
        <v>-4.9751243781094934E-3</v>
      </c>
      <c r="AE179">
        <f ca="1">'ETF variations'!AE179/'ETF price'!AF180</f>
        <v>-3.2894736842105289E-2</v>
      </c>
      <c r="AF179">
        <f ca="1">'ETF variations'!AF179/'ETF price'!AG180</f>
        <v>-2.1739130434782695E-2</v>
      </c>
    </row>
    <row r="180" spans="1:32" x14ac:dyDescent="0.2">
      <c r="A180">
        <f ca="1">'ETF variations'!A180/'ETF price'!B181</f>
        <v>-5.8714462299134032E-3</v>
      </c>
      <c r="B180">
        <f ca="1">'ETF variations'!B180/'ETF price'!C181</f>
        <v>-6.2022900763360001E-3</v>
      </c>
      <c r="C180">
        <f ca="1">'ETF variations'!C180/'ETF price'!D181</f>
        <v>-8.3791895947972431E-3</v>
      </c>
      <c r="D180">
        <f ca="1">'ETF variations'!D180/'ETF price'!E181</f>
        <v>-1.3313110886417361E-2</v>
      </c>
      <c r="E180">
        <f ca="1">'ETF variations'!E180/'ETF price'!F181</f>
        <v>-9.3134069742256808E-3</v>
      </c>
      <c r="F180">
        <f ca="1">'ETF variations'!F180/'ETF price'!G181</f>
        <v>-1.0791366906474864E-2</v>
      </c>
      <c r="G180">
        <f ca="1">'ETF variations'!G180/'ETF price'!H181</f>
        <v>-2.0081967213114692E-2</v>
      </c>
      <c r="H180">
        <f ca="1">'ETF variations'!H180/'ETF price'!I181</f>
        <v>-1.172184381435137E-2</v>
      </c>
      <c r="I180">
        <f ca="1">'ETF variations'!I180/'ETF price'!J181</f>
        <v>-1.0751311916037296E-2</v>
      </c>
      <c r="J180">
        <f ca="1">'ETF variations'!J180/'ETF price'!K181</f>
        <v>-1.0262725779967159E-2</v>
      </c>
      <c r="K180">
        <f ca="1">'ETF variations'!K180/'ETF price'!L181</f>
        <v>-2.9186428310836567E-3</v>
      </c>
      <c r="L180">
        <f ca="1">'ETF variations'!L180/'ETF price'!M181</f>
        <v>-1.1408730158730122E-2</v>
      </c>
      <c r="M180">
        <f ca="1">'ETF variations'!M180/'ETF price'!N181</f>
        <v>-1.1452282157676311E-2</v>
      </c>
      <c r="N180">
        <f ca="1">'ETF variations'!N180/'ETF price'!O181</f>
        <v>-6.6815144766146882E-3</v>
      </c>
      <c r="O180">
        <f ca="1">'ETF variations'!O180/'ETF price'!P181</f>
        <v>-6.9551777434313016E-3</v>
      </c>
      <c r="P180">
        <f ca="1">'ETF variations'!P180/'ETF price'!Q181</f>
        <v>-7.6576576576576063E-3</v>
      </c>
      <c r="Q180">
        <f ca="1">'ETF variations'!Q180/'ETF price'!R181</f>
        <v>-1.8998507260143731E-2</v>
      </c>
      <c r="R180">
        <f ca="1">'ETF variations'!R180/'ETF price'!S181</f>
        <v>-2.6658136063126465E-2</v>
      </c>
      <c r="S180">
        <f ca="1">'ETF variations'!S180/'ETF price'!T181</f>
        <v>-1.2019230769231225E-3</v>
      </c>
      <c r="T180">
        <f ca="1">'ETF variations'!T180/'ETF price'!U181</f>
        <v>-1.1848679514632381E-2</v>
      </c>
      <c r="U180">
        <f ca="1">'ETF variations'!U180/'ETF price'!V181</f>
        <v>-3.1201803298137494E-2</v>
      </c>
      <c r="V180">
        <f ca="1">'ETF variations'!V180/'ETF price'!W181</f>
        <v>-1.4732411304870562E-2</v>
      </c>
      <c r="W180">
        <f ca="1">'ETF variations'!W180/'ETF price'!X181</f>
        <v>-1.4089639256650025E-2</v>
      </c>
      <c r="X180">
        <f ca="1">'ETF variations'!X180/'ETF price'!Y181</f>
        <v>-7.2343943778421125E-3</v>
      </c>
      <c r="Y180">
        <f ca="1">'ETF variations'!Y180/'ETF price'!Z181</f>
        <v>-1.5427958143278851E-2</v>
      </c>
      <c r="Z180">
        <f ca="1">'ETF variations'!Z180/'ETF price'!AA181</f>
        <v>-2.6309195690303114E-2</v>
      </c>
      <c r="AA180">
        <f ca="1">'ETF variations'!AA180/'ETF price'!AB181</f>
        <v>-3.2992930086410189E-3</v>
      </c>
      <c r="AB180">
        <f ca="1">'ETF variations'!AB180/'ETF price'!AC181</f>
        <v>-1.4250427512825384E-2</v>
      </c>
      <c r="AC180">
        <f ca="1">'ETF variations'!AC180/'ETF price'!AD181</f>
        <v>-2.670226969292392E-2</v>
      </c>
      <c r="AD180">
        <f ca="1">'ETF variations'!AD180/'ETF price'!AE181</f>
        <v>-2.9166666666666636E-2</v>
      </c>
      <c r="AE180">
        <f ca="1">'ETF variations'!AE180/'ETF price'!AF181</f>
        <v>-7.1428571428571425E-2</v>
      </c>
      <c r="AF180">
        <f ca="1">'ETF variations'!AF180/'ETF price'!AG181</f>
        <v>-3.8095238095238133E-2</v>
      </c>
    </row>
    <row r="181" spans="1:32" x14ac:dyDescent="0.2">
      <c r="A181">
        <f ca="1">'ETF variations'!A181/'ETF price'!B182</f>
        <v>-1.5620142990363732E-2</v>
      </c>
      <c r="B181">
        <f ca="1">'ETF variations'!B181/'ETF price'!C182</f>
        <v>-1.5152424387901929E-2</v>
      </c>
      <c r="C181">
        <f ca="1">'ETF variations'!C181/'ETF price'!D182</f>
        <v>-1.5008197755076452E-2</v>
      </c>
      <c r="D181">
        <f ca="1">'ETF variations'!D181/'ETF price'!E182</f>
        <v>-1.0076857386848784E-2</v>
      </c>
      <c r="E181">
        <f ca="1">'ETF variations'!E181/'ETF price'!F182</f>
        <v>-8.7450808919982189E-3</v>
      </c>
      <c r="F181">
        <f ca="1">'ETF variations'!F181/'ETF price'!G182</f>
        <v>-1.142857142857137E-2</v>
      </c>
      <c r="G181">
        <f ca="1">'ETF variations'!G181/'ETF price'!H182</f>
        <v>-1.7147636971978259E-2</v>
      </c>
      <c r="H181">
        <f ca="1">'ETF variations'!H181/'ETF price'!I182</f>
        <v>-1.6589196986696645E-2</v>
      </c>
      <c r="I181">
        <f ca="1">'ETF variations'!I181/'ETF price'!J182</f>
        <v>-1.7897960063828895E-2</v>
      </c>
      <c r="J181">
        <f ca="1">'ETF variations'!J181/'ETF price'!K182</f>
        <v>-2.1899626710908341E-2</v>
      </c>
      <c r="K181">
        <f ca="1">'ETF variations'!K181/'ETF price'!L182</f>
        <v>-3.4882302719843876E-2</v>
      </c>
      <c r="L181">
        <f ca="1">'ETF variations'!L181/'ETF price'!M182</f>
        <v>-2.5589563472152552E-2</v>
      </c>
      <c r="M181">
        <f ca="1">'ETF variations'!M181/'ETF price'!N182</f>
        <v>-1.7629281396910751E-2</v>
      </c>
      <c r="N181">
        <f ca="1">'ETF variations'!N181/'ETF price'!O182</f>
        <v>-3.5127055306427547E-2</v>
      </c>
      <c r="O181">
        <f ca="1">'ETF variations'!O181/'ETF price'!P182</f>
        <v>-1.4656290531776856E-2</v>
      </c>
      <c r="P181">
        <f ca="1">'ETF variations'!P181/'ETF price'!Q182</f>
        <v>-1.5433499773036792E-2</v>
      </c>
      <c r="Q181">
        <f ca="1">'ETF variations'!Q181/'ETF price'!R182</f>
        <v>-2.1856411675197293E-2</v>
      </c>
      <c r="R181">
        <f ca="1">'ETF variations'!R181/'ETF price'!S182</f>
        <v>-2.1034180543383015E-2</v>
      </c>
      <c r="S181">
        <f ca="1">'ETF variations'!S181/'ETF price'!T182</f>
        <v>-6.0168471720817721E-3</v>
      </c>
      <c r="T181">
        <f ca="1">'ETF variations'!T181/'ETF price'!U182</f>
        <v>-7.8012135221033237E-3</v>
      </c>
      <c r="U181">
        <f ca="1">'ETF variations'!U181/'ETF price'!V182</f>
        <v>-5.2657359784471303E-3</v>
      </c>
      <c r="V181">
        <f ca="1">'ETF variations'!V181/'ETF price'!W182</f>
        <v>-2.0750686603600844E-2</v>
      </c>
      <c r="W181">
        <f ca="1">'ETF variations'!W181/'ETF price'!X182</f>
        <v>-1.9465319699396307E-2</v>
      </c>
      <c r="X181">
        <f ca="1">'ETF variations'!X181/'ETF price'!Y182</f>
        <v>-1.2908598792421499E-2</v>
      </c>
      <c r="Y181">
        <f ca="1">'ETF variations'!Y181/'ETF price'!Z182</f>
        <v>-1.9621201798610134E-2</v>
      </c>
      <c r="Z181">
        <f ca="1">'ETF variations'!Z181/'ETF price'!AA182</f>
        <v>-1.466803911477098E-2</v>
      </c>
      <c r="AA181">
        <f ca="1">'ETF variations'!AA181/'ETF price'!AB182</f>
        <v>-1.182219419924338E-2</v>
      </c>
      <c r="AB181">
        <f ca="1">'ETF variations'!AB181/'ETF price'!AC182</f>
        <v>-2.1010023130300759E-2</v>
      </c>
      <c r="AC181">
        <f ca="1">'ETF variations'!AC181/'ETF price'!AD182</f>
        <v>2.7434842249656481E-3</v>
      </c>
      <c r="AD181">
        <f ca="1">'ETF variations'!AD181/'ETF price'!AE182</f>
        <v>1.716738197424856E-3</v>
      </c>
      <c r="AE181">
        <f ca="1">'ETF variations'!AE181/'ETF price'!AF182</f>
        <v>1.831501831501825E-2</v>
      </c>
      <c r="AF181">
        <f ca="1">'ETF variations'!AF181/'ETF price'!AG182</f>
        <v>4.9504950495049922E-3</v>
      </c>
    </row>
    <row r="182" spans="1:32" x14ac:dyDescent="0.2">
      <c r="A182">
        <f ca="1">'ETF variations'!A182/'ETF price'!B183</f>
        <v>-1.0183942527828265E-2</v>
      </c>
      <c r="B182">
        <f ca="1">'ETF variations'!B182/'ETF price'!C183</f>
        <v>-1.3161502604880703E-2</v>
      </c>
      <c r="C182">
        <f ca="1">'ETF variations'!C182/'ETF price'!D183</f>
        <v>-1.1011523687580019E-2</v>
      </c>
      <c r="D182">
        <f ca="1">'ETF variations'!D182/'ETF price'!E183</f>
        <v>-2.7260179434092448E-2</v>
      </c>
      <c r="E182">
        <f ca="1">'ETF variations'!E182/'ETF price'!F183</f>
        <v>-2.3158359064843499E-2</v>
      </c>
      <c r="F182">
        <f ca="1">'ETF variations'!F182/'ETF price'!G183</f>
        <v>-1.9968470835522993E-2</v>
      </c>
      <c r="G182">
        <f ca="1">'ETF variations'!G182/'ETF price'!H183</f>
        <v>-2.5957446808510615E-2</v>
      </c>
      <c r="H182">
        <f ca="1">'ETF variations'!H182/'ETF price'!I183</f>
        <v>5.2970418058838377E-3</v>
      </c>
      <c r="I182">
        <f ca="1">'ETF variations'!I182/'ETF price'!J183</f>
        <v>7.9044440541018281E-4</v>
      </c>
      <c r="J182">
        <f ca="1">'ETF variations'!J182/'ETF price'!K183</f>
        <v>-1.0007632940378193E-2</v>
      </c>
      <c r="K182">
        <f ca="1">'ETF variations'!K182/'ETF price'!L183</f>
        <v>-1.3142929356754608E-2</v>
      </c>
      <c r="L182">
        <f ca="1">'ETF variations'!L182/'ETF price'!M183</f>
        <v>-6.0075523515276596E-3</v>
      </c>
      <c r="M182">
        <f ca="1">'ETF variations'!M182/'ETF price'!N183</f>
        <v>1.7091095539224308E-3</v>
      </c>
      <c r="N182">
        <f ca="1">'ETF variations'!N182/'ETF price'!O183</f>
        <v>-2.6336173508907813E-2</v>
      </c>
      <c r="O182">
        <f ca="1">'ETF variations'!O182/'ETF price'!P183</f>
        <v>-3.5540344872975653E-3</v>
      </c>
      <c r="P182">
        <f ca="1">'ETF variations'!P182/'ETF price'!Q183</f>
        <v>-6.0857538035960952E-3</v>
      </c>
      <c r="Q182">
        <f ca="1">'ETF variations'!Q182/'ETF price'!R183</f>
        <v>-1.2020930561448089E-2</v>
      </c>
      <c r="R182">
        <f ca="1">'ETF variations'!R182/'ETF price'!S183</f>
        <v>-1.7009847806624845E-2</v>
      </c>
      <c r="S182">
        <f ca="1">'ETF variations'!S182/'ETF price'!T183</f>
        <v>2.8248587570621582E-3</v>
      </c>
      <c r="T182">
        <f ca="1">'ETF variations'!T182/'ETF price'!U183</f>
        <v>4.2224810716364591E-3</v>
      </c>
      <c r="U182">
        <f ca="1">'ETF variations'!U182/'ETF price'!V183</f>
        <v>-3.3977594484796321E-2</v>
      </c>
      <c r="V182">
        <f ca="1">'ETF variations'!V182/'ETF price'!W183</f>
        <v>-1.6827672172016288E-2</v>
      </c>
      <c r="W182">
        <f ca="1">'ETF variations'!W182/'ETF price'!X183</f>
        <v>-1.8595300917200703E-2</v>
      </c>
      <c r="X182">
        <f ca="1">'ETF variations'!X182/'ETF price'!Y183</f>
        <v>-2.2990930183505513E-2</v>
      </c>
      <c r="Y182">
        <f ca="1">'ETF variations'!Y182/'ETF price'!Z183</f>
        <v>-1.7512161223071646E-2</v>
      </c>
      <c r="Z182">
        <f ca="1">'ETF variations'!Z182/'ETF price'!AA183</f>
        <v>-9.4019326194828799E-3</v>
      </c>
      <c r="AA182">
        <f ca="1">'ETF variations'!AA182/'ETF price'!AB183</f>
        <v>-2.2810655606954854E-2</v>
      </c>
      <c r="AB182">
        <f ca="1">'ETF variations'!AB182/'ETF price'!AC183</f>
        <v>-2.0673360897814474E-2</v>
      </c>
      <c r="AC182">
        <f ca="1">'ETF variations'!AC182/'ETF price'!AD183</f>
        <v>1.3679890560875587E-2</v>
      </c>
      <c r="AD182">
        <f ca="1">'ETF variations'!AD182/'ETF price'!AE183</f>
        <v>1.7137960582690598E-2</v>
      </c>
      <c r="AE182">
        <f ca="1">'ETF variations'!AE182/'ETF price'!AF183</f>
        <v>-2.8776978417266053E-2</v>
      </c>
      <c r="AF182">
        <f ca="1">'ETF variations'!AF182/'ETF price'!AG183</f>
        <v>-4.2692939244663351E-2</v>
      </c>
    </row>
    <row r="183" spans="1:32" x14ac:dyDescent="0.2">
      <c r="A183">
        <f ca="1">'ETF variations'!A183/'ETF price'!B184</f>
        <v>-1.3080236082309783E-2</v>
      </c>
      <c r="B183">
        <f ca="1">'ETF variations'!B183/'ETF price'!C184</f>
        <v>-1.4170602945262669E-2</v>
      </c>
      <c r="C183">
        <f ca="1">'ETF variations'!C183/'ETF price'!D184</f>
        <v>-1.3335059554634919E-2</v>
      </c>
      <c r="D183">
        <f ca="1">'ETF variations'!D183/'ETF price'!E184</f>
        <v>-1.339127350124162E-2</v>
      </c>
      <c r="E183">
        <f ca="1">'ETF variations'!E183/'ETF price'!F184</f>
        <v>-1.9869044931135754E-2</v>
      </c>
      <c r="F183">
        <f ca="1">'ETF variations'!F183/'ETF price'!G184</f>
        <v>-1.7694369973190259E-2</v>
      </c>
      <c r="G183">
        <f ca="1">'ETF variations'!G183/'ETF price'!H184</f>
        <v>-1.9222367846221111E-2</v>
      </c>
      <c r="H183">
        <f ca="1">'ETF variations'!H183/'ETF price'!I184</f>
        <v>-5.1070038910505464E-3</v>
      </c>
      <c r="I183">
        <f ca="1">'ETF variations'!I183/'ETF price'!J184</f>
        <v>-5.2215884159719072E-3</v>
      </c>
      <c r="J183">
        <f ca="1">'ETF variations'!J183/'ETF price'!K184</f>
        <v>-1.2079157029041469E-2</v>
      </c>
      <c r="K183">
        <f ca="1">'ETF variations'!K183/'ETF price'!L184</f>
        <v>-1.8440261237034163E-2</v>
      </c>
      <c r="L183">
        <f ca="1">'ETF variations'!L183/'ETF price'!M184</f>
        <v>-1.2951131065446384E-2</v>
      </c>
      <c r="M183">
        <f ca="1">'ETF variations'!M183/'ETF price'!N184</f>
        <v>-7.3366319740658546E-3</v>
      </c>
      <c r="N183">
        <f ca="1">'ETF variations'!N183/'ETF price'!O184</f>
        <v>-2.7048528241845653E-2</v>
      </c>
      <c r="O183">
        <f ca="1">'ETF variations'!O183/'ETF price'!P184</f>
        <v>-6.8956406869220596E-2</v>
      </c>
      <c r="P183">
        <f ca="1">'ETF variations'!P183/'ETF price'!Q184</f>
        <v>-6.9486965395676864E-2</v>
      </c>
      <c r="Q183">
        <f ca="1">'ETF variations'!Q183/'ETF price'!R184</f>
        <v>-2.0469510449470263E-2</v>
      </c>
      <c r="R183">
        <f ca="1">'ETF variations'!R183/'ETF price'!S184</f>
        <v>-5.3051001821493582E-2</v>
      </c>
      <c r="S183">
        <f ca="1">'ETF variations'!S183/'ETF price'!T184</f>
        <v>-3.380281690140844E-2</v>
      </c>
      <c r="T183">
        <f ca="1">'ETF variations'!T183/'ETF price'!U184</f>
        <v>-5.2921560098593674E-2</v>
      </c>
      <c r="U183">
        <f ca="1">'ETF variations'!U183/'ETF price'!V184</f>
        <v>-3.5300114693513393E-2</v>
      </c>
      <c r="V183">
        <f ca="1">'ETF variations'!V183/'ETF price'!W184</f>
        <v>-1.5847860538827259E-2</v>
      </c>
      <c r="W183">
        <f ca="1">'ETF variations'!W183/'ETF price'!X184</f>
        <v>-1.7155293816412794E-2</v>
      </c>
      <c r="X183">
        <f ca="1">'ETF variations'!X183/'ETF price'!Y184</f>
        <v>-1.7918825561312572E-2</v>
      </c>
      <c r="Y183">
        <f ca="1">'ETF variations'!Y183/'ETF price'!Z184</f>
        <v>-1.6692601499504776E-2</v>
      </c>
      <c r="Z183">
        <f ca="1">'ETF variations'!Z183/'ETF price'!AA184</f>
        <v>-1.2391247034009989E-2</v>
      </c>
      <c r="AA183">
        <f ca="1">'ETF variations'!AA183/'ETF price'!AB184</f>
        <v>-1.5670910871694432E-2</v>
      </c>
      <c r="AB183">
        <f ca="1">'ETF variations'!AB183/'ETF price'!AC184</f>
        <v>-1.8697225572979488E-2</v>
      </c>
      <c r="AC183">
        <f ca="1">'ETF variations'!AC183/'ETF price'!AD184</f>
        <v>-2.6990553306342802E-2</v>
      </c>
      <c r="AD183">
        <f ca="1">'ETF variations'!AD183/'ETF price'!AE184</f>
        <v>-2.6958719460825488E-2</v>
      </c>
      <c r="AE183">
        <f ca="1">'ETF variations'!AE183/'ETF price'!AF184</f>
        <v>-2.5925925925926029E-2</v>
      </c>
      <c r="AF183">
        <f ca="1">'ETF variations'!AF183/'ETF price'!AG184</f>
        <v>-3.7735849056603731E-2</v>
      </c>
    </row>
    <row r="184" spans="1:32" x14ac:dyDescent="0.2">
      <c r="A184">
        <f ca="1">'ETF variations'!A184/'ETF price'!B185</f>
        <v>-6.9500565702278931E-3</v>
      </c>
      <c r="B184">
        <f ca="1">'ETF variations'!B184/'ETF price'!C185</f>
        <v>-6.5138419140673438E-3</v>
      </c>
      <c r="C184">
        <f ca="1">'ETF variations'!C184/'ETF price'!D185</f>
        <v>-9.5787954336699881E-3</v>
      </c>
      <c r="D184">
        <f ca="1">'ETF variations'!D184/'ETF price'!E185</f>
        <v>-2.031460674157308E-2</v>
      </c>
      <c r="E184">
        <f ca="1">'ETF variations'!E184/'ETF price'!F185</f>
        <v>-5.2983183598248537E-3</v>
      </c>
      <c r="F184">
        <f ca="1">'ETF variations'!F184/'ETF price'!G185</f>
        <v>-6.0043668122270431E-3</v>
      </c>
      <c r="G184">
        <f ca="1">'ETF variations'!G184/'ETF price'!H185</f>
        <v>-1.336302895322943E-2</v>
      </c>
      <c r="H184">
        <f ca="1">'ETF variations'!H184/'ETF price'!I185</f>
        <v>-9.533121486189209E-3</v>
      </c>
      <c r="I184">
        <f ca="1">'ETF variations'!I184/'ETF price'!J185</f>
        <v>-1.0453883816329251E-2</v>
      </c>
      <c r="J184">
        <f ca="1">'ETF variations'!J184/'ETF price'!K185</f>
        <v>-1.6475893166840023E-2</v>
      </c>
      <c r="K184">
        <f ca="1">'ETF variations'!K184/'ETF price'!L185</f>
        <v>-2.0743639921722158E-2</v>
      </c>
      <c r="L184">
        <f ca="1">'ETF variations'!L184/'ETF price'!M185</f>
        <v>-1.2071378586424033E-2</v>
      </c>
      <c r="M184">
        <f ca="1">'ETF variations'!M184/'ETF price'!N185</f>
        <v>-9.6253007906497469E-3</v>
      </c>
      <c r="N184">
        <f ca="1">'ETF variations'!N184/'ETF price'!O185</f>
        <v>-1.4717906786590329E-2</v>
      </c>
      <c r="O184">
        <f ca="1">'ETF variations'!O184/'ETF price'!P185</f>
        <v>-2.454597048808178E-2</v>
      </c>
      <c r="P184">
        <f ca="1">'ETF variations'!P184/'ETF price'!Q185</f>
        <v>-2.6121635094715757E-2</v>
      </c>
      <c r="Q184">
        <f ca="1">'ETF variations'!Q184/'ETF price'!R185</f>
        <v>-1.6220955721175122E-2</v>
      </c>
      <c r="R184">
        <f ca="1">'ETF variations'!R184/'ETF price'!S185</f>
        <v>-1.5628756912719539E-2</v>
      </c>
      <c r="S184">
        <f ca="1">'ETF variations'!S184/'ETF price'!T185</f>
        <v>-2.3323615160349948E-2</v>
      </c>
      <c r="T184">
        <f ca="1">'ETF variations'!T184/'ETF price'!U185</f>
        <v>-3.2455603184323188E-2</v>
      </c>
      <c r="U184">
        <f ca="1">'ETF variations'!U184/'ETF price'!V185</f>
        <v>-1.7833553500660616E-2</v>
      </c>
      <c r="V184">
        <f ca="1">'ETF variations'!V184/'ETF price'!W185</f>
        <v>-1.5780998389694104E-2</v>
      </c>
      <c r="W184">
        <f ca="1">'ETF variations'!W184/'ETF price'!X185</f>
        <v>-1.6673179627458658E-2</v>
      </c>
      <c r="X184">
        <f ca="1">'ETF variations'!X184/'ETF price'!Y185</f>
        <v>-1.2530226423389761E-2</v>
      </c>
      <c r="Y184">
        <f ca="1">'ETF variations'!Y184/'ETF price'!Z185</f>
        <v>-2.1579628830384116E-2</v>
      </c>
      <c r="Z184">
        <f ca="1">'ETF variations'!Z184/'ETF price'!AA185</f>
        <v>-2.6962092899092311E-2</v>
      </c>
      <c r="AA184">
        <f ca="1">'ETF variations'!AA184/'ETF price'!AB185</f>
        <v>-8.6235489220563184E-3</v>
      </c>
      <c r="AB184">
        <f ca="1">'ETF variations'!AB184/'ETF price'!AC185</f>
        <v>-2.1511985248924486E-2</v>
      </c>
      <c r="AC184">
        <f ca="1">'ETF variations'!AC184/'ETF price'!AD185</f>
        <v>2.2191400832177553E-2</v>
      </c>
      <c r="AD184">
        <f ca="1">'ETF variations'!AD184/'ETF price'!AE185</f>
        <v>2.2510822510822492E-2</v>
      </c>
      <c r="AE184">
        <f ca="1">'ETF variations'!AE184/'ETF price'!AF185</f>
        <v>-2.6615969581748989E-2</v>
      </c>
      <c r="AF184">
        <f ca="1">'ETF variations'!AF184/'ETF price'!AG185</f>
        <v>7.1301247771836064E-3</v>
      </c>
    </row>
    <row r="185" spans="1:32" x14ac:dyDescent="0.2">
      <c r="A185">
        <f ca="1">'ETF variations'!A185/'ETF price'!B186</f>
        <v>1.3020833333334213E-3</v>
      </c>
      <c r="B185">
        <f ca="1">'ETF variations'!B185/'ETF price'!C186</f>
        <v>3.5934938847559774E-3</v>
      </c>
      <c r="C185">
        <f ca="1">'ETF variations'!C185/'ETF price'!D186</f>
        <v>3.4446210916797945E-3</v>
      </c>
      <c r="D185">
        <f ca="1">'ETF variations'!D185/'ETF price'!E186</f>
        <v>9.3586567575007825E-3</v>
      </c>
      <c r="E185">
        <f ca="1">'ETF variations'!E185/'ETF price'!F186</f>
        <v>6.7160722556739031E-3</v>
      </c>
      <c r="F185">
        <f ca="1">'ETF variations'!F185/'ETF price'!G186</f>
        <v>1.0982976386600535E-3</v>
      </c>
      <c r="G185">
        <f ca="1">'ETF variations'!G185/'ETF price'!H186</f>
        <v>8.5778781038375294E-3</v>
      </c>
      <c r="H185">
        <f ca="1">'ETF variations'!H185/'ETF price'!I186</f>
        <v>-3.0437643961829922E-3</v>
      </c>
      <c r="I185">
        <f ca="1">'ETF variations'!I185/'ETF price'!J186</f>
        <v>-8.4692876883301119E-4</v>
      </c>
      <c r="J185">
        <f ca="1">'ETF variations'!J185/'ETF price'!K186</f>
        <v>1.2343502027860971E-2</v>
      </c>
      <c r="K185">
        <f ca="1">'ETF variations'!K185/'ETF price'!L186</f>
        <v>2.877697841726614E-2</v>
      </c>
      <c r="L185">
        <f ca="1">'ETF variations'!L185/'ETF price'!M186</f>
        <v>1.2218877279971627E-2</v>
      </c>
      <c r="M185">
        <f ca="1">'ETF variations'!M185/'ETF price'!N186</f>
        <v>-1.2148559527941738E-3</v>
      </c>
      <c r="N185">
        <f ca="1">'ETF variations'!N185/'ETF price'!O186</f>
        <v>2.0746887966804978E-2</v>
      </c>
      <c r="O185">
        <f ca="1">'ETF variations'!O185/'ETF price'!P186</f>
        <v>1.1199999999999943E-2</v>
      </c>
      <c r="P185">
        <f ca="1">'ETF variations'!P185/'ETF price'!Q186</f>
        <v>1.310401310401297E-2</v>
      </c>
      <c r="Q185">
        <f ca="1">'ETF variations'!Q185/'ETF price'!R186</f>
        <v>2.2281639928699599E-3</v>
      </c>
      <c r="R185">
        <f ca="1">'ETF variations'!R185/'ETF price'!S186</f>
        <v>2.8334147532975178E-2</v>
      </c>
      <c r="S185">
        <f ca="1">'ETF variations'!S185/'ETF price'!T186</f>
        <v>1.0660980810234541E-2</v>
      </c>
      <c r="T185">
        <f ca="1">'ETF variations'!T185/'ETF price'!U186</f>
        <v>1.9303797468354412E-2</v>
      </c>
      <c r="U185">
        <f ca="1">'ETF variations'!U185/'ETF price'!V186</f>
        <v>2.1116341627437894E-2</v>
      </c>
      <c r="V185">
        <f ca="1">'ETF variations'!V185/'ETF price'!W186</f>
        <v>-4.2539267015706487E-3</v>
      </c>
      <c r="W185">
        <f ca="1">'ETF variations'!W185/'ETF price'!X186</f>
        <v>-4.371439925817967E-3</v>
      </c>
      <c r="X185">
        <f ca="1">'ETF variations'!X185/'ETF price'!Y186</f>
        <v>-1.0017809439002734E-2</v>
      </c>
      <c r="Y185">
        <f ca="1">'ETF variations'!Y185/'ETF price'!Z186</f>
        <v>-3.5288928098810334E-3</v>
      </c>
      <c r="Z185">
        <f ca="1">'ETF variations'!Z185/'ETF price'!AA186</f>
        <v>-1.3168724279835498E-2</v>
      </c>
      <c r="AA185">
        <f ca="1">'ETF variations'!AA185/'ETF price'!AB186</f>
        <v>-1.1876881900301117E-2</v>
      </c>
      <c r="AB185">
        <f ca="1">'ETF variations'!AB185/'ETF price'!AC186</f>
        <v>-9.2127303182579084E-3</v>
      </c>
      <c r="AC185">
        <f ca="1">'ETF variations'!AC185/'ETF price'!AD186</f>
        <v>-5.4274084124830441E-3</v>
      </c>
      <c r="AD185">
        <f ca="1">'ETF variations'!AD185/'ETF price'!AE186</f>
        <v>-5.9271803556308449E-3</v>
      </c>
      <c r="AE185">
        <f ca="1">'ETF variations'!AE185/'ETF price'!AF186</f>
        <v>5.0781249999999958E-2</v>
      </c>
      <c r="AF185">
        <f ca="1">'ETF variations'!AF185/'ETF price'!AG186</f>
        <v>1.9469026548672465E-2</v>
      </c>
    </row>
    <row r="186" spans="1:32" x14ac:dyDescent="0.2">
      <c r="A186">
        <f ca="1">'ETF variations'!A186/'ETF price'!B187</f>
        <v>1.056566970091025E-2</v>
      </c>
      <c r="B186">
        <f ca="1">'ETF variations'!B186/'ETF price'!C187</f>
        <v>9.1714303662290848E-3</v>
      </c>
      <c r="C186">
        <f ca="1">'ETF variations'!C186/'ETF price'!D187</f>
        <v>1.3731185635067419E-2</v>
      </c>
      <c r="D186">
        <f ca="1">'ETF variations'!D186/'ETF price'!E187</f>
        <v>1.418052904281418E-2</v>
      </c>
      <c r="E186">
        <f ca="1">'ETF variations'!E186/'ETF price'!F187</f>
        <v>1.9783758914193685E-2</v>
      </c>
      <c r="F186">
        <f ca="1">'ETF variations'!F186/'ETF price'!G187</f>
        <v>2.5781678551837568E-2</v>
      </c>
      <c r="G186">
        <f ca="1">'ETF variations'!G186/'ETF price'!H187</f>
        <v>2.6857654431513046E-2</v>
      </c>
      <c r="H186">
        <f ca="1">'ETF variations'!H186/'ETF price'!I187</f>
        <v>2.1866490634540853E-2</v>
      </c>
      <c r="I186">
        <f ca="1">'ETF variations'!I186/'ETF price'!J187</f>
        <v>1.9629712246263687E-2</v>
      </c>
      <c r="J186">
        <f ca="1">'ETF variations'!J186/'ETF price'!K187</f>
        <v>3.9278871276781098E-2</v>
      </c>
      <c r="K186">
        <f ca="1">'ETF variations'!K186/'ETF price'!L187</f>
        <v>5.1541051541051597E-2</v>
      </c>
      <c r="L186">
        <f ca="1">'ETF variations'!L186/'ETF price'!M187</f>
        <v>4.9510146955913326E-2</v>
      </c>
      <c r="M186">
        <f ca="1">'ETF variations'!M186/'ETF price'!N187</f>
        <v>2.3631624674196341E-2</v>
      </c>
      <c r="N186">
        <f ca="1">'ETF variations'!N186/'ETF price'!O187</f>
        <v>4.4715447154471455E-2</v>
      </c>
      <c r="O186">
        <f ca="1">'ETF variations'!O186/'ETF price'!P187</f>
        <v>4.430379746835441E-2</v>
      </c>
      <c r="P186">
        <f ca="1">'ETF variations'!P186/'ETF price'!Q187</f>
        <v>3.3953112368633791E-2</v>
      </c>
      <c r="Q186">
        <f ca="1">'ETF variations'!Q186/'ETF price'!R187</f>
        <v>2.5789239662071958E-2</v>
      </c>
      <c r="R186">
        <f ca="1">'ETF variations'!R186/'ETF price'!S187</f>
        <v>4.6318289786223175E-2</v>
      </c>
      <c r="S186">
        <f ca="1">'ETF variations'!S186/'ETF price'!T187</f>
        <v>2.7848101265822791E-2</v>
      </c>
      <c r="T186">
        <f ca="1">'ETF variations'!T186/'ETF price'!U187</f>
        <v>4.2067680844458145E-2</v>
      </c>
      <c r="U186">
        <f ca="1">'ETF variations'!U186/'ETF price'!V187</f>
        <v>1.8572181243414074E-2</v>
      </c>
      <c r="V186">
        <f ca="1">'ETF variations'!V186/'ETF price'!W187</f>
        <v>1.9717384160368105E-2</v>
      </c>
      <c r="W186">
        <f ca="1">'ETF variations'!W186/'ETF price'!X187</f>
        <v>1.3437998935604113E-2</v>
      </c>
      <c r="X186">
        <f ca="1">'ETF variations'!X186/'ETF price'!Y187</f>
        <v>1.7989655947830092E-2</v>
      </c>
      <c r="Y186">
        <f ca="1">'ETF variations'!Y186/'ETF price'!Z187</f>
        <v>1.9330087059170758E-2</v>
      </c>
      <c r="Z186">
        <f ca="1">'ETF variations'!Z186/'ETF price'!AA187</f>
        <v>1.8904642757853758E-2</v>
      </c>
      <c r="AA186">
        <f ca="1">'ETF variations'!AA186/'ETF price'!AB187</f>
        <v>1.7267648552564806E-2</v>
      </c>
      <c r="AB186">
        <f ca="1">'ETF variations'!AB186/'ETF price'!AC187</f>
        <v>1.9864750633981354E-2</v>
      </c>
      <c r="AC186">
        <f ca="1">'ETF variations'!AC186/'ETF price'!AD187</f>
        <v>2.5920873124147273E-2</v>
      </c>
      <c r="AD186">
        <f ca="1">'ETF variations'!AD186/'ETF price'!AE187</f>
        <v>2.6405451448040927E-2</v>
      </c>
      <c r="AE186">
        <f ca="1">'ETF variations'!AE186/'ETF price'!AF187</f>
        <v>-2.6022304832713696E-2</v>
      </c>
      <c r="AF186">
        <f ca="1">'ETF variations'!AF186/'ETF price'!AG187</f>
        <v>6.4236111111111133E-2</v>
      </c>
    </row>
    <row r="187" spans="1:32" x14ac:dyDescent="0.2">
      <c r="A187">
        <f ca="1">'ETF variations'!A187/'ETF price'!B188</f>
        <v>-2.6057584043751077E-2</v>
      </c>
      <c r="B187">
        <f ca="1">'ETF variations'!B187/'ETF price'!C188</f>
        <v>-2.5676937441643323E-2</v>
      </c>
      <c r="C187">
        <f ca="1">'ETF variations'!C187/'ETF price'!D188</f>
        <v>-2.6960145871320753E-2</v>
      </c>
      <c r="D187">
        <f ca="1">'ETF variations'!D187/'ETF price'!E188</f>
        <v>-3.1101550596038353E-2</v>
      </c>
      <c r="E187">
        <f ca="1">'ETF variations'!E187/'ETF price'!F188</f>
        <v>-1.263252876156091E-2</v>
      </c>
      <c r="F187">
        <f ca="1">'ETF variations'!F187/'ETF price'!G188</f>
        <v>-2.6737967914438502E-2</v>
      </c>
      <c r="G187">
        <f ca="1">'ETF variations'!G187/'ETF price'!H188</f>
        <v>-2.3539668700959141E-2</v>
      </c>
      <c r="H187">
        <f ca="1">'ETF variations'!H187/'ETF price'!I188</f>
        <v>-8.3979328165375185E-3</v>
      </c>
      <c r="I187">
        <f ca="1">'ETF variations'!I187/'ETF price'!J188</f>
        <v>-9.6696565302997507E-3</v>
      </c>
      <c r="J187">
        <f ca="1">'ETF variations'!J187/'ETF price'!K188</f>
        <v>-1.4497611665130344E-2</v>
      </c>
      <c r="K187">
        <f ca="1">'ETF variations'!K187/'ETF price'!L188</f>
        <v>-2.8817733990147823E-2</v>
      </c>
      <c r="L187">
        <f ca="1">'ETF variations'!L187/'ETF price'!M188</f>
        <v>-1.7669611601933692E-2</v>
      </c>
      <c r="M187">
        <f ca="1">'ETF variations'!M187/'ETF price'!N188</f>
        <v>-8.8270242743166867E-3</v>
      </c>
      <c r="N187">
        <f ca="1">'ETF variations'!N187/'ETF price'!O188</f>
        <v>-3.1128404669260729E-2</v>
      </c>
      <c r="O187">
        <f ca="1">'ETF variations'!O187/'ETF price'!P188</f>
        <v>0</v>
      </c>
      <c r="P187">
        <f ca="1">'ETF variations'!P187/'ETF price'!Q188</f>
        <v>-1.8569194683346144E-3</v>
      </c>
      <c r="Q187">
        <f ca="1">'ETF variations'!Q187/'ETF price'!R188</f>
        <v>-1.4737754659731197E-2</v>
      </c>
      <c r="R187">
        <f ca="1">'ETF variations'!R187/'ETF price'!S188</f>
        <v>-1.8388195232690016E-2</v>
      </c>
      <c r="S187">
        <f ca="1">'ETF variations'!S187/'ETF price'!T188</f>
        <v>-6.1576354679802377E-3</v>
      </c>
      <c r="T187">
        <f ca="1">'ETF variations'!T187/'ETF price'!U188</f>
        <v>-5.3627290332191185E-3</v>
      </c>
      <c r="U187">
        <f ca="1">'ETF variations'!U187/'ETF price'!V188</f>
        <v>-5.2502263028578848E-2</v>
      </c>
      <c r="V187">
        <f ca="1">'ETF variations'!V187/'ETF price'!W188</f>
        <v>-1.2568482114083164E-2</v>
      </c>
      <c r="W187">
        <f ca="1">'ETF variations'!W187/'ETF price'!X188</f>
        <v>-1.3522384140737838E-2</v>
      </c>
      <c r="X187">
        <f ca="1">'ETF variations'!X187/'ETF price'!Y188</f>
        <v>-1.656726308813784E-2</v>
      </c>
      <c r="Y187">
        <f ca="1">'ETF variations'!Y187/'ETF price'!Z188</f>
        <v>-1.3028372900984244E-2</v>
      </c>
      <c r="Z187">
        <f ca="1">'ETF variations'!Z187/'ETF price'!AA188</f>
        <v>-2.7830832196452826E-2</v>
      </c>
      <c r="AA187">
        <f ca="1">'ETF variations'!AA187/'ETF price'!AB188</f>
        <v>-1.6308870028290963E-2</v>
      </c>
      <c r="AB187">
        <f ca="1">'ETF variations'!AB187/'ETF price'!AC188</f>
        <v>-1.4090343970161619E-2</v>
      </c>
      <c r="AC187">
        <f ca="1">'ETF variations'!AC187/'ETF price'!AD188</f>
        <v>-6.6489361702127426E-3</v>
      </c>
      <c r="AD187">
        <f ca="1">'ETF variations'!AD187/'ETF price'!AE188</f>
        <v>-7.4688796680497799E-3</v>
      </c>
      <c r="AE187">
        <f ca="1">'ETF variations'!AE187/'ETF price'!AF188</f>
        <v>6.1068702290076216E-2</v>
      </c>
      <c r="AF187">
        <f ca="1">'ETF variations'!AF187/'ETF price'!AG188</f>
        <v>-4.4045676998368609E-2</v>
      </c>
    </row>
    <row r="188" spans="1:32" x14ac:dyDescent="0.2">
      <c r="A188">
        <f ca="1">'ETF variations'!A188/'ETF price'!B189</f>
        <v>-1.9157720891824881E-2</v>
      </c>
      <c r="B188">
        <f ca="1">'ETF variations'!B188/'ETF price'!C189</f>
        <v>-1.8144066443060235E-2</v>
      </c>
      <c r="C188">
        <f ca="1">'ETF variations'!C188/'ETF price'!D189</f>
        <v>-1.7936019274528033E-2</v>
      </c>
      <c r="D188">
        <f ca="1">'ETF variations'!D188/'ETF price'!E189</f>
        <v>-1.7206290471785381E-2</v>
      </c>
      <c r="E188">
        <f ca="1">'ETF variations'!E188/'ETF price'!F189</f>
        <v>-9.1386794608180402E-3</v>
      </c>
      <c r="F188">
        <f ca="1">'ETF variations'!F188/'ETF price'!G189</f>
        <v>-6.593406593406648E-3</v>
      </c>
      <c r="G188">
        <f ca="1">'ETF variations'!G188/'ETF price'!H189</f>
        <v>-1.1160714285714286E-2</v>
      </c>
      <c r="H188">
        <f ca="1">'ETF variations'!H188/'ETF price'!I189</f>
        <v>-1.3762214983713337E-2</v>
      </c>
      <c r="I188">
        <f ca="1">'ETF variations'!I188/'ETF price'!J189</f>
        <v>-1.1663868516391335E-2</v>
      </c>
      <c r="J188">
        <f ca="1">'ETF variations'!J188/'ETF price'!K189</f>
        <v>-5.4421768707483041E-3</v>
      </c>
      <c r="K188">
        <f ca="1">'ETF variations'!K188/'ETF price'!L189</f>
        <v>5.8331219883336772E-3</v>
      </c>
      <c r="L188">
        <f ca="1">'ETF variations'!L188/'ETF price'!M189</f>
        <v>1.6969285593073155E-4</v>
      </c>
      <c r="M188">
        <f ca="1">'ETF variations'!M188/'ETF price'!N189</f>
        <v>-1.2673402979962356E-2</v>
      </c>
      <c r="N188">
        <f ca="1">'ETF variations'!N188/'ETF price'!O189</f>
        <v>8.0321285140563387E-3</v>
      </c>
      <c r="O188">
        <f ca="1">'ETF variations'!O188/'ETF price'!P189</f>
        <v>-7.9889807162534208E-3</v>
      </c>
      <c r="P188">
        <f ca="1">'ETF variations'!P188/'ETF price'!Q189</f>
        <v>-5.3852932536962422E-3</v>
      </c>
      <c r="Q188">
        <f ca="1">'ETF variations'!Q188/'ETF price'!R189</f>
        <v>-2.6396832380113301E-3</v>
      </c>
      <c r="R188">
        <f ca="1">'ETF variations'!R188/'ETF price'!S189</f>
        <v>-1.734505087881591E-2</v>
      </c>
      <c r="S188">
        <f ca="1">'ETF variations'!S188/'ETF price'!T189</f>
        <v>-1.2391573729863721E-2</v>
      </c>
      <c r="T188">
        <f ca="1">'ETF variations'!T188/'ETF price'!U189</f>
        <v>-2.2315411112775123E-2</v>
      </c>
      <c r="U188">
        <f ca="1">'ETF variations'!U188/'ETF price'!V189</f>
        <v>4.6403712296984225E-3</v>
      </c>
      <c r="V188">
        <f ca="1">'ETF variations'!V188/'ETF price'!W189</f>
        <v>-9.1383812010444234E-3</v>
      </c>
      <c r="W188">
        <f ca="1">'ETF variations'!W188/'ETF price'!X189</f>
        <v>-9.3159435719989726E-3</v>
      </c>
      <c r="X188">
        <f ca="1">'ETF variations'!X188/'ETF price'!Y189</f>
        <v>-5.1662174303684629E-3</v>
      </c>
      <c r="Y188">
        <f ca="1">'ETF variations'!Y188/'ETF price'!Z189</f>
        <v>-9.2402464065709823E-3</v>
      </c>
      <c r="Z188">
        <f ca="1">'ETF variations'!Z188/'ETF price'!AA189</f>
        <v>1.0665169800729594E-2</v>
      </c>
      <c r="AA188">
        <f ca="1">'ETF variations'!AA188/'ETF price'!AB189</f>
        <v>-3.8910505836575347E-3</v>
      </c>
      <c r="AB188">
        <f ca="1">'ETF variations'!AB188/'ETF price'!AC189</f>
        <v>-1.0508617065994116E-2</v>
      </c>
      <c r="AC188">
        <f ca="1">'ETF variations'!AC188/'ETF price'!AD189</f>
        <v>2.6773761713521369E-3</v>
      </c>
      <c r="AD188">
        <f ca="1">'ETF variations'!AD188/'ETF price'!AE189</f>
        <v>2.5083612040133242E-3</v>
      </c>
      <c r="AE188">
        <f ca="1">'ETF variations'!AE188/'ETF price'!AF189</f>
        <v>-3.5971223021582607E-2</v>
      </c>
      <c r="AF188">
        <f ca="1">'ETF variations'!AF188/'ETF price'!AG189</f>
        <v>1.7064846416381888E-3</v>
      </c>
    </row>
    <row r="189" spans="1:32" x14ac:dyDescent="0.2">
      <c r="A189">
        <f ca="1">'ETF variations'!A189/'ETF price'!B190</f>
        <v>3.0981646741875674E-2</v>
      </c>
      <c r="B189">
        <f ca="1">'ETF variations'!B189/'ETF price'!C190</f>
        <v>3.0354296125191086E-2</v>
      </c>
      <c r="C189">
        <f ca="1">'ETF variations'!C189/'ETF price'!D190</f>
        <v>3.1211666893825703E-2</v>
      </c>
      <c r="D189">
        <f ca="1">'ETF variations'!D189/'ETF price'!E190</f>
        <v>3.4638554216867533E-2</v>
      </c>
      <c r="E189">
        <f ca="1">'ETF variations'!E189/'ETF price'!F190</f>
        <v>2.6516024902006129E-2</v>
      </c>
      <c r="F189">
        <f ca="1">'ETF variations'!F189/'ETF price'!G190</f>
        <v>2.9867256637168292E-2</v>
      </c>
      <c r="G189">
        <f ca="1">'ETF variations'!G189/'ETF price'!H190</f>
        <v>3.1151241534988772E-2</v>
      </c>
      <c r="H189">
        <f ca="1">'ETF variations'!H189/'ETF price'!I190</f>
        <v>2.0559821649739865E-2</v>
      </c>
      <c r="I189">
        <f ca="1">'ETF variations'!I189/'ETF price'!J190</f>
        <v>1.868573983012967E-2</v>
      </c>
      <c r="J189">
        <f ca="1">'ETF variations'!J189/'ETF price'!K190</f>
        <v>1.9493844049247616E-2</v>
      </c>
      <c r="K189">
        <f ca="1">'ETF variations'!K189/'ETF price'!L190</f>
        <v>8.3207261724660975E-3</v>
      </c>
      <c r="L189">
        <f ca="1">'ETF variations'!L189/'ETF price'!M190</f>
        <v>1.7136070580251191E-2</v>
      </c>
      <c r="M189">
        <f ca="1">'ETF variations'!M189/'ETF price'!N190</f>
        <v>1.9080659150043391E-2</v>
      </c>
      <c r="N189">
        <f ca="1">'ETF variations'!N189/'ETF price'!O190</f>
        <v>2.3904382470119009E-3</v>
      </c>
      <c r="O189">
        <f ca="1">'ETF variations'!O189/'ETF price'!P190</f>
        <v>5.6512079977784055E-2</v>
      </c>
      <c r="P189">
        <f ca="1">'ETF variations'!P189/'ETF price'!Q190</f>
        <v>5.4636739515652663E-2</v>
      </c>
      <c r="Q189">
        <f ca="1">'ETF variations'!Q189/'ETF price'!R190</f>
        <v>3.2495221290986524E-2</v>
      </c>
      <c r="R189">
        <f ca="1">'ETF variations'!R189/'ETF price'!S190</f>
        <v>7.2252294657566496E-2</v>
      </c>
      <c r="S189">
        <f ca="1">'ETF variations'!S189/'ETF price'!T190</f>
        <v>2.2584692597239612E-2</v>
      </c>
      <c r="T189">
        <f ca="1">'ETF variations'!T189/'ETF price'!U190</f>
        <v>3.9981617647058813E-2</v>
      </c>
      <c r="U189">
        <f ca="1">'ETF variations'!U189/'ETF price'!V190</f>
        <v>2.3909794864828218E-2</v>
      </c>
      <c r="V189">
        <f ca="1">'ETF variations'!V189/'ETF price'!W190</f>
        <v>2.7009222661396583E-2</v>
      </c>
      <c r="W189">
        <f ca="1">'ETF variations'!W189/'ETF price'!X190</f>
        <v>2.6464266523374514E-2</v>
      </c>
      <c r="X189">
        <f ca="1">'ETF variations'!X189/'ETF price'!Y190</f>
        <v>2.6191013772860774E-2</v>
      </c>
      <c r="Y189">
        <f ca="1">'ETF variations'!Y189/'ETF price'!Z190</f>
        <v>2.6943005181347259E-2</v>
      </c>
      <c r="Z189">
        <f ca="1">'ETF variations'!Z189/'ETF price'!AA190</f>
        <v>1.8605942793668475E-2</v>
      </c>
      <c r="AA189">
        <f ca="1">'ETF variations'!AA189/'ETF price'!AB190</f>
        <v>2.2927989130434687E-2</v>
      </c>
      <c r="AB189">
        <f ca="1">'ETF variations'!AB189/'ETF price'!AC190</f>
        <v>2.6762956669498836E-2</v>
      </c>
      <c r="AC189">
        <f ca="1">'ETF variations'!AC189/'ETF price'!AD190</f>
        <v>4.0053404539384992E-3</v>
      </c>
      <c r="AD189">
        <f ca="1">'ETF variations'!AD189/'ETF price'!AE190</f>
        <v>5.8381984987489807E-3</v>
      </c>
      <c r="AE189">
        <f ca="1">'ETF variations'!AE189/'ETF price'!AF190</f>
        <v>0</v>
      </c>
      <c r="AF189">
        <f ca="1">'ETF variations'!AF189/'ETF price'!AG190</f>
        <v>1.8313458262350923E-2</v>
      </c>
    </row>
    <row r="190" spans="1:32" x14ac:dyDescent="0.2">
      <c r="A190">
        <f ca="1">'ETF variations'!A190/'ETF price'!B191</f>
        <v>3.3561979421852031E-2</v>
      </c>
      <c r="B190">
        <f ca="1">'ETF variations'!B190/'ETF price'!C191</f>
        <v>3.5017366592990311E-2</v>
      </c>
      <c r="C190">
        <f ca="1">'ETF variations'!C190/'ETF price'!D191</f>
        <v>3.5289452815226038E-2</v>
      </c>
      <c r="D190">
        <f ca="1">'ETF variations'!D190/'ETF price'!E191</f>
        <v>4.6852256186317241E-2</v>
      </c>
      <c r="E190">
        <f ca="1">'ETF variations'!E190/'ETF price'!F191</f>
        <v>3.2569631626235301E-2</v>
      </c>
      <c r="F190">
        <f ca="1">'ETF variations'!F190/'ETF price'!G191</f>
        <v>4.8872180451127824E-2</v>
      </c>
      <c r="G190">
        <f ca="1">'ETF variations'!G190/'ETF price'!H191</f>
        <v>3.6777583187390536E-2</v>
      </c>
      <c r="H190">
        <f ca="1">'ETF variations'!H190/'ETF price'!I191</f>
        <v>2.322006472491913E-2</v>
      </c>
      <c r="I190">
        <f ca="1">'ETF variations'!I190/'ETF price'!J191</f>
        <v>2.4793751097068658E-2</v>
      </c>
      <c r="J190">
        <f ca="1">'ETF variations'!J190/'ETF price'!K191</f>
        <v>2.859778597785987E-2</v>
      </c>
      <c r="K190">
        <f ca="1">'ETF variations'!K190/'ETF price'!L191</f>
        <v>3.7759439859964938E-2</v>
      </c>
      <c r="L190">
        <f ca="1">'ETF variations'!L190/'ETF price'!M191</f>
        <v>2.2351959966638801E-2</v>
      </c>
      <c r="M190">
        <f ca="1">'ETF variations'!M190/'ETF price'!N191</f>
        <v>2.553191489361702E-2</v>
      </c>
      <c r="N190">
        <f ca="1">'ETF variations'!N190/'ETF price'!O191</f>
        <v>5.0079491255961908E-2</v>
      </c>
      <c r="O190">
        <f ca="1">'ETF variations'!O190/'ETF price'!P191</f>
        <v>4.2975423840189195E-2</v>
      </c>
      <c r="P190">
        <f ca="1">'ETF variations'!P190/'ETF price'!Q191</f>
        <v>4.2845141416970073E-2</v>
      </c>
      <c r="Q190">
        <f ca="1">'ETF variations'!Q190/'ETF price'!R191</f>
        <v>3.6741669040159478E-2</v>
      </c>
      <c r="R190">
        <f ca="1">'ETF variations'!R190/'ETF price'!S191</f>
        <v>3.797190517998237E-2</v>
      </c>
      <c r="S190">
        <f ca="1">'ETF variations'!S190/'ETF price'!T191</f>
        <v>2.6993865030674854E-2</v>
      </c>
      <c r="T190">
        <f ca="1">'ETF variations'!T190/'ETF price'!U191</f>
        <v>3.5204006481072331E-2</v>
      </c>
      <c r="U190">
        <f ca="1">'ETF variations'!U190/'ETF price'!V191</f>
        <v>3.9670956614037342E-2</v>
      </c>
      <c r="V190">
        <f ca="1">'ETF variations'!V190/'ETF price'!W191</f>
        <v>3.7203335471456184E-2</v>
      </c>
      <c r="W190">
        <f ca="1">'ETF variations'!W190/'ETF price'!X191</f>
        <v>4.0832351786415449E-2</v>
      </c>
      <c r="X190">
        <f ca="1">'ETF variations'!X190/'ETF price'!Y191</f>
        <v>4.5324532453245213E-2</v>
      </c>
      <c r="Y190">
        <f ca="1">'ETF variations'!Y190/'ETF price'!Z191</f>
        <v>4.0219114891163213E-2</v>
      </c>
      <c r="Z190">
        <f ca="1">'ETF variations'!Z190/'ETF price'!AA191</f>
        <v>1.5812431842966147E-2</v>
      </c>
      <c r="AA190">
        <f ca="1">'ETF variations'!AA190/'ETF price'!AB191</f>
        <v>4.3831977419890429E-2</v>
      </c>
      <c r="AB190">
        <f ca="1">'ETF variations'!AB190/'ETF price'!AC191</f>
        <v>4.1166735622672625E-2</v>
      </c>
      <c r="AC190">
        <f ca="1">'ETF variations'!AC190/'ETF price'!AD191</f>
        <v>3.9893617021276695E-2</v>
      </c>
      <c r="AD190">
        <f ca="1">'ETF variations'!AD190/'ETF price'!AE191</f>
        <v>3.8142620232172395E-2</v>
      </c>
      <c r="AE190">
        <f ca="1">'ETF variations'!AE190/'ETF price'!AF191</f>
        <v>4.8507462686567124E-2</v>
      </c>
      <c r="AF190">
        <f ca="1">'ETF variations'!AF190/'ETF price'!AG191</f>
        <v>9.2429945629443788E-2</v>
      </c>
    </row>
    <row r="191" spans="1:32" x14ac:dyDescent="0.2">
      <c r="A191">
        <f ca="1">'ETF variations'!A191/'ETF price'!B192</f>
        <v>3.3183218772221044E-3</v>
      </c>
      <c r="B191">
        <f ca="1">'ETF variations'!B191/'ETF price'!C192</f>
        <v>3.172763049513297E-3</v>
      </c>
      <c r="C191">
        <f ca="1">'ETF variations'!C191/'ETF price'!D192</f>
        <v>2.8086301544746439E-3</v>
      </c>
      <c r="D191">
        <f ca="1">'ETF variations'!D191/'ETF price'!E192</f>
        <v>8.1689406448249933E-3</v>
      </c>
      <c r="E191">
        <f ca="1">'ETF variations'!E191/'ETF price'!F192</f>
        <v>1.9577985642811272E-3</v>
      </c>
      <c r="F191">
        <f ca="1">'ETF variations'!F191/'ETF price'!G192</f>
        <v>-1.024065540194587E-2</v>
      </c>
      <c r="G191">
        <f ca="1">'ETF variations'!G191/'ETF price'!H192</f>
        <v>-5.0675675675676095E-3</v>
      </c>
      <c r="H191">
        <f ca="1">'ETF variations'!H191/'ETF price'!I192</f>
        <v>3.3209456788171241E-3</v>
      </c>
      <c r="I191">
        <f ca="1">'ETF variations'!I191/'ETF price'!J192</f>
        <v>2.1410525414293667E-3</v>
      </c>
      <c r="J191">
        <f ca="1">'ETF variations'!J191/'ETF price'!K192</f>
        <v>1.7937219730941611E-3</v>
      </c>
      <c r="K191">
        <f ca="1">'ETF variations'!K191/'ETF price'!L192</f>
        <v>-3.9759036144578104E-3</v>
      </c>
      <c r="L191">
        <f ca="1">'ETF variations'!L191/'ETF price'!M192</f>
        <v>8.1579376733568717E-4</v>
      </c>
      <c r="M191">
        <f ca="1">'ETF variations'!M191/'ETF price'!N192</f>
        <v>1.9917012448132355E-3</v>
      </c>
      <c r="N191">
        <f ca="1">'ETF variations'!N191/'ETF price'!O192</f>
        <v>-5.299015897047712E-3</v>
      </c>
      <c r="O191">
        <f ca="1">'ETF variations'!O191/'ETF price'!P192</f>
        <v>2.0665322580645167E-2</v>
      </c>
      <c r="P191">
        <f ca="1">'ETF variations'!P191/'ETF price'!Q192</f>
        <v>2.0766201217329104E-2</v>
      </c>
      <c r="Q191">
        <f ca="1">'ETF variations'!Q191/'ETF price'!R192</f>
        <v>-1.126373626373617E-2</v>
      </c>
      <c r="R191">
        <f ca="1">'ETF variations'!R191/'ETF price'!S192</f>
        <v>-3.3833791499259165E-3</v>
      </c>
      <c r="S191">
        <f ca="1">'ETF variations'!S191/'ETF price'!T192</f>
        <v>1.7921146953404989E-2</v>
      </c>
      <c r="T191">
        <f ca="1">'ETF variations'!T191/'ETF price'!U192</f>
        <v>2.3619806488332337E-2</v>
      </c>
      <c r="U191">
        <f ca="1">'ETF variations'!U191/'ETF price'!V192</f>
        <v>-3.9561000510464447E-2</v>
      </c>
      <c r="V191">
        <f ca="1">'ETF variations'!V191/'ETF price'!W192</f>
        <v>-7.7303648732220155E-3</v>
      </c>
      <c r="W191">
        <f ca="1">'ETF variations'!W191/'ETF price'!X192</f>
        <v>-7.9215390418709355E-3</v>
      </c>
      <c r="X191">
        <f ca="1">'ETF variations'!X191/'ETF price'!Y192</f>
        <v>-7.787834140180961E-3</v>
      </c>
      <c r="Y191">
        <f ca="1">'ETF variations'!Y191/'ETF price'!Z192</f>
        <v>-7.6219512195121559E-3</v>
      </c>
      <c r="Z191">
        <f ca="1">'ETF variations'!Z191/'ETF price'!AA192</f>
        <v>-1.8518518518518459E-2</v>
      </c>
      <c r="AA191">
        <f ca="1">'ETF variations'!AA191/'ETF price'!AB192</f>
        <v>-8.2710354700174342E-3</v>
      </c>
      <c r="AB191">
        <f ca="1">'ETF variations'!AB191/'ETF price'!AC192</f>
        <v>-5.9606596463341382E-3</v>
      </c>
      <c r="AC191">
        <f ca="1">'ETF variations'!AC191/'ETF price'!AD192</f>
        <v>-6.3938618925832112E-3</v>
      </c>
      <c r="AD191">
        <f ca="1">'ETF variations'!AD191/'ETF price'!AE192</f>
        <v>-8.7859424920127341E-3</v>
      </c>
      <c r="AE191">
        <f ca="1">'ETF variations'!AE191/'ETF price'!AF192</f>
        <v>6.0498220640569367E-2</v>
      </c>
      <c r="AF191">
        <f ca="1">'ETF variations'!AF191/'ETF price'!AG192</f>
        <v>-1.071975497702914E-2</v>
      </c>
    </row>
    <row r="192" spans="1:32" x14ac:dyDescent="0.2">
      <c r="A192">
        <f ca="1">'ETF variations'!A192/'ETF price'!B193</f>
        <v>-8.1896212300180491E-3</v>
      </c>
      <c r="B192">
        <f ca="1">'ETF variations'!B192/'ETF price'!C193</f>
        <v>-7.5723017972812983E-3</v>
      </c>
      <c r="C192">
        <f ca="1">'ETF variations'!C192/'ETF price'!D193</f>
        <v>-5.7288351368555424E-3</v>
      </c>
      <c r="D192">
        <f ca="1">'ETF variations'!D192/'ETF price'!E193</f>
        <v>-3.9651754159124898E-3</v>
      </c>
      <c r="E192">
        <f ca="1">'ETF variations'!E192/'ETF price'!F193</f>
        <v>-6.7303517151541961E-3</v>
      </c>
      <c r="F192">
        <f ca="1">'ETF variations'!F192/'ETF price'!G193</f>
        <v>-7.759958613553988E-3</v>
      </c>
      <c r="G192">
        <f ca="1">'ETF variations'!G192/'ETF price'!H193</f>
        <v>-7.2156196943972059E-3</v>
      </c>
      <c r="H192">
        <f ca="1">'ETF variations'!H192/'ETF price'!I193</f>
        <v>-1.2766963511703085E-2</v>
      </c>
      <c r="I192">
        <f ca="1">'ETF variations'!I192/'ETF price'!J193</f>
        <v>-1.1579712002734726E-2</v>
      </c>
      <c r="J192">
        <f ca="1">'ETF variations'!J192/'ETF price'!K193</f>
        <v>-4.8832098966387931E-3</v>
      </c>
      <c r="K192">
        <f ca="1">'ETF variations'!K192/'ETF price'!L193</f>
        <v>0</v>
      </c>
      <c r="L192">
        <f ca="1">'ETF variations'!L192/'ETF price'!M193</f>
        <v>-3.0974894033258039E-3</v>
      </c>
      <c r="M192">
        <f ca="1">'ETF variations'!M192/'ETF price'!N193</f>
        <v>-1.1098227596488233E-2</v>
      </c>
      <c r="N192">
        <f ca="1">'ETF variations'!N192/'ETF price'!O193</f>
        <v>6.8493150684931399E-3</v>
      </c>
      <c r="O192">
        <f ca="1">'ETF variations'!O192/'ETF price'!P193</f>
        <v>1.777777777777775E-2</v>
      </c>
      <c r="P192">
        <f ca="1">'ETF variations'!P192/'ETF price'!Q193</f>
        <v>1.648544370396348E-2</v>
      </c>
      <c r="Q192">
        <f ca="1">'ETF variations'!Q192/'ETF price'!R193</f>
        <v>-1.0558488469019243E-2</v>
      </c>
      <c r="R192">
        <f ca="1">'ETF variations'!R192/'ETF price'!S193</f>
        <v>-4.4557606619987445E-3</v>
      </c>
      <c r="S192">
        <f ca="1">'ETF variations'!S192/'ETF price'!T193</f>
        <v>6.2597809076682378E-3</v>
      </c>
      <c r="T192">
        <f ca="1">'ETF variations'!T192/'ETF price'!U193</f>
        <v>1.4595496246872355E-2</v>
      </c>
      <c r="U192">
        <f ca="1">'ETF variations'!U192/'ETF price'!V193</f>
        <v>-2.8169014084507102E-2</v>
      </c>
      <c r="V192">
        <f ca="1">'ETF variations'!V192/'ETF price'!W193</f>
        <v>-1.4023060143346923E-2</v>
      </c>
      <c r="W192">
        <f ca="1">'ETF variations'!W192/'ETF price'!X193</f>
        <v>-1.2674271229404309E-2</v>
      </c>
      <c r="X192">
        <f ca="1">'ETF variations'!X192/'ETF price'!Y193</f>
        <v>-1.0818837505303309E-2</v>
      </c>
      <c r="Y192">
        <f ca="1">'ETF variations'!Y192/'ETF price'!Z193</f>
        <v>-1.3545594190755465E-2</v>
      </c>
      <c r="Z192">
        <f ca="1">'ETF variations'!Z192/'ETF price'!AA193</f>
        <v>-3.2813781788351183E-2</v>
      </c>
      <c r="AA192">
        <f ca="1">'ETF variations'!AA192/'ETF price'!AB193</f>
        <v>-9.6230954290296936E-3</v>
      </c>
      <c r="AB192">
        <f ca="1">'ETF variations'!AB192/'ETF price'!AC193</f>
        <v>-1.4191485108934657E-2</v>
      </c>
      <c r="AC192">
        <f ca="1">'ETF variations'!AC192/'ETF price'!AD193</f>
        <v>-7.7220077220076719E-3</v>
      </c>
      <c r="AD192">
        <f ca="1">'ETF variations'!AD192/'ETF price'!AE193</f>
        <v>-4.8348106365834406E-3</v>
      </c>
      <c r="AE192">
        <f ca="1">'ETF variations'!AE192/'ETF price'!AF193</f>
        <v>0</v>
      </c>
      <c r="AF192">
        <f ca="1">'ETF variations'!AF192/'ETF price'!AG193</f>
        <v>0</v>
      </c>
    </row>
    <row r="193" spans="1:32" x14ac:dyDescent="0.2">
      <c r="A193">
        <f ca="1">'ETF variations'!A193/'ETF price'!B194</f>
        <v>-4.1127431520444672E-2</v>
      </c>
      <c r="B193">
        <f ca="1">'ETF variations'!B193/'ETF price'!C194</f>
        <v>-4.1613041613041565E-2</v>
      </c>
      <c r="C193">
        <f ca="1">'ETF variations'!C193/'ETF price'!D194</f>
        <v>-4.3405889884763134E-2</v>
      </c>
      <c r="D193">
        <f ca="1">'ETF variations'!D193/'ETF price'!E194</f>
        <v>-5.9974037213327502E-2</v>
      </c>
      <c r="E193">
        <f ca="1">'ETF variations'!E193/'ETF price'!F194</f>
        <v>-3.4972677595628443E-2</v>
      </c>
      <c r="F193">
        <f ca="1">'ETF variations'!F193/'ETF price'!G194</f>
        <v>-3.2325338894682011E-2</v>
      </c>
      <c r="G193">
        <f ca="1">'ETF variations'!G193/'ETF price'!H194</f>
        <v>-3.4202650705429702E-2</v>
      </c>
      <c r="H193">
        <f ca="1">'ETF variations'!H193/'ETF price'!I194</f>
        <v>-2.1154306697533262E-2</v>
      </c>
      <c r="I193">
        <f ca="1">'ETF variations'!I193/'ETF price'!J194</f>
        <v>-2.2825523084904036E-2</v>
      </c>
      <c r="J193">
        <f ca="1">'ETF variations'!J193/'ETF price'!K194</f>
        <v>-2.8052670319784024E-2</v>
      </c>
      <c r="K193">
        <f ca="1">'ETF variations'!K193/'ETF price'!L194</f>
        <v>-4.3183742591024643E-2</v>
      </c>
      <c r="L193">
        <f ca="1">'ETF variations'!L193/'ETF price'!M194</f>
        <v>-2.4856909239574752E-2</v>
      </c>
      <c r="M193">
        <f ca="1">'ETF variations'!M193/'ETF price'!N194</f>
        <v>-2.3283082077051934E-2</v>
      </c>
      <c r="N193">
        <f ca="1">'ETF variations'!N193/'ETF price'!O194</f>
        <v>-5.442176870748304E-2</v>
      </c>
      <c r="O193">
        <f ca="1">'ETF variations'!O193/'ETF price'!P194</f>
        <v>-7.7632217370208704E-3</v>
      </c>
      <c r="P193">
        <f ca="1">'ETF variations'!P193/'ETF price'!Q194</f>
        <v>-8.1090407177363509E-3</v>
      </c>
      <c r="Q193">
        <f ca="1">'ETF variations'!Q193/'ETF price'!R194</f>
        <v>-2.4712159505756882E-2</v>
      </c>
      <c r="R193">
        <f ca="1">'ETF variations'!R193/'ETF price'!S194</f>
        <v>-2.8346121057118461E-2</v>
      </c>
      <c r="S193">
        <f ca="1">'ETF variations'!S193/'ETF price'!T194</f>
        <v>1.0497667185069968E-2</v>
      </c>
      <c r="T193">
        <f ca="1">'ETF variations'!T193/'ETF price'!U194</f>
        <v>2.8908069598575142E-2</v>
      </c>
      <c r="U193">
        <f ca="1">'ETF variations'!U193/'ETF price'!V194</f>
        <v>-2.8575334974022468E-2</v>
      </c>
      <c r="V193">
        <f ca="1">'ETF variations'!V193/'ETF price'!W194</f>
        <v>-2.3704171934260429E-2</v>
      </c>
      <c r="W193">
        <f ca="1">'ETF variations'!W193/'ETF price'!X194</f>
        <v>-2.4775353016688147E-2</v>
      </c>
      <c r="X193">
        <f ca="1">'ETF variations'!X193/'ETF price'!Y194</f>
        <v>-2.2946600900707704E-2</v>
      </c>
      <c r="Y193">
        <f ca="1">'ETF variations'!Y193/'ETF price'!Z194</f>
        <v>-2.3782559456398737E-2</v>
      </c>
      <c r="Z193">
        <f ca="1">'ETF variations'!Z193/'ETF price'!AA194</f>
        <v>-2.3748939779474027E-2</v>
      </c>
      <c r="AA193">
        <f ca="1">'ETF variations'!AA193/'ETF price'!AB194</f>
        <v>-2.2834008097165938E-2</v>
      </c>
      <c r="AB193">
        <f ca="1">'ETF variations'!AB193/'ETF price'!AC194</f>
        <v>-2.3519870235198775E-2</v>
      </c>
      <c r="AC193">
        <f ca="1">'ETF variations'!AC193/'ETF price'!AD194</f>
        <v>-3.1128404669260729E-2</v>
      </c>
      <c r="AD193">
        <f ca="1">'ETF variations'!AD193/'ETF price'!AE194</f>
        <v>-3.1578947368420957E-2</v>
      </c>
      <c r="AE193">
        <f ca="1">'ETF variations'!AE193/'ETF price'!AF194</f>
        <v>0</v>
      </c>
      <c r="AF193">
        <f ca="1">'ETF variations'!AF193/'ETF price'!AG194</f>
        <v>-9.1331269349845173E-2</v>
      </c>
    </row>
    <row r="194" spans="1:32" x14ac:dyDescent="0.2">
      <c r="A194">
        <f ca="1">'ETF variations'!A194/'ETF price'!B195</f>
        <v>-1.6808810134967302E-2</v>
      </c>
      <c r="B194">
        <f ca="1">'ETF variations'!B194/'ETF price'!C195</f>
        <v>-1.8064969945005682E-2</v>
      </c>
      <c r="C194">
        <f ca="1">'ETF variations'!C194/'ETF price'!D195</f>
        <v>-1.9140677285503852E-2</v>
      </c>
      <c r="D194">
        <f ca="1">'ETF variations'!D194/'ETF price'!E195</f>
        <v>-3.4063708341005368E-2</v>
      </c>
      <c r="E194">
        <f ca="1">'ETF variations'!E194/'ETF price'!F195</f>
        <v>-2.5141562853907121E-2</v>
      </c>
      <c r="F194">
        <f ca="1">'ETF variations'!F194/'ETF price'!G195</f>
        <v>-1.5086206896551595E-2</v>
      </c>
      <c r="G194">
        <f ca="1">'ETF variations'!G194/'ETF price'!H195</f>
        <v>-1.5050907481186359E-2</v>
      </c>
      <c r="H194">
        <f ca="1">'ETF variations'!H194/'ETF price'!I195</f>
        <v>-6.2795628771816197E-3</v>
      </c>
      <c r="I194">
        <f ca="1">'ETF variations'!I194/'ETF price'!J195</f>
        <v>-8.3613519731020464E-3</v>
      </c>
      <c r="J194">
        <f ca="1">'ETF variations'!J194/'ETF price'!K195</f>
        <v>-7.4890609222484058E-3</v>
      </c>
      <c r="K194">
        <f ca="1">'ETF variations'!K194/'ETF price'!L195</f>
        <v>-1.8331226295827924E-2</v>
      </c>
      <c r="L194">
        <f ca="1">'ETF variations'!L194/'ETF price'!M195</f>
        <v>-6.3726312258930492E-3</v>
      </c>
      <c r="M194">
        <f ca="1">'ETF variations'!M194/'ETF price'!N195</f>
        <v>-8.7463556851312824E-3</v>
      </c>
      <c r="N194">
        <f ca="1">'ETF variations'!N194/'ETF price'!O195</f>
        <v>-2.5579536370903301E-2</v>
      </c>
      <c r="O194">
        <f ca="1">'ETF variations'!O194/'ETF price'!P195</f>
        <v>-2.0537897310513357E-2</v>
      </c>
      <c r="P194">
        <f ca="1">'ETF variations'!P194/'ETF price'!Q195</f>
        <v>-2.0525308749347708E-2</v>
      </c>
      <c r="Q194">
        <f ca="1">'ETF variations'!Q194/'ETF price'!R195</f>
        <v>2.1595162683559705E-3</v>
      </c>
      <c r="R194">
        <f ca="1">'ETF variations'!R194/'ETF price'!S195</f>
        <v>8.5545075674488581E-3</v>
      </c>
      <c r="S194">
        <f ca="1">'ETF variations'!S194/'ETF price'!T195</f>
        <v>-1.1158137745286617E-2</v>
      </c>
      <c r="T194">
        <f ca="1">'ETF variations'!T194/'ETF price'!U195</f>
        <v>-1.7576564580559166E-2</v>
      </c>
      <c r="U194">
        <f ca="1">'ETF variations'!U194/'ETF price'!V195</f>
        <v>-1.3511611541168103E-2</v>
      </c>
      <c r="V194">
        <f ca="1">'ETF variations'!V194/'ETF price'!W195</f>
        <v>-4.5322110715442076E-3</v>
      </c>
      <c r="W194">
        <f ca="1">'ETF variations'!W194/'ETF price'!X195</f>
        <v>-3.6856653942345815E-3</v>
      </c>
      <c r="X194">
        <f ca="1">'ETF variations'!X194/'ETF price'!Y195</f>
        <v>-4.828797190517973E-3</v>
      </c>
      <c r="Y194">
        <f ca="1">'ETF variations'!Y194/'ETF price'!Z195</f>
        <v>-4.3503480278421864E-3</v>
      </c>
      <c r="Z194">
        <f ca="1">'ETF variations'!Z194/'ETF price'!AA195</f>
        <v>-1.1294526498696802E-2</v>
      </c>
      <c r="AA194">
        <f ca="1">'ETF variations'!AA194/'ETF price'!AB195</f>
        <v>-2.154458070931431E-3</v>
      </c>
      <c r="AB194">
        <f ca="1">'ETF variations'!AB194/'ETF price'!AC195</f>
        <v>-7.6827242524916415E-3</v>
      </c>
      <c r="AC194">
        <f ca="1">'ETF variations'!AC194/'ETF price'!AD195</f>
        <v>-1.4725568942436337E-2</v>
      </c>
      <c r="AD194">
        <f ca="1">'ETF variations'!AD194/'ETF price'!AE195</f>
        <v>-1.4214046822742616E-2</v>
      </c>
      <c r="AE194">
        <f ca="1">'ETF variations'!AE194/'ETF price'!AF195</f>
        <v>-7.3825503355704758E-2</v>
      </c>
      <c r="AF194">
        <f ca="1">'ETF variations'!AF194/'ETF price'!AG195</f>
        <v>-3.5775127768313451E-2</v>
      </c>
    </row>
    <row r="195" spans="1:32" x14ac:dyDescent="0.2">
      <c r="A195">
        <f ca="1">'ETF variations'!A195/'ETF price'!B196</f>
        <v>-1.5327606535287126E-2</v>
      </c>
      <c r="B195">
        <f ca="1">'ETF variations'!B195/'ETF price'!C196</f>
        <v>-1.6280811435641952E-2</v>
      </c>
      <c r="C195">
        <f ca="1">'ETF variations'!C195/'ETF price'!D196</f>
        <v>-1.6648471615720507E-2</v>
      </c>
      <c r="D195">
        <f ca="1">'ETF variations'!D195/'ETF price'!E196</f>
        <v>-2.8116660312619165E-2</v>
      </c>
      <c r="E195">
        <f ca="1">'ETF variations'!E195/'ETF price'!F196</f>
        <v>-1.6728624535315959E-2</v>
      </c>
      <c r="F195">
        <f ca="1">'ETF variations'!F195/'ETF price'!G196</f>
        <v>-1.3129102844639058E-2</v>
      </c>
      <c r="G195">
        <f ca="1">'ETF variations'!G195/'ETF price'!H196</f>
        <v>-1.2584269662921399E-2</v>
      </c>
      <c r="H195">
        <f ca="1">'ETF variations'!H195/'ETF price'!I196</f>
        <v>5.334427574887203E-3</v>
      </c>
      <c r="I195">
        <f ca="1">'ETF variations'!I195/'ETF price'!J196</f>
        <v>5.5320098148560369E-3</v>
      </c>
      <c r="J195">
        <f ca="1">'ETF variations'!J195/'ETF price'!K196</f>
        <v>1.865197117422627E-3</v>
      </c>
      <c r="K195">
        <f ca="1">'ETF variations'!K195/'ETF price'!L196</f>
        <v>7.9845460399226055E-3</v>
      </c>
      <c r="L195">
        <f ca="1">'ETF variations'!L195/'ETF price'!M196</f>
        <v>5.5696202531645284E-3</v>
      </c>
      <c r="M195">
        <f ca="1">'ETF variations'!M195/'ETF price'!N196</f>
        <v>5.3633217993079981E-3</v>
      </c>
      <c r="N195">
        <f ca="1">'ETF variations'!N195/'ETF price'!O196</f>
        <v>-6.1525840853157744E-3</v>
      </c>
      <c r="O195">
        <f ca="1">'ETF variations'!O195/'ETF price'!P196</f>
        <v>-7.9880179730404451E-3</v>
      </c>
      <c r="P195">
        <f ca="1">'ETF variations'!P195/'ETF price'!Q196</f>
        <v>-7.4587107085775477E-3</v>
      </c>
      <c r="Q195">
        <f ca="1">'ETF variations'!Q195/'ETF price'!R196</f>
        <v>-7.7575061054447102E-3</v>
      </c>
      <c r="R195">
        <f ca="1">'ETF variations'!R195/'ETF price'!S196</f>
        <v>-9.3518921270117385E-3</v>
      </c>
      <c r="S195">
        <f ca="1">'ETF variations'!S195/'ETF price'!T196</f>
        <v>-1.4396887159533113E-2</v>
      </c>
      <c r="T195">
        <f ca="1">'ETF variations'!T195/'ETF price'!U196</f>
        <v>-2.7514231499051248E-2</v>
      </c>
      <c r="U195">
        <f ca="1">'ETF variations'!U195/'ETF price'!V196</f>
        <v>-1.3839349407904107E-2</v>
      </c>
      <c r="V195">
        <f ca="1">'ETF variations'!V195/'ETF price'!W196</f>
        <v>-1.2682926829268311E-2</v>
      </c>
      <c r="W195">
        <f ca="1">'ETF variations'!W195/'ETF price'!X196</f>
        <v>-1.123001717532031E-2</v>
      </c>
      <c r="X195">
        <f ca="1">'ETF variations'!X195/'ETF price'!Y196</f>
        <v>-5.7344508160565751E-3</v>
      </c>
      <c r="Y195">
        <f ca="1">'ETF variations'!Y195/'ETF price'!Z196</f>
        <v>-1.2962423536265666E-2</v>
      </c>
      <c r="Z195">
        <f ca="1">'ETF variations'!Z195/'ETF price'!AA196</f>
        <v>9.3731693028705418E-3</v>
      </c>
      <c r="AA195">
        <f ca="1">'ETF variations'!AA195/'ETF price'!AB196</f>
        <v>-4.3182195648563031E-3</v>
      </c>
      <c r="AB195">
        <f ca="1">'ETF variations'!AB195/'ETF price'!AC196</f>
        <v>-1.8204645323289338E-2</v>
      </c>
      <c r="AC195">
        <f ca="1">'ETF variations'!AC195/'ETF price'!AD196</f>
        <v>-9.5108695652174301E-3</v>
      </c>
      <c r="AD195">
        <f ca="1">'ETF variations'!AD195/'ETF price'!AE196</f>
        <v>-1.1026293469041477E-2</v>
      </c>
      <c r="AE195">
        <f ca="1">'ETF variations'!AE195/'ETF price'!AF196</f>
        <v>-1.8115942028985445E-2</v>
      </c>
      <c r="AF195">
        <f ca="1">'ETF variations'!AF195/'ETF price'!AG196</f>
        <v>-1.0600706713781006E-2</v>
      </c>
    </row>
    <row r="196" spans="1:32" x14ac:dyDescent="0.2">
      <c r="A196">
        <f ca="1">'ETF variations'!A196/'ETF price'!B197</f>
        <v>-3.0790283954840866E-3</v>
      </c>
      <c r="B196">
        <f ca="1">'ETF variations'!B196/'ETF price'!C197</f>
        <v>-3.5748568402238948E-3</v>
      </c>
      <c r="C196">
        <f ca="1">'ETF variations'!C196/'ETF price'!D197</f>
        <v>-2.220371912295262E-3</v>
      </c>
      <c r="D196">
        <f ca="1">'ETF variations'!D196/'ETF price'!E197</f>
        <v>-9.7087378640776205E-3</v>
      </c>
      <c r="E196">
        <f ca="1">'ETF variations'!E196/'ETF price'!F197</f>
        <v>-5.4347826086955783E-3</v>
      </c>
      <c r="F196">
        <f ca="1">'ETF variations'!F196/'ETF price'!G197</f>
        <v>-1.6629711751661633E-3</v>
      </c>
      <c r="G196">
        <f ca="1">'ETF variations'!G196/'ETF price'!H197</f>
        <v>-2.2758306781974127E-3</v>
      </c>
      <c r="H196">
        <f ca="1">'ETF variations'!H196/'ETF price'!I197</f>
        <v>-4.8979591836734232E-3</v>
      </c>
      <c r="I196">
        <f ca="1">'ETF variations'!I196/'ETF price'!J197</f>
        <v>-5.2797373441590039E-3</v>
      </c>
      <c r="J196">
        <f ca="1">'ETF variations'!J196/'ETF price'!K197</f>
        <v>7.277650842007273E-3</v>
      </c>
      <c r="K196">
        <f ca="1">'ETF variations'!K196/'ETF price'!L197</f>
        <v>5.4938035007027833E-3</v>
      </c>
      <c r="L196">
        <f ca="1">'ETF variations'!L196/'ETF price'!M197</f>
        <v>1.6784155756974012E-4</v>
      </c>
      <c r="M196">
        <f ca="1">'ETF variations'!M196/'ETF price'!N197</f>
        <v>-4.3021855102392016E-3</v>
      </c>
      <c r="N196">
        <f ca="1">'ETF variations'!N196/'ETF price'!O197</f>
        <v>2.0222864217911616E-2</v>
      </c>
      <c r="O196">
        <f ca="1">'ETF variations'!O196/'ETF price'!P197</f>
        <v>8.0523402113739373E-3</v>
      </c>
      <c r="P196">
        <f ca="1">'ETF variations'!P196/'ETF price'!Q197</f>
        <v>7.9620683485417832E-3</v>
      </c>
      <c r="Q196">
        <f ca="1">'ETF variations'!Q196/'ETF price'!R197</f>
        <v>-7.5285941798175198E-3</v>
      </c>
      <c r="R196">
        <f ca="1">'ETF variations'!R196/'ETF price'!S197</f>
        <v>0</v>
      </c>
      <c r="S196">
        <f ca="1">'ETF variations'!S196/'ETF price'!T197</f>
        <v>0</v>
      </c>
      <c r="T196">
        <f ca="1">'ETF variations'!T196/'ETF price'!U197</f>
        <v>-1.1428571428571333E-2</v>
      </c>
      <c r="U196">
        <f ca="1">'ETF variations'!U196/'ETF price'!V197</f>
        <v>-3.2262731481481538E-2</v>
      </c>
      <c r="V196">
        <f ca="1">'ETF variations'!V196/'ETF price'!W197</f>
        <v>-2.3056653491436195E-3</v>
      </c>
      <c r="W196">
        <f ca="1">'ETF variations'!W196/'ETF price'!X197</f>
        <v>-1.8706574024585857E-3</v>
      </c>
      <c r="X196">
        <f ca="1">'ETF variations'!X196/'ETF price'!Y197</f>
        <v>-2.661934338952916E-3</v>
      </c>
      <c r="Y196">
        <f ca="1">'ETF variations'!Y196/'ETF price'!Z197</f>
        <v>-1.9182529142687836E-3</v>
      </c>
      <c r="Z196">
        <f ca="1">'ETF variations'!Z196/'ETF price'!AA197</f>
        <v>-1.3348810214741755E-2</v>
      </c>
      <c r="AA196">
        <f ca="1">'ETF variations'!AA196/'ETF price'!AB197</f>
        <v>-2.1684737281067981E-3</v>
      </c>
      <c r="AB196">
        <f ca="1">'ETF variations'!AB196/'ETF price'!AC197</f>
        <v>4.2625745950545651E-4</v>
      </c>
      <c r="AC196">
        <f ca="1">'ETF variations'!AC196/'ETF price'!AD197</f>
        <v>9.6021947873800115E-3</v>
      </c>
      <c r="AD196">
        <f ca="1">'ETF variations'!AD196/'ETF price'!AE197</f>
        <v>9.4339622641508945E-3</v>
      </c>
      <c r="AE196">
        <f ca="1">'ETF variations'!AE196/'ETF price'!AF197</f>
        <v>3.690036900369089E-3</v>
      </c>
      <c r="AF196">
        <f ca="1">'ETF variations'!AF196/'ETF price'!AG197</f>
        <v>-2.6785714285713718E-3</v>
      </c>
    </row>
    <row r="197" spans="1:32" x14ac:dyDescent="0.2">
      <c r="A197">
        <f ca="1">'ETF variations'!A197/'ETF price'!B198</f>
        <v>3.1056966369251926E-2</v>
      </c>
      <c r="B197">
        <f ca="1">'ETF variations'!B197/'ETF price'!C198</f>
        <v>2.8635019765471899E-2</v>
      </c>
      <c r="C197">
        <f ca="1">'ETF variations'!C197/'ETF price'!D198</f>
        <v>2.5591098748261321E-2</v>
      </c>
      <c r="D197">
        <f ca="1">'ETF variations'!D197/'ETF price'!E198</f>
        <v>2.8817587641117019E-2</v>
      </c>
      <c r="E197">
        <f ca="1">'ETF variations'!E197/'ETF price'!F198</f>
        <v>1.1166547873604153E-2</v>
      </c>
      <c r="F197">
        <f ca="1">'ETF variations'!F197/'ETF price'!G198</f>
        <v>1.7212659633536853E-2</v>
      </c>
      <c r="G197">
        <f ca="1">'ETF variations'!G197/'ETF price'!H198</f>
        <v>1.5510948905109481E-2</v>
      </c>
      <c r="H197">
        <f ca="1">'ETF variations'!H197/'ETF price'!I198</f>
        <v>2.3297785069729196E-2</v>
      </c>
      <c r="I197">
        <f ca="1">'ETF variations'!I197/'ETF price'!J198</f>
        <v>2.2881355932203497E-2</v>
      </c>
      <c r="J197">
        <f ca="1">'ETF variations'!J197/'ETF price'!K198</f>
        <v>1.999495925396955E-2</v>
      </c>
      <c r="K197">
        <f ca="1">'ETF variations'!K197/'ETF price'!L198</f>
        <v>1.7407878017788949E-2</v>
      </c>
      <c r="L197">
        <f ca="1">'ETF variations'!L197/'ETF price'!M198</f>
        <v>2.2319181070649407E-2</v>
      </c>
      <c r="M197">
        <f ca="1">'ETF variations'!M197/'ETF price'!N198</f>
        <v>2.2122364327687542E-2</v>
      </c>
      <c r="N197">
        <f ca="1">'ETF variations'!N197/'ETF price'!O198</f>
        <v>1.0517799352750873E-2</v>
      </c>
      <c r="O197">
        <f ca="1">'ETF variations'!O197/'ETF price'!P198</f>
        <v>4.0813779331003441E-2</v>
      </c>
      <c r="P197">
        <f ca="1">'ETF variations'!P197/'ETF price'!Q198</f>
        <v>4.0205911067719896E-2</v>
      </c>
      <c r="Q197">
        <f ca="1">'ETF variations'!Q197/'ETF price'!R198</f>
        <v>2.9321663019693731E-2</v>
      </c>
      <c r="R197">
        <f ca="1">'ETF variations'!R197/'ETF price'!S198</f>
        <v>1.6684961580680686E-2</v>
      </c>
      <c r="S197">
        <f ca="1">'ETF variations'!S197/'ETF price'!T198</f>
        <v>1.3817607579944786E-2</v>
      </c>
      <c r="T197">
        <f ca="1">'ETF variations'!T197/'ETF price'!U198</f>
        <v>2.2416466939235713E-2</v>
      </c>
      <c r="U197">
        <f ca="1">'ETF variations'!U197/'ETF price'!V198</f>
        <v>1.0165944087307409E-2</v>
      </c>
      <c r="V197">
        <f ca="1">'ETF variations'!V197/'ETF price'!W198</f>
        <v>4.1267745130406076E-2</v>
      </c>
      <c r="W197">
        <f ca="1">'ETF variations'!W197/'ETF price'!X198</f>
        <v>3.9223560910307799E-2</v>
      </c>
      <c r="X197">
        <f ca="1">'ETF variations'!X197/'ETF price'!Y198</f>
        <v>4.2037366548042715E-2</v>
      </c>
      <c r="Y197">
        <f ca="1">'ETF variations'!Y197/'ETF price'!Z198</f>
        <v>3.7995269071555191E-2</v>
      </c>
      <c r="Z197">
        <f ca="1">'ETF variations'!Z197/'ETF price'!AA198</f>
        <v>1.8823529411764722E-2</v>
      </c>
      <c r="AA197">
        <f ca="1">'ETF variations'!AA197/'ETF price'!AB198</f>
        <v>4.4299565362754909E-2</v>
      </c>
      <c r="AB197">
        <f ca="1">'ETF variations'!AB197/'ETF price'!AC198</f>
        <v>3.9412015338730323E-2</v>
      </c>
      <c r="AC197">
        <f ca="1">'ETF variations'!AC197/'ETF price'!AD198</f>
        <v>1.3586956521739081E-2</v>
      </c>
      <c r="AD197">
        <f ca="1">'ETF variations'!AD197/'ETF price'!AE198</f>
        <v>1.5293118096856391E-2</v>
      </c>
      <c r="AE197">
        <f ca="1">'ETF variations'!AE197/'ETF price'!AF198</f>
        <v>-1.1029411764705973E-2</v>
      </c>
      <c r="AF197">
        <f ca="1">'ETF variations'!AF197/'ETF price'!AG198</f>
        <v>1.8352730528200543E-2</v>
      </c>
    </row>
    <row r="198" spans="1:32" x14ac:dyDescent="0.2">
      <c r="A198">
        <f ca="1">'ETF variations'!A198/'ETF price'!B199</f>
        <v>-2.8124479946746626E-2</v>
      </c>
      <c r="B198">
        <f ca="1">'ETF variations'!B198/'ETF price'!C199</f>
        <v>-2.8451477474568072E-2</v>
      </c>
      <c r="C198">
        <f ca="1">'ETF variations'!C198/'ETF price'!D199</f>
        <v>-3.0105777054515854E-2</v>
      </c>
      <c r="D198">
        <f ca="1">'ETF variations'!D198/'ETF price'!E199</f>
        <v>-4.1678698623544119E-2</v>
      </c>
      <c r="E198">
        <f ca="1">'ETF variations'!E198/'ETF price'!F199</f>
        <v>-2.4906015037594036E-2</v>
      </c>
      <c r="F198">
        <f ca="1">'ETF variations'!F198/'ETF price'!G199</f>
        <v>-3.5480349344978089E-2</v>
      </c>
      <c r="G198">
        <f ca="1">'ETF variations'!G198/'ETF price'!H199</f>
        <v>-2.7403414195867157E-2</v>
      </c>
      <c r="H198">
        <f ca="1">'ETF variations'!H198/'ETF price'!I199</f>
        <v>-6.7340067340066478E-3</v>
      </c>
      <c r="I198">
        <f ca="1">'ETF variations'!I198/'ETF price'!J199</f>
        <v>-1.0072820825884107E-2</v>
      </c>
      <c r="J198">
        <f ca="1">'ETF variations'!J198/'ETF price'!K199</f>
        <v>-1.5072893501359017E-2</v>
      </c>
      <c r="K198">
        <f ca="1">'ETF variations'!K198/'ETF price'!L199</f>
        <v>-2.8100412139378046E-2</v>
      </c>
      <c r="L198">
        <f ca="1">'ETF variations'!L198/'ETF price'!M199</f>
        <v>-1.1326329612606776E-2</v>
      </c>
      <c r="M198">
        <f ca="1">'ETF variations'!M198/'ETF price'!N199</f>
        <v>-9.8072370645924632E-3</v>
      </c>
      <c r="N198">
        <f ca="1">'ETF variations'!N198/'ETF price'!O199</f>
        <v>-2.722177742193754E-2</v>
      </c>
      <c r="O198">
        <f ca="1">'ETF variations'!O198/'ETF price'!P199</f>
        <v>-3.7294639645041365E-2</v>
      </c>
      <c r="P198">
        <f ca="1">'ETF variations'!P198/'ETF price'!Q199</f>
        <v>-3.7542662116041001E-2</v>
      </c>
      <c r="Q198">
        <f ca="1">'ETF variations'!Q198/'ETF price'!R199</f>
        <v>-3.3730158730158666E-2</v>
      </c>
      <c r="R198">
        <f ca="1">'ETF variations'!R198/'ETF price'!S199</f>
        <v>-4.6210321744763562E-2</v>
      </c>
      <c r="S198">
        <f ca="1">'ETF variations'!S198/'ETF price'!T199</f>
        <v>-1.9859813084112072E-2</v>
      </c>
      <c r="T198">
        <f ca="1">'ETF variations'!T198/'ETF price'!U199</f>
        <v>-3.2404853833425187E-2</v>
      </c>
      <c r="U198">
        <f ca="1">'ETF variations'!U198/'ETF price'!V199</f>
        <v>-2.3235163534112674E-2</v>
      </c>
      <c r="V198">
        <f ca="1">'ETF variations'!V198/'ETF price'!W199</f>
        <v>-1.6804058338617551E-2</v>
      </c>
      <c r="W198">
        <f ca="1">'ETF variations'!W198/'ETF price'!X199</f>
        <v>-1.5973206234703014E-2</v>
      </c>
      <c r="X198">
        <f ca="1">'ETF variations'!X198/'ETF price'!Y199</f>
        <v>-1.3874066168623234E-2</v>
      </c>
      <c r="Y198">
        <f ca="1">'ETF variations'!Y198/'ETF price'!Z199</f>
        <v>-1.694915254237285E-2</v>
      </c>
      <c r="Z198">
        <f ca="1">'ETF variations'!Z198/'ETF price'!AA199</f>
        <v>-2.5115473441108472E-2</v>
      </c>
      <c r="AA198">
        <f ca="1">'ETF variations'!AA198/'ETF price'!AB199</f>
        <v>-1.5367376340643522E-2</v>
      </c>
      <c r="AB198">
        <f ca="1">'ETF variations'!AB198/'ETF price'!AC199</f>
        <v>-1.5986882557901233E-2</v>
      </c>
      <c r="AC198">
        <f ca="1">'ETF variations'!AC198/'ETF price'!AD199</f>
        <v>-1.2064343163538854E-2</v>
      </c>
      <c r="AD198">
        <f ca="1">'ETF variations'!AD198/'ETF price'!AE199</f>
        <v>-1.2552301255230007E-2</v>
      </c>
      <c r="AE198">
        <f ca="1">'ETF variations'!AE198/'ETF price'!AF199</f>
        <v>3.3457249070631918E-2</v>
      </c>
      <c r="AF198">
        <f ca="1">'ETF variations'!AF198/'ETF price'!AG199</f>
        <v>-6.1098901098901121E-2</v>
      </c>
    </row>
    <row r="199" spans="1:32" x14ac:dyDescent="0.2">
      <c r="A199">
        <f ca="1">'ETF variations'!A199/'ETF price'!B200</f>
        <v>3.0479452054794541E-2</v>
      </c>
      <c r="B199">
        <f ca="1">'ETF variations'!B199/'ETF price'!C200</f>
        <v>3.1611487834064783E-2</v>
      </c>
      <c r="C199">
        <f ca="1">'ETF variations'!C199/'ETF price'!D200</f>
        <v>3.3976510067114191E-2</v>
      </c>
      <c r="D199">
        <f ca="1">'ETF variations'!D199/'ETF price'!E200</f>
        <v>2.1193250301325829E-2</v>
      </c>
      <c r="E199">
        <f ca="1">'ETF variations'!E199/'ETF price'!F200</f>
        <v>3.6626506024096464E-2</v>
      </c>
      <c r="F199">
        <f ca="1">'ETF variations'!F199/'ETF price'!G200</f>
        <v>3.678551216751548E-2</v>
      </c>
      <c r="G199">
        <f ca="1">'ETF variations'!G199/'ETF price'!H200</f>
        <v>2.7713625866050876E-2</v>
      </c>
      <c r="H199">
        <f ca="1">'ETF variations'!H199/'ETF price'!I200</f>
        <v>1.6061339790153308E-2</v>
      </c>
      <c r="I199">
        <f ca="1">'ETF variations'!I199/'ETF price'!J200</f>
        <v>1.8941062461457065E-2</v>
      </c>
      <c r="J199">
        <f ca="1">'ETF variations'!J199/'ETF price'!K200</f>
        <v>2.4335173105870519E-2</v>
      </c>
      <c r="K199">
        <f ca="1">'ETF variations'!K199/'ETF price'!L200</f>
        <v>3.7008481110254558E-2</v>
      </c>
      <c r="L199">
        <f ca="1">'ETF variations'!L199/'ETF price'!M200</f>
        <v>2.5568653494936183E-2</v>
      </c>
      <c r="M199">
        <f ca="1">'ETF variations'!M199/'ETF price'!N200</f>
        <v>1.8442622950819641E-2</v>
      </c>
      <c r="N199">
        <f ca="1">'ETF variations'!N199/'ETF price'!O200</f>
        <v>3.6625514403292203E-2</v>
      </c>
      <c r="O199">
        <f ca="1">'ETF variations'!O199/'ETF price'!P200</f>
        <v>1.2456402590931739E-2</v>
      </c>
      <c r="P199">
        <f ca="1">'ETF variations'!P199/'ETF price'!Q200</f>
        <v>1.3297872340425532E-2</v>
      </c>
      <c r="Q199">
        <f ca="1">'ETF variations'!Q199/'ETF price'!R200</f>
        <v>2.4933998239952897E-2</v>
      </c>
      <c r="R199">
        <f ca="1">'ETF variations'!R199/'ETF price'!S200</f>
        <v>3.8714059316278034E-2</v>
      </c>
      <c r="S199">
        <f ca="1">'ETF variations'!S199/'ETF price'!T200</f>
        <v>-2.3837902264601616E-3</v>
      </c>
      <c r="T199">
        <f ca="1">'ETF variations'!T199/'ETF price'!U200</f>
        <v>-5.7004417842391694E-4</v>
      </c>
      <c r="U199">
        <f ca="1">'ETF variations'!U199/'ETF price'!V200</f>
        <v>9.2424242424242343E-3</v>
      </c>
      <c r="V199">
        <f ca="1">'ETF variations'!V199/'ETF price'!W200</f>
        <v>2.5153176394711305E-2</v>
      </c>
      <c r="W199">
        <f ca="1">'ETF variations'!W199/'ETF price'!X200</f>
        <v>2.4086922372038268E-2</v>
      </c>
      <c r="X199">
        <f ca="1">'ETF variations'!X199/'ETF price'!Y200</f>
        <v>2.6839826839826726E-2</v>
      </c>
      <c r="Y199">
        <f ca="1">'ETF variations'!Y199/'ETF price'!Z200</f>
        <v>2.506519849319044E-2</v>
      </c>
      <c r="Z199">
        <f ca="1">'ETF variations'!Z199/'ETF price'!AA200</f>
        <v>3.7311222978975357E-2</v>
      </c>
      <c r="AA199">
        <f ca="1">'ETF variations'!AA199/'ETF price'!AB200</f>
        <v>2.6174605755161753E-2</v>
      </c>
      <c r="AB199">
        <f ca="1">'ETF variations'!AB199/'ETF price'!AC200</f>
        <v>2.603624244948969E-2</v>
      </c>
      <c r="AC199">
        <f ca="1">'ETF variations'!AC199/'ETF price'!AD200</f>
        <v>2.0352781546811326E-2</v>
      </c>
      <c r="AD199">
        <f ca="1">'ETF variations'!AD199/'ETF price'!AE200</f>
        <v>2.1186440677966101E-2</v>
      </c>
      <c r="AE199">
        <f ca="1">'ETF variations'!AE199/'ETF price'!AF200</f>
        <v>-5.7553956834532266E-2</v>
      </c>
      <c r="AF199">
        <f ca="1">'ETF variations'!AF199/'ETF price'!AG200</f>
        <v>6.1797752808988776E-2</v>
      </c>
    </row>
    <row r="200" spans="1:32" x14ac:dyDescent="0.2">
      <c r="A200">
        <f ca="1">'ETF variations'!A200/'ETF price'!B201</f>
        <v>8.4745762711864077E-3</v>
      </c>
      <c r="B200">
        <f ca="1">'ETF variations'!B200/'ETF price'!C201</f>
        <v>1.0278717576929264E-2</v>
      </c>
      <c r="C200">
        <f ca="1">'ETF variations'!C200/'ETF price'!D201</f>
        <v>8.924949290060805E-3</v>
      </c>
      <c r="D200">
        <f ca="1">'ETF variations'!D200/'ETF price'!E201</f>
        <v>3.4425100816366117E-3</v>
      </c>
      <c r="E200">
        <f ca="1">'ETF variations'!E200/'ETF price'!F201</f>
        <v>2.5801952580195242E-2</v>
      </c>
      <c r="F200">
        <f ca="1">'ETF variations'!F200/'ETF price'!G201</f>
        <v>1.3646288209606987E-2</v>
      </c>
      <c r="G200">
        <f ca="1">'ETF variations'!G200/'ETF price'!H201</f>
        <v>1.2134831460674138E-2</v>
      </c>
      <c r="H200">
        <f ca="1">'ETF variations'!H200/'ETF price'!I201</f>
        <v>5.5604098816427264E-3</v>
      </c>
      <c r="I200">
        <f ca="1">'ETF variations'!I200/'ETF price'!J201</f>
        <v>5.5766902991527777E-3</v>
      </c>
      <c r="J200">
        <f ca="1">'ETF variations'!J200/'ETF price'!K201</f>
        <v>1.7960649848967171E-3</v>
      </c>
      <c r="K200">
        <f ca="1">'ETF variations'!K200/'ETF price'!L201</f>
        <v>4.7087980173481465E-3</v>
      </c>
      <c r="L200">
        <f ca="1">'ETF variations'!L200/'ETF price'!M201</f>
        <v>1.6189088554313471E-3</v>
      </c>
      <c r="M200">
        <f ca="1">'ETF variations'!M200/'ETF price'!N201</f>
        <v>6.0362173038229277E-3</v>
      </c>
      <c r="N200">
        <f ca="1">'ETF variations'!N200/'ETF price'!O201</f>
        <v>9.9245732433505349E-3</v>
      </c>
      <c r="O200">
        <f ca="1">'ETF variations'!O200/'ETF price'!P201</f>
        <v>8.7352362204723647E-3</v>
      </c>
      <c r="P200">
        <f ca="1">'ETF variations'!P200/'ETF price'!Q201</f>
        <v>7.9615048118984837E-3</v>
      </c>
      <c r="Q200">
        <f ca="1">'ETF variations'!Q200/'ETF price'!R201</f>
        <v>1.960503720664002E-2</v>
      </c>
      <c r="R200">
        <f ca="1">'ETF variations'!R200/'ETF price'!S201</f>
        <v>1.2641673931996476E-2</v>
      </c>
      <c r="S200">
        <f ca="1">'ETF variations'!S200/'ETF price'!T201</f>
        <v>-1.0752688172042994E-2</v>
      </c>
      <c r="T200">
        <f ca="1">'ETF variations'!T200/'ETF price'!U201</f>
        <v>-2.0390702980179563E-2</v>
      </c>
      <c r="U200">
        <f ca="1">'ETF variations'!U200/'ETF price'!V201</f>
        <v>2.7773607566431383E-2</v>
      </c>
      <c r="V200">
        <f ca="1">'ETF variations'!V200/'ETF price'!W201</f>
        <v>1.6042780748663041E-2</v>
      </c>
      <c r="W200">
        <f ca="1">'ETF variations'!W200/'ETF price'!X201</f>
        <v>1.5339383868081334E-2</v>
      </c>
      <c r="X200">
        <f ca="1">'ETF variations'!X200/'ETF price'!Y201</f>
        <v>2.7403035413153995E-3</v>
      </c>
      <c r="Y200">
        <f ca="1">'ETF variations'!Y200/'ETF price'!Z201</f>
        <v>1.4840989399293247E-2</v>
      </c>
      <c r="Z200">
        <f ca="1">'ETF variations'!Z200/'ETF price'!AA201</f>
        <v>1.3131601484441931E-2</v>
      </c>
      <c r="AA200">
        <f ca="1">'ETF variations'!AA200/'ETF price'!AB201</f>
        <v>-6.3371356147020198E-4</v>
      </c>
      <c r="AB200">
        <f ca="1">'ETF variations'!AB200/'ETF price'!AC201</f>
        <v>1.6443361753958635E-2</v>
      </c>
      <c r="AC200">
        <f ca="1">'ETF variations'!AC200/'ETF price'!AD201</f>
        <v>-1.7287234042553178E-2</v>
      </c>
      <c r="AD200">
        <f ca="1">'ETF variations'!AD200/'ETF price'!AE201</f>
        <v>-1.7427385892116252E-2</v>
      </c>
      <c r="AE200">
        <f ca="1">'ETF variations'!AE200/'ETF price'!AF201</f>
        <v>6.4885496183206076E-2</v>
      </c>
      <c r="AF200">
        <f ca="1">'ETF variations'!AF200/'ETF price'!AG201</f>
        <v>-1.7636684303350907E-2</v>
      </c>
    </row>
    <row r="201" spans="1:32" x14ac:dyDescent="0.2">
      <c r="A201">
        <f ca="1">'ETF variations'!A201/'ETF price'!B202</f>
        <v>-2.8835063437139094E-3</v>
      </c>
      <c r="B201">
        <f ca="1">'ETF variations'!B201/'ETF price'!C202</f>
        <v>-4.9116540154366915E-3</v>
      </c>
      <c r="C201">
        <f ca="1">'ETF variations'!C201/'ETF price'!D202</f>
        <v>-4.6910601796005136E-3</v>
      </c>
      <c r="D201">
        <f ca="1">'ETF variations'!D201/'ETF price'!E202</f>
        <v>6.3712997451480661E-3</v>
      </c>
      <c r="E201">
        <f ca="1">'ETF variations'!E201/'ETF price'!F202</f>
        <v>-1.0423748017221863E-2</v>
      </c>
      <c r="F201">
        <f ca="1">'ETF variations'!F201/'ETF price'!G202</f>
        <v>-8.6160473882606423E-3</v>
      </c>
      <c r="G201">
        <f ca="1">'ETF variations'!G201/'ETF price'!H202</f>
        <v>-2.0426287744227393E-2</v>
      </c>
      <c r="H201">
        <f ca="1">'ETF variations'!H201/'ETF price'!I202</f>
        <v>-1.398214708902765E-2</v>
      </c>
      <c r="I201">
        <f ca="1">'ETF variations'!I201/'ETF price'!J202</f>
        <v>-1.620738575297713E-2</v>
      </c>
      <c r="J201">
        <f ca="1">'ETF variations'!J201/'ETF price'!K202</f>
        <v>-3.4064053459375708E-2</v>
      </c>
      <c r="K201">
        <f ca="1">'ETF variations'!K201/'ETF price'!L202</f>
        <v>-4.8963986186482476E-2</v>
      </c>
      <c r="L201">
        <f ca="1">'ETF variations'!L201/'ETF price'!M202</f>
        <v>-3.5073541296266282E-2</v>
      </c>
      <c r="M201">
        <f ca="1">'ETF variations'!M201/'ETF price'!N202</f>
        <v>-1.7499999999999953E-2</v>
      </c>
      <c r="N201">
        <f ca="1">'ETF variations'!N201/'ETF price'!O202</f>
        <v>-4.7169811320754824E-2</v>
      </c>
      <c r="O201">
        <f ca="1">'ETF variations'!O201/'ETF price'!P202</f>
        <v>2.9515794609098693E-2</v>
      </c>
      <c r="P201">
        <f ca="1">'ETF variations'!P201/'ETF price'!Q202</f>
        <v>2.7948962763649103E-2</v>
      </c>
      <c r="Q201">
        <f ca="1">'ETF variations'!Q201/'ETF price'!R202</f>
        <v>-1.1789473684210574E-2</v>
      </c>
      <c r="R201">
        <f ca="1">'ETF variations'!R201/'ETF price'!S202</f>
        <v>-2.389151958674127E-2</v>
      </c>
      <c r="S201">
        <f ca="1">'ETF variations'!S201/'ETF price'!T202</f>
        <v>-4.0257648953307421E-4</v>
      </c>
      <c r="T201">
        <f ca="1">'ETF variations'!T201/'ETF price'!U202</f>
        <v>1.9505094614264969E-2</v>
      </c>
      <c r="U201">
        <f ca="1">'ETF variations'!U201/'ETF price'!V202</f>
        <v>-3.4472684779433244E-2</v>
      </c>
      <c r="V201">
        <f ca="1">'ETF variations'!V201/'ETF price'!W202</f>
        <v>-1.640866873065008E-2</v>
      </c>
      <c r="W201">
        <f ca="1">'ETF variations'!W201/'ETF price'!X202</f>
        <v>-1.6114818078811544E-2</v>
      </c>
      <c r="X201">
        <f ca="1">'ETF variations'!X201/'ETF price'!Y202</f>
        <v>-2.1652301870927079E-2</v>
      </c>
      <c r="Y201">
        <f ca="1">'ETF variations'!Y201/'ETF price'!Z202</f>
        <v>-1.5738161559888518E-2</v>
      </c>
      <c r="Z201">
        <f ca="1">'ETF variations'!Z201/'ETF price'!AA202</f>
        <v>-2.507748661594817E-2</v>
      </c>
      <c r="AA201">
        <f ca="1">'ETF variations'!AA201/'ETF price'!AB202</f>
        <v>-2.0767279644895296E-2</v>
      </c>
      <c r="AB201">
        <f ca="1">'ETF variations'!AB201/'ETF price'!AC202</f>
        <v>-1.9972039145196723E-2</v>
      </c>
      <c r="AC201">
        <f ca="1">'ETF variations'!AC201/'ETF price'!AD202</f>
        <v>1.3531799729364919E-3</v>
      </c>
      <c r="AD201">
        <f ca="1">'ETF variations'!AD201/'ETF price'!AE202</f>
        <v>0</v>
      </c>
      <c r="AE201">
        <f ca="1">'ETF variations'!AE201/'ETF price'!AF202</f>
        <v>-3.9426523297490995E-2</v>
      </c>
      <c r="AF201">
        <f ca="1">'ETF variations'!AF201/'ETF price'!AG202</f>
        <v>-3.411131059245967E-2</v>
      </c>
    </row>
    <row r="202" spans="1:32" x14ac:dyDescent="0.2">
      <c r="A202">
        <f ca="1">'ETF variations'!A202/'ETF price'!B203</f>
        <v>5.7836899942157458E-4</v>
      </c>
      <c r="B202">
        <f ca="1">'ETF variations'!B202/'ETF price'!C203</f>
        <v>5.4487179487184591E-4</v>
      </c>
      <c r="C202">
        <f ca="1">'ETF variations'!C202/'ETF price'!D203</f>
        <v>3.0972259628331503E-3</v>
      </c>
      <c r="D202">
        <f ca="1">'ETF variations'!D202/'ETF price'!E203</f>
        <v>6.2335638453297022E-3</v>
      </c>
      <c r="E202">
        <f ca="1">'ETF variations'!E202/'ETF price'!F203</f>
        <v>5.7247538355850698E-3</v>
      </c>
      <c r="F202">
        <f ca="1">'ETF variations'!F202/'ETF price'!G203</f>
        <v>-4.3454644215101491E-3</v>
      </c>
      <c r="G202">
        <f ca="1">'ETF variations'!G202/'ETF price'!H203</f>
        <v>-4.0797824116047083E-3</v>
      </c>
      <c r="H202">
        <f ca="1">'ETF variations'!H202/'ETF price'!I203</f>
        <v>-8.4922288094855646E-3</v>
      </c>
      <c r="I202">
        <f ca="1">'ETF variations'!I202/'ETF price'!J203</f>
        <v>-8.4338402377207074E-3</v>
      </c>
      <c r="J202">
        <f ca="1">'ETF variations'!J202/'ETF price'!K203</f>
        <v>-8.014848561545624E-3</v>
      </c>
      <c r="K202">
        <f ca="1">'ETF variations'!K202/'ETF price'!L203</f>
        <v>-5.0577097652704005E-3</v>
      </c>
      <c r="L202">
        <f ca="1">'ETF variations'!L202/'ETF price'!M203</f>
        <v>-5.1926298157454311E-3</v>
      </c>
      <c r="M202">
        <f ca="1">'ETF variations'!M202/'ETF price'!N203</f>
        <v>-7.2943172179813351E-3</v>
      </c>
      <c r="N202">
        <f ca="1">'ETF variations'!N202/'ETF price'!O203</f>
        <v>-3.5066006600658955E-3</v>
      </c>
      <c r="O202">
        <f ca="1">'ETF variations'!O202/'ETF price'!P203</f>
        <v>9.4775500533110177E-4</v>
      </c>
      <c r="P202">
        <f ca="1">'ETF variations'!P202/'ETF price'!Q203</f>
        <v>5.0662838807724445E-4</v>
      </c>
      <c r="Q202">
        <f ca="1">'ETF variations'!Q202/'ETF price'!R203</f>
        <v>-7.2432893054962498E-3</v>
      </c>
      <c r="R202">
        <f ca="1">'ETF variations'!R202/'ETF price'!S203</f>
        <v>5.2921719955899005E-3</v>
      </c>
      <c r="S202">
        <f ca="1">'ETF variations'!S202/'ETF price'!T203</f>
        <v>8.054772452679472E-4</v>
      </c>
      <c r="T202">
        <f ca="1">'ETF variations'!T202/'ETF price'!U203</f>
        <v>1.9988577955454105E-3</v>
      </c>
      <c r="U202">
        <f ca="1">'ETF variations'!U202/'ETF price'!V203</f>
        <v>-1.1043872919818303E-2</v>
      </c>
      <c r="V202">
        <f ca="1">'ETF variations'!V202/'ETF price'!W203</f>
        <v>-1.6052880075542904E-2</v>
      </c>
      <c r="W202">
        <f ca="1">'ETF variations'!W202/'ETF price'!X203</f>
        <v>-1.7914267434421056E-2</v>
      </c>
      <c r="X202">
        <f ca="1">'ETF variations'!X202/'ETF price'!Y203</f>
        <v>-3.0726256983240219E-2</v>
      </c>
      <c r="Y202">
        <f ca="1">'ETF variations'!Y202/'ETF price'!Z203</f>
        <v>-1.8112353190887238E-2</v>
      </c>
      <c r="Z202">
        <f ca="1">'ETF variations'!Z202/'ETF price'!AA203</f>
        <v>-4.91329479768791E-3</v>
      </c>
      <c r="AA202">
        <f ca="1">'ETF variations'!AA202/'ETF price'!AB203</f>
        <v>-3.4158976849603472E-2</v>
      </c>
      <c r="AB202">
        <f ca="1">'ETF variations'!AB202/'ETF price'!AC203</f>
        <v>-1.1616058691664974E-2</v>
      </c>
      <c r="AC202">
        <f ca="1">'ETF variations'!AC202/'ETF price'!AD203</f>
        <v>-8.1081081081081745E-3</v>
      </c>
      <c r="AD202">
        <f ca="1">'ETF variations'!AD202/'ETF price'!AE203</f>
        <v>-8.4459459459459152E-3</v>
      </c>
      <c r="AE202">
        <f ca="1">'ETF variations'!AE202/'ETF price'!AF203</f>
        <v>-3.7313432835820927E-2</v>
      </c>
      <c r="AF202">
        <f ca="1">'ETF variations'!AF202/'ETF price'!AG203</f>
        <v>-3.7174721189590287E-3</v>
      </c>
    </row>
    <row r="203" spans="1:32" x14ac:dyDescent="0.2">
      <c r="A203">
        <f ca="1">'ETF variations'!A203/'ETF price'!B204</f>
        <v>2.6754748142031454E-2</v>
      </c>
      <c r="B203">
        <f ca="1">'ETF variations'!B203/'ETF price'!C204</f>
        <v>2.6331806387545151E-2</v>
      </c>
      <c r="C203">
        <f ca="1">'ETF variations'!C203/'ETF price'!D204</f>
        <v>2.2956101490133014E-2</v>
      </c>
      <c r="D203">
        <f ca="1">'ETF variations'!D203/'ETF price'!E204</f>
        <v>3.7169683476914177E-2</v>
      </c>
      <c r="E203">
        <f ca="1">'ETF variations'!E203/'ETF price'!F204</f>
        <v>1.6165755919854301E-2</v>
      </c>
      <c r="F203">
        <f ca="1">'ETF variations'!F203/'ETF price'!G204</f>
        <v>2.1822149481724069E-2</v>
      </c>
      <c r="G203">
        <f ca="1">'ETF variations'!G203/'ETF price'!H204</f>
        <v>2.5034137460172998E-2</v>
      </c>
      <c r="H203">
        <f ca="1">'ETF variations'!H203/'ETF price'!I204</f>
        <v>2.2462831286360705E-2</v>
      </c>
      <c r="I203">
        <f ca="1">'ETF variations'!I203/'ETF price'!J204</f>
        <v>2.1594464765766187E-2</v>
      </c>
      <c r="J203">
        <f ca="1">'ETF variations'!J203/'ETF price'!K204</f>
        <v>2.8236094573907189E-2</v>
      </c>
      <c r="K203">
        <f ca="1">'ETF variations'!K203/'ETF price'!L204</f>
        <v>2.7632950990615284E-2</v>
      </c>
      <c r="L203">
        <f ca="1">'ETF variations'!L203/'ETF price'!M204</f>
        <v>2.1552449907391837E-2</v>
      </c>
      <c r="M203">
        <f ca="1">'ETF variations'!M203/'ETF price'!N204</f>
        <v>2.1360218728639781E-2</v>
      </c>
      <c r="N203">
        <f ca="1">'ETF variations'!N203/'ETF price'!O204</f>
        <v>3.3326433450631326E-2</v>
      </c>
      <c r="O203">
        <f ca="1">'ETF variations'!O203/'ETF price'!P204</f>
        <v>2.887915729672165E-2</v>
      </c>
      <c r="P203">
        <f ca="1">'ETF variations'!P203/'ETF price'!Q204</f>
        <v>2.7006498438686834E-2</v>
      </c>
      <c r="Q203">
        <f ca="1">'ETF variations'!Q203/'ETF price'!R204</f>
        <v>3.4620886981401824E-2</v>
      </c>
      <c r="R203">
        <f ca="1">'ETF variations'!R203/'ETF price'!S204</f>
        <v>5.6372011406009934E-2</v>
      </c>
      <c r="S203">
        <f ca="1">'ETF variations'!S203/'ETF price'!T204</f>
        <v>1.2072434607644901E-3</v>
      </c>
      <c r="T203">
        <f ca="1">'ETF variations'!T203/'ETF price'!U204</f>
        <v>5.5571387859787167E-3</v>
      </c>
      <c r="U203">
        <f ca="1">'ETF variations'!U203/'ETF price'!V204</f>
        <v>1.8051093773902287E-2</v>
      </c>
      <c r="V203">
        <f ca="1">'ETF variations'!V203/'ETF price'!W204</f>
        <v>2.9750479846449011E-2</v>
      </c>
      <c r="W203">
        <f ca="1">'ETF variations'!W203/'ETF price'!X204</f>
        <v>2.6710097719869669E-2</v>
      </c>
      <c r="X203">
        <f ca="1">'ETF variations'!X203/'ETF price'!Y204</f>
        <v>1.5074262912879622E-2</v>
      </c>
      <c r="Y203">
        <f ca="1">'ETF variations'!Y203/'ETF price'!Z204</f>
        <v>2.8678483931402144E-2</v>
      </c>
      <c r="Z203">
        <f ca="1">'ETF variations'!Z203/'ETF price'!AA204</f>
        <v>6.9706651176300316E-3</v>
      </c>
      <c r="AA203">
        <f ca="1">'ETF variations'!AA203/'ETF price'!AB204</f>
        <v>1.3074086490110647E-2</v>
      </c>
      <c r="AB203">
        <f ca="1">'ETF variations'!AB203/'ETF price'!AC204</f>
        <v>2.7010309278350561E-2</v>
      </c>
      <c r="AC203">
        <f ca="1">'ETF variations'!AC203/'ETF price'!AD204</f>
        <v>8.1743869209809951E-3</v>
      </c>
      <c r="AD203">
        <f ca="1">'ETF variations'!AD203/'ETF price'!AE204</f>
        <v>8.5178875638841269E-3</v>
      </c>
      <c r="AE203">
        <f ca="1">'ETF variations'!AE203/'ETF price'!AF204</f>
        <v>-7.7519379844961309E-3</v>
      </c>
      <c r="AF203">
        <f ca="1">'ETF variations'!AF203/'ETF price'!AG204</f>
        <v>4.1511194029850602E-2</v>
      </c>
    </row>
    <row r="204" spans="1:32" x14ac:dyDescent="0.2">
      <c r="A204">
        <f ca="1">'ETF variations'!A204/'ETF price'!B205</f>
        <v>1.383303844297892E-2</v>
      </c>
      <c r="B204">
        <f ca="1">'ETF variations'!B204/'ETF price'!C205</f>
        <v>1.1798121039982614E-2</v>
      </c>
      <c r="C204">
        <f ca="1">'ETF variations'!C204/'ETF price'!D205</f>
        <v>3.4251968503936997E-2</v>
      </c>
      <c r="D204">
        <f ca="1">'ETF variations'!D204/'ETF price'!E205</f>
        <v>4.2930471301912618E-3</v>
      </c>
      <c r="E204">
        <f ca="1">'ETF variations'!E204/'ETF price'!F205</f>
        <v>2.9128388976024074E-3</v>
      </c>
      <c r="F204">
        <f ca="1">'ETF variations'!F204/'ETF price'!G205</f>
        <v>1.6017084890550526E-3</v>
      </c>
      <c r="G204">
        <f ca="1">'ETF variations'!G204/'ETF price'!H205</f>
        <v>1.7761989342806016E-3</v>
      </c>
      <c r="H204">
        <f ca="1">'ETF variations'!H204/'ETF price'!I205</f>
        <v>1.9282440335071784E-2</v>
      </c>
      <c r="I204">
        <f ca="1">'ETF variations'!I204/'ETF price'!J205</f>
        <v>1.617704154264268E-2</v>
      </c>
      <c r="J204">
        <f ca="1">'ETF variations'!J204/'ETF price'!K205</f>
        <v>1.0587262200165435E-2</v>
      </c>
      <c r="K204">
        <f ca="1">'ETF variations'!K204/'ETF price'!L205</f>
        <v>-4.5662100456620933E-3</v>
      </c>
      <c r="L204">
        <f ca="1">'ETF variations'!L204/'ETF price'!M205</f>
        <v>1.1208175374979392E-2</v>
      </c>
      <c r="M204">
        <f ca="1">'ETF variations'!M204/'ETF price'!N205</f>
        <v>1.5894261335117881E-2</v>
      </c>
      <c r="N204">
        <f ca="1">'ETF variations'!N204/'ETF price'!O205</f>
        <v>-1.6826923076923146E-2</v>
      </c>
      <c r="O204">
        <f ca="1">'ETF variations'!O204/'ETF price'!P205</f>
        <v>4.7164385137466527E-3</v>
      </c>
      <c r="P204">
        <f ca="1">'ETF variations'!P204/'ETF price'!Q205</f>
        <v>2.7118086942230116E-3</v>
      </c>
      <c r="Q204">
        <f ca="1">'ETF variations'!Q204/'ETF price'!R205</f>
        <v>-5.8075221238936331E-3</v>
      </c>
      <c r="R204">
        <f ca="1">'ETF variations'!R204/'ETF price'!S205</f>
        <v>-6.8521594684385033E-3</v>
      </c>
      <c r="S204">
        <f ca="1">'ETF variations'!S204/'ETF price'!T205</f>
        <v>2.8135048231511368E-3</v>
      </c>
      <c r="T204">
        <f ca="1">'ETF variations'!T204/'ETF price'!U205</f>
        <v>-2.6923621935666395E-3</v>
      </c>
      <c r="U204">
        <f ca="1">'ETF variations'!U204/'ETF price'!V205</f>
        <v>-2.5394440270473294E-2</v>
      </c>
      <c r="V204">
        <f ca="1">'ETF variations'!V204/'ETF price'!W205</f>
        <v>1.3358185771978868E-2</v>
      </c>
      <c r="W204">
        <f ca="1">'ETF variations'!W204/'ETF price'!X205</f>
        <v>1.3197969543147288E-2</v>
      </c>
      <c r="X204">
        <f ca="1">'ETF variations'!X204/'ETF price'!Y205</f>
        <v>1.6815898667831473E-2</v>
      </c>
      <c r="Y204">
        <f ca="1">'ETF variations'!Y204/'ETF price'!Z205</f>
        <v>1.260857383020462E-2</v>
      </c>
      <c r="Z204">
        <f ca="1">'ETF variations'!Z204/'ETF price'!AA205</f>
        <v>-5.7686760888385133E-4</v>
      </c>
      <c r="AA204">
        <f ca="1">'ETF variations'!AA204/'ETF price'!AB205</f>
        <v>1.7041694242223713E-2</v>
      </c>
      <c r="AB204">
        <f ca="1">'ETF variations'!AB204/'ETF price'!AC205</f>
        <v>3.1319012246536743E-2</v>
      </c>
      <c r="AC204">
        <f ca="1">'ETF variations'!AC204/'ETF price'!AD205</f>
        <v>8.1081081081080548E-3</v>
      </c>
      <c r="AD204">
        <f ca="1">'ETF variations'!AD204/'ETF price'!AE205</f>
        <v>8.4459459459459152E-3</v>
      </c>
      <c r="AE204">
        <f ca="1">'ETF variations'!AE204/'ETF price'!AF205</f>
        <v>3.9062500000000035E-2</v>
      </c>
      <c r="AF204">
        <f ca="1">'ETF variations'!AF204/'ETF price'!AG205</f>
        <v>2.2839229735781532E-2</v>
      </c>
    </row>
    <row r="205" spans="1:32" x14ac:dyDescent="0.2">
      <c r="A205">
        <f ca="1">'ETF variations'!A205/'ETF price'!B206</f>
        <v>1.9117880374424849E-2</v>
      </c>
      <c r="B205">
        <f ca="1">'ETF variations'!B205/'ETF price'!C206</f>
        <v>2.1902088410401845E-2</v>
      </c>
      <c r="C205">
        <f ca="1">'ETF variations'!C205/'ETF price'!D206</f>
        <v>-3.3878949371907142E-2</v>
      </c>
      <c r="D205">
        <f ca="1">'ETF variations'!D205/'ETF price'!E206</f>
        <v>2.2860328965709449E-2</v>
      </c>
      <c r="E205">
        <f ca="1">'ETF variations'!E205/'ETF price'!F206</f>
        <v>2.8373547810545199E-2</v>
      </c>
      <c r="F205">
        <f ca="1">'ETF variations'!F205/'ETF price'!G206</f>
        <v>4.3710021321961445E-2</v>
      </c>
      <c r="G205">
        <f ca="1">'ETF variations'!G205/'ETF price'!H206</f>
        <v>3.1028368794326369E-2</v>
      </c>
      <c r="H205">
        <f ca="1">'ETF variations'!H205/'ETF price'!I206</f>
        <v>7.598077221274758E-3</v>
      </c>
      <c r="I205">
        <f ca="1">'ETF variations'!I205/'ETF price'!J206</f>
        <v>1.048565121412803E-2</v>
      </c>
      <c r="J205">
        <f ca="1">'ETF variations'!J205/'ETF price'!K206</f>
        <v>2.0052381731870916E-2</v>
      </c>
      <c r="K205">
        <f ca="1">'ETF variations'!K205/'ETF price'!L206</f>
        <v>2.6758409785932649E-2</v>
      </c>
      <c r="L205">
        <f ca="1">'ETF variations'!L205/'ETF price'!M206</f>
        <v>1.3691931540342237E-2</v>
      </c>
      <c r="M205">
        <f ca="1">'ETF variations'!M205/'ETF price'!N206</f>
        <v>1.1198945981554673E-2</v>
      </c>
      <c r="N205">
        <f ca="1">'ETF variations'!N205/'ETF price'!O206</f>
        <v>3.9934800325998387E-2</v>
      </c>
      <c r="O205">
        <f ca="1">'ETF variations'!O205/'ETF price'!P206</f>
        <v>1.0304556904053516E-3</v>
      </c>
      <c r="P205">
        <f ca="1">'ETF variations'!P205/'ETF price'!Q206</f>
        <v>1.1473528929683706E-3</v>
      </c>
      <c r="Q205">
        <f ca="1">'ETF variations'!Q205/'ETF price'!R206</f>
        <v>2.4756606397774703E-2</v>
      </c>
      <c r="R205">
        <f ca="1">'ETF variations'!R205/'ETF price'!S206</f>
        <v>1.7980347062513054E-2</v>
      </c>
      <c r="S205">
        <f ca="1">'ETF variations'!S205/'ETF price'!T206</f>
        <v>5.6112224448898029E-3</v>
      </c>
      <c r="T205">
        <f ca="1">'ETF variations'!T205/'ETF price'!U206</f>
        <v>3.2679738562092072E-3</v>
      </c>
      <c r="U205">
        <f ca="1">'ETF variations'!U205/'ETF price'!V206</f>
        <v>4.8257786000616643E-2</v>
      </c>
      <c r="V205">
        <f ca="1">'ETF variations'!V205/'ETF price'!W206</f>
        <v>1.1955855303494807E-2</v>
      </c>
      <c r="W205">
        <f ca="1">'ETF variations'!W205/'ETF price'!X206</f>
        <v>1.377755511022037E-2</v>
      </c>
      <c r="X205">
        <f ca="1">'ETF variations'!X205/'ETF price'!Y206</f>
        <v>1.6323024054982774E-2</v>
      </c>
      <c r="Y205">
        <f ca="1">'ETF variations'!Y205/'ETF price'!Z206</f>
        <v>1.3835085777531821E-2</v>
      </c>
      <c r="Z205">
        <f ca="1">'ETF variations'!Z205/'ETF price'!AA206</f>
        <v>3.9538239538239671E-2</v>
      </c>
      <c r="AA205">
        <f ca="1">'ETF variations'!AA205/'ETF price'!AB206</f>
        <v>1.4478607450789013E-2</v>
      </c>
      <c r="AB205">
        <f ca="1">'ETF variations'!AB205/'ETF price'!AC206</f>
        <v>9.1493089351762889E-3</v>
      </c>
      <c r="AC205">
        <f ca="1">'ETF variations'!AC205/'ETF price'!AD206</f>
        <v>4.8257372654155542E-2</v>
      </c>
      <c r="AD205">
        <f ca="1">'ETF variations'!AD205/'ETF price'!AE206</f>
        <v>5.025125628140701E-2</v>
      </c>
      <c r="AE205">
        <f ca="1">'ETF variations'!AE205/'ETF price'!AF206</f>
        <v>1.1278195488721731E-2</v>
      </c>
      <c r="AF205">
        <f ca="1">'ETF variations'!AF205/'ETF price'!AG206</f>
        <v>0.10858143607705781</v>
      </c>
    </row>
    <row r="206" spans="1:32" x14ac:dyDescent="0.2">
      <c r="A206">
        <f ca="1">'ETF variations'!A206/'ETF price'!B207</f>
        <v>-2.2262006694169841E-2</v>
      </c>
      <c r="B206">
        <f ca="1">'ETF variations'!B206/'ETF price'!C207</f>
        <v>-2.0104446523983362E-2</v>
      </c>
      <c r="C206">
        <f ca="1">'ETF variations'!C206/'ETF price'!D207</f>
        <v>-2.2458628841607483E-2</v>
      </c>
      <c r="D206">
        <f ca="1">'ETF variations'!D206/'ETF price'!E207</f>
        <v>-9.8119378577268858E-3</v>
      </c>
      <c r="E206">
        <f ca="1">'ETF variations'!E206/'ETF price'!F207</f>
        <v>-5.2139908755160112E-3</v>
      </c>
      <c r="F206">
        <f ca="1">'ETF variations'!F206/'ETF price'!G207</f>
        <v>1.0214504596528667E-3</v>
      </c>
      <c r="G206">
        <f ca="1">'ETF variations'!G206/'ETF price'!H207</f>
        <v>4.299226139294835E-3</v>
      </c>
      <c r="H206">
        <f ca="1">'ETF variations'!H206/'ETF price'!I207</f>
        <v>1.1080332409972282E-2</v>
      </c>
      <c r="I206">
        <f ca="1">'ETF variations'!I206/'ETF price'!J207</f>
        <v>1.1973280678905997E-2</v>
      </c>
      <c r="J206">
        <f ca="1">'ETF variations'!J206/'ETF price'!K207</f>
        <v>1.5806788092754546E-2</v>
      </c>
      <c r="K206">
        <f ca="1">'ETF variations'!K206/'ETF price'!L207</f>
        <v>1.6629436584760529E-2</v>
      </c>
      <c r="L206">
        <f ca="1">'ETF variations'!L206/'ETF price'!M207</f>
        <v>1.4471780028943651E-2</v>
      </c>
      <c r="M206">
        <f ca="1">'ETF variations'!M206/'ETF price'!N207</f>
        <v>1.1237785016286724E-2</v>
      </c>
      <c r="N206">
        <f ca="1">'ETF variations'!N206/'ETF price'!O207</f>
        <v>3.2131661442006285E-2</v>
      </c>
      <c r="O206">
        <f ca="1">'ETF variations'!O206/'ETF price'!P207</f>
        <v>1.3610888710968747E-2</v>
      </c>
      <c r="P206">
        <f ca="1">'ETF variations'!P206/'ETF price'!Q207</f>
        <v>1.4571054354944345E-2</v>
      </c>
      <c r="Q206">
        <f ca="1">'ETF variations'!Q206/'ETF price'!R207</f>
        <v>7.0575461454939733E-3</v>
      </c>
      <c r="R206">
        <f ca="1">'ETF variations'!R206/'ETF price'!S207</f>
        <v>1.1090573012938984E-2</v>
      </c>
      <c r="S206">
        <f ca="1">'ETF variations'!S206/'ETF price'!T207</f>
        <v>1.8732562774013507E-2</v>
      </c>
      <c r="T206">
        <f ca="1">'ETF variations'!T206/'ETF price'!U207</f>
        <v>3.3423027899730909E-2</v>
      </c>
      <c r="U206">
        <f ca="1">'ETF variations'!U206/'ETF price'!V207</f>
        <v>4.1770848654213912E-2</v>
      </c>
      <c r="V206">
        <f ca="1">'ETF variations'!V206/'ETF price'!W207</f>
        <v>2.4235080278705062E-3</v>
      </c>
      <c r="W206">
        <f ca="1">'ETF variations'!W206/'ETF price'!X207</f>
        <v>2.5945144551520628E-3</v>
      </c>
      <c r="X206">
        <f ca="1">'ETF variations'!X206/'ETF price'!Y207</f>
        <v>-1.6906170752324238E-3</v>
      </c>
      <c r="Y206">
        <f ca="1">'ETF variations'!Y206/'ETF price'!Z207</f>
        <v>3.0021834061135216E-3</v>
      </c>
      <c r="Z206">
        <f ca="1">'ETF variations'!Z206/'ETF price'!AA207</f>
        <v>-1.9433647973348218E-3</v>
      </c>
      <c r="AA206">
        <f ca="1">'ETF variations'!AA206/'ETF price'!AB207</f>
        <v>-1.1225144323284203E-3</v>
      </c>
      <c r="AB206">
        <f ca="1">'ETF variations'!AB206/'ETF price'!AC207</f>
        <v>6.7515432098764327E-3</v>
      </c>
      <c r="AC206">
        <f ca="1">'ETF variations'!AC206/'ETF price'!AD207</f>
        <v>2.557544757033239E-2</v>
      </c>
      <c r="AD206">
        <f ca="1">'ETF variations'!AD206/'ETF price'!AE207</f>
        <v>2.3923444976076614E-2</v>
      </c>
      <c r="AE206">
        <f ca="1">'ETF variations'!AE206/'ETF price'!AF207</f>
        <v>6.6914498141264003E-2</v>
      </c>
      <c r="AF206">
        <f ca="1">'ETF variations'!AF206/'ETF price'!AG207</f>
        <v>0</v>
      </c>
    </row>
    <row r="207" spans="1:32" x14ac:dyDescent="0.2">
      <c r="A207">
        <f ca="1">'ETF variations'!A207/'ETF price'!B208</f>
        <v>-1.1384443913701079E-2</v>
      </c>
      <c r="B207">
        <f ca="1">'ETF variations'!B207/'ETF price'!C208</f>
        <v>-1.0350882597578675E-2</v>
      </c>
      <c r="C207">
        <f ca="1">'ETF variations'!C207/'ETF price'!D208</f>
        <v>4.0843745801424046E-2</v>
      </c>
      <c r="D207">
        <f ca="1">'ETF variations'!D207/'ETF price'!E208</f>
        <v>-1.7799798146618934E-2</v>
      </c>
      <c r="E207">
        <f ca="1">'ETF variations'!E207/'ETF price'!F208</f>
        <v>1.0264249836208755E-2</v>
      </c>
      <c r="F207">
        <f ca="1">'ETF variations'!F207/'ETF price'!G208</f>
        <v>-4.0816326530613185E-3</v>
      </c>
      <c r="G207">
        <f ca="1">'ETF variations'!G207/'ETF price'!H208</f>
        <v>-5.5650684931506421E-3</v>
      </c>
      <c r="H207">
        <f ca="1">'ETF variations'!H207/'ETF price'!I208</f>
        <v>-5.2511415525113977E-3</v>
      </c>
      <c r="I207">
        <f ca="1">'ETF variations'!I207/'ETF price'!J208</f>
        <v>-6.5177681833277698E-3</v>
      </c>
      <c r="J207">
        <f ca="1">'ETF variations'!J207/'ETF price'!K208</f>
        <v>-1.3586097946287512E-2</v>
      </c>
      <c r="K207">
        <f ca="1">'ETF variations'!K207/'ETF price'!L208</f>
        <v>-1.2329101562500062E-2</v>
      </c>
      <c r="L207">
        <f ca="1">'ETF variations'!L207/'ETF price'!M208</f>
        <v>-1.8544935805991467E-2</v>
      </c>
      <c r="M207">
        <f ca="1">'ETF variations'!M207/'ETF price'!N208</f>
        <v>-7.0864873570624064E-3</v>
      </c>
      <c r="N207">
        <f ca="1">'ETF variations'!N207/'ETF price'!O208</f>
        <v>-2.6575550493545912E-2</v>
      </c>
      <c r="O207">
        <f ca="1">'ETF variations'!O207/'ETF price'!P208</f>
        <v>3.6109230422025859E-3</v>
      </c>
      <c r="P207">
        <f ca="1">'ETF variations'!P207/'ETF price'!Q208</f>
        <v>3.1466838792964386E-3</v>
      </c>
      <c r="Q207">
        <f ca="1">'ETF variations'!Q207/'ETF price'!R208</f>
        <v>-2.560646900269511E-3</v>
      </c>
      <c r="R207">
        <f ca="1">'ETF variations'!R207/'ETF price'!S208</f>
        <v>-2.6406662604102266E-3</v>
      </c>
      <c r="S207">
        <f ca="1">'ETF variations'!S207/'ETF price'!T208</f>
        <v>1.5649452269171635E-3</v>
      </c>
      <c r="T207">
        <f ca="1">'ETF variations'!T207/'ETF price'!U208</f>
        <v>8.9077703165685307E-3</v>
      </c>
      <c r="U207">
        <f ca="1">'ETF variations'!U207/'ETF price'!V208</f>
        <v>1.0729916701962518E-2</v>
      </c>
      <c r="V207">
        <f ca="1">'ETF variations'!V207/'ETF price'!W208</f>
        <v>8.1595648232093074E-3</v>
      </c>
      <c r="W207">
        <f ca="1">'ETF variations'!W207/'ETF price'!X208</f>
        <v>8.3795440542204867E-3</v>
      </c>
      <c r="X207">
        <f ca="1">'ETF variations'!X207/'ETF price'!Y208</f>
        <v>1.2701100762065023E-3</v>
      </c>
      <c r="Y207">
        <f ca="1">'ETF variations'!Y207/'ETF price'!Z208</f>
        <v>8.1632653061223717E-3</v>
      </c>
      <c r="Z207">
        <f ca="1">'ETF variations'!Z207/'ETF price'!AA208</f>
        <v>5.5632823365774737E-4</v>
      </c>
      <c r="AA207">
        <f ca="1">'ETF variations'!AA207/'ETF price'!AB208</f>
        <v>3.2107882485155124E-4</v>
      </c>
      <c r="AB207">
        <f ca="1">'ETF variations'!AB207/'ETF price'!AC208</f>
        <v>2.1843264993293747E-2</v>
      </c>
      <c r="AC207">
        <f ca="1">'ETF variations'!AC207/'ETF price'!AD208</f>
        <v>-6.2344139650872604E-3</v>
      </c>
      <c r="AD207">
        <f ca="1">'ETF variations'!AD207/'ETF price'!AE208</f>
        <v>-3.8940809968847907E-3</v>
      </c>
      <c r="AE207">
        <f ca="1">'ETF variations'!AE207/'ETF price'!AF208</f>
        <v>3.4843205574912146E-3</v>
      </c>
      <c r="AF207">
        <f ca="1">'ETF variations'!AF207/'ETF price'!AG208</f>
        <v>-3.1595576619273327E-2</v>
      </c>
    </row>
    <row r="208" spans="1:32" x14ac:dyDescent="0.2">
      <c r="A208">
        <f ca="1">'ETF variations'!A208/'ETF price'!B209</f>
        <v>4.348526332742797E-2</v>
      </c>
      <c r="B208">
        <f ca="1">'ETF variations'!B208/'ETF price'!C209</f>
        <v>4.0249027237354108E-2</v>
      </c>
      <c r="C208">
        <f ca="1">'ETF variations'!C208/'ETF price'!D209</f>
        <v>-1.3940880340777053E-2</v>
      </c>
      <c r="D208">
        <f ca="1">'ETF variations'!D208/'ETF price'!E209</f>
        <v>3.9234002802428801E-2</v>
      </c>
      <c r="E208">
        <f ca="1">'ETF variations'!E208/'ETF price'!F209</f>
        <v>1.880674448767844E-2</v>
      </c>
      <c r="F208">
        <f ca="1">'ETF variations'!F208/'ETF price'!G209</f>
        <v>1.3319672131147622E-2</v>
      </c>
      <c r="G208">
        <f ca="1">'ETF variations'!G208/'ETF price'!H209</f>
        <v>1.7649591046061133E-2</v>
      </c>
      <c r="H208">
        <f ca="1">'ETF variations'!H208/'ETF price'!I209</f>
        <v>1.6448626730931112E-2</v>
      </c>
      <c r="I208">
        <f ca="1">'ETF variations'!I208/'ETF price'!J209</f>
        <v>1.646400066858885E-2</v>
      </c>
      <c r="J208">
        <f ca="1">'ETF variations'!J208/'ETF price'!K209</f>
        <v>3.8436899423446601E-2</v>
      </c>
      <c r="K208">
        <f ca="1">'ETF variations'!K208/'ETF price'!L209</f>
        <v>3.5224323322209969E-2</v>
      </c>
      <c r="L208">
        <f ca="1">'ETF variations'!L208/'ETF price'!M209</f>
        <v>3.4883720930232502E-2</v>
      </c>
      <c r="M208">
        <f ca="1">'ETF variations'!M208/'ETF price'!N209</f>
        <v>1.7842660178426624E-2</v>
      </c>
      <c r="N208">
        <f ca="1">'ETF variations'!N208/'ETF price'!O209</f>
        <v>3.978159126365053E-2</v>
      </c>
      <c r="O208">
        <f ca="1">'ETF variations'!O208/'ETF price'!P209</f>
        <v>3.4854958398920876E-3</v>
      </c>
      <c r="P208">
        <f ca="1">'ETF variations'!P208/'ETF price'!Q209</f>
        <v>4.4237110914501498E-3</v>
      </c>
      <c r="Q208">
        <f ca="1">'ETF variations'!Q208/'ETF price'!R209</f>
        <v>9.9986488312389515E-3</v>
      </c>
      <c r="R208">
        <f ca="1">'ETF variations'!R208/'ETF price'!S209</f>
        <v>-1.2423625254582472E-2</v>
      </c>
      <c r="S208">
        <f ca="1">'ETF variations'!S208/'ETF price'!T209</f>
        <v>-1.1718750000000028E-2</v>
      </c>
      <c r="T208">
        <f ca="1">'ETF variations'!T208/'ETF price'!U209</f>
        <v>-1.0866612333605152E-2</v>
      </c>
      <c r="U208">
        <f ca="1">'ETF variations'!U208/'ETF price'!V209</f>
        <v>-9.9175862550636672E-3</v>
      </c>
      <c r="V208">
        <f ca="1">'ETF variations'!V208/'ETF price'!W209</f>
        <v>2.488009592326134E-2</v>
      </c>
      <c r="W208">
        <f ca="1">'ETF variations'!W208/'ETF price'!X209</f>
        <v>2.5785164365147249E-2</v>
      </c>
      <c r="X208">
        <f ca="1">'ETF variations'!X208/'ETF price'!Y209</f>
        <v>2.6004228329809812E-2</v>
      </c>
      <c r="Y208">
        <f ca="1">'ETF variations'!Y208/'ETF price'!Z209</f>
        <v>2.4426450742240247E-2</v>
      </c>
      <c r="Z208">
        <f ca="1">'ETF variations'!Z208/'ETF price'!AA209</f>
        <v>2.3630803447317248E-2</v>
      </c>
      <c r="AA208">
        <f ca="1">'ETF variations'!AA208/'ETF price'!AB209</f>
        <v>2.4715134007382428E-2</v>
      </c>
      <c r="AB208">
        <f ca="1">'ETF variations'!AB208/'ETF price'!AC209</f>
        <v>-6.5629101818863948E-3</v>
      </c>
      <c r="AC208">
        <f ca="1">'ETF variations'!AC208/'ETF price'!AD209</f>
        <v>-2.5094102885821297E-3</v>
      </c>
      <c r="AD208">
        <f ca="1">'ETF variations'!AD208/'ETF price'!AE209</f>
        <v>-3.9093041438623098E-3</v>
      </c>
      <c r="AE208">
        <f ca="1">'ETF variations'!AE208/'ETF price'!AF209</f>
        <v>-5.5555555555555455E-2</v>
      </c>
      <c r="AF208">
        <f ca="1">'ETF variations'!AF208/'ETF price'!AG209</f>
        <v>8.1566068515497268E-3</v>
      </c>
    </row>
    <row r="209" spans="1:32" x14ac:dyDescent="0.2">
      <c r="A209">
        <f ca="1">'ETF variations'!A209/'ETF price'!B210</f>
        <v>-1.3196480938416482E-2</v>
      </c>
      <c r="B209">
        <f ca="1">'ETF variations'!B209/'ETF price'!C210</f>
        <v>-1.1909749236938232E-2</v>
      </c>
      <c r="C209">
        <f ca="1">'ETF variations'!C209/'ETF price'!D210</f>
        <v>-1.1258018065191772E-2</v>
      </c>
      <c r="D209">
        <f ca="1">'ETF variations'!D209/'ETF price'!E210</f>
        <v>-2.1752808988764059E-2</v>
      </c>
      <c r="E209">
        <f ca="1">'ETF variations'!E209/'ETF price'!F210</f>
        <v>-2.758328028856409E-3</v>
      </c>
      <c r="F209">
        <f ca="1">'ETF variations'!F209/'ETF price'!G210</f>
        <v>-8.0889787664307454E-3</v>
      </c>
      <c r="G209">
        <f ca="1">'ETF variations'!G209/'ETF price'!H210</f>
        <v>-5.9221658206430015E-3</v>
      </c>
      <c r="H209">
        <f ca="1">'ETF variations'!H209/'ETF price'!I210</f>
        <v>-8.2793918410367022E-4</v>
      </c>
      <c r="I209">
        <f ca="1">'ETF variations'!I209/'ETF price'!J210</f>
        <v>-9.0441932168550403E-4</v>
      </c>
      <c r="J209">
        <f ca="1">'ETF variations'!J209/'ETF price'!K210</f>
        <v>-8.4053053670573984E-3</v>
      </c>
      <c r="K209">
        <f ca="1">'ETF variations'!K209/'ETF price'!L210</f>
        <v>-1.922158548233046E-2</v>
      </c>
      <c r="L209">
        <f ca="1">'ETF variations'!L209/'ETF price'!M210</f>
        <v>-1.0143570536828942E-2</v>
      </c>
      <c r="M209">
        <f ca="1">'ETF variations'!M209/'ETF price'!N210</f>
        <v>-1.1155378486055823E-3</v>
      </c>
      <c r="N209">
        <f ca="1">'ETF variations'!N209/'ETF price'!O210</f>
        <v>-1.3503375843960969E-2</v>
      </c>
      <c r="O209">
        <f ca="1">'ETF variations'!O209/'ETF price'!P210</f>
        <v>8.4033613445378148E-3</v>
      </c>
      <c r="P209">
        <f ca="1">'ETF variations'!P209/'ETF price'!Q210</f>
        <v>8.808456117873226E-3</v>
      </c>
      <c r="Q209">
        <f ca="1">'ETF variations'!Q209/'ETF price'!R210</f>
        <v>-8.9632107023411602E-3</v>
      </c>
      <c r="R209">
        <f ca="1">'ETF variations'!R209/'ETF price'!S210</f>
        <v>2.0622808826558075E-4</v>
      </c>
      <c r="S209">
        <f ca="1">'ETF variations'!S209/'ETF price'!T210</f>
        <v>-7.1146245059288422E-3</v>
      </c>
      <c r="T209">
        <f ca="1">'ETF variations'!T209/'ETF price'!U210</f>
        <v>-1.7714913485306127E-2</v>
      </c>
      <c r="U209">
        <f ca="1">'ETF variations'!U209/'ETF price'!V210</f>
        <v>5.6433408577878912E-3</v>
      </c>
      <c r="V209">
        <f ca="1">'ETF variations'!V209/'ETF price'!W210</f>
        <v>-6.142146826557498E-3</v>
      </c>
      <c r="W209">
        <f ca="1">'ETF variations'!W209/'ETF price'!X210</f>
        <v>-5.480104836788108E-3</v>
      </c>
      <c r="X209">
        <f ca="1">'ETF variations'!X209/'ETF price'!Y210</f>
        <v>4.1211621677304805E-4</v>
      </c>
      <c r="Y209">
        <f ca="1">'ETF variations'!Y209/'ETF price'!Z210</f>
        <v>-5.6646028191278171E-3</v>
      </c>
      <c r="Z209">
        <f ca="1">'ETF variations'!Z209/'ETF price'!AA210</f>
        <v>-2.4443237370994951E-3</v>
      </c>
      <c r="AA209">
        <f ca="1">'ETF variations'!AA209/'ETF price'!AB210</f>
        <v>1.5661707126076964E-3</v>
      </c>
      <c r="AB209">
        <f ca="1">'ETF variations'!AB209/'ETF price'!AC210</f>
        <v>6.4175160437901745E-3</v>
      </c>
      <c r="AC209">
        <f ca="1">'ETF variations'!AC209/'ETF price'!AD210</f>
        <v>-1.3836477987421424E-2</v>
      </c>
      <c r="AD209">
        <f ca="1">'ETF variations'!AD209/'ETF price'!AE210</f>
        <v>-1.3343799058084766E-2</v>
      </c>
      <c r="AE209">
        <f ca="1">'ETF variations'!AE209/'ETF price'!AF210</f>
        <v>3.3088235294117592E-2</v>
      </c>
      <c r="AF209">
        <f ca="1">'ETF variations'!AF209/'ETF price'!AG210</f>
        <v>-5.5016181229773441E-2</v>
      </c>
    </row>
    <row r="210" spans="1:32" x14ac:dyDescent="0.2">
      <c r="A210">
        <f ca="1">'ETF variations'!A210/'ETF price'!B211</f>
        <v>-8.3678736216470425E-3</v>
      </c>
      <c r="B210">
        <f ca="1">'ETF variations'!B210/'ETF price'!C211</f>
        <v>-7.7225923682616941E-3</v>
      </c>
      <c r="C210">
        <f ca="1">'ETF variations'!C210/'ETF price'!D211</f>
        <v>-3.8130544154640476E-2</v>
      </c>
      <c r="D210">
        <f ca="1">'ETF variations'!D210/'ETF price'!E211</f>
        <v>7.9941192685840726E-3</v>
      </c>
      <c r="E210">
        <f ca="1">'ETF variations'!E210/'ETF price'!F211</f>
        <v>-8.5106382978723093E-3</v>
      </c>
      <c r="F210">
        <f ca="1">'ETF variations'!F210/'ETF price'!G211</f>
        <v>9.1743119266054895E-3</v>
      </c>
      <c r="G210">
        <f ca="1">'ETF variations'!G210/'ETF price'!H211</f>
        <v>4.6808510638297633E-3</v>
      </c>
      <c r="H210">
        <f ca="1">'ETF variations'!H210/'ETF price'!I211</f>
        <v>6.0263653484001888E-4</v>
      </c>
      <c r="I210">
        <f ca="1">'ETF variations'!I210/'ETF price'!J211</f>
        <v>7.8179648603052189E-4</v>
      </c>
      <c r="J210">
        <f ca="1">'ETF variations'!J210/'ETF price'!K211</f>
        <v>9.0209192005598921E-3</v>
      </c>
      <c r="K210">
        <f ca="1">'ETF variations'!K210/'ETF price'!L211</f>
        <v>8.1558125380400172E-3</v>
      </c>
      <c r="L210">
        <f ca="1">'ETF variations'!L210/'ETF price'!M211</f>
        <v>1.3558253192495767E-2</v>
      </c>
      <c r="M210">
        <f ca="1">'ETF variations'!M210/'ETF price'!N211</f>
        <v>1.276324186343304E-3</v>
      </c>
      <c r="N210">
        <f ca="1">'ETF variations'!N210/'ETF price'!O211</f>
        <v>9.1254752851710422E-3</v>
      </c>
      <c r="O210">
        <f ca="1">'ETF variations'!O210/'ETF price'!P211</f>
        <v>9.6666666666667175E-3</v>
      </c>
      <c r="P210">
        <f ca="1">'ETF variations'!P210/'ETF price'!Q211</f>
        <v>9.2871884426099505E-3</v>
      </c>
      <c r="Q210">
        <f ca="1">'ETF variations'!Q210/'ETF price'!R211</f>
        <v>2.5647948164146564E-3</v>
      </c>
      <c r="R210">
        <f ca="1">'ETF variations'!R210/'ETF price'!S211</f>
        <v>1.5257731958762927E-2</v>
      </c>
      <c r="S210">
        <f ca="1">'ETF variations'!S210/'ETF price'!T211</f>
        <v>1.5127388535031807E-2</v>
      </c>
      <c r="T210">
        <f ca="1">'ETF variations'!T210/'ETF price'!U211</f>
        <v>2.2228435621417634E-2</v>
      </c>
      <c r="U210">
        <f ca="1">'ETF variations'!U210/'ETF price'!V211</f>
        <v>6.5937149270482442E-3</v>
      </c>
      <c r="V210">
        <f ca="1">'ETF variations'!V210/'ETF price'!W211</f>
        <v>2.6486168334315307E-3</v>
      </c>
      <c r="W210">
        <f ca="1">'ETF variations'!W210/'ETF price'!X211</f>
        <v>4.1926209870627009E-3</v>
      </c>
      <c r="X210">
        <f ca="1">'ETF variations'!X210/'ETF price'!Y211</f>
        <v>1.4418125643666383E-3</v>
      </c>
      <c r="Y210">
        <f ca="1">'ETF variations'!Y210/'ETF price'!Z211</f>
        <v>4.7694753577106437E-3</v>
      </c>
      <c r="Z210">
        <f ca="1">'ETF variations'!Z210/'ETF price'!AA211</f>
        <v>-1.6335420637080091E-3</v>
      </c>
      <c r="AA210">
        <f ca="1">'ETF variations'!AA210/'ETF price'!AB211</f>
        <v>6.2548866301796941E-4</v>
      </c>
      <c r="AB210">
        <f ca="1">'ETF variations'!AB210/'ETF price'!AC211</f>
        <v>-1.6879219804951211E-2</v>
      </c>
      <c r="AC210">
        <f ca="1">'ETF variations'!AC210/'ETF price'!AD211</f>
        <v>5.1020408163265354E-3</v>
      </c>
      <c r="AD210">
        <f ca="1">'ETF variations'!AD210/'ETF price'!AE211</f>
        <v>4.7732696897375094E-3</v>
      </c>
      <c r="AE210">
        <f ca="1">'ETF variations'!AE210/'ETF price'!AF211</f>
        <v>-2.8469750889679742E-2</v>
      </c>
      <c r="AF210">
        <f ca="1">'ETF variations'!AF210/'ETF price'!AG211</f>
        <v>-4.1095890410958943E-2</v>
      </c>
    </row>
    <row r="211" spans="1:32" x14ac:dyDescent="0.2">
      <c r="A211">
        <f ca="1">'ETF variations'!A211/'ETF price'!B212</f>
        <v>-3.4542586750788605E-2</v>
      </c>
      <c r="B211">
        <f ca="1">'ETF variations'!B211/'ETF price'!C212</f>
        <v>-3.6990691286433709E-2</v>
      </c>
      <c r="C211">
        <f ca="1">'ETF variations'!C211/'ETF price'!D212</f>
        <v>-2.6565726083964302E-2</v>
      </c>
      <c r="D211">
        <f ca="1">'ETF variations'!D211/'ETF price'!E212</f>
        <v>-3.1540565177757593E-2</v>
      </c>
      <c r="E211">
        <f ca="1">'ETF variations'!E211/'ETF price'!F212</f>
        <v>-3.7768240343347595E-2</v>
      </c>
      <c r="F211">
        <f ca="1">'ETF variations'!F211/'ETF price'!G212</f>
        <v>-4.2929292929292998E-2</v>
      </c>
      <c r="G211">
        <f ca="1">'ETF variations'!G211/'ETF price'!H212</f>
        <v>-3.4307496823379871E-2</v>
      </c>
      <c r="H211">
        <f ca="1">'ETF variations'!H211/'ETF price'!I212</f>
        <v>-1.7014228713393201E-2</v>
      </c>
      <c r="I211">
        <f ca="1">'ETF variations'!I211/'ETF price'!J212</f>
        <v>-1.6939396431214556E-2</v>
      </c>
      <c r="J211">
        <f ca="1">'ETF variations'!J211/'ETF price'!K212</f>
        <v>-1.6724470134874773E-2</v>
      </c>
      <c r="K211">
        <f ca="1">'ETF variations'!K211/'ETF price'!L212</f>
        <v>-1.9801980198019639E-2</v>
      </c>
      <c r="L211">
        <f ca="1">'ETF variations'!L211/'ETF price'!M212</f>
        <v>-1.5554518587649821E-2</v>
      </c>
      <c r="M211">
        <f ca="1">'ETF variations'!M211/'ETF price'!N212</f>
        <v>-1.8483110261312885E-2</v>
      </c>
      <c r="N211">
        <f ca="1">'ETF variations'!N211/'ETF price'!O212</f>
        <v>-2.2607385079125769E-2</v>
      </c>
      <c r="O211">
        <f ca="1">'ETF variations'!O211/'ETF price'!P212</f>
        <v>-2.4100363156157122E-2</v>
      </c>
      <c r="P211">
        <f ca="1">'ETF variations'!P211/'ETF price'!Q212</f>
        <v>-2.1706645694062169E-2</v>
      </c>
      <c r="Q211">
        <f ca="1">'ETF variations'!Q211/'ETF price'!R212</f>
        <v>-2.5986266325568771E-2</v>
      </c>
      <c r="R211">
        <f ca="1">'ETF variations'!R211/'ETF price'!S212</f>
        <v>-6.0926076360682369E-2</v>
      </c>
      <c r="S211">
        <f ca="1">'ETF variations'!S211/'ETF price'!T212</f>
        <v>9.0196078431372725E-3</v>
      </c>
      <c r="T211">
        <f ca="1">'ETF variations'!T211/'ETF price'!U212</f>
        <v>1.3129102844638864E-2</v>
      </c>
      <c r="U211">
        <f ca="1">'ETF variations'!U211/'ETF price'!V212</f>
        <v>-2.536585365853649E-2</v>
      </c>
      <c r="V211">
        <f ca="1">'ETF variations'!V211/'ETF price'!W212</f>
        <v>-1.262107425887877E-2</v>
      </c>
      <c r="W211">
        <f ca="1">'ETF variations'!W211/'ETF price'!X212</f>
        <v>-1.3718239293808797E-2</v>
      </c>
      <c r="X211">
        <f ca="1">'ETF variations'!X211/'ETF price'!Y212</f>
        <v>-2.2830111065405171E-2</v>
      </c>
      <c r="Y211">
        <f ca="1">'ETF variations'!Y211/'ETF price'!Z212</f>
        <v>-1.305379746835455E-2</v>
      </c>
      <c r="Z211">
        <f ca="1">'ETF variations'!Z211/'ETF price'!AA212</f>
        <v>-2.6179438232887941E-2</v>
      </c>
      <c r="AA211">
        <f ca="1">'ETF variations'!AA211/'ETF price'!AB212</f>
        <v>-2.5316455696202601E-2</v>
      </c>
      <c r="AB211">
        <f ca="1">'ETF variations'!AB211/'ETF price'!AC212</f>
        <v>-1.373521556657762E-2</v>
      </c>
      <c r="AC211">
        <f ca="1">'ETF variations'!AC211/'ETF price'!AD212</f>
        <v>-1.1421319796954297E-2</v>
      </c>
      <c r="AD211">
        <f ca="1">'ETF variations'!AD211/'ETF price'!AE212</f>
        <v>-1.2668250197941419E-2</v>
      </c>
      <c r="AE211">
        <f ca="1">'ETF variations'!AE211/'ETF price'!AF212</f>
        <v>-2.1978021978021997E-2</v>
      </c>
      <c r="AF211">
        <f ca="1">'ETF variations'!AF211/'ETF price'!AG212</f>
        <v>-5.3571428571428541E-2</v>
      </c>
    </row>
    <row r="212" spans="1:32" x14ac:dyDescent="0.2">
      <c r="A212">
        <f ca="1">'ETF variations'!A212/'ETF price'!B213</f>
        <v>-2.9406959647116555E-2</v>
      </c>
      <c r="B212">
        <f ca="1">'ETF variations'!B212/'ETF price'!C213</f>
        <v>-2.8460051342186043E-2</v>
      </c>
      <c r="C212">
        <f ca="1">'ETF variations'!C212/'ETF price'!D213</f>
        <v>1.3574660633484276E-2</v>
      </c>
      <c r="D212">
        <f ca="1">'ETF variations'!D212/'ETF price'!E213</f>
        <v>-1.3365963855421704E-2</v>
      </c>
      <c r="E212">
        <f ca="1">'ETF variations'!E212/'ETF price'!F213</f>
        <v>-2.720785013380923E-2</v>
      </c>
      <c r="F212">
        <f ca="1">'ETF variations'!F212/'ETF price'!G213</f>
        <v>-4.2216358839049237E-3</v>
      </c>
      <c r="G212">
        <f ca="1">'ETF variations'!G212/'ETF price'!H213</f>
        <v>1.3157894736841045E-3</v>
      </c>
      <c r="H212">
        <f ca="1">'ETF variations'!H212/'ETF price'!I213</f>
        <v>-4.2122999157538712E-3</v>
      </c>
      <c r="I212">
        <f ca="1">'ETF variations'!I212/'ETF price'!J213</f>
        <v>-4.2241739857799701E-3</v>
      </c>
      <c r="J212">
        <f ca="1">'ETF variations'!J212/'ETF price'!K213</f>
        <v>3.448816428907446E-3</v>
      </c>
      <c r="K212">
        <f ca="1">'ETF variations'!K212/'ETF price'!L213</f>
        <v>-6.775067750677646E-3</v>
      </c>
      <c r="L212">
        <f ca="1">'ETF variations'!L212/'ETF price'!M213</f>
        <v>-4.7400853215359673E-4</v>
      </c>
      <c r="M212">
        <f ca="1">'ETF variations'!M212/'ETF price'!N213</f>
        <v>-3.2467532467532929E-3</v>
      </c>
      <c r="N212">
        <f ca="1">'ETF variations'!N212/'ETF price'!O213</f>
        <v>-7.7101002313031165E-3</v>
      </c>
      <c r="O212">
        <f ca="1">'ETF variations'!O212/'ETF price'!P213</f>
        <v>1.8493459630130653E-2</v>
      </c>
      <c r="P212">
        <f ca="1">'ETF variations'!P212/'ETF price'!Q213</f>
        <v>1.9213763164241504E-2</v>
      </c>
      <c r="Q212">
        <f ca="1">'ETF variations'!Q212/'ETF price'!R213</f>
        <v>7.602985899917019E-3</v>
      </c>
      <c r="R212">
        <f ca="1">'ETF variations'!R212/'ETF price'!S213</f>
        <v>-2.8114186851211625E-3</v>
      </c>
      <c r="S212">
        <f ca="1">'ETF variations'!S212/'ETF price'!T213</f>
        <v>-7.7730275942477936E-4</v>
      </c>
      <c r="T212">
        <f ca="1">'ETF variations'!T212/'ETF price'!U213</f>
        <v>-1.0664146868250433E-2</v>
      </c>
      <c r="U212">
        <f ca="1">'ETF variations'!U212/'ETF price'!V213</f>
        <v>3.7037037037036882E-2</v>
      </c>
      <c r="V212">
        <f ca="1">'ETF variations'!V212/'ETF price'!W213</f>
        <v>-1.0107015457788448E-2</v>
      </c>
      <c r="W212">
        <f ca="1">'ETF variations'!W212/'ETF price'!X213</f>
        <v>-1.0885341074020387E-2</v>
      </c>
      <c r="X212">
        <f ca="1">'ETF variations'!X212/'ETF price'!Y213</f>
        <v>-1.0103136181856386E-2</v>
      </c>
      <c r="Y212">
        <f ca="1">'ETF variations'!Y212/'ETF price'!Z213</f>
        <v>-1.0020040080160322E-2</v>
      </c>
      <c r="Z212">
        <f ca="1">'ETF variations'!Z212/'ETF price'!AA213</f>
        <v>-5.6006720806505534E-4</v>
      </c>
      <c r="AA212">
        <f ca="1">'ETF variations'!AA212/'ETF price'!AB213</f>
        <v>-7.3753407086740563E-3</v>
      </c>
      <c r="AB212">
        <f ca="1">'ETF variations'!AB212/'ETF price'!AC213</f>
        <v>2.2050290135396527E-2</v>
      </c>
      <c r="AC212">
        <f ca="1">'ETF variations'!AC212/'ETF price'!AD213</f>
        <v>2.5673940949935267E-3</v>
      </c>
      <c r="AD212">
        <f ca="1">'ETF variations'!AD212/'ETF price'!AE213</f>
        <v>2.4057738572573666E-3</v>
      </c>
      <c r="AE212">
        <f ca="1">'ETF variations'!AE212/'ETF price'!AF213</f>
        <v>-5.2434456928838996E-2</v>
      </c>
      <c r="AF212">
        <f ca="1">'ETF variations'!AF212/'ETF price'!AG213</f>
        <v>-3.2075471698113193E-2</v>
      </c>
    </row>
    <row r="213" spans="1:32" x14ac:dyDescent="0.2">
      <c r="A213">
        <f ca="1">'ETF variations'!A213/'ETF price'!B214</f>
        <v>1.8262918700555478E-2</v>
      </c>
      <c r="B213">
        <f ca="1">'ETF variations'!B213/'ETF price'!C214</f>
        <v>1.2983200130484297E-2</v>
      </c>
      <c r="C213">
        <f ca="1">'ETF variations'!C213/'ETF price'!D214</f>
        <v>1.7438616071428568E-2</v>
      </c>
      <c r="D213">
        <f ca="1">'ETF variations'!D213/'ETF price'!E214</f>
        <v>4.6269795840488542E-2</v>
      </c>
      <c r="E213">
        <f ca="1">'ETF variations'!E213/'ETF price'!F214</f>
        <v>-2.3383768913342415E-2</v>
      </c>
      <c r="F213">
        <f ca="1">'ETF variations'!F213/'ETF price'!G214</f>
        <v>2.9676735559088431E-2</v>
      </c>
      <c r="G213">
        <f ca="1">'ETF variations'!G213/'ETF price'!H214</f>
        <v>5.256241787122252E-3</v>
      </c>
      <c r="H213">
        <f ca="1">'ETF variations'!H213/'ETF price'!I214</f>
        <v>6.0759883094907855E-3</v>
      </c>
      <c r="I213">
        <f ca="1">'ETF variations'!I213/'ETF price'!J214</f>
        <v>4.2000924020328444E-3</v>
      </c>
      <c r="J213">
        <f ca="1">'ETF variations'!J213/'ETF price'!K214</f>
        <v>2.4996094360255675E-3</v>
      </c>
      <c r="K213">
        <f ca="1">'ETF variations'!K213/'ETF price'!L214</f>
        <v>-8.3095621976931877E-3</v>
      </c>
      <c r="L213">
        <f ca="1">'ETF variations'!L213/'ETF price'!M214</f>
        <v>-4.4261776794182915E-3</v>
      </c>
      <c r="M213">
        <f ca="1">'ETF variations'!M213/'ETF price'!N214</f>
        <v>3.7459283387622799E-3</v>
      </c>
      <c r="N213">
        <f ca="1">'ETF variations'!N213/'ETF price'!O214</f>
        <v>-1.2432012432012305E-2</v>
      </c>
      <c r="O213">
        <f ca="1">'ETF variations'!O213/'ETF price'!P214</f>
        <v>1.2178919397697172E-2</v>
      </c>
      <c r="P213">
        <f ca="1">'ETF variations'!P213/'ETF price'!Q214</f>
        <v>1.1437135194825592E-2</v>
      </c>
      <c r="Q213">
        <f ca="1">'ETF variations'!Q213/'ETF price'!R214</f>
        <v>3.4709836740293605E-2</v>
      </c>
      <c r="R213">
        <f ca="1">'ETF variations'!R213/'ETF price'!S214</f>
        <v>7.2435480373021111E-2</v>
      </c>
      <c r="S213">
        <f ca="1">'ETF variations'!S213/'ETF price'!T214</f>
        <v>3.38389731621936E-2</v>
      </c>
      <c r="T213">
        <f ca="1">'ETF variations'!T213/'ETF price'!U214</f>
        <v>4.8164824669122482E-2</v>
      </c>
      <c r="U213">
        <f ca="1">'ETF variations'!U213/'ETF price'!V214</f>
        <v>-2.2062879205735878E-3</v>
      </c>
      <c r="V213">
        <f ca="1">'ETF variations'!V213/'ETF price'!W214</f>
        <v>1.8318318318318302E-2</v>
      </c>
      <c r="W213">
        <f ca="1">'ETF variations'!W213/'ETF price'!X214</f>
        <v>2.0298361457569046E-2</v>
      </c>
      <c r="X213">
        <f ca="1">'ETF variations'!X213/'ETF price'!Y214</f>
        <v>2.3601956198171369E-2</v>
      </c>
      <c r="Y213">
        <f ca="1">'ETF variations'!Y213/'ETF price'!Z214</f>
        <v>1.8893387314440024E-2</v>
      </c>
      <c r="Z213">
        <f ca="1">'ETF variations'!Z213/'ETF price'!AA214</f>
        <v>1.4009526478005045E-2</v>
      </c>
      <c r="AA213">
        <f ca="1">'ETF variations'!AA213/'ETF price'!AB214</f>
        <v>2.3582619932159602E-2</v>
      </c>
      <c r="AB213">
        <f ca="1">'ETF variations'!AB213/'ETF price'!AC214</f>
        <v>1.1355034065102087E-2</v>
      </c>
      <c r="AC213">
        <f ca="1">'ETF variations'!AC213/'ETF price'!AD214</f>
        <v>4.4814340588988547E-2</v>
      </c>
      <c r="AD213">
        <f ca="1">'ETF variations'!AD213/'ETF price'!AE214</f>
        <v>4.4800000000000041E-2</v>
      </c>
      <c r="AE213">
        <f ca="1">'ETF variations'!AE213/'ETF price'!AF214</f>
        <v>-1.1857707509881346E-2</v>
      </c>
      <c r="AF213">
        <f ca="1">'ETF variations'!AF213/'ETF price'!AG214</f>
        <v>3.1189083820662798E-2</v>
      </c>
    </row>
    <row r="214" spans="1:32" x14ac:dyDescent="0.2">
      <c r="A214">
        <f ca="1">'ETF variations'!A214/'ETF price'!B215</f>
        <v>1.6695594677246139E-2</v>
      </c>
      <c r="B214">
        <f ca="1">'ETF variations'!B214/'ETF price'!C215</f>
        <v>1.4813383570025514E-2</v>
      </c>
      <c r="C214">
        <f ca="1">'ETF variations'!C214/'ETF price'!D215</f>
        <v>1.0009598244892221E-2</v>
      </c>
      <c r="D214">
        <f ca="1">'ETF variations'!D214/'ETF price'!E215</f>
        <v>2.1610285401659567E-2</v>
      </c>
      <c r="E214">
        <f ca="1">'ETF variations'!E214/'ETF price'!F215</f>
        <v>2.3474178403751198E-4</v>
      </c>
      <c r="F214">
        <f ca="1">'ETF variations'!F214/'ETF price'!G215</f>
        <v>1.2866700977869275E-2</v>
      </c>
      <c r="G214">
        <f ca="1">'ETF variations'!G214/'ETF price'!H215</f>
        <v>5.6644880174291506E-3</v>
      </c>
      <c r="H214">
        <f ca="1">'ETF variations'!H214/'ETF price'!I215</f>
        <v>1.0702545676936057E-2</v>
      </c>
      <c r="I214">
        <f ca="1">'ETF variations'!I214/'ETF price'!J215</f>
        <v>9.6616336944247028E-3</v>
      </c>
      <c r="J214">
        <f ca="1">'ETF variations'!J214/'ETF price'!K215</f>
        <v>5.7659342371825543E-3</v>
      </c>
      <c r="K214">
        <f ca="1">'ETF variations'!K214/'ETF price'!L215</f>
        <v>-1.0505252626313022E-2</v>
      </c>
      <c r="L214">
        <f ca="1">'ETF variations'!L214/'ETF price'!M215</f>
        <v>4.287075261987983E-3</v>
      </c>
      <c r="M214">
        <f ca="1">'ETF variations'!M214/'ETF price'!N215</f>
        <v>9.0864838552652139E-3</v>
      </c>
      <c r="N214">
        <f ca="1">'ETF variations'!N214/'ETF price'!O215</f>
        <v>-1.4948859166011115E-2</v>
      </c>
      <c r="O214">
        <f ca="1">'ETF variations'!O214/'ETF price'!P215</f>
        <v>1.7173485014220009E-2</v>
      </c>
      <c r="P214">
        <f ca="1">'ETF variations'!P214/'ETF price'!Q215</f>
        <v>1.9886142088434935E-2</v>
      </c>
      <c r="Q214">
        <f ca="1">'ETF variations'!Q214/'ETF price'!R215</f>
        <v>7.8228586581808989E-3</v>
      </c>
      <c r="R214">
        <f ca="1">'ETF variations'!R214/'ETF price'!S215</f>
        <v>9.3023255813952221E-3</v>
      </c>
      <c r="S214">
        <f ca="1">'ETF variations'!S214/'ETF price'!T215</f>
        <v>-8.6531226486078593E-3</v>
      </c>
      <c r="T214">
        <f ca="1">'ETF variations'!T214/'ETF price'!U215</f>
        <v>-3.3845352772714256E-3</v>
      </c>
      <c r="U214">
        <f ca="1">'ETF variations'!U214/'ETF price'!V215</f>
        <v>-1.3128800442233317E-2</v>
      </c>
      <c r="V214">
        <f ca="1">'ETF variations'!V214/'ETF price'!W215</f>
        <v>1.0026540843409126E-2</v>
      </c>
      <c r="W214">
        <f ca="1">'ETF variations'!W214/'ETF price'!X215</f>
        <v>9.5877277085330437E-3</v>
      </c>
      <c r="X214">
        <f ca="1">'ETF variations'!X214/'ETF price'!Y215</f>
        <v>7.2704611549647162E-3</v>
      </c>
      <c r="Y214">
        <f ca="1">'ETF variations'!Y214/'ETF price'!Z215</f>
        <v>9.403973509933692E-3</v>
      </c>
      <c r="Z214">
        <f ca="1">'ETF variations'!Z214/'ETF price'!AA215</f>
        <v>-2.7631942525554049E-4</v>
      </c>
      <c r="AA214">
        <f ca="1">'ETF variations'!AA214/'ETF price'!AB215</f>
        <v>5.8387249487139746E-3</v>
      </c>
      <c r="AB214">
        <f ca="1">'ETF variations'!AB214/'ETF price'!AC215</f>
        <v>5.6137724550899002E-3</v>
      </c>
      <c r="AC214">
        <f ca="1">'ETF variations'!AC214/'ETF price'!AD215</f>
        <v>-1.715686274509811E-2</v>
      </c>
      <c r="AD214">
        <f ca="1">'ETF variations'!AD214/'ETF price'!AE215</f>
        <v>-1.6079632465543708E-2</v>
      </c>
      <c r="AE214">
        <f ca="1">'ETF variations'!AE214/'ETF price'!AF215</f>
        <v>3.9999999999999151E-3</v>
      </c>
      <c r="AF214">
        <f ca="1">'ETF variations'!AF214/'ETF price'!AG215</f>
        <v>-5.6710775047259451E-3</v>
      </c>
    </row>
    <row r="215" spans="1:32" x14ac:dyDescent="0.2">
      <c r="A215">
        <f ca="1">'ETF variations'!A215/'ETF price'!B216</f>
        <v>9.5927160393463346E-3</v>
      </c>
      <c r="B215">
        <f ca="1">'ETF variations'!B215/'ETF price'!C216</f>
        <v>9.2977501348649981E-3</v>
      </c>
      <c r="C215">
        <f ca="1">'ETF variations'!C215/'ETF price'!D216</f>
        <v>-2.3622047244094418E-2</v>
      </c>
      <c r="D215">
        <f ca="1">'ETF variations'!D215/'ETF price'!E216</f>
        <v>2.1956444127097408E-2</v>
      </c>
      <c r="E215">
        <f ca="1">'ETF variations'!E215/'ETF price'!F216</f>
        <v>2.018305562074629E-2</v>
      </c>
      <c r="F215">
        <f ca="1">'ETF variations'!F215/'ETF price'!G216</f>
        <v>1.3211382113821217E-2</v>
      </c>
      <c r="G215">
        <f ca="1">'ETF variations'!G215/'ETF price'!H216</f>
        <v>6.0658578856152764E-3</v>
      </c>
      <c r="H215">
        <f ca="1">'ETF variations'!H215/'ETF price'!I216</f>
        <v>4.9920580894031964E-3</v>
      </c>
      <c r="I215">
        <f ca="1">'ETF variations'!I215/'ETF price'!J216</f>
        <v>3.686826843413365E-3</v>
      </c>
      <c r="J215">
        <f ca="1">'ETF variations'!J215/'ETF price'!K216</f>
        <v>9.8388596219397412E-3</v>
      </c>
      <c r="K215">
        <f ca="1">'ETF variations'!K215/'ETF price'!L216</f>
        <v>9.3528816986854762E-3</v>
      </c>
      <c r="L215">
        <f ca="1">'ETF variations'!L215/'ETF price'!M216</f>
        <v>7.9051383399209481E-3</v>
      </c>
      <c r="M215">
        <f ca="1">'ETF variations'!M215/'ETF price'!N216</f>
        <v>5.3063193439460594E-3</v>
      </c>
      <c r="N215">
        <f ca="1">'ETF variations'!N215/'ETF price'!O216</f>
        <v>1.2779552715654964E-2</v>
      </c>
      <c r="O215">
        <f ca="1">'ETF variations'!O215/'ETF price'!P216</f>
        <v>9.6784600494680519E-4</v>
      </c>
      <c r="P215">
        <f ca="1">'ETF variations'!P215/'ETF price'!Q216</f>
        <v>7.6464291175951248E-5</v>
      </c>
      <c r="Q215">
        <f ca="1">'ETF variations'!Q215/'ETF price'!R216</f>
        <v>1.7234574398105353E-2</v>
      </c>
      <c r="R215">
        <f ca="1">'ETF variations'!R215/'ETF price'!S216</f>
        <v>1.8833901021839409E-2</v>
      </c>
      <c r="S215">
        <f ca="1">'ETF variations'!S215/'ETF price'!T216</f>
        <v>-1.2144212523719175E-2</v>
      </c>
      <c r="T215">
        <f ca="1">'ETF variations'!T215/'ETF price'!U216</f>
        <v>-2.7298850574712687E-2</v>
      </c>
      <c r="U215">
        <f ca="1">'ETF variations'!U215/'ETF price'!V216</f>
        <v>3.4729029547682456E-2</v>
      </c>
      <c r="V215">
        <f ca="1">'ETF variations'!V215/'ETF price'!W216</f>
        <v>5.8394160583942435E-3</v>
      </c>
      <c r="W215">
        <f ca="1">'ETF variations'!W215/'ETF price'!X216</f>
        <v>3.5612535612536966E-3</v>
      </c>
      <c r="X215">
        <f ca="1">'ETF variations'!X215/'ETF price'!Y216</f>
        <v>-1.6498247061250855E-3</v>
      </c>
      <c r="Y215">
        <f ca="1">'ETF variations'!Y215/'ETF price'!Z216</f>
        <v>4.3301404015222743E-3</v>
      </c>
      <c r="Z215">
        <f ca="1">'ETF variations'!Z215/'ETF price'!AA216</f>
        <v>6.0807075732448555E-3</v>
      </c>
      <c r="AA215">
        <f ca="1">'ETF variations'!AA215/'ETF price'!AB216</f>
        <v>-2.9808597427048136E-3</v>
      </c>
      <c r="AB215">
        <f ca="1">'ETF variations'!AB215/'ETF price'!AC216</f>
        <v>-2.1957573502046888E-2</v>
      </c>
      <c r="AC215">
        <f ca="1">'ETF variations'!AC215/'ETF price'!AD216</f>
        <v>-0.1346633416458852</v>
      </c>
      <c r="AD215">
        <f ca="1">'ETF variations'!AD215/'ETF price'!AE216</f>
        <v>-0.13385214007782092</v>
      </c>
      <c r="AE215">
        <f ca="1">'ETF variations'!AE215/'ETF price'!AF216</f>
        <v>-5.1792828685258925E-2</v>
      </c>
      <c r="AF215">
        <f ca="1">'ETF variations'!AF215/'ETF price'!AG216</f>
        <v>-6.8441064638783161E-2</v>
      </c>
    </row>
    <row r="216" spans="1:32" x14ac:dyDescent="0.2">
      <c r="A216">
        <f ca="1">'ETF variations'!A216/'ETF price'!B217</f>
        <v>-2.6008535308801064E-2</v>
      </c>
      <c r="B216">
        <f ca="1">'ETF variations'!B216/'ETF price'!C217</f>
        <v>-2.6630195560586139E-2</v>
      </c>
      <c r="C216">
        <f ca="1">'ETF variations'!C216/'ETF price'!D217</f>
        <v>8.8431590656284753E-2</v>
      </c>
      <c r="D216">
        <f ca="1">'ETF variations'!D216/'ETF price'!E217</f>
        <v>-3.1965065502183379E-2</v>
      </c>
      <c r="E216">
        <f ca="1">'ETF variations'!E216/'ETF price'!F217</f>
        <v>-1.495284103979753E-2</v>
      </c>
      <c r="F216">
        <f ca="1">'ETF variations'!F216/'ETF price'!G217</f>
        <v>-2.6078234704112312E-2</v>
      </c>
      <c r="G216">
        <f ca="1">'ETF variations'!G216/'ETF price'!H217</f>
        <v>-2.1533161068044791E-2</v>
      </c>
      <c r="H216">
        <f ca="1">'ETF variations'!H216/'ETF price'!I217</f>
        <v>-1.0762399337698554E-2</v>
      </c>
      <c r="I216">
        <f ca="1">'ETF variations'!I216/'ETF price'!J217</f>
        <v>-1.1597672210986844E-2</v>
      </c>
      <c r="J216">
        <f ca="1">'ETF variations'!J216/'ETF price'!K217</f>
        <v>-9.9731492136554117E-3</v>
      </c>
      <c r="K216">
        <f ca="1">'ETF variations'!K216/'ETF price'!L217</f>
        <v>-3.3308289506636571E-2</v>
      </c>
      <c r="L216">
        <f ca="1">'ETF variations'!L216/'ETF price'!M217</f>
        <v>-2.0392156862745054E-2</v>
      </c>
      <c r="M216">
        <f ca="1">'ETF variations'!M216/'ETF price'!N217</f>
        <v>-1.199616122840691E-2</v>
      </c>
      <c r="N216">
        <f ca="1">'ETF variations'!N216/'ETF price'!O217</f>
        <v>-3.7066246056782243E-2</v>
      </c>
      <c r="O216">
        <f ca="1">'ETF variations'!O216/'ETF price'!P217</f>
        <v>-4.8882681564245779E-2</v>
      </c>
      <c r="P216">
        <f ca="1">'ETF variations'!P216/'ETF price'!Q217</f>
        <v>-5.1150699594770227E-2</v>
      </c>
      <c r="Q216">
        <f ca="1">'ETF variations'!Q216/'ETF price'!R217</f>
        <v>-1.6166580444904294E-2</v>
      </c>
      <c r="R216">
        <f ca="1">'ETF variations'!R216/'ETF price'!S217</f>
        <v>-5.4277286135693173E-2</v>
      </c>
      <c r="S216">
        <f ca="1">'ETF variations'!S216/'ETF price'!T217</f>
        <v>-2.3050326546292792E-2</v>
      </c>
      <c r="T216">
        <f ca="1">'ETF variations'!T216/'ETF price'!U217</f>
        <v>-3.759903316771851E-2</v>
      </c>
      <c r="U216">
        <f ca="1">'ETF variations'!U216/'ETF price'!V217</f>
        <v>9.4735417512518995E-3</v>
      </c>
      <c r="V216">
        <f ca="1">'ETF variations'!V216/'ETF price'!W217</f>
        <v>-1.6835994194484914E-2</v>
      </c>
      <c r="W216">
        <f ca="1">'ETF variations'!W216/'ETF price'!X217</f>
        <v>-1.7388218594748203E-2</v>
      </c>
      <c r="X216">
        <f ca="1">'ETF variations'!X216/'ETF price'!Y217</f>
        <v>-1.7351786820904696E-2</v>
      </c>
      <c r="Y216">
        <f ca="1">'ETF variations'!Y216/'ETF price'!Z217</f>
        <v>-1.7899137705774816E-2</v>
      </c>
      <c r="Z216">
        <f ca="1">'ETF variations'!Z216/'ETF price'!AA217</f>
        <v>-1.098901098901095E-2</v>
      </c>
      <c r="AA216">
        <f ca="1">'ETF variations'!AA216/'ETF price'!AB217</f>
        <v>-1.5420928402832367E-2</v>
      </c>
      <c r="AB216">
        <f ca="1">'ETF variations'!AB216/'ETF price'!AC217</f>
        <v>6.0502283105022821E-2</v>
      </c>
      <c r="AC216">
        <f ca="1">'ETF variations'!AC216/'ETF price'!AD217</f>
        <v>-0.13544668587896258</v>
      </c>
      <c r="AD216">
        <f ca="1">'ETF variations'!AD216/'ETF price'!AE217</f>
        <v>-0.13207547169811326</v>
      </c>
      <c r="AE216">
        <f ca="1">'ETF variations'!AE216/'ETF price'!AF217</f>
        <v>-7.563025210084022E-2</v>
      </c>
      <c r="AF216">
        <f ca="1">'ETF variations'!AF216/'ETF price'!AG217</f>
        <v>-8.2653061224489843E-2</v>
      </c>
    </row>
    <row r="217" spans="1:32" x14ac:dyDescent="0.2">
      <c r="A217">
        <f ca="1">'ETF variations'!A217/'ETF price'!B218</f>
        <v>8.2175925925926027E-2</v>
      </c>
      <c r="B217">
        <f ca="1">'ETF variations'!B217/'ETF price'!C218</f>
        <v>8.4724958816499302E-2</v>
      </c>
      <c r="C217">
        <f ca="1">'ETF variations'!C217/'ETF price'!D218</f>
        <v>2.4782830863566654E-2</v>
      </c>
      <c r="D217">
        <f ca="1">'ETF variations'!D217/'ETF price'!E218</f>
        <v>0.10348249729339587</v>
      </c>
      <c r="E217">
        <f ca="1">'ETF variations'!E217/'ETF price'!F218</f>
        <v>5.8383932741709478E-2</v>
      </c>
      <c r="F217">
        <f ca="1">'ETF variations'!F217/'ETF price'!G218</f>
        <v>7.9814624098866999E-2</v>
      </c>
      <c r="G217">
        <f ca="1">'ETF variations'!G217/'ETF price'!H218</f>
        <v>7.2623239436619816E-2</v>
      </c>
      <c r="H217">
        <f ca="1">'ETF variations'!H217/'ETF price'!I218</f>
        <v>2.5410833840535631E-2</v>
      </c>
      <c r="I217">
        <f ca="1">'ETF variations'!I217/'ETF price'!J218</f>
        <v>2.9438784032069534E-2</v>
      </c>
      <c r="J217">
        <f ca="1">'ETF variations'!J217/'ETF price'!K218</f>
        <v>3.5102673382409924E-2</v>
      </c>
      <c r="K217">
        <f ca="1">'ETF variations'!K217/'ETF price'!L218</f>
        <v>7.6683937823834217E-2</v>
      </c>
      <c r="L217">
        <f ca="1">'ETF variations'!L217/'ETF price'!M218</f>
        <v>4.4195356285027874E-2</v>
      </c>
      <c r="M217">
        <f ca="1">'ETF variations'!M217/'ETF price'!N218</f>
        <v>2.8330904970050183E-2</v>
      </c>
      <c r="N217">
        <f ca="1">'ETF variations'!N217/'ETF price'!O218</f>
        <v>8.7633087633087511E-2</v>
      </c>
      <c r="O217">
        <f ca="1">'ETF variations'!O217/'ETF price'!P218</f>
        <v>2.225234383824691E-2</v>
      </c>
      <c r="P217">
        <f ca="1">'ETF variations'!P217/'ETF price'!Q218</f>
        <v>2.3368251410153151E-2</v>
      </c>
      <c r="Q217">
        <f ca="1">'ETF variations'!Q217/'ETF price'!R218</f>
        <v>5.5343762324175212E-2</v>
      </c>
      <c r="R217">
        <f ca="1">'ETF variations'!R217/'ETF price'!S218</f>
        <v>5.4897067997504538E-2</v>
      </c>
      <c r="S217">
        <f ca="1">'ETF variations'!S217/'ETF price'!T218</f>
        <v>9.0444357058592391E-3</v>
      </c>
      <c r="T217">
        <f ca="1">'ETF variations'!T217/'ETF price'!U218</f>
        <v>7.9531184596064348E-3</v>
      </c>
      <c r="U217">
        <f ca="1">'ETF variations'!U217/'ETF price'!V218</f>
        <v>9.2371631586003491E-2</v>
      </c>
      <c r="V217">
        <f ca="1">'ETF variations'!V217/'ETF price'!W218</f>
        <v>5.0487156775907913E-2</v>
      </c>
      <c r="W217">
        <f ca="1">'ETF variations'!W217/'ETF price'!X218</f>
        <v>5.2245094498615668E-2</v>
      </c>
      <c r="X217">
        <f ca="1">'ETF variations'!X217/'ETF price'!Y218</f>
        <v>5.087239857052768E-2</v>
      </c>
      <c r="Y217">
        <f ca="1">'ETF variations'!Y217/'ETF price'!Z218</f>
        <v>5.2414527071970168E-2</v>
      </c>
      <c r="Z217">
        <f ca="1">'ETF variations'!Z217/'ETF price'!AA218</f>
        <v>7.6666666666666605E-2</v>
      </c>
      <c r="AA217">
        <f ca="1">'ETF variations'!AA217/'ETF price'!AB218</f>
        <v>4.666773214000311E-2</v>
      </c>
      <c r="AB217">
        <f ca="1">'ETF variations'!AB217/'ETF price'!AC218</f>
        <v>9.3290276282740579E-3</v>
      </c>
      <c r="AC217">
        <f ca="1">'ETF variations'!AC217/'ETF price'!AD218</f>
        <v>0.13666666666666671</v>
      </c>
      <c r="AD217">
        <f ca="1">'ETF variations'!AD217/'ETF price'!AE218</f>
        <v>0.12422360248447198</v>
      </c>
      <c r="AE217">
        <f ca="1">'ETF variations'!AE217/'ETF price'!AF218</f>
        <v>-7.7272727272727437E-2</v>
      </c>
      <c r="AF217">
        <f ca="1">'ETF variations'!AF217/'ETF price'!AG218</f>
        <v>7.6751946607341429E-2</v>
      </c>
    </row>
    <row r="218" spans="1:32" x14ac:dyDescent="0.2">
      <c r="A218">
        <f ca="1">'ETF variations'!A218/'ETF price'!B219</f>
        <v>1.7112299465240493E-2</v>
      </c>
      <c r="B218">
        <f ca="1">'ETF variations'!B218/'ETF price'!C219</f>
        <v>2.039783217199697E-2</v>
      </c>
      <c r="C218">
        <f ca="1">'ETF variations'!C218/'ETF price'!D219</f>
        <v>-1.0471204188481718E-2</v>
      </c>
      <c r="D218">
        <f ca="1">'ETF variations'!D218/'ETF price'!E219</f>
        <v>3.06597988717194E-2</v>
      </c>
      <c r="E218">
        <f ca="1">'ETF variations'!E218/'ETF price'!F219</f>
        <v>1.4121800529567533E-2</v>
      </c>
      <c r="F218">
        <f ca="1">'ETF variations'!F218/'ETF price'!G219</f>
        <v>3.7672865999046387E-2</v>
      </c>
      <c r="G218">
        <f ca="1">'ETF variations'!G218/'ETF price'!H219</f>
        <v>2.051702913418137E-2</v>
      </c>
      <c r="H218">
        <f ca="1">'ETF variations'!H218/'ETF price'!I219</f>
        <v>-1.2242172429143832E-2</v>
      </c>
      <c r="I218">
        <f ca="1">'ETF variations'!I218/'ETF price'!J219</f>
        <v>-8.6399221190118659E-3</v>
      </c>
      <c r="J218">
        <f ca="1">'ETF variations'!J218/'ETF price'!K219</f>
        <v>5.0157209163047417E-3</v>
      </c>
      <c r="K218">
        <f ca="1">'ETF variations'!K218/'ETF price'!L219</f>
        <v>1.9730510105871034E-2</v>
      </c>
      <c r="L218">
        <f ca="1">'ETF variations'!L218/'ETF price'!M219</f>
        <v>-1.6868578438889656E-3</v>
      </c>
      <c r="M218">
        <f ca="1">'ETF variations'!M218/'ETF price'!N219</f>
        <v>-8.8161209068010424E-3</v>
      </c>
      <c r="N218">
        <f ca="1">'ETF variations'!N218/'ETF price'!O219</f>
        <v>3.9909638554216954E-2</v>
      </c>
      <c r="O218">
        <f ca="1">'ETF variations'!O218/'ETF price'!P219</f>
        <v>2.9060773480662935E-2</v>
      </c>
      <c r="P218">
        <f ca="1">'ETF variations'!P218/'ETF price'!Q219</f>
        <v>2.9291338582677157E-2</v>
      </c>
      <c r="Q218">
        <f ca="1">'ETF variations'!Q218/'ETF price'!R219</f>
        <v>1.2082710513203773E-2</v>
      </c>
      <c r="R218">
        <f ca="1">'ETF variations'!R218/'ETF price'!S219</f>
        <v>1.3010053222945076E-2</v>
      </c>
      <c r="S218">
        <f ca="1">'ETF variations'!S218/'ETF price'!T219</f>
        <v>1.9095869056897835E-2</v>
      </c>
      <c r="T218">
        <f ca="1">'ETF variations'!T218/'ETF price'!U219</f>
        <v>2.9623477297895912E-2</v>
      </c>
      <c r="U218">
        <f ca="1">'ETF variations'!U218/'ETF price'!V219</f>
        <v>-2.4545900834560628E-2</v>
      </c>
      <c r="V218">
        <f ca="1">'ETF variations'!V218/'ETF price'!W219</f>
        <v>8.1506464305789537E-3</v>
      </c>
      <c r="W218">
        <f ca="1">'ETF variations'!W218/'ETF price'!X219</f>
        <v>6.2921862487129296E-3</v>
      </c>
      <c r="X218">
        <f ca="1">'ETF variations'!X218/'ETF price'!Y219</f>
        <v>-4.0008001600320628E-3</v>
      </c>
      <c r="Y218">
        <f ca="1">'ETF variations'!Y218/'ETF price'!Z219</f>
        <v>7.8371887245607952E-3</v>
      </c>
      <c r="Z218">
        <f ca="1">'ETF variations'!Z218/'ETF price'!AA219</f>
        <v>-5.1599587203292113E-4</v>
      </c>
      <c r="AA218">
        <f ca="1">'ETF variations'!AA218/'ETF price'!AB219</f>
        <v>-7.0239731256679459E-3</v>
      </c>
      <c r="AB218">
        <f ca="1">'ETF variations'!AB218/'ETF price'!AC219</f>
        <v>-1.7596871667259064E-2</v>
      </c>
      <c r="AC218">
        <f ca="1">'ETF variations'!AC218/'ETF price'!AD219</f>
        <v>-0.10117302052785929</v>
      </c>
      <c r="AD218">
        <f ca="1">'ETF variations'!AD218/'ETF price'!AE219</f>
        <v>-9.9447513812154706E-2</v>
      </c>
      <c r="AE218">
        <f ca="1">'ETF variations'!AE218/'ETF price'!AF219</f>
        <v>0</v>
      </c>
      <c r="AF218">
        <f ca="1">'ETF variations'!AF218/'ETF price'!AG219</f>
        <v>2.4793388429752088E-2</v>
      </c>
    </row>
    <row r="219" spans="1:32" x14ac:dyDescent="0.2">
      <c r="A219">
        <f ca="1">'ETF variations'!A219/'ETF price'!B220</f>
        <v>-8.5624155024784931E-3</v>
      </c>
      <c r="B219">
        <f ca="1">'ETF variations'!B219/'ETF price'!C220</f>
        <v>-9.5427087285144263E-3</v>
      </c>
      <c r="C219">
        <f ca="1">'ETF variations'!C219/'ETF price'!D220</f>
        <v>1.8266565885613543E-2</v>
      </c>
      <c r="D219">
        <f ca="1">'ETF variations'!D219/'ETF price'!E220</f>
        <v>-1.0947168015230806E-2</v>
      </c>
      <c r="E219">
        <f ca="1">'ETF variations'!E219/'ETF price'!F220</f>
        <v>-1.2837249782419569E-2</v>
      </c>
      <c r="F219">
        <f ca="1">'ETF variations'!F219/'ETF price'!G220</f>
        <v>-1.8841911764705888E-2</v>
      </c>
      <c r="G219">
        <f ca="1">'ETF variations'!G219/'ETF price'!H220</f>
        <v>-1.045436268596709E-2</v>
      </c>
      <c r="H219">
        <f ca="1">'ETF variations'!H219/'ETF price'!I220</f>
        <v>9.013745962593296E-4</v>
      </c>
      <c r="I219">
        <f ca="1">'ETF variations'!I219/'ETF price'!J220</f>
        <v>-1.3911620294599157E-3</v>
      </c>
      <c r="J219">
        <f ca="1">'ETF variations'!J219/'ETF price'!K220</f>
        <v>3.2029795158287286E-3</v>
      </c>
      <c r="K219">
        <f ca="1">'ETF variations'!K219/'ETF price'!L220</f>
        <v>-8.1406323737613483E-3</v>
      </c>
      <c r="L219">
        <f ca="1">'ETF variations'!L219/'ETF price'!M220</f>
        <v>-1.5360983102904617E-4</v>
      </c>
      <c r="M219">
        <f ca="1">'ETF variations'!M219/'ETF price'!N220</f>
        <v>4.7649301143585035E-4</v>
      </c>
      <c r="N219">
        <f ca="1">'ETF variations'!N219/'ETF price'!O220</f>
        <v>-1.8102824040550324E-2</v>
      </c>
      <c r="O219">
        <f ca="1">'ETF variations'!O219/'ETF price'!P220</f>
        <v>-3.2213035541717102E-4</v>
      </c>
      <c r="P219">
        <f ca="1">'ETF variations'!P219/'ETF price'!Q220</f>
        <v>-3.3659730722154051E-3</v>
      </c>
      <c r="Q219">
        <f ca="1">'ETF variations'!Q219/'ETF price'!R220</f>
        <v>-1.3538461538461469E-3</v>
      </c>
      <c r="R219">
        <f ca="1">'ETF variations'!R219/'ETF price'!S220</f>
        <v>8.9511578128040632E-3</v>
      </c>
      <c r="S219">
        <f ca="1">'ETF variations'!S219/'ETF price'!T220</f>
        <v>-1.4913957934990327E-2</v>
      </c>
      <c r="T219">
        <f ca="1">'ETF variations'!T219/'ETF price'!U220</f>
        <v>-3.3207851573003482E-2</v>
      </c>
      <c r="U219">
        <f ca="1">'ETF variations'!U219/'ETF price'!V220</f>
        <v>-2.8938097634625564E-3</v>
      </c>
      <c r="V219">
        <f ca="1">'ETF variations'!V219/'ETF price'!W220</f>
        <v>-1.4218009478672931E-2</v>
      </c>
      <c r="W219">
        <f ca="1">'ETF variations'!W219/'ETF price'!X220</f>
        <v>-1.671214188267393E-2</v>
      </c>
      <c r="X219">
        <f ca="1">'ETF variations'!X219/'ETF price'!Y220</f>
        <v>-1.6870857601928024E-2</v>
      </c>
      <c r="Y219">
        <f ca="1">'ETF variations'!Y219/'ETF price'!Z220</f>
        <v>-1.7559262510974609E-2</v>
      </c>
      <c r="Z219">
        <f ca="1">'ETF variations'!Z219/'ETF price'!AA220</f>
        <v>-2.6587506453278294E-2</v>
      </c>
      <c r="AA219">
        <f ca="1">'ETF variations'!AA219/'ETF price'!AB220</f>
        <v>-1.4147316623097058E-2</v>
      </c>
      <c r="AB219">
        <f ca="1">'ETF variations'!AB219/'ETF price'!AC220</f>
        <v>4.1613895422470933E-3</v>
      </c>
      <c r="AC219">
        <f ca="1">'ETF variations'!AC219/'ETF price'!AD220</f>
        <v>3.2626427406199777E-3</v>
      </c>
      <c r="AD219">
        <f ca="1">'ETF variations'!AD219/'ETF price'!AE220</f>
        <v>3.0674846625768034E-3</v>
      </c>
      <c r="AE219">
        <f ca="1">'ETF variations'!AE219/'ETF price'!AF220</f>
        <v>1.4778325123152834E-2</v>
      </c>
      <c r="AF219">
        <f ca="1">'ETF variations'!AF219/'ETF price'!AG220</f>
        <v>-3.0241935483871038E-2</v>
      </c>
    </row>
    <row r="220" spans="1:32" x14ac:dyDescent="0.2">
      <c r="A220">
        <f ca="1">'ETF variations'!A220/'ETF price'!B221</f>
        <v>1.2121212121212078E-2</v>
      </c>
      <c r="B220">
        <f ca="1">'ETF variations'!B220/'ETF price'!C221</f>
        <v>1.4437242192103813E-2</v>
      </c>
      <c r="C220">
        <f ca="1">'ETF variations'!C220/'ETF price'!D221</f>
        <v>-1.9052332054930003E-2</v>
      </c>
      <c r="D220">
        <f ca="1">'ETF variations'!D220/'ETF price'!E221</f>
        <v>2.8954122553737447E-2</v>
      </c>
      <c r="E220">
        <f ca="1">'ETF variations'!E220/'ETF price'!F221</f>
        <v>1.6310337227242715E-2</v>
      </c>
      <c r="F220">
        <f ca="1">'ETF variations'!F220/'ETF price'!G221</f>
        <v>1.4988290398126476E-2</v>
      </c>
      <c r="G220">
        <f ca="1">'ETF variations'!G220/'ETF price'!H221</f>
        <v>2.0316944331572533E-2</v>
      </c>
      <c r="H220">
        <f ca="1">'ETF variations'!H220/'ETF price'!I221</f>
        <v>-1.2757973733582551E-3</v>
      </c>
      <c r="I220">
        <f ca="1">'ETF variations'!I220/'ETF price'!J221</f>
        <v>7.7849709087928268E-4</v>
      </c>
      <c r="J220">
        <f ca="1">'ETF variations'!J220/'ETF price'!K221</f>
        <v>3.1927531927532431E-3</v>
      </c>
      <c r="K220">
        <f ca="1">'ETF variations'!K220/'ETF price'!L221</f>
        <v>-2.6168668966337441E-3</v>
      </c>
      <c r="L220">
        <f ca="1">'ETF variations'!L220/'ETF price'!M221</f>
        <v>3.8408357658626514E-3</v>
      </c>
      <c r="M220">
        <f ca="1">'ETF variations'!M220/'ETF price'!N221</f>
        <v>-3.1751071598671416E-4</v>
      </c>
      <c r="N220">
        <f ca="1">'ETF variations'!N220/'ETF price'!O221</f>
        <v>1.1799410029498535E-2</v>
      </c>
      <c r="O220">
        <f ca="1">'ETF variations'!O220/'ETF price'!P221</f>
        <v>1.0526315789473727E-2</v>
      </c>
      <c r="P220">
        <f ca="1">'ETF variations'!P220/'ETF price'!Q221</f>
        <v>1.2281240405280889E-2</v>
      </c>
      <c r="Q220">
        <f ca="1">'ETF variations'!Q220/'ETF price'!R221</f>
        <v>-1.4789253142716854E-3</v>
      </c>
      <c r="R220">
        <f ca="1">'ETF variations'!R220/'ETF price'!S221</f>
        <v>8.4860173577627328E-3</v>
      </c>
      <c r="S220">
        <f ca="1">'ETF variations'!S220/'ETF price'!T221</f>
        <v>1.1645962732919143E-2</v>
      </c>
      <c r="T220">
        <f ca="1">'ETF variations'!T220/'ETF price'!U221</f>
        <v>1.863440411625648E-2</v>
      </c>
      <c r="U220">
        <f ca="1">'ETF variations'!U220/'ETF price'!V221</f>
        <v>3.2429022082018838E-2</v>
      </c>
      <c r="V220">
        <f ca="1">'ETF variations'!V220/'ETF price'!W221</f>
        <v>2.2624434389139788E-3</v>
      </c>
      <c r="W220">
        <f ca="1">'ETF variations'!W220/'ETF price'!X221</f>
        <v>2.6592669672795004E-3</v>
      </c>
      <c r="X220">
        <f ca="1">'ETF variations'!X220/'ETF price'!Y221</f>
        <v>5.924412665985682E-3</v>
      </c>
      <c r="Y220">
        <f ca="1">'ETF variations'!Y220/'ETF price'!Z221</f>
        <v>3.5746201966041255E-3</v>
      </c>
      <c r="Z220">
        <f ca="1">'ETF variations'!Z220/'ETF price'!AA221</f>
        <v>1.2463537523203365E-2</v>
      </c>
      <c r="AA220">
        <f ca="1">'ETF variations'!AA220/'ETF price'!AB221</f>
        <v>6.7072219622524853E-3</v>
      </c>
      <c r="AB220">
        <f ca="1">'ETF variations'!AB220/'ETF price'!AC221</f>
        <v>-8.4684684684684479E-3</v>
      </c>
      <c r="AC220">
        <f ca="1">'ETF variations'!AC220/'ETF price'!AD221</f>
        <v>4.3902439024390172E-2</v>
      </c>
      <c r="AD220">
        <f ca="1">'ETF variations'!AD220/'ETF price'!AE221</f>
        <v>4.6890927624872479E-2</v>
      </c>
      <c r="AE220">
        <f ca="1">'ETF variations'!AE220/'ETF price'!AF221</f>
        <v>1.456310679611641E-2</v>
      </c>
      <c r="AF220">
        <f ca="1">'ETF variations'!AF220/'ETF price'!AG221</f>
        <v>3.1185031185031263E-2</v>
      </c>
    </row>
    <row r="221" spans="1:32" x14ac:dyDescent="0.2">
      <c r="A221">
        <f ca="1">'ETF variations'!A221/'ETF price'!B222</f>
        <v>-1.3697604790419043E-2</v>
      </c>
      <c r="B221">
        <f ca="1">'ETF variations'!B221/'ETF price'!C222</f>
        <v>-1.7049085100203323E-2</v>
      </c>
      <c r="C221">
        <f ca="1">'ETF variations'!C221/'ETF price'!D222</f>
        <v>-2.2701475595914592E-3</v>
      </c>
      <c r="D221">
        <f ca="1">'ETF variations'!D221/'ETF price'!E222</f>
        <v>-4.1312651025021414E-2</v>
      </c>
      <c r="E221">
        <f ca="1">'ETF variations'!E221/'ETF price'!F222</f>
        <v>-1.2361743656473656E-2</v>
      </c>
      <c r="F221">
        <f ca="1">'ETF variations'!F221/'ETF price'!G222</f>
        <v>-2.0766035994462521E-2</v>
      </c>
      <c r="G221">
        <f ca="1">'ETF variations'!G221/'ETF price'!H222</f>
        <v>-2.2700119474313035E-2</v>
      </c>
      <c r="H221">
        <f ca="1">'ETF variations'!H221/'ETF price'!I222</f>
        <v>-4.5085662759244266E-4</v>
      </c>
      <c r="I221">
        <f ca="1">'ETF variations'!I221/'ETF price'!J222</f>
        <v>-3.2753326509724111E-3</v>
      </c>
      <c r="J221">
        <f ca="1">'ETF variations'!J221/'ETF price'!K222</f>
        <v>-6.6612389904522652E-3</v>
      </c>
      <c r="K221">
        <f ca="1">'ETF variations'!K221/'ETF price'!L222</f>
        <v>-2.8145497912939767E-2</v>
      </c>
      <c r="L221">
        <f ca="1">'ETF variations'!L221/'ETF price'!M222</f>
        <v>-1.4386287113559805E-2</v>
      </c>
      <c r="M221">
        <f ca="1">'ETF variations'!M221/'ETF price'!N222</f>
        <v>-2.5408924884865267E-3</v>
      </c>
      <c r="N221">
        <f ca="1">'ETF variations'!N221/'ETF price'!O222</f>
        <v>-2.1865889212828039E-2</v>
      </c>
      <c r="O221">
        <f ca="1">'ETF variations'!O221/'ETF price'!P222</f>
        <v>-2.0408163265306142E-2</v>
      </c>
      <c r="P221">
        <f ca="1">'ETF variations'!P221/'ETF price'!Q222</f>
        <v>-2.0321504397937572E-2</v>
      </c>
      <c r="Q221">
        <f ca="1">'ETF variations'!Q221/'ETF price'!R222</f>
        <v>-9.7506788447295992E-3</v>
      </c>
      <c r="R221">
        <f ca="1">'ETF variations'!R221/'ETF price'!S222</f>
        <v>-2.0462803595333721E-2</v>
      </c>
      <c r="S221">
        <f ca="1">'ETF variations'!S221/'ETF price'!T222</f>
        <v>-1.1128165771296975E-2</v>
      </c>
      <c r="T221">
        <f ca="1">'ETF variations'!T221/'ETF price'!U222</f>
        <v>-1.6518771331057936E-2</v>
      </c>
      <c r="U221">
        <f ca="1">'ETF variations'!U221/'ETF price'!V222</f>
        <v>-3.4221461745292956E-3</v>
      </c>
      <c r="V221">
        <f ca="1">'ETF variations'!V221/'ETF price'!W222</f>
        <v>-4.7968397291194868E-3</v>
      </c>
      <c r="W221">
        <f ca="1">'ETF variations'!W221/'ETF price'!X222</f>
        <v>-6.8035055350553902E-3</v>
      </c>
      <c r="X221">
        <f ca="1">'ETF variations'!X221/'ETF price'!Y222</f>
        <v>-1.584077985377744E-2</v>
      </c>
      <c r="Y221">
        <f ca="1">'ETF variations'!Y221/'ETF price'!Z222</f>
        <v>-6.6149344867064757E-3</v>
      </c>
      <c r="Z221">
        <f ca="1">'ETF variations'!Z221/'ETF price'!AA222</f>
        <v>-7.0717653221582799E-3</v>
      </c>
      <c r="AA221">
        <f ca="1">'ETF variations'!AA221/'ETF price'!AB222</f>
        <v>-1.6268980477223492E-2</v>
      </c>
      <c r="AB221">
        <f ca="1">'ETF variations'!AB221/'ETF price'!AC222</f>
        <v>-7.8139196801744453E-3</v>
      </c>
      <c r="AC221">
        <f ca="1">'ETF variations'!AC221/'ETF price'!AD222</f>
        <v>-2.3364485981308466E-2</v>
      </c>
      <c r="AD221">
        <f ca="1">'ETF variations'!AD221/'ETF price'!AE222</f>
        <v>-2.629016553067182E-2</v>
      </c>
      <c r="AE221">
        <f ca="1">'ETF variations'!AE221/'ETF price'!AF222</f>
        <v>-1.435406698564584E-2</v>
      </c>
      <c r="AF221">
        <f ca="1">'ETF variations'!AF221/'ETF price'!AG222</f>
        <v>-7.8629032258064446E-2</v>
      </c>
    </row>
    <row r="222" spans="1:32" x14ac:dyDescent="0.2">
      <c r="A222">
        <f ca="1">'ETF variations'!A222/'ETF price'!B223</f>
        <v>1.2901267359792629E-3</v>
      </c>
      <c r="B222">
        <f ca="1">'ETF variations'!B222/'ETF price'!C223</f>
        <v>-5.6141595012261828E-4</v>
      </c>
      <c r="C222">
        <f ca="1">'ETF variations'!C222/'ETF price'!D223</f>
        <v>-1.643281506762678E-3</v>
      </c>
      <c r="D222">
        <f ca="1">'ETF variations'!D222/'ETF price'!E223</f>
        <v>7.8868200666720786E-3</v>
      </c>
      <c r="E222">
        <f ca="1">'ETF variations'!E222/'ETF price'!F223</f>
        <v>-1.0979358805445762E-2</v>
      </c>
      <c r="F222">
        <f ca="1">'ETF variations'!F222/'ETF price'!G223</f>
        <v>-1.0838831291234705E-2</v>
      </c>
      <c r="G222">
        <f ca="1">'ETF variations'!G222/'ETF price'!H223</f>
        <v>-6.112469437652754E-3</v>
      </c>
      <c r="H222">
        <f ca="1">'ETF variations'!H222/'ETF price'!I223</f>
        <v>-4.5105999097881725E-4</v>
      </c>
      <c r="I222">
        <f ca="1">'ETF variations'!I222/'ETF price'!J223</f>
        <v>-1.9305812281782662E-3</v>
      </c>
      <c r="J222">
        <f ca="1">'ETF variations'!J222/'ETF price'!K223</f>
        <v>-6.9294389389762817E-3</v>
      </c>
      <c r="K222">
        <f ca="1">'ETF variations'!K222/'ETF price'!L223</f>
        <v>-1.1657872131549745E-2</v>
      </c>
      <c r="L222">
        <f ca="1">'ETF variations'!L222/'ETF price'!M223</f>
        <v>-2.7950310559007267E-3</v>
      </c>
      <c r="M222">
        <f ca="1">'ETF variations'!M222/'ETF price'!N223</f>
        <v>-2.0697341187709368E-3</v>
      </c>
      <c r="N222">
        <f ca="1">'ETF variations'!N222/'ETF price'!O223</f>
        <v>-2.3099850968703466E-2</v>
      </c>
      <c r="O222">
        <f ca="1">'ETF variations'!O222/'ETF price'!P223</f>
        <v>2.1701388888889198E-3</v>
      </c>
      <c r="P222">
        <f ca="1">'ETF variations'!P222/'ETF price'!Q223</f>
        <v>7.7399380804971162E-4</v>
      </c>
      <c r="Q222">
        <f ca="1">'ETF variations'!Q222/'ETF price'!R223</f>
        <v>-9.59740745357111E-3</v>
      </c>
      <c r="R222">
        <f ca="1">'ETF variations'!R222/'ETF price'!S223</f>
        <v>-1.3080827801640018E-2</v>
      </c>
      <c r="S222">
        <f ca="1">'ETF variations'!S222/'ETF price'!T223</f>
        <v>-1.6686069072564987E-2</v>
      </c>
      <c r="T222">
        <f ca="1">'ETF variations'!T222/'ETF price'!U223</f>
        <v>-2.6374236535258267E-2</v>
      </c>
      <c r="U222">
        <f ca="1">'ETF variations'!U222/'ETF price'!V223</f>
        <v>1.3245033112582759E-2</v>
      </c>
      <c r="V222">
        <f ca="1">'ETF variations'!V222/'ETF price'!W223</f>
        <v>-5.387014459881055E-3</v>
      </c>
      <c r="W222">
        <f ca="1">'ETF variations'!W222/'ETF price'!X223</f>
        <v>-6.3856960408684221E-3</v>
      </c>
      <c r="X222">
        <f ca="1">'ETF variations'!X222/'ETF price'!Y223</f>
        <v>-1.3825835740817204E-2</v>
      </c>
      <c r="Y222">
        <f ca="1">'ETF variations'!Y222/'ETF price'!Z223</f>
        <v>-5.7625816365732213E-3</v>
      </c>
      <c r="Z222">
        <f ca="1">'ETF variations'!Z222/'ETF price'!AA223</f>
        <v>-8.9686098654707547E-3</v>
      </c>
      <c r="AA222">
        <f ca="1">'ETF variations'!AA222/'ETF price'!AB223</f>
        <v>-1.4805481178138366E-2</v>
      </c>
      <c r="AB222">
        <f ca="1">'ETF variations'!AB222/'ETF price'!AC223</f>
        <v>6.4102564102564361E-3</v>
      </c>
      <c r="AC222">
        <f ca="1">'ETF variations'!AC222/'ETF price'!AD223</f>
        <v>1.4354066985646053E-2</v>
      </c>
      <c r="AD222">
        <f ca="1">'ETF variations'!AD222/'ETF price'!AE223</f>
        <v>1.6000000000000014E-2</v>
      </c>
      <c r="AE222">
        <f ca="1">'ETF variations'!AE222/'ETF price'!AF223</f>
        <v>-6.310679611650491E-2</v>
      </c>
      <c r="AF222">
        <f ca="1">'ETF variations'!AF222/'ETF price'!AG223</f>
        <v>-1.9693654266958391E-2</v>
      </c>
    </row>
    <row r="223" spans="1:32" x14ac:dyDescent="0.2">
      <c r="A223">
        <f ca="1">'ETF variations'!A223/'ETF price'!B224</f>
        <v>1.1368804001819441E-3</v>
      </c>
      <c r="B223">
        <f ca="1">'ETF variations'!B223/'ETF price'!C224</f>
        <v>1.1234626300851331E-3</v>
      </c>
      <c r="C223">
        <f ca="1">'ETF variations'!C223/'ETF price'!D224</f>
        <v>-1.3041276272474058E-2</v>
      </c>
      <c r="D223">
        <f ca="1">'ETF variations'!D223/'ETF price'!E224</f>
        <v>2.1781219748306731E-3</v>
      </c>
      <c r="E223">
        <f ca="1">'ETF variations'!E223/'ETF price'!F224</f>
        <v>4.2184724689164682E-3</v>
      </c>
      <c r="F223">
        <f ca="1">'ETF variations'!F223/'ETF price'!G224</f>
        <v>-3.8113387327297905E-3</v>
      </c>
      <c r="G223">
        <f ca="1">'ETF variations'!G223/'ETF price'!H224</f>
        <v>3.2800328003279333E-3</v>
      </c>
      <c r="H223">
        <f ca="1">'ETF variations'!H223/'ETF price'!I224</f>
        <v>1.2108904933814569E-2</v>
      </c>
      <c r="I223">
        <f ca="1">'ETF variations'!I223/'ETF price'!J224</f>
        <v>1.177051609185947E-2</v>
      </c>
      <c r="J223">
        <f ca="1">'ETF variations'!J223/'ETF price'!K224</f>
        <v>3.4513805522209482E-3</v>
      </c>
      <c r="K223">
        <f ca="1">'ETF variations'!K223/'ETF price'!L224</f>
        <v>5.8356096349639784E-3</v>
      </c>
      <c r="L223">
        <f ca="1">'ETF variations'!L223/'ETF price'!M224</f>
        <v>4.8271566490190329E-3</v>
      </c>
      <c r="M223">
        <f ca="1">'ETF variations'!M223/'ETF price'!N224</f>
        <v>1.1008296107211196E-2</v>
      </c>
      <c r="N223">
        <f ca="1">'ETF variations'!N223/'ETF price'!O224</f>
        <v>-6.8649885583523919E-3</v>
      </c>
      <c r="O223">
        <f ca="1">'ETF variations'!O223/'ETF price'!P224</f>
        <v>-7.9038544824599818E-3</v>
      </c>
      <c r="P223">
        <f ca="1">'ETF variations'!P223/'ETF price'!Q224</f>
        <v>-8.1206496519722442E-3</v>
      </c>
      <c r="Q223">
        <f ca="1">'ETF variations'!Q223/'ETF price'!R224</f>
        <v>6.6700226529071375E-3</v>
      </c>
      <c r="R223">
        <f ca="1">'ETF variations'!R223/'ETF price'!S224</f>
        <v>-2.3738872403560327E-3</v>
      </c>
      <c r="S223">
        <f ca="1">'ETF variations'!S223/'ETF price'!T224</f>
        <v>-7.1033938437253244E-3</v>
      </c>
      <c r="T223">
        <f ca="1">'ETF variations'!T223/'ETF price'!U224</f>
        <v>-1.5825491873396057E-2</v>
      </c>
      <c r="U223">
        <f ca="1">'ETF variations'!U223/'ETF price'!V224</f>
        <v>-1.3435003631082056E-2</v>
      </c>
      <c r="V223">
        <f ca="1">'ETF variations'!V223/'ETF price'!W224</f>
        <v>8.2668187001140019E-3</v>
      </c>
      <c r="W223">
        <f ca="1">'ETF variations'!W223/'ETF price'!X224</f>
        <v>7.0109838747371882E-3</v>
      </c>
      <c r="X223">
        <f ca="1">'ETF variations'!X223/'ETF price'!Y224</f>
        <v>7.951454279137949E-3</v>
      </c>
      <c r="Y223">
        <f ca="1">'ETF variations'!Y223/'ETF price'!Z224</f>
        <v>7.0839773312725033E-3</v>
      </c>
      <c r="Z223">
        <f ca="1">'ETF variations'!Z223/'ETF price'!AA224</f>
        <v>1.27761511844556E-2</v>
      </c>
      <c r="AA223">
        <f ca="1">'ETF variations'!AA223/'ETF price'!AB224</f>
        <v>6.3948840927259103E-3</v>
      </c>
      <c r="AB223">
        <f ca="1">'ETF variations'!AB223/'ETF price'!AC224</f>
        <v>-2.7297543221111134E-3</v>
      </c>
      <c r="AC223">
        <f ca="1">'ETF variations'!AC223/'ETF price'!AD224</f>
        <v>1.5723270440251237E-3</v>
      </c>
      <c r="AD223">
        <f ca="1">'ETF variations'!AD223/'ETF price'!AE224</f>
        <v>-1.9685039370078319E-3</v>
      </c>
      <c r="AE223">
        <f ca="1">'ETF variations'!AE223/'ETF price'!AF224</f>
        <v>0</v>
      </c>
      <c r="AF223">
        <f ca="1">'ETF variations'!AF223/'ETF price'!AG224</f>
        <v>-3.3482142857142932E-2</v>
      </c>
    </row>
    <row r="224" spans="1:32" x14ac:dyDescent="0.2">
      <c r="A224">
        <f ca="1">'ETF variations'!A224/'ETF price'!B225</f>
        <v>-1.0750246044363811E-2</v>
      </c>
      <c r="B224">
        <f ca="1">'ETF variations'!B224/'ETF price'!C225</f>
        <v>-1.190124623471747E-2</v>
      </c>
      <c r="C224">
        <f ca="1">'ETF variations'!C224/'ETF price'!D225</f>
        <v>1.8729955099422626E-2</v>
      </c>
      <c r="D224">
        <f ca="1">'ETF variations'!D224/'ETF price'!E225</f>
        <v>-1.6582146019480014E-2</v>
      </c>
      <c r="E224">
        <f ca="1">'ETF variations'!E224/'ETF price'!F225</f>
        <v>2.2109219544550391E-3</v>
      </c>
      <c r="F224">
        <f ca="1">'ETF variations'!F224/'ETF price'!G225</f>
        <v>-1.0999521759923503E-2</v>
      </c>
      <c r="G224">
        <f ca="1">'ETF variations'!G224/'ETF price'!H225</f>
        <v>-9.8079280751940511E-3</v>
      </c>
      <c r="H224">
        <f ca="1">'ETF variations'!H224/'ETF price'!I225</f>
        <v>4.4586460578139464E-4</v>
      </c>
      <c r="I224">
        <f ca="1">'ETF variations'!I224/'ETF price'!J225</f>
        <v>-4.0676863000323101E-4</v>
      </c>
      <c r="J224">
        <f ca="1">'ETF variations'!J224/'ETF price'!K225</f>
        <v>-5.5331239718858158E-3</v>
      </c>
      <c r="K224">
        <f ca="1">'ETF variations'!K224/'ETF price'!L225</f>
        <v>-1.4072336748549567E-2</v>
      </c>
      <c r="L224">
        <f ca="1">'ETF variations'!L224/'ETF price'!M225</f>
        <v>-1.2397334573066526E-3</v>
      </c>
      <c r="M224">
        <f ca="1">'ETF variations'!M224/'ETF price'!N225</f>
        <v>0</v>
      </c>
      <c r="N224">
        <f ca="1">'ETF variations'!N224/'ETF price'!O225</f>
        <v>-1.3824884792626706E-2</v>
      </c>
      <c r="O224">
        <f ca="1">'ETF variations'!O224/'ETF price'!P225</f>
        <v>-1.353268580159331E-2</v>
      </c>
      <c r="P224">
        <f ca="1">'ETF variations'!P224/'ETF price'!Q225</f>
        <v>-1.5048732943469839E-2</v>
      </c>
      <c r="Q224">
        <f ca="1">'ETF variations'!Q224/'ETF price'!R225</f>
        <v>3.3754219277410957E-3</v>
      </c>
      <c r="R224">
        <f ca="1">'ETF variations'!R224/'ETF price'!S225</f>
        <v>9.5181439619273622E-3</v>
      </c>
      <c r="S224">
        <f ca="1">'ETF variations'!S224/'ETF price'!T225</f>
        <v>-3.5771065182829834E-3</v>
      </c>
      <c r="T224">
        <f ca="1">'ETF variations'!T224/'ETF price'!U225</f>
        <v>0</v>
      </c>
      <c r="U224">
        <f ca="1">'ETF variations'!U224/'ETF price'!V225</f>
        <v>-8.5879033247454641E-3</v>
      </c>
      <c r="V224">
        <f ca="1">'ETF variations'!V224/'ETF price'!W225</f>
        <v>3.1099802092168344E-3</v>
      </c>
      <c r="W224">
        <f ca="1">'ETF variations'!W224/'ETF price'!X225</f>
        <v>3.1329774889765141E-3</v>
      </c>
      <c r="X224">
        <f ca="1">'ETF variations'!X224/'ETF price'!Y225</f>
        <v>4.7747560722440699E-3</v>
      </c>
      <c r="Y224">
        <f ca="1">'ETF variations'!Y224/'ETF price'!Z225</f>
        <v>3.5810205908684122E-3</v>
      </c>
      <c r="Z224">
        <f ca="1">'ETF variations'!Z224/'ETF price'!AA225</f>
        <v>7.0959264126150626E-3</v>
      </c>
      <c r="AA224">
        <f ca="1">'ETF variations'!AA224/'ETF price'!AB225</f>
        <v>5.4011119936456919E-3</v>
      </c>
      <c r="AB224">
        <f ca="1">'ETF variations'!AB224/'ETF price'!AC225</f>
        <v>1.2043795620438025E-2</v>
      </c>
      <c r="AC224">
        <f ca="1">'ETF variations'!AC224/'ETF price'!AD225</f>
        <v>-5.4945054945055027E-2</v>
      </c>
      <c r="AD224">
        <f ca="1">'ETF variations'!AD224/'ETF price'!AE225</f>
        <v>-5.4240631163708156E-2</v>
      </c>
      <c r="AE224">
        <f ca="1">'ETF variations'!AE224/'ETF price'!AF225</f>
        <v>-4.6632124352331536E-2</v>
      </c>
      <c r="AF224">
        <f ca="1">'ETF variations'!AF224/'ETF price'!AG225</f>
        <v>-8.5450346420323342E-2</v>
      </c>
    </row>
    <row r="225" spans="1:32" x14ac:dyDescent="0.2">
      <c r="A225">
        <f ca="1">'ETF variations'!A225/'ETF price'!B226</f>
        <v>1.9361750975740426E-2</v>
      </c>
      <c r="B225">
        <f ca="1">'ETF variations'!B225/'ETF price'!C226</f>
        <v>1.7902507546549536E-2</v>
      </c>
      <c r="C225">
        <f ca="1">'ETF variations'!C225/'ETF price'!D226</f>
        <v>1.1585442639466084E-2</v>
      </c>
      <c r="D225">
        <f ca="1">'ETF variations'!D225/'ETF price'!E226</f>
        <v>2.9794548579847757E-2</v>
      </c>
      <c r="E225">
        <f ca="1">'ETF variations'!E225/'ETF price'!F226</f>
        <v>4.8532980366203151E-3</v>
      </c>
      <c r="F225">
        <f ca="1">'ETF variations'!F225/'ETF price'!G226</f>
        <v>1.4023210831721429E-2</v>
      </c>
      <c r="G225">
        <f ca="1">'ETF variations'!G225/'ETF price'!H226</f>
        <v>1.0317787866281469E-2</v>
      </c>
      <c r="H225">
        <f ca="1">'ETF variations'!H225/'ETF price'!I226</f>
        <v>8.6904850330536722E-3</v>
      </c>
      <c r="I225">
        <f ca="1">'ETF variations'!I225/'ETF price'!J226</f>
        <v>8.8711646455602606E-3</v>
      </c>
      <c r="J225">
        <f ca="1">'ETF variations'!J225/'ETF price'!K226</f>
        <v>7.8947368421053484E-3</v>
      </c>
      <c r="K225">
        <f ca="1">'ETF variations'!K225/'ETF price'!L226</f>
        <v>1.3772380117691177E-2</v>
      </c>
      <c r="L225">
        <f ca="1">'ETF variations'!L225/'ETF price'!M226</f>
        <v>8.9992242048099035E-3</v>
      </c>
      <c r="M225">
        <f ca="1">'ETF variations'!M225/'ETF price'!N226</f>
        <v>8.205775603597967E-3</v>
      </c>
      <c r="N225">
        <f ca="1">'ETF variations'!N225/'ETF price'!O226</f>
        <v>7.7881619937694426E-3</v>
      </c>
      <c r="O225">
        <f ca="1">'ETF variations'!O225/'ETF price'!P226</f>
        <v>3.130877309436883E-2</v>
      </c>
      <c r="P225">
        <f ca="1">'ETF variations'!P225/'ETF price'!Q226</f>
        <v>3.3565547815072906E-2</v>
      </c>
      <c r="Q225">
        <f ca="1">'ETF variations'!Q225/'ETF price'!R226</f>
        <v>2.2676302018439985E-2</v>
      </c>
      <c r="R225">
        <f ca="1">'ETF variations'!R225/'ETF price'!S226</f>
        <v>3.2213710469455918E-2</v>
      </c>
      <c r="S225">
        <f ca="1">'ETF variations'!S225/'ETF price'!T226</f>
        <v>1.0370961308336578E-2</v>
      </c>
      <c r="T225">
        <f ca="1">'ETF variations'!T225/'ETF price'!U226</f>
        <v>1.3762132406200243E-2</v>
      </c>
      <c r="U225">
        <f ca="1">'ETF variations'!U225/'ETF price'!V226</f>
        <v>8.4148001484963819E-3</v>
      </c>
      <c r="V225">
        <f ca="1">'ETF variations'!V225/'ETF price'!W226</f>
        <v>1.0146561443066702E-2</v>
      </c>
      <c r="W225">
        <f ca="1">'ETF variations'!W225/'ETF price'!X226</f>
        <v>1.0526315789473644E-2</v>
      </c>
      <c r="X225">
        <f ca="1">'ETF variations'!X225/'ETF price'!Y226</f>
        <v>1.2396694214876063E-2</v>
      </c>
      <c r="Y225">
        <f ca="1">'ETF variations'!Y225/'ETF price'!Z226</f>
        <v>9.5577927870523771E-3</v>
      </c>
      <c r="Z225">
        <f ca="1">'ETF variations'!Z225/'ETF price'!AA226</f>
        <v>4.958246346555264E-3</v>
      </c>
      <c r="AA225">
        <f ca="1">'ETF variations'!AA225/'ETF price'!AB226</f>
        <v>1.0902196239532275E-2</v>
      </c>
      <c r="AB225">
        <f ca="1">'ETF variations'!AB225/'ETF price'!AC226</f>
        <v>5.2289938694554481E-3</v>
      </c>
      <c r="AC225">
        <f ca="1">'ETF variations'!AC225/'ETF price'!AD226</f>
        <v>2.6578073089701022E-2</v>
      </c>
      <c r="AD225">
        <f ca="1">'ETF variations'!AD225/'ETF price'!AE226</f>
        <v>2.0855057351407642E-2</v>
      </c>
      <c r="AE225">
        <f ca="1">'ETF variations'!AE225/'ETF price'!AF226</f>
        <v>-4.8913043478260913E-2</v>
      </c>
      <c r="AF225">
        <f ca="1">'ETF variations'!AF225/'ETF price'!AG226</f>
        <v>5.0505050505050553E-3</v>
      </c>
    </row>
    <row r="226" spans="1:32" x14ac:dyDescent="0.2">
      <c r="A226">
        <f ca="1">'ETF variations'!A226/'ETF price'!B227</f>
        <v>8.85885885885891E-3</v>
      </c>
      <c r="B226">
        <f ca="1">'ETF variations'!B226/'ETF price'!C227</f>
        <v>1.0687650478595465E-2</v>
      </c>
      <c r="C226">
        <f ca="1">'ETF variations'!C226/'ETF price'!D227</f>
        <v>-7.842649072575569E-3</v>
      </c>
      <c r="D226">
        <f ca="1">'ETF variations'!D226/'ETF price'!E227</f>
        <v>1.2081710515857214E-2</v>
      </c>
      <c r="E226">
        <f ca="1">'ETF variations'!E226/'ETF price'!F227</f>
        <v>1.0098792535675102E-2</v>
      </c>
      <c r="F226">
        <f ca="1">'ETF variations'!F226/'ETF price'!G227</f>
        <v>1.5259895088221283E-2</v>
      </c>
      <c r="G226">
        <f ca="1">'ETF variations'!G226/'ETF price'!H227</f>
        <v>1.1029411764705864E-2</v>
      </c>
      <c r="H226">
        <f ca="1">'ETF variations'!H226/'ETF price'!I227</f>
        <v>3.9764359351987626E-3</v>
      </c>
      <c r="I226">
        <f ca="1">'ETF variations'!I226/'ETF price'!J227</f>
        <v>4.3562439496612317E-3</v>
      </c>
      <c r="J226">
        <f ca="1">'ETF variations'!J226/'ETF price'!K227</f>
        <v>-3.7299515106303614E-3</v>
      </c>
      <c r="K226">
        <f ca="1">'ETF variations'!K226/'ETF price'!L227</f>
        <v>3.7050759540571985E-4</v>
      </c>
      <c r="L226">
        <f ca="1">'ETF variations'!L226/'ETF price'!M227</f>
        <v>-6.1510072274344532E-4</v>
      </c>
      <c r="M226">
        <f ca="1">'ETF variations'!M226/'ETF price'!N227</f>
        <v>4.8520895288777944E-3</v>
      </c>
      <c r="N226">
        <f ca="1">'ETF variations'!N226/'ETF price'!O227</f>
        <v>6.9551777434312106E-3</v>
      </c>
      <c r="O226">
        <f ca="1">'ETF variations'!O226/'ETF price'!P227</f>
        <v>-1.0834584853035885E-2</v>
      </c>
      <c r="P226">
        <f ca="1">'ETF variations'!P226/'ETF price'!Q227</f>
        <v>-1.2178308823529438E-2</v>
      </c>
      <c r="Q226">
        <f ca="1">'ETF variations'!Q226/'ETF price'!R227</f>
        <v>3.898635477582936E-3</v>
      </c>
      <c r="R226">
        <f ca="1">'ETF variations'!R226/'ETF price'!S227</f>
        <v>3.425309229305418E-3</v>
      </c>
      <c r="S226">
        <f ca="1">'ETF variations'!S226/'ETF price'!T227</f>
        <v>-1.3817607579944647E-2</v>
      </c>
      <c r="T226">
        <f ca="1">'ETF variations'!T226/'ETF price'!U227</f>
        <v>-3.6724778508145289E-2</v>
      </c>
      <c r="U226">
        <f ca="1">'ETF variations'!U226/'ETF price'!V227</f>
        <v>1.0553442140139889E-2</v>
      </c>
      <c r="V226">
        <f ca="1">'ETF variations'!V226/'ETF price'!W227</f>
        <v>4.1852678571428171E-3</v>
      </c>
      <c r="W226">
        <f ca="1">'ETF variations'!W226/'ETF price'!X227</f>
        <v>3.4340659340659015E-3</v>
      </c>
      <c r="X226">
        <f ca="1">'ETF variations'!X226/'ETF price'!Y227</f>
        <v>0</v>
      </c>
      <c r="Y226">
        <f ca="1">'ETF variations'!Y226/'ETF price'!Z227</f>
        <v>4.1656147437515566E-3</v>
      </c>
      <c r="Z226">
        <f ca="1">'ETF variations'!Z226/'ETF price'!AA227</f>
        <v>1.5580368735393995E-3</v>
      </c>
      <c r="AA226">
        <f ca="1">'ETF variations'!AA226/'ETF price'!AB227</f>
        <v>-1.5629884338852783E-4</v>
      </c>
      <c r="AB226">
        <f ca="1">'ETF variations'!AB226/'ETF price'!AC227</f>
        <v>3.9461883408071548E-3</v>
      </c>
      <c r="AC226">
        <f ca="1">'ETF variations'!AC226/'ETF price'!AD227</f>
        <v>3.7216828478964473E-2</v>
      </c>
      <c r="AD226">
        <f ca="1">'ETF variations'!AD226/'ETF price'!AE227</f>
        <v>4.0858018386108315E-2</v>
      </c>
      <c r="AE226">
        <f ca="1">'ETF variations'!AE226/'ETF price'!AF227</f>
        <v>2.8571428571428598E-2</v>
      </c>
      <c r="AF226">
        <f ca="1">'ETF variations'!AF226/'ETF price'!AG227</f>
        <v>3.0150753768844137E-2</v>
      </c>
    </row>
    <row r="227" spans="1:32" x14ac:dyDescent="0.2">
      <c r="A227">
        <f ca="1">'ETF variations'!A227/'ETF price'!B228</f>
        <v>-5.8044351838071225E-3</v>
      </c>
      <c r="B227">
        <f ca="1">'ETF variations'!B227/'ETF price'!C228</f>
        <v>-6.2750566498170493E-3</v>
      </c>
      <c r="C227">
        <f ca="1">'ETF variations'!C227/'ETF price'!D228</f>
        <v>-2.1706398996235932E-2</v>
      </c>
      <c r="D227">
        <f ca="1">'ETF variations'!D227/'ETF price'!E228</f>
        <v>-1.3272598759129802E-2</v>
      </c>
      <c r="E227">
        <f ca="1">'ETF variations'!E227/'ETF price'!F228</f>
        <v>8.6937622256029446E-4</v>
      </c>
      <c r="F227">
        <f ca="1">'ETF variations'!F227/'ETF price'!G228</f>
        <v>3.7576326914045021E-3</v>
      </c>
      <c r="G227">
        <f ca="1">'ETF variations'!G227/'ETF price'!H228</f>
        <v>0</v>
      </c>
      <c r="H227">
        <f ca="1">'ETF variations'!H227/'ETF price'!I228</f>
        <v>5.9410297784949556E-3</v>
      </c>
      <c r="I227">
        <f ca="1">'ETF variations'!I227/'ETF price'!J228</f>
        <v>5.9036144578313203E-3</v>
      </c>
      <c r="J227">
        <f ca="1">'ETF variations'!J227/'ETF price'!K228</f>
        <v>2.0217147135902793E-3</v>
      </c>
      <c r="K227">
        <f ca="1">'ETF variations'!K227/'ETF price'!L228</f>
        <v>7.4074074074076878E-4</v>
      </c>
      <c r="L227">
        <f ca="1">'ETF variations'!L227/'ETF price'!M228</f>
        <v>-1.3848284351437022E-3</v>
      </c>
      <c r="M227">
        <f ca="1">'ETF variations'!M227/'ETF price'!N228</f>
        <v>5.6074766355140096E-3</v>
      </c>
      <c r="N227">
        <f ca="1">'ETF variations'!N227/'ETF price'!O228</f>
        <v>7.6745970836529455E-4</v>
      </c>
      <c r="O227">
        <f ca="1">'ETF variations'!O227/'ETF price'!P228</f>
        <v>-3.6872356577376557E-3</v>
      </c>
      <c r="P227">
        <f ca="1">'ETF variations'!P227/'ETF price'!Q228</f>
        <v>-1.6282856478251372E-3</v>
      </c>
      <c r="Q227">
        <f ca="1">'ETF variations'!Q227/'ETF price'!R228</f>
        <v>-3.640776699029264E-4</v>
      </c>
      <c r="R227">
        <f ca="1">'ETF variations'!R227/'ETF price'!S228</f>
        <v>-5.1204248056134277E-3</v>
      </c>
      <c r="S227">
        <f ca="1">'ETF variations'!S227/'ETF price'!T228</f>
        <v>-8.8070456365091625E-3</v>
      </c>
      <c r="T227">
        <f ca="1">'ETF variations'!T227/'ETF price'!U228</f>
        <v>-6.6755674232310174E-3</v>
      </c>
      <c r="U227">
        <f ca="1">'ETF variations'!U227/'ETF price'!V228</f>
        <v>1.7000607164541662E-3</v>
      </c>
      <c r="V227">
        <f ca="1">'ETF variations'!V227/'ETF price'!W228</f>
        <v>3.3342595165322987E-3</v>
      </c>
      <c r="W227">
        <f ca="1">'ETF variations'!W227/'ETF price'!X228</f>
        <v>4.449007529089671E-3</v>
      </c>
      <c r="X227">
        <f ca="1">'ETF variations'!X227/'ETF price'!Y228</f>
        <v>7.3469387755101924E-3</v>
      </c>
      <c r="Y227">
        <f ca="1">'ETF variations'!Y227/'ETF price'!Z228</f>
        <v>4.902576995600259E-3</v>
      </c>
      <c r="Z227">
        <f ca="1">'ETF variations'!Z227/'ETF price'!AA228</f>
        <v>5.9631838216229419E-3</v>
      </c>
      <c r="AA227">
        <f ca="1">'ETF variations'!AA227/'ETF price'!AB228</f>
        <v>7.50351727372212E-3</v>
      </c>
      <c r="AB227">
        <f ca="1">'ETF variations'!AB227/'ETF price'!AC228</f>
        <v>-1.7688047168125817E-2</v>
      </c>
      <c r="AC227">
        <f ca="1">'ETF variations'!AC227/'ETF price'!AD228</f>
        <v>3.120124804992133E-3</v>
      </c>
      <c r="AD227">
        <f ca="1">'ETF variations'!AD227/'ETF price'!AE228</f>
        <v>0</v>
      </c>
      <c r="AE227">
        <f ca="1">'ETF variations'!AE227/'ETF price'!AF228</f>
        <v>1.111111111111112E-2</v>
      </c>
      <c r="AF227">
        <f ca="1">'ETF variations'!AF227/'ETF price'!AG228</f>
        <v>-2.4390243902438508E-3</v>
      </c>
    </row>
    <row r="228" spans="1:32" x14ac:dyDescent="0.2">
      <c r="A228">
        <f ca="1">'ETF variations'!A228/'ETF price'!B229</f>
        <v>-2.1407185628742404E-2</v>
      </c>
      <c r="B228">
        <f ca="1">'ETF variations'!B228/'ETF price'!C229</f>
        <v>-2.1136642694264216E-2</v>
      </c>
      <c r="C228">
        <f ca="1">'ETF variations'!C228/'ETF price'!D229</f>
        <v>-9.490829806335704E-3</v>
      </c>
      <c r="D228">
        <f ca="1">'ETF variations'!D228/'ETF price'!E229</f>
        <v>-2.4992040751353077E-2</v>
      </c>
      <c r="E228">
        <f ca="1">'ETF variations'!E228/'ETF price'!F229</f>
        <v>-9.9891422366991042E-3</v>
      </c>
      <c r="F228">
        <f ca="1">'ETF variations'!F228/'ETF price'!G229</f>
        <v>-2.0121665886757123E-2</v>
      </c>
      <c r="G228">
        <f ca="1">'ETF variations'!G228/'ETF price'!H229</f>
        <v>-1.5757575757575779E-2</v>
      </c>
      <c r="H228">
        <f ca="1">'ETF variations'!H228/'ETF price'!I229</f>
        <v>-7.5100255195042001E-3</v>
      </c>
      <c r="I228">
        <f ca="1">'ETF variations'!I228/'ETF price'!J229</f>
        <v>-8.4640875154709336E-3</v>
      </c>
      <c r="J228">
        <f ca="1">'ETF variations'!J228/'ETF price'!K229</f>
        <v>-6.9496338364968381E-3</v>
      </c>
      <c r="K228">
        <f ca="1">'ETF variations'!K228/'ETF price'!L229</f>
        <v>-1.7394522575869684E-2</v>
      </c>
      <c r="L228">
        <f ca="1">'ETF variations'!L228/'ETF price'!M229</f>
        <v>-6.3174114021573311E-3</v>
      </c>
      <c r="M228">
        <f ca="1">'ETF variations'!M228/'ETF price'!N229</f>
        <v>-8.3643122676580889E-3</v>
      </c>
      <c r="N228">
        <f ca="1">'ETF variations'!N228/'ETF price'!O229</f>
        <v>-1.2269938650306624E-2</v>
      </c>
      <c r="O228">
        <f ca="1">'ETF variations'!O228/'ETF price'!P229</f>
        <v>-2.7430064221182215E-2</v>
      </c>
      <c r="P228">
        <f ca="1">'ETF variations'!P228/'ETF price'!Q229</f>
        <v>-2.8269648959304026E-2</v>
      </c>
      <c r="Q228">
        <f ca="1">'ETF variations'!Q228/'ETF price'!R229</f>
        <v>-2.2338229938084295E-2</v>
      </c>
      <c r="R228">
        <f ca="1">'ETF variations'!R228/'ETF price'!S229</f>
        <v>-3.1643156690812115E-2</v>
      </c>
      <c r="S228">
        <f ca="1">'ETF variations'!S228/'ETF price'!T229</f>
        <v>-6.0581583198708452E-3</v>
      </c>
      <c r="T228">
        <f ca="1">'ETF variations'!T228/'ETF price'!U229</f>
        <v>-1.1947431302269758E-3</v>
      </c>
      <c r="U228">
        <f ca="1">'ETF variations'!U228/'ETF price'!V229</f>
        <v>-2.4609043520426734E-2</v>
      </c>
      <c r="V228">
        <f ca="1">'ETF variations'!V228/'ETF price'!W229</f>
        <v>-1.7169759069509759E-2</v>
      </c>
      <c r="W228">
        <f ca="1">'ETF variations'!W228/'ETF price'!X229</f>
        <v>-1.8171493469619469E-2</v>
      </c>
      <c r="X228">
        <f ca="1">'ETF variations'!X228/'ETF price'!Y229</f>
        <v>-2.2082658022690362E-2</v>
      </c>
      <c r="Y228">
        <f ca="1">'ETF variations'!Y228/'ETF price'!Z229</f>
        <v>-1.8013510132599421E-2</v>
      </c>
      <c r="Z228">
        <f ca="1">'ETF variations'!Z228/'ETF price'!AA229</f>
        <v>-2.8092783505154546E-2</v>
      </c>
      <c r="AA228">
        <f ca="1">'ETF variations'!AA228/'ETF price'!AB229</f>
        <v>-2.2342901474010936E-2</v>
      </c>
      <c r="AB228">
        <f ca="1">'ETF variations'!AB228/'ETF price'!AC229</f>
        <v>3.4558021098582184E-3</v>
      </c>
      <c r="AC228">
        <f ca="1">'ETF variations'!AC228/'ETF price'!AD229</f>
        <v>-2.1772939346811772E-2</v>
      </c>
      <c r="AD228">
        <f ca="1">'ETF variations'!AD228/'ETF price'!AE229</f>
        <v>-1.9627085377821325E-2</v>
      </c>
      <c r="AE228">
        <f ca="1">'ETF variations'!AE228/'ETF price'!AF229</f>
        <v>-2.1978021978021997E-2</v>
      </c>
      <c r="AF228">
        <f ca="1">'ETF variations'!AF228/'ETF price'!AG229</f>
        <v>-4.8899755501222428E-2</v>
      </c>
    </row>
    <row r="229" spans="1:32" x14ac:dyDescent="0.2">
      <c r="A229">
        <f ca="1">'ETF variations'!A229/'ETF price'!B230</f>
        <v>-9.7904237417775816E-3</v>
      </c>
      <c r="B229">
        <f ca="1">'ETF variations'!B229/'ETF price'!C230</f>
        <v>-9.2584296508675026E-3</v>
      </c>
      <c r="C229">
        <f ca="1">'ETF variations'!C229/'ETF price'!D230</f>
        <v>5.4253528421597794E-2</v>
      </c>
      <c r="D229">
        <f ca="1">'ETF variations'!D229/'ETF price'!E230</f>
        <v>-3.9183673469388083E-3</v>
      </c>
      <c r="E229">
        <f ca="1">'ETF variations'!E229/'ETF price'!F230</f>
        <v>-6.5803904364993256E-3</v>
      </c>
      <c r="F229">
        <f ca="1">'ETF variations'!F229/'ETF price'!G230</f>
        <v>-1.2416427889207333E-2</v>
      </c>
      <c r="G229">
        <f ca="1">'ETF variations'!G229/'ETF price'!H230</f>
        <v>0</v>
      </c>
      <c r="H229">
        <f ca="1">'ETF variations'!H229/'ETF price'!I230</f>
        <v>-2.4977960622979975E-3</v>
      </c>
      <c r="I229">
        <f ca="1">'ETF variations'!I229/'ETF price'!J230</f>
        <v>-2.3756794845983631E-3</v>
      </c>
      <c r="J229">
        <f ca="1">'ETF variations'!J229/'ETF price'!K230</f>
        <v>-4.665512830160104E-3</v>
      </c>
      <c r="K229">
        <f ca="1">'ETF variations'!K229/'ETF price'!L230</f>
        <v>4.1431261770244606E-3</v>
      </c>
      <c r="L229">
        <f ca="1">'ETF variations'!L229/'ETF price'!M230</f>
        <v>-3.2563188091175961E-3</v>
      </c>
      <c r="M229">
        <f ca="1">'ETF variations'!M229/'ETF price'!N230</f>
        <v>-3.4364261168384706E-3</v>
      </c>
      <c r="N229">
        <f ca="1">'ETF variations'!N229/'ETF price'!O230</f>
        <v>-7.7639751552796132E-3</v>
      </c>
      <c r="O229">
        <f ca="1">'ETF variations'!O229/'ETF price'!P230</f>
        <v>1.5109121432568647E-2</v>
      </c>
      <c r="P229">
        <f ca="1">'ETF variations'!P229/'ETF price'!Q230</f>
        <v>1.3427109974424492E-2</v>
      </c>
      <c r="Q229">
        <f ca="1">'ETF variations'!Q229/'ETF price'!R230</f>
        <v>3.3527877809511487E-3</v>
      </c>
      <c r="R229">
        <f ca="1">'ETF variations'!R229/'ETF price'!S230</f>
        <v>2.322834645669291E-2</v>
      </c>
      <c r="S229">
        <f ca="1">'ETF variations'!S229/'ETF price'!T230</f>
        <v>1.3002844372206432E-2</v>
      </c>
      <c r="T229">
        <f ca="1">'ETF variations'!T229/'ETF price'!U230</f>
        <v>2.1830143540669977E-2</v>
      </c>
      <c r="U229">
        <f ca="1">'ETF variations'!U229/'ETF price'!V230</f>
        <v>-1.2055679840914726E-2</v>
      </c>
      <c r="V229">
        <f ca="1">'ETF variations'!V229/'ETF price'!W230</f>
        <v>5.9171597633136327E-3</v>
      </c>
      <c r="W229">
        <f ca="1">'ETF variations'!W229/'ETF price'!X230</f>
        <v>6.940427993059506E-3</v>
      </c>
      <c r="X229">
        <f ca="1">'ETF variations'!X229/'ETF price'!Y230</f>
        <v>7.6652164905738019E-3</v>
      </c>
      <c r="Y229">
        <f ca="1">'ETF variations'!Y229/'ETF price'!Z230</f>
        <v>5.2229299363056887E-3</v>
      </c>
      <c r="Z229">
        <f ca="1">'ETF variations'!Z229/'ETF price'!AA230</f>
        <v>1.6706443914081211E-2</v>
      </c>
      <c r="AA229">
        <f ca="1">'ETF variations'!AA229/'ETF price'!AB230</f>
        <v>6.0307887636883439E-3</v>
      </c>
      <c r="AB229">
        <f ca="1">'ETF variations'!AB229/'ETF price'!AC230</f>
        <v>2.229472539423594E-2</v>
      </c>
      <c r="AC229">
        <f ca="1">'ETF variations'!AC229/'ETF price'!AD230</f>
        <v>2.0667726550079476E-2</v>
      </c>
      <c r="AD229">
        <f ca="1">'ETF variations'!AD229/'ETF price'!AE230</f>
        <v>1.7017017017017008E-2</v>
      </c>
      <c r="AE229">
        <f ca="1">'ETF variations'!AE229/'ETF price'!AF230</f>
        <v>-5.6179775280898927E-3</v>
      </c>
      <c r="AF229">
        <f ca="1">'ETF variations'!AF229/'ETF price'!AG230</f>
        <v>5.1413881748072028E-3</v>
      </c>
    </row>
    <row r="230" spans="1:32" x14ac:dyDescent="0.2">
      <c r="A230">
        <f ca="1">'ETF variations'!A230/'ETF price'!B231</f>
        <v>5.0208558628147687E-2</v>
      </c>
      <c r="B230">
        <f ca="1">'ETF variations'!B230/'ETF price'!C231</f>
        <v>4.8865040846471461E-2</v>
      </c>
      <c r="C230">
        <f ca="1">'ETF variations'!C230/'ETF price'!D231</f>
        <v>3.6845983787766783E-3</v>
      </c>
      <c r="D230">
        <f ca="1">'ETF variations'!D230/'ETF price'!E231</f>
        <v>5.9990165546631766E-2</v>
      </c>
      <c r="E230">
        <f ca="1">'ETF variations'!E230/'ETF price'!F231</f>
        <v>1.5235151247515958E-2</v>
      </c>
      <c r="F230">
        <f ca="1">'ETF variations'!F230/'ETF price'!G231</f>
        <v>3.6266924564796903E-2</v>
      </c>
      <c r="G230">
        <f ca="1">'ETF variations'!G230/'ETF price'!H231</f>
        <v>3.8587848932676569E-2</v>
      </c>
      <c r="H230">
        <f ca="1">'ETF variations'!H230/'ETF price'!I231</f>
        <v>2.3862129916040722E-2</v>
      </c>
      <c r="I230">
        <f ca="1">'ETF variations'!I230/'ETF price'!J231</f>
        <v>2.6598320955763657E-2</v>
      </c>
      <c r="J230">
        <f ca="1">'ETF variations'!J230/'ETF price'!K231</f>
        <v>3.2206849625765407E-2</v>
      </c>
      <c r="K230">
        <f ca="1">'ETF variations'!K230/'ETF price'!L231</f>
        <v>4.5511377844461118E-2</v>
      </c>
      <c r="L230">
        <f ca="1">'ETF variations'!L230/'ETF price'!M231</f>
        <v>3.640323584318611E-2</v>
      </c>
      <c r="M230">
        <f ca="1">'ETF variations'!M230/'ETF price'!N231</f>
        <v>2.7742946708463889E-2</v>
      </c>
      <c r="N230">
        <f ca="1">'ETF variations'!N230/'ETF price'!O231</f>
        <v>5.6338028169014134E-2</v>
      </c>
      <c r="O230">
        <f ca="1">'ETF variations'!O230/'ETF price'!P231</f>
        <v>4.9614112458655222E-3</v>
      </c>
      <c r="P230">
        <f ca="1">'ETF variations'!P230/'ETF price'!Q231</f>
        <v>6.545741324921122E-3</v>
      </c>
      <c r="Q230">
        <f ca="1">'ETF variations'!Q230/'ETF price'!R231</f>
        <v>2.4133663366336669E-2</v>
      </c>
      <c r="R230">
        <f ca="1">'ETF variations'!R230/'ETF price'!S231</f>
        <v>3.7514428626394827E-2</v>
      </c>
      <c r="S230">
        <f ca="1">'ETF variations'!S230/'ETF price'!T231</f>
        <v>2.2462896109105443E-2</v>
      </c>
      <c r="T230">
        <f ca="1">'ETF variations'!T230/'ETF price'!U231</f>
        <v>2.7655838454784906E-2</v>
      </c>
      <c r="U230">
        <f ca="1">'ETF variations'!U230/'ETF price'!V231</f>
        <v>5.6485092464461054E-2</v>
      </c>
      <c r="V230">
        <f ca="1">'ETF variations'!V230/'ETF price'!W231</f>
        <v>1.7086834733893542E-2</v>
      </c>
      <c r="W230">
        <f ca="1">'ETF variations'!W230/'ETF price'!X231</f>
        <v>1.7805858701895431E-2</v>
      </c>
      <c r="X230">
        <f ca="1">'ETF variations'!X230/'ETF price'!Y231</f>
        <v>1.8092105263157948E-2</v>
      </c>
      <c r="Y230">
        <f ca="1">'ETF variations'!Y230/'ETF price'!Z231</f>
        <v>1.8628817640349751E-2</v>
      </c>
      <c r="Z230">
        <f ca="1">'ETF variations'!Z230/'ETF price'!AA231</f>
        <v>2.3474178403755829E-2</v>
      </c>
      <c r="AA230">
        <f ca="1">'ETF variations'!AA230/'ETF price'!AB231</f>
        <v>1.7826155545038577E-2</v>
      </c>
      <c r="AB230">
        <f ca="1">'ETF variations'!AB230/'ETF price'!AC231</f>
        <v>-4.6099290780141494E-3</v>
      </c>
      <c r="AC230">
        <f ca="1">'ETF variations'!AC230/'ETF price'!AD231</f>
        <v>4.8286604361370791E-2</v>
      </c>
      <c r="AD230">
        <f ca="1">'ETF variations'!AD230/'ETF price'!AE231</f>
        <v>5.3149606299212511E-2</v>
      </c>
      <c r="AE230">
        <f ca="1">'ETF variations'!AE230/'ETF price'!AF231</f>
        <v>1.1299435028248598E-2</v>
      </c>
      <c r="AF230">
        <f ca="1">'ETF variations'!AF230/'ETF price'!AG231</f>
        <v>5.6265984654731392E-2</v>
      </c>
    </row>
    <row r="231" spans="1:32" x14ac:dyDescent="0.2">
      <c r="A231">
        <f ca="1">'ETF variations'!A231/'ETF price'!B232</f>
        <v>1.397469844071769E-3</v>
      </c>
      <c r="B231">
        <f ca="1">'ETF variations'!B231/'ETF price'!C232</f>
        <v>3.5350922572857913E-3</v>
      </c>
      <c r="C231">
        <f ca="1">'ETF variations'!C231/'ETF price'!D232</f>
        <v>-7.219774840920257E-3</v>
      </c>
      <c r="D231">
        <f ca="1">'ETF variations'!D231/'ETF price'!E232</f>
        <v>-7.1903510128344429E-3</v>
      </c>
      <c r="E231">
        <f ca="1">'ETF variations'!E231/'ETF price'!F232</f>
        <v>3.371030882992615E-2</v>
      </c>
      <c r="F231">
        <f ca="1">'ETF variations'!F231/'ETF price'!G232</f>
        <v>1.4465702286514172E-2</v>
      </c>
      <c r="G231">
        <f ca="1">'ETF variations'!G231/'ETF price'!H232</f>
        <v>7.9051383399209203E-3</v>
      </c>
      <c r="H231">
        <f ca="1">'ETF variations'!H231/'ETF price'!I232</f>
        <v>2.8772838440510517E-3</v>
      </c>
      <c r="I231">
        <f ca="1">'ETF variations'!I231/'ETF price'!J232</f>
        <v>3.4991153921761936E-3</v>
      </c>
      <c r="J231">
        <f ca="1">'ETF variations'!J231/'ETF price'!K232</f>
        <v>4.6143704680289711E-3</v>
      </c>
      <c r="K231">
        <f ca="1">'ETF variations'!K231/'ETF price'!L232</f>
        <v>-6.3381966036833428E-3</v>
      </c>
      <c r="L231">
        <f ca="1">'ETF variations'!L231/'ETF price'!M232</f>
        <v>3.7526268387871506E-3</v>
      </c>
      <c r="M231">
        <f ca="1">'ETF variations'!M231/'ETF price'!N232</f>
        <v>3.2026841543389964E-3</v>
      </c>
      <c r="N231">
        <f ca="1">'ETF variations'!N231/'ETF price'!O232</f>
        <v>7.4074074074072498E-4</v>
      </c>
      <c r="O231">
        <f ca="1">'ETF variations'!O231/'ETF price'!P232</f>
        <v>-3.291278113000673E-3</v>
      </c>
      <c r="P231">
        <f ca="1">'ETF variations'!P231/'ETF price'!Q232</f>
        <v>-5.5629554180051223E-3</v>
      </c>
      <c r="Q231">
        <f ca="1">'ETF variations'!Q231/'ETF price'!R232</f>
        <v>1.2084592145014418E-3</v>
      </c>
      <c r="R231">
        <f ca="1">'ETF variations'!R231/'ETF price'!S232</f>
        <v>-7.787873168922709E-3</v>
      </c>
      <c r="S231">
        <f ca="1">'ETF variations'!S231/'ETF price'!T232</f>
        <v>-5.1000392310709694E-3</v>
      </c>
      <c r="T231">
        <f ca="1">'ETF variations'!T231/'ETF price'!U232</f>
        <v>3.1325644311547608E-3</v>
      </c>
      <c r="U231">
        <f ca="1">'ETF variations'!U231/'ETF price'!V232</f>
        <v>-2.9530840676351557E-2</v>
      </c>
      <c r="V231">
        <f ca="1">'ETF variations'!V231/'ETF price'!W232</f>
        <v>-5.783530707794019E-3</v>
      </c>
      <c r="W231">
        <f ca="1">'ETF variations'!W231/'ETF price'!X232</f>
        <v>-7.2234762979684038E-3</v>
      </c>
      <c r="X231">
        <f ca="1">'ETF variations'!X231/'ETF price'!Y232</f>
        <v>-6.8659127625202623E-3</v>
      </c>
      <c r="Y231">
        <f ca="1">'ETF variations'!Y231/'ETF price'!Z232</f>
        <v>-5.9716347350085817E-3</v>
      </c>
      <c r="Z231">
        <f ca="1">'ETF variations'!Z231/'ETF price'!AA232</f>
        <v>-2.0387359836902498E-3</v>
      </c>
      <c r="AA231">
        <f ca="1">'ETF variations'!AA231/'ETF price'!AB232</f>
        <v>-6.9745815251085379E-3</v>
      </c>
      <c r="AB231">
        <f ca="1">'ETF variations'!AB231/'ETF price'!AC232</f>
        <v>-6.0562878517991343E-3</v>
      </c>
      <c r="AC231">
        <f ca="1">'ETF variations'!AC231/'ETF price'!AD232</f>
        <v>-1.6344725111441354E-2</v>
      </c>
      <c r="AD231">
        <f ca="1">'ETF variations'!AD231/'ETF price'!AE232</f>
        <v>-1.4953271028037398E-2</v>
      </c>
      <c r="AE231">
        <f ca="1">'ETF variations'!AE231/'ETF price'!AF232</f>
        <v>3.3519553072625725E-2</v>
      </c>
      <c r="AF231">
        <f ca="1">'ETF variations'!AF231/'ETF price'!AG232</f>
        <v>7.2639225181598665E-3</v>
      </c>
    </row>
    <row r="232" spans="1:32" x14ac:dyDescent="0.2">
      <c r="A232">
        <f ca="1">'ETF variations'!A232/'ETF price'!B233</f>
        <v>-5.8024237972823505E-3</v>
      </c>
      <c r="B232">
        <f ca="1">'ETF variations'!B232/'ETF price'!C233</f>
        <v>-5.6133115674314414E-3</v>
      </c>
      <c r="C232">
        <f ca="1">'ETF variations'!C232/'ETF price'!D233</f>
        <v>-1.8365586096388449E-2</v>
      </c>
      <c r="D232">
        <f ca="1">'ETF variations'!D232/'ETF price'!E233</f>
        <v>-1.1291955455182641E-2</v>
      </c>
      <c r="E232">
        <f ca="1">'ETF variations'!E232/'ETF price'!F233</f>
        <v>-1.3675573322112319E-2</v>
      </c>
      <c r="F232">
        <f ca="1">'ETF variations'!F232/'ETF price'!G233</f>
        <v>-9.199632014719216E-4</v>
      </c>
      <c r="G232">
        <f ca="1">'ETF variations'!G232/'ETF price'!H233</f>
        <v>2.7450980392156976E-3</v>
      </c>
      <c r="H232">
        <f ca="1">'ETF variations'!H232/'ETF price'!I233</f>
        <v>2.582125950365899E-3</v>
      </c>
      <c r="I232">
        <f ca="1">'ETF variations'!I232/'ETF price'!J233</f>
        <v>2.8208744710860323E-3</v>
      </c>
      <c r="J232">
        <f ca="1">'ETF variations'!J232/'ETF price'!K233</f>
        <v>9.2592592592593333E-3</v>
      </c>
      <c r="K232">
        <f ca="1">'ETF variations'!K232/'ETF price'!L233</f>
        <v>3.0930316524250729E-2</v>
      </c>
      <c r="L232">
        <f ca="1">'ETF variations'!L232/'ETF price'!M233</f>
        <v>1.734709137131743E-2</v>
      </c>
      <c r="M232">
        <f ca="1">'ETF variations'!M232/'ETF price'!N233</f>
        <v>3.6485253876557444E-3</v>
      </c>
      <c r="N232">
        <f ca="1">'ETF variations'!N232/'ETF price'!O233</f>
        <v>1.4063656550703147E-2</v>
      </c>
      <c r="O232">
        <f ca="1">'ETF variations'!O232/'ETF price'!P233</f>
        <v>-5.9438635112822463E-3</v>
      </c>
      <c r="P232">
        <f ca="1">'ETF variations'!P232/'ETF price'!Q233</f>
        <v>-5.0425464859754224E-3</v>
      </c>
      <c r="Q232">
        <f ca="1">'ETF variations'!Q232/'ETF price'!R233</f>
        <v>1.0983705491852878E-2</v>
      </c>
      <c r="R232">
        <f ca="1">'ETF variations'!R232/'ETF price'!S233</f>
        <v>2.3920762474303889E-2</v>
      </c>
      <c r="S232">
        <f ca="1">'ETF variations'!S232/'ETF price'!T233</f>
        <v>-1.0646687697160867E-2</v>
      </c>
      <c r="T232">
        <f ca="1">'ETF variations'!T232/'ETF price'!U233</f>
        <v>-8.6586231369765714E-3</v>
      </c>
      <c r="U232">
        <f ca="1">'ETF variations'!U232/'ETF price'!V233</f>
        <v>2.7730061349693313E-2</v>
      </c>
      <c r="V232">
        <f ca="1">'ETF variations'!V232/'ETF price'!W233</f>
        <v>-4.7091412742382745E-3</v>
      </c>
      <c r="W232">
        <f ca="1">'ETF variations'!W232/'ETF price'!X233</f>
        <v>-3.6380172805820054E-3</v>
      </c>
      <c r="X232">
        <f ca="1">'ETF variations'!X232/'ETF price'!Y233</f>
        <v>-4.2700284668564627E-3</v>
      </c>
      <c r="Y232">
        <f ca="1">'ETF variations'!Y232/'ETF price'!Z233</f>
        <v>-4.2553191489362128E-3</v>
      </c>
      <c r="Z232">
        <f ca="1">'ETF variations'!Z232/'ETF price'!AA233</f>
        <v>-4.8518896833502998E-3</v>
      </c>
      <c r="AA232">
        <f ca="1">'ETF variations'!AA232/'ETF price'!AB233</f>
        <v>-1.8729514593411947E-3</v>
      </c>
      <c r="AB232">
        <f ca="1">'ETF variations'!AB232/'ETF price'!AC233</f>
        <v>-2.7777777777777728E-2</v>
      </c>
      <c r="AC232">
        <f ca="1">'ETF variations'!AC232/'ETF price'!AD233</f>
        <v>1.057401812688826E-2</v>
      </c>
      <c r="AD232">
        <f ca="1">'ETF variations'!AD232/'ETF price'!AE233</f>
        <v>9.4876660341557326E-3</v>
      </c>
      <c r="AE232">
        <f ca="1">'ETF variations'!AE232/'ETF price'!AF233</f>
        <v>-1.6216216216216231E-2</v>
      </c>
      <c r="AF232">
        <f ca="1">'ETF variations'!AF232/'ETF price'!AG233</f>
        <v>1.9230769230769246E-2</v>
      </c>
    </row>
    <row r="233" spans="1:32" x14ac:dyDescent="0.2">
      <c r="A233">
        <f ca="1">'ETF variations'!A233/'ETF price'!B234</f>
        <v>-1.6622340425531915E-2</v>
      </c>
      <c r="B233">
        <f ca="1">'ETF variations'!B233/'ETF price'!C234</f>
        <v>-1.9037470118948064E-2</v>
      </c>
      <c r="C233">
        <f ca="1">'ETF variations'!C233/'ETF price'!D234</f>
        <v>-2.3103967855349114E-2</v>
      </c>
      <c r="D233">
        <f ca="1">'ETF variations'!D233/'ETF price'!E234</f>
        <v>-1.2602394454946396E-2</v>
      </c>
      <c r="E233">
        <f ca="1">'ETF variations'!E233/'ETF price'!F234</f>
        <v>-2.4744027303754343E-2</v>
      </c>
      <c r="F233">
        <f ca="1">'ETF variations'!F233/'ETF price'!G234</f>
        <v>-1.9797421731123376E-2</v>
      </c>
      <c r="G233">
        <f ca="1">'ETF variations'!G233/'ETF price'!H234</f>
        <v>-2.1900664841611212E-2</v>
      </c>
      <c r="H233">
        <f ca="1">'ETF variations'!H233/'ETF price'!I234</f>
        <v>-9.5864930605237039E-3</v>
      </c>
      <c r="I233">
        <f ca="1">'ETF variations'!I233/'ETF price'!J234</f>
        <v>-1.1603375527426156E-2</v>
      </c>
      <c r="J233">
        <f ca="1">'ETF variations'!J233/'ETF price'!K234</f>
        <v>-2.1238170916708789E-2</v>
      </c>
      <c r="K233">
        <f ca="1">'ETF variations'!K233/'ETF price'!L234</f>
        <v>-3.2453887462059322E-2</v>
      </c>
      <c r="L233">
        <f ca="1">'ETF variations'!L233/'ETF price'!M234</f>
        <v>-2.4254005585771066E-2</v>
      </c>
      <c r="M233">
        <f ca="1">'ETF variations'!M233/'ETF price'!N234</f>
        <v>-1.2269009391093643E-2</v>
      </c>
      <c r="N233">
        <f ca="1">'ETF variations'!N233/'ETF price'!O234</f>
        <v>-3.5766423357664119E-2</v>
      </c>
      <c r="O233">
        <f ca="1">'ETF variations'!O233/'ETF price'!P234</f>
        <v>-2.9675561953272138E-2</v>
      </c>
      <c r="P233">
        <f ca="1">'ETF variations'!P233/'ETF price'!Q234</f>
        <v>-3.2388343363953145E-2</v>
      </c>
      <c r="Q233">
        <f ca="1">'ETF variations'!Q233/'ETF price'!R234</f>
        <v>-1.9818529130850176E-2</v>
      </c>
      <c r="R233">
        <f ca="1">'ETF variations'!R233/'ETF price'!S234</f>
        <v>-4.2343493338200408E-2</v>
      </c>
      <c r="S233">
        <f ca="1">'ETF variations'!S233/'ETF price'!T234</f>
        <v>-2.590673575129528E-2</v>
      </c>
      <c r="T233">
        <f ca="1">'ETF variations'!T233/'ETF price'!U234</f>
        <v>-3.0355097365406706E-2</v>
      </c>
      <c r="U233">
        <f ca="1">'ETF variations'!U233/'ETF price'!V234</f>
        <v>-2.2206303724928357E-2</v>
      </c>
      <c r="V233">
        <f ca="1">'ETF variations'!V233/'ETF price'!W234</f>
        <v>-2.4770386863345411E-2</v>
      </c>
      <c r="W233">
        <f ca="1">'ETF variations'!W233/'ETF price'!X234</f>
        <v>-2.7727065267001447E-2</v>
      </c>
      <c r="X233">
        <f ca="1">'ETF variations'!X233/'ETF price'!Y234</f>
        <v>-4.6967531141515154E-2</v>
      </c>
      <c r="Y233">
        <f ca="1">'ETF variations'!Y233/'ETF price'!Z234</f>
        <v>-2.7777777777777877E-2</v>
      </c>
      <c r="Z233">
        <f ca="1">'ETF variations'!Z233/'ETF price'!AA234</f>
        <v>-1.693610469591985E-2</v>
      </c>
      <c r="AA233">
        <f ca="1">'ETF variations'!AA233/'ETF price'!AB234</f>
        <v>-5.0039093041438665E-2</v>
      </c>
      <c r="AB233">
        <f ca="1">'ETF variations'!AB233/'ETF price'!AC234</f>
        <v>-1.4562211981566804E-2</v>
      </c>
      <c r="AC233">
        <f ca="1">'ETF variations'!AC233/'ETF price'!AD234</f>
        <v>-7.4738415545591488E-3</v>
      </c>
      <c r="AD233">
        <f ca="1">'ETF variations'!AD233/'ETF price'!AE234</f>
        <v>-1.0338345864661766E-2</v>
      </c>
      <c r="AE233">
        <f ca="1">'ETF variations'!AE233/'ETF price'!AF234</f>
        <v>3.8461538461538373E-2</v>
      </c>
      <c r="AF233">
        <f ca="1">'ETF variations'!AF233/'ETF price'!AG234</f>
        <v>-5.660377358490571E-2</v>
      </c>
    </row>
    <row r="234" spans="1:32" x14ac:dyDescent="0.2">
      <c r="A234">
        <f ca="1">'ETF variations'!A234/'ETF price'!B235</f>
        <v>-2.1410863195853221E-2</v>
      </c>
      <c r="B234">
        <f ca="1">'ETF variations'!B234/'ETF price'!C235</f>
        <v>-2.1726365237815719E-2</v>
      </c>
      <c r="C234">
        <f ca="1">'ETF variations'!C234/'ETF price'!D235</f>
        <v>-6.9408740359896155E-3</v>
      </c>
      <c r="D234">
        <f ca="1">'ETF variations'!D234/'ETF price'!E235</f>
        <v>-2.105934907466497E-2</v>
      </c>
      <c r="E234">
        <f ca="1">'ETF variations'!E234/'ETF price'!F235</f>
        <v>-1.071741032370958E-2</v>
      </c>
      <c r="F234">
        <f ca="1">'ETF variations'!F234/'ETF price'!G235</f>
        <v>-1.9727571629873094E-2</v>
      </c>
      <c r="G234">
        <f ca="1">'ETF variations'!G234/'ETF price'!H235</f>
        <v>-2.199120351859259E-2</v>
      </c>
      <c r="H234">
        <f ca="1">'ETF variations'!H234/'ETF price'!I235</f>
        <v>-7.584513146489536E-3</v>
      </c>
      <c r="I234">
        <f ca="1">'ETF variations'!I234/'ETF price'!J235</f>
        <v>-9.6841772402071896E-3</v>
      </c>
      <c r="J234">
        <f ca="1">'ETF variations'!J234/'ETF price'!K235</f>
        <v>-1.6532585430659157E-2</v>
      </c>
      <c r="K234">
        <f ca="1">'ETF variations'!K234/'ETF price'!L235</f>
        <v>-2.7630308880308787E-2</v>
      </c>
      <c r="L234">
        <f ca="1">'ETF variations'!L234/'ETF price'!M235</f>
        <v>-1.5366074118710396E-2</v>
      </c>
      <c r="M234">
        <f ca="1">'ETF variations'!M234/'ETF price'!N235</f>
        <v>-9.9677963502528989E-3</v>
      </c>
      <c r="N234">
        <f ca="1">'ETF variations'!N234/'ETF price'!O235</f>
        <v>-2.1196063588190848E-2</v>
      </c>
      <c r="O234">
        <f ca="1">'ETF variations'!O234/'ETF price'!P235</f>
        <v>-2.6360835330366341E-2</v>
      </c>
      <c r="P234">
        <f ca="1">'ETF variations'!P234/'ETF price'!Q235</f>
        <v>-2.6843440543416003E-2</v>
      </c>
      <c r="Q234">
        <f ca="1">'ETF variations'!Q234/'ETF price'!R235</f>
        <v>-8.8915956151034078E-3</v>
      </c>
      <c r="R234">
        <f ca="1">'ETF variations'!R234/'ETF price'!S235</f>
        <v>2.4776062511912057E-3</v>
      </c>
      <c r="S234">
        <f ca="1">'ETF variations'!S234/'ETF price'!T235</f>
        <v>-1.5957446808510661E-2</v>
      </c>
      <c r="T234">
        <f ca="1">'ETF variations'!T234/'ETF price'!U235</f>
        <v>-3.6769049025398626E-2</v>
      </c>
      <c r="U234">
        <f ca="1">'ETF variations'!U234/'ETF price'!V235</f>
        <v>-3.4310134310134334E-2</v>
      </c>
      <c r="V234">
        <f ca="1">'ETF variations'!V234/'ETF price'!W235</f>
        <v>-8.8470319634703851E-3</v>
      </c>
      <c r="W234">
        <f ca="1">'ETF variations'!W234/'ETF price'!X235</f>
        <v>-8.4497124750615993E-3</v>
      </c>
      <c r="X234">
        <f ca="1">'ETF variations'!X234/'ETF price'!Y235</f>
        <v>-1.0284979644311205E-2</v>
      </c>
      <c r="Y234">
        <f ca="1">'ETF variations'!Y234/'ETF price'!Z235</f>
        <v>-7.8862314156431731E-3</v>
      </c>
      <c r="Z234">
        <f ca="1">'ETF variations'!Z234/'ETF price'!AA235</f>
        <v>-7.5698251109370691E-3</v>
      </c>
      <c r="AA234">
        <f ca="1">'ETF variations'!AA234/'ETF price'!AB235</f>
        <v>-9.7119341563786567E-3</v>
      </c>
      <c r="AB234">
        <f ca="1">'ETF variations'!AB234/'ETF price'!AC235</f>
        <v>-4.3022820800599319E-3</v>
      </c>
      <c r="AC234">
        <f ca="1">'ETF variations'!AC234/'ETF price'!AD235</f>
        <v>4.5180722891566645E-3</v>
      </c>
      <c r="AD234">
        <f ca="1">'ETF variations'!AD234/'ETF price'!AE235</f>
        <v>7.5973409306742713E-3</v>
      </c>
      <c r="AE234">
        <f ca="1">'ETF variations'!AE234/'ETF price'!AF235</f>
        <v>-4.2328042328042249E-2</v>
      </c>
      <c r="AF234">
        <f ca="1">'ETF variations'!AF234/'ETF price'!AG235</f>
        <v>-4.7499999999999987E-2</v>
      </c>
    </row>
    <row r="235" spans="1:32" x14ac:dyDescent="0.2">
      <c r="A235">
        <f ca="1">'ETF variations'!A235/'ETF price'!B236</f>
        <v>-5.0667894979271964E-3</v>
      </c>
      <c r="B235">
        <f ca="1">'ETF variations'!B235/'ETF price'!C236</f>
        <v>-4.561824729891902E-3</v>
      </c>
      <c r="C235">
        <f ca="1">'ETF variations'!C235/'ETF price'!D236</f>
        <v>1.6308568470100839E-2</v>
      </c>
      <c r="D235">
        <f ca="1">'ETF variations'!D235/'ETF price'!E236</f>
        <v>-2.1186440677966518E-3</v>
      </c>
      <c r="E235">
        <f ca="1">'ETF variations'!E235/'ETF price'!F236</f>
        <v>-6.6327658633649608E-3</v>
      </c>
      <c r="F235">
        <f ca="1">'ETF variations'!F235/'ETF price'!G236</f>
        <v>-1.4374700527072896E-3</v>
      </c>
      <c r="G235">
        <f ca="1">'ETF variations'!G235/'ETF price'!H236</f>
        <v>-4.0883074407201808E-4</v>
      </c>
      <c r="H235">
        <f ca="1">'ETF variations'!H235/'ETF price'!I236</f>
        <v>8.2247616274839803E-3</v>
      </c>
      <c r="I235">
        <f ca="1">'ETF variations'!I235/'ETF price'!J236</f>
        <v>7.4239642372475999E-3</v>
      </c>
      <c r="J235">
        <f ca="1">'ETF variations'!J235/'ETF price'!K236</f>
        <v>6.604127579737302E-3</v>
      </c>
      <c r="K235">
        <f ca="1">'ETF variations'!K235/'ETF price'!L236</f>
        <v>6.2042437026926418E-3</v>
      </c>
      <c r="L235">
        <f ca="1">'ETF variations'!L235/'ETF price'!M236</f>
        <v>5.5079559363525009E-3</v>
      </c>
      <c r="M235">
        <f ca="1">'ETF variations'!M235/'ETF price'!N236</f>
        <v>8.3643122676578686E-3</v>
      </c>
      <c r="N235">
        <f ca="1">'ETF variations'!N235/'ETF price'!O236</f>
        <v>5.4137664346481269E-3</v>
      </c>
      <c r="O235">
        <f ca="1">'ETF variations'!O235/'ETF price'!P236</f>
        <v>-2.3441162681667681E-3</v>
      </c>
      <c r="P235">
        <f ca="1">'ETF variations'!P235/'ETF price'!Q236</f>
        <v>-2.7752081406105314E-3</v>
      </c>
      <c r="Q235">
        <f ca="1">'ETF variations'!Q235/'ETF price'!R236</f>
        <v>-2.2121174880177807E-3</v>
      </c>
      <c r="R235">
        <f ca="1">'ETF variations'!R235/'ETF price'!S236</f>
        <v>-2.8517110266159424E-3</v>
      </c>
      <c r="S235">
        <f ca="1">'ETF variations'!S235/'ETF price'!T236</f>
        <v>-4.9896049896050306E-3</v>
      </c>
      <c r="T235">
        <f ca="1">'ETF variations'!T235/'ETF price'!U236</f>
        <v>-2.422198374980845E-2</v>
      </c>
      <c r="U235">
        <f ca="1">'ETF variations'!U235/'ETF price'!V236</f>
        <v>-7.9656088001012725E-3</v>
      </c>
      <c r="V235">
        <f ca="1">'ETF variations'!V235/'ETF price'!W236</f>
        <v>-4.0310970342641366E-3</v>
      </c>
      <c r="W235">
        <f ca="1">'ETF variations'!W235/'ETF price'!X236</f>
        <v>-4.1425020712509688E-3</v>
      </c>
      <c r="X235">
        <f ca="1">'ETF variations'!X235/'ETF price'!Y236</f>
        <v>0</v>
      </c>
      <c r="Y235">
        <f ca="1">'ETF variations'!Y235/'ETF price'!Z236</f>
        <v>-5.6033359395360003E-3</v>
      </c>
      <c r="Z235">
        <f ca="1">'ETF variations'!Z235/'ETF price'!AA236</f>
        <v>2.1041557075223115E-3</v>
      </c>
      <c r="AA235">
        <f ca="1">'ETF variations'!AA235/'ETF price'!AB236</f>
        <v>-6.6489361702126248E-4</v>
      </c>
      <c r="AB235">
        <f ca="1">'ETF variations'!AB235/'ETF price'!AC236</f>
        <v>4.1330077024235579E-3</v>
      </c>
      <c r="AC235">
        <f ca="1">'ETF variations'!AC235/'ETF price'!AD236</f>
        <v>-1.199400299850076E-2</v>
      </c>
      <c r="AD235">
        <f ca="1">'ETF variations'!AD235/'ETF price'!AE236</f>
        <v>-1.3195098963242112E-2</v>
      </c>
      <c r="AE235">
        <f ca="1">'ETF variations'!AE235/'ETF price'!AF236</f>
        <v>-2.7624309392265217E-2</v>
      </c>
      <c r="AF235">
        <f ca="1">'ETF variations'!AF235/'ETF price'!AG236</f>
        <v>-2.4278215223097178E-2</v>
      </c>
    </row>
    <row r="236" spans="1:32" x14ac:dyDescent="0.2">
      <c r="A236">
        <f ca="1">'ETF variations'!A236/'ETF price'!B237</f>
        <v>1.635802469135806E-2</v>
      </c>
      <c r="B236">
        <f ca="1">'ETF variations'!B236/'ETF price'!C237</f>
        <v>1.7426435118186121E-2</v>
      </c>
      <c r="C236">
        <f ca="1">'ETF variations'!C236/'ETF price'!D237</f>
        <v>-5.34895568008153E-3</v>
      </c>
      <c r="D236">
        <f ca="1">'ETF variations'!D236/'ETF price'!E237</f>
        <v>2.8907398334149979E-2</v>
      </c>
      <c r="E236">
        <f ca="1">'ETF variations'!E236/'ETF price'!F237</f>
        <v>1.7137769864233321E-2</v>
      </c>
      <c r="F236">
        <f ca="1">'ETF variations'!F236/'ETF price'!G237</f>
        <v>1.7754318618042275E-2</v>
      </c>
      <c r="G236">
        <f ca="1">'ETF variations'!G236/'ETF price'!H237</f>
        <v>1.4723926380368076E-2</v>
      </c>
      <c r="H236">
        <f ca="1">'ETF variations'!H236/'ETF price'!I237</f>
        <v>9.0239676580999122E-3</v>
      </c>
      <c r="I236">
        <f ca="1">'ETF variations'!I236/'ETF price'!J237</f>
        <v>9.944532488114069E-3</v>
      </c>
      <c r="J236">
        <f ca="1">'ETF variations'!J236/'ETF price'!K237</f>
        <v>1.3121598449265571E-2</v>
      </c>
      <c r="K236">
        <f ca="1">'ETF variations'!K236/'ETF price'!L237</f>
        <v>6.0426686397828935E-3</v>
      </c>
      <c r="L236">
        <f ca="1">'ETF variations'!L236/'ETF price'!M237</f>
        <v>2.2824102251978954E-3</v>
      </c>
      <c r="M236">
        <f ca="1">'ETF variations'!M236/'ETF price'!N237</f>
        <v>9.0629800307220187E-3</v>
      </c>
      <c r="N236">
        <f ca="1">'ETF variations'!N236/'ETF price'!O237</f>
        <v>1.6923076923076971E-2</v>
      </c>
      <c r="O236">
        <f ca="1">'ETF variations'!O236/'ETF price'!P237</f>
        <v>-4.4642857142858277E-3</v>
      </c>
      <c r="P236">
        <f ca="1">'ETF variations'!P236/'ETF price'!Q237</f>
        <v>-5.9031877213695638E-3</v>
      </c>
      <c r="Q236">
        <f ca="1">'ETF variations'!Q236/'ETF price'!R237</f>
        <v>7.3900726690480176E-3</v>
      </c>
      <c r="R236">
        <f ca="1">'ETF variations'!R236/'ETF price'!S237</f>
        <v>3.050524308865521E-3</v>
      </c>
      <c r="S236">
        <f ca="1">'ETF variations'!S236/'ETF price'!T237</f>
        <v>-1.6715419974926513E-3</v>
      </c>
      <c r="T236">
        <f ca="1">'ETF variations'!T236/'ETF price'!U237</f>
        <v>-1.4768263943440656E-2</v>
      </c>
      <c r="U236">
        <f ca="1">'ETF variations'!U236/'ETF price'!V237</f>
        <v>8.0295692072394811E-3</v>
      </c>
      <c r="V236">
        <f ca="1">'ETF variations'!V236/'ETF price'!W237</f>
        <v>8.6730268863816214E-4</v>
      </c>
      <c r="W236">
        <f ca="1">'ETF variations'!W236/'ETF price'!X237</f>
        <v>1.3073449013548779E-3</v>
      </c>
      <c r="X236">
        <f ca="1">'ETF variations'!X236/'ETF price'!Y237</f>
        <v>2.3814678501840104E-3</v>
      </c>
      <c r="Y236">
        <f ca="1">'ETF variations'!Y236/'ETF price'!Z237</f>
        <v>3.1450661774340832E-3</v>
      </c>
      <c r="Z236">
        <f ca="1">'ETF variations'!Z236/'ETF price'!AA237</f>
        <v>7.3490813648294257E-3</v>
      </c>
      <c r="AA236">
        <f ca="1">'ETF variations'!AA236/'ETF price'!AB237</f>
        <v>2.6613439787093098E-3</v>
      </c>
      <c r="AB236">
        <f ca="1">'ETF variations'!AB236/'ETF price'!AC237</f>
        <v>-3.5547240411600528E-3</v>
      </c>
      <c r="AC236">
        <f ca="1">'ETF variations'!AC236/'ETF price'!AD237</f>
        <v>2.7314112291350487E-2</v>
      </c>
      <c r="AD236">
        <f ca="1">'ETF variations'!AD236/'ETF price'!AE237</f>
        <v>2.9608404966571033E-2</v>
      </c>
      <c r="AE236">
        <f ca="1">'ETF variations'!AE236/'ETF price'!AF237</f>
        <v>-2.8409090909090936E-2</v>
      </c>
      <c r="AF236">
        <f ca="1">'ETF variations'!AF236/'ETF price'!AG237</f>
        <v>2.48823133826497E-2</v>
      </c>
    </row>
    <row r="237" spans="1:32" x14ac:dyDescent="0.2">
      <c r="A237">
        <f ca="1">'ETF variations'!A237/'ETF price'!B238</f>
        <v>-6.1494078348011101E-3</v>
      </c>
      <c r="B237">
        <f ca="1">'ETF variations'!B237/'ETF price'!C238</f>
        <v>-6.0747940496650114E-3</v>
      </c>
      <c r="C237">
        <f ca="1">'ETF variations'!C237/'ETF price'!D238</f>
        <v>1.907810499359807E-2</v>
      </c>
      <c r="D237">
        <f ca="1">'ETF variations'!D237/'ETF price'!E238</f>
        <v>-9.2857142857142999E-3</v>
      </c>
      <c r="E237">
        <f ca="1">'ETF variations'!E237/'ETF price'!F238</f>
        <v>-7.0021881838074453E-3</v>
      </c>
      <c r="F237">
        <f ca="1">'ETF variations'!F237/'ETF price'!G238</f>
        <v>-2.8288543140029361E-3</v>
      </c>
      <c r="G237">
        <f ca="1">'ETF variations'!G237/'ETF price'!H238</f>
        <v>-8.464328899637134E-3</v>
      </c>
      <c r="H237">
        <f ca="1">'ETF variations'!H237/'ETF price'!I238</f>
        <v>-1.2806753952922804E-2</v>
      </c>
      <c r="I237">
        <f ca="1">'ETF variations'!I237/'ETF price'!J238</f>
        <v>-1.3965713389039278E-2</v>
      </c>
      <c r="J237">
        <f ca="1">'ETF variations'!J237/'ETF price'!K238</f>
        <v>-2.1193612480682873E-2</v>
      </c>
      <c r="K237">
        <f ca="1">'ETF variations'!K237/'ETF price'!L238</f>
        <v>-2.512870801667072E-2</v>
      </c>
      <c r="L237">
        <f ca="1">'ETF variations'!L237/'ETF price'!M238</f>
        <v>-1.8521329892211915E-2</v>
      </c>
      <c r="M237">
        <f ca="1">'ETF variations'!M237/'ETF price'!N238</f>
        <v>-1.2939564621707936E-2</v>
      </c>
      <c r="N237">
        <f ca="1">'ETF variations'!N237/'ETF price'!O238</f>
        <v>-2.2692889561270854E-2</v>
      </c>
      <c r="O237">
        <f ca="1">'ETF variations'!O237/'ETF price'!P238</f>
        <v>-2.4309653056407695E-2</v>
      </c>
      <c r="P237">
        <f ca="1">'ETF variations'!P237/'ETF price'!Q238</f>
        <v>-2.2141160502205628E-2</v>
      </c>
      <c r="Q237">
        <f ca="1">'ETF variations'!Q237/'ETF price'!R238</f>
        <v>-9.9034111749602919E-3</v>
      </c>
      <c r="R237">
        <f ca="1">'ETF variations'!R237/'ETF price'!S238</f>
        <v>-2.5090287017677255E-2</v>
      </c>
      <c r="S237">
        <f ca="1">'ETF variations'!S237/'ETF price'!T238</f>
        <v>1.2557555462537101E-3</v>
      </c>
      <c r="T237">
        <f ca="1">'ETF variations'!T237/'ETF price'!U238</f>
        <v>2.232498804018507E-3</v>
      </c>
      <c r="U237">
        <f ca="1">'ETF variations'!U237/'ETF price'!V238</f>
        <v>-5.9425970413452883E-3</v>
      </c>
      <c r="V237">
        <f ca="1">'ETF variations'!V237/'ETF price'!W238</f>
        <v>-2.5996533795492869E-3</v>
      </c>
      <c r="W237">
        <f ca="1">'ETF variations'!W237/'ETF price'!X238</f>
        <v>-3.5608308605340911E-3</v>
      </c>
      <c r="X237">
        <f ca="1">'ETF variations'!X237/'ETF price'!Y238</f>
        <v>-4.3196544276456967E-3</v>
      </c>
      <c r="Y237">
        <f ca="1">'ETF variations'!Y237/'ETF price'!Z238</f>
        <v>-4.7028086218157995E-3</v>
      </c>
      <c r="Z237">
        <f ca="1">'ETF variations'!Z237/'ETF price'!AA238</f>
        <v>-2.0844189682127515E-3</v>
      </c>
      <c r="AA237">
        <f ca="1">'ETF variations'!AA237/'ETF price'!AB238</f>
        <v>-3.9814200398142329E-3</v>
      </c>
      <c r="AB237">
        <f ca="1">'ETF variations'!AB237/'ETF price'!AC238</f>
        <v>1.6147202403304535E-2</v>
      </c>
      <c r="AC237">
        <f ca="1">'ETF variations'!AC237/'ETF price'!AD238</f>
        <v>-7.3855243722304028E-3</v>
      </c>
      <c r="AD237">
        <f ca="1">'ETF variations'!AD237/'ETF price'!AE238</f>
        <v>-1.1131725417439632E-2</v>
      </c>
      <c r="AE237">
        <f ca="1">'ETF variations'!AE237/'ETF price'!AF238</f>
        <v>2.3391812865497099E-2</v>
      </c>
      <c r="AF237">
        <f ca="1">'ETF variations'!AF237/'ETF price'!AG238</f>
        <v>-1.0498687664042003E-2</v>
      </c>
    </row>
    <row r="238" spans="1:32" x14ac:dyDescent="0.2">
      <c r="A238">
        <f ca="1">'ETF variations'!A238/'ETF price'!B239</f>
        <v>2.1847070506454919E-2</v>
      </c>
      <c r="B238">
        <f ca="1">'ETF variations'!B238/'ETF price'!C239</f>
        <v>2.1943293282847727E-2</v>
      </c>
      <c r="C238">
        <f ca="1">'ETF variations'!C238/'ETF price'!D239</f>
        <v>1.507727101394651E-2</v>
      </c>
      <c r="D238">
        <f ca="1">'ETF variations'!D238/'ETF price'!E239</f>
        <v>1.7704077545461893E-2</v>
      </c>
      <c r="E238">
        <f ca="1">'ETF variations'!E238/'ETF price'!F239</f>
        <v>1.8730718378140023E-2</v>
      </c>
      <c r="F238">
        <f ca="1">'ETF variations'!F238/'ETF price'!G239</f>
        <v>1.6075650118203305E-2</v>
      </c>
      <c r="G238">
        <f ca="1">'ETF variations'!G238/'ETF price'!H239</f>
        <v>1.8699186991869808E-2</v>
      </c>
      <c r="H238">
        <f ca="1">'ETF variations'!H238/'ETF price'!I239</f>
        <v>1.0653717930134794E-2</v>
      </c>
      <c r="I238">
        <f ca="1">'ETF variations'!I238/'ETF price'!J239</f>
        <v>1.1418340958822378E-2</v>
      </c>
      <c r="J238">
        <f ca="1">'ETF variations'!J238/'ETF price'!K239</f>
        <v>7.8941432974965146E-3</v>
      </c>
      <c r="K238">
        <f ca="1">'ETF variations'!K238/'ETF price'!L239</f>
        <v>2.514774299006664E-2</v>
      </c>
      <c r="L238">
        <f ca="1">'ETF variations'!L238/'ETF price'!M239</f>
        <v>1.7324052590873787E-2</v>
      </c>
      <c r="M238">
        <f ca="1">'ETF variations'!M238/'ETF price'!N239</f>
        <v>1.1258482418260175E-2</v>
      </c>
      <c r="N238">
        <f ca="1">'ETF variations'!N238/'ETF price'!O239</f>
        <v>2.0123839009287908E-2</v>
      </c>
      <c r="O238">
        <f ca="1">'ETF variations'!O238/'ETF price'!P239</f>
        <v>2.6245766811804395E-2</v>
      </c>
      <c r="P238">
        <f ca="1">'ETF variations'!P238/'ETF price'!Q239</f>
        <v>2.5852346664353293E-2</v>
      </c>
      <c r="Q238">
        <f ca="1">'ETF variations'!Q238/'ETF price'!R239</f>
        <v>8.6441096567053937E-3</v>
      </c>
      <c r="R238">
        <f ca="1">'ETF variations'!R238/'ETF price'!S239</f>
        <v>1.2088126340417185E-2</v>
      </c>
      <c r="S238">
        <f ca="1">'ETF variations'!S238/'ETF price'!T239</f>
        <v>1.0869565217391221E-2</v>
      </c>
      <c r="T238">
        <f ca="1">'ETF variations'!T238/'ETF price'!U239</f>
        <v>2.4821002386634768E-2</v>
      </c>
      <c r="U238">
        <f ca="1">'ETF variations'!U238/'ETF price'!V239</f>
        <v>1.0684304248282742E-2</v>
      </c>
      <c r="V238">
        <f ca="1">'ETF variations'!V238/'ETF price'!W239</f>
        <v>1.3321749203591105E-2</v>
      </c>
      <c r="W238">
        <f ca="1">'ETF variations'!W238/'ETF price'!X239</f>
        <v>1.2626563430613486E-2</v>
      </c>
      <c r="X238">
        <f ca="1">'ETF variations'!X238/'ETF price'!Y239</f>
        <v>9.7613882863339628E-3</v>
      </c>
      <c r="Y238">
        <f ca="1">'ETF variations'!Y238/'ETF price'!Z239</f>
        <v>1.2993831211445192E-2</v>
      </c>
      <c r="Z238">
        <f ca="1">'ETF variations'!Z238/'ETF price'!AA239</f>
        <v>8.3550913838120189E-3</v>
      </c>
      <c r="AA238">
        <f ca="1">'ETF variations'!AA238/'ETF price'!AB239</f>
        <v>9.1605596269154609E-3</v>
      </c>
      <c r="AB238">
        <f ca="1">'ETF variations'!AB238/'ETF price'!AC239</f>
        <v>-3.5107169253510298E-3</v>
      </c>
      <c r="AC238">
        <f ca="1">'ETF variations'!AC238/'ETF price'!AD239</f>
        <v>4.4642857142857513E-3</v>
      </c>
      <c r="AD238">
        <f ca="1">'ETF variations'!AD238/'ETF price'!AE239</f>
        <v>5.6285178236398217E-3</v>
      </c>
      <c r="AE238">
        <f ca="1">'ETF variations'!AE238/'ETF price'!AF239</f>
        <v>-3.4285714285714315E-2</v>
      </c>
      <c r="AF238">
        <f ca="1">'ETF variations'!AF238/'ETF price'!AG239</f>
        <v>-2.6525198938992657E-3</v>
      </c>
    </row>
    <row r="239" spans="1:32" x14ac:dyDescent="0.2">
      <c r="A239">
        <f ca="1">'ETF variations'!A239/'ETF price'!B240</f>
        <v>1.1811317933766793E-2</v>
      </c>
      <c r="B239">
        <f ca="1">'ETF variations'!B239/'ETF price'!C240</f>
        <v>1.1932199434022907E-2</v>
      </c>
      <c r="C239">
        <f ca="1">'ETF variations'!C239/'ETF price'!D240</f>
        <v>-7.4266617155589612E-3</v>
      </c>
      <c r="D239">
        <f ca="1">'ETF variations'!D239/'ETF price'!E240</f>
        <v>1.4326196473551695E-2</v>
      </c>
      <c r="E239">
        <f ca="1">'ETF variations'!E239/'ETF price'!F240</f>
        <v>6.9219121782392451E-3</v>
      </c>
      <c r="F239">
        <f ca="1">'ETF variations'!F239/'ETF price'!G240</f>
        <v>2.1405304792926984E-2</v>
      </c>
      <c r="G239">
        <f ca="1">'ETF variations'!G239/'ETF price'!H240</f>
        <v>1.1971268954509206E-2</v>
      </c>
      <c r="H239">
        <f ca="1">'ETF variations'!H239/'ETF price'!I240</f>
        <v>3.0835424883471269E-3</v>
      </c>
      <c r="I239">
        <f ca="1">'ETF variations'!I239/'ETF price'!J240</f>
        <v>4.602312957281046E-3</v>
      </c>
      <c r="J239">
        <f ca="1">'ETF variations'!J239/'ETF price'!K240</f>
        <v>1.4471132328807979E-2</v>
      </c>
      <c r="K239">
        <f ca="1">'ETF variations'!K239/'ETF price'!L240</f>
        <v>1.5822396663804635E-2</v>
      </c>
      <c r="L239">
        <f ca="1">'ETF variations'!L239/'ETF price'!M240</f>
        <v>1.2163600425725972E-2</v>
      </c>
      <c r="M239">
        <f ca="1">'ETF variations'!M239/'ETF price'!N240</f>
        <v>4.8802806161355409E-3</v>
      </c>
      <c r="N239">
        <f ca="1">'ETF variations'!N239/'ETF price'!O240</f>
        <v>1.972685887708648E-2</v>
      </c>
      <c r="O239">
        <f ca="1">'ETF variations'!O239/'ETF price'!P240</f>
        <v>1.8974661166764873E-2</v>
      </c>
      <c r="P239">
        <f ca="1">'ETF variations'!P239/'ETF price'!Q240</f>
        <v>1.8858350951374239E-2</v>
      </c>
      <c r="Q239">
        <f ca="1">'ETF variations'!Q239/'ETF price'!R240</f>
        <v>1.383447600391767E-2</v>
      </c>
      <c r="R239">
        <f ca="1">'ETF variations'!R239/'ETF price'!S240</f>
        <v>8.0909266037372703E-3</v>
      </c>
      <c r="S239">
        <f ca="1">'ETF variations'!S239/'ETF price'!T240</f>
        <v>1.6542597187758419E-2</v>
      </c>
      <c r="T239">
        <f ca="1">'ETF variations'!T239/'ETF price'!U240</f>
        <v>2.2512032293122233E-2</v>
      </c>
      <c r="U239">
        <f ca="1">'ETF variations'!U239/'ETF price'!V240</f>
        <v>2.1268562798892676E-2</v>
      </c>
      <c r="V239">
        <f ca="1">'ETF variations'!V239/'ETF price'!W240</f>
        <v>2.5721634752785454E-3</v>
      </c>
      <c r="W239">
        <f ca="1">'ETF variations'!W239/'ETF price'!X240</f>
        <v>2.1173979531818915E-3</v>
      </c>
      <c r="X239">
        <f ca="1">'ETF variations'!X239/'ETF price'!Y240</f>
        <v>-1.160042964554241E-2</v>
      </c>
      <c r="Y239">
        <f ca="1">'ETF variations'!Y239/'ETF price'!Z240</f>
        <v>-2.3322104172066186E-3</v>
      </c>
      <c r="Z239">
        <f ca="1">'ETF variations'!Z239/'ETF price'!AA240</f>
        <v>2.2009321595028521E-2</v>
      </c>
      <c r="AA239">
        <f ca="1">'ETF variations'!AA239/'ETF price'!AB240</f>
        <v>-1.6339329922429476E-2</v>
      </c>
      <c r="AB239">
        <f ca="1">'ETF variations'!AB239/'ETF price'!AC240</f>
        <v>-1.1310958650101973E-2</v>
      </c>
      <c r="AC239">
        <f ca="1">'ETF variations'!AC239/'ETF price'!AD240</f>
        <v>3.7037037037037035E-2</v>
      </c>
      <c r="AD239">
        <f ca="1">'ETF variations'!AD239/'ETF price'!AE240</f>
        <v>3.5447761194029759E-2</v>
      </c>
      <c r="AE239">
        <f ca="1">'ETF variations'!AE239/'ETF price'!AF240</f>
        <v>1.7751479289940846E-2</v>
      </c>
      <c r="AF239">
        <f ca="1">'ETF variations'!AF239/'ETF price'!AG240</f>
        <v>3.3244680851064303E-3</v>
      </c>
    </row>
    <row r="240" spans="1:32" x14ac:dyDescent="0.2">
      <c r="A240">
        <f ca="1">'ETF variations'!A240/'ETF price'!B241</f>
        <v>-8.4226080531953195E-3</v>
      </c>
      <c r="B240">
        <f ca="1">'ETF variations'!B240/'ETF price'!C241</f>
        <v>-7.466989563512748E-3</v>
      </c>
      <c r="C240">
        <f ca="1">'ETF variations'!C240/'ETF price'!D241</f>
        <v>-3.8907594463150078E-2</v>
      </c>
      <c r="D240">
        <f ca="1">'ETF variations'!D240/'ETF price'!E241</f>
        <v>-1.4977494955765999E-2</v>
      </c>
      <c r="E240">
        <f ca="1">'ETF variations'!E240/'ETF price'!F241</f>
        <v>-1.5037593984962468E-3</v>
      </c>
      <c r="F240">
        <f ca="1">'ETF variations'!F240/'ETF price'!G241</f>
        <v>-6.8337129840546048E-3</v>
      </c>
      <c r="G240">
        <f ca="1">'ETF variations'!G240/'ETF price'!H241</f>
        <v>-6.309148264984233E-3</v>
      </c>
      <c r="H240">
        <f ca="1">'ETF variations'!H240/'ETF price'!I241</f>
        <v>1.5727766657134606E-3</v>
      </c>
      <c r="I240">
        <f ca="1">'ETF variations'!I240/'ETF price'!J241</f>
        <v>1.6445436391402011E-3</v>
      </c>
      <c r="J240">
        <f ca="1">'ETF variations'!J240/'ETF price'!K241</f>
        <v>5.3676470588234545E-3</v>
      </c>
      <c r="K240">
        <f ca="1">'ETF variations'!K240/'ETF price'!L241</f>
        <v>3.2600821057716767E-3</v>
      </c>
      <c r="L240">
        <f ca="1">'ETF variations'!L240/'ETF price'!M241</f>
        <v>1.0515247108308157E-3</v>
      </c>
      <c r="M240">
        <f ca="1">'ETF variations'!M240/'ETF price'!N241</f>
        <v>7.5884049172859555E-4</v>
      </c>
      <c r="N240">
        <f ca="1">'ETF variations'!N240/'ETF price'!O241</f>
        <v>7.4404761904760318E-4</v>
      </c>
      <c r="O240">
        <f ca="1">'ETF variations'!O240/'ETF price'!P241</f>
        <v>-6.1300023132082691E-3</v>
      </c>
      <c r="P240">
        <f ca="1">'ETF variations'!P240/'ETF price'!Q241</f>
        <v>-5.8100929614874073E-3</v>
      </c>
      <c r="Q240">
        <f ca="1">'ETF variations'!Q240/'ETF price'!R241</f>
        <v>-1.0747494263977787E-2</v>
      </c>
      <c r="R240">
        <f ca="1">'ETF variations'!R240/'ETF price'!S241</f>
        <v>-8.5992738390979501E-3</v>
      </c>
      <c r="S240">
        <f ca="1">'ETF variations'!S240/'ETF price'!T241</f>
        <v>7.7298616761595322E-3</v>
      </c>
      <c r="T240">
        <f ca="1">'ETF variations'!T240/'ETF price'!U241</f>
        <v>2.2775584573337383E-2</v>
      </c>
      <c r="U240">
        <f ca="1">'ETF variations'!U240/'ETF price'!V241</f>
        <v>1.9470117067159558E-2</v>
      </c>
      <c r="V240">
        <f ca="1">'ETF variations'!V240/'ETF price'!W241</f>
        <v>-1.2542759407069492E-2</v>
      </c>
      <c r="W240">
        <f ca="1">'ETF variations'!W240/'ETF price'!X241</f>
        <v>-1.3147082990961434E-2</v>
      </c>
      <c r="X240">
        <f ca="1">'ETF variations'!X240/'ETF price'!Y241</f>
        <v>-1.6518148228645904E-2</v>
      </c>
      <c r="Y240">
        <f ca="1">'ETF variations'!Y240/'ETF price'!Z241</f>
        <v>-1.3506493506493588E-2</v>
      </c>
      <c r="Z240">
        <f ca="1">'ETF variations'!Z240/'ETF price'!AA241</f>
        <v>-9.6275652394222314E-3</v>
      </c>
      <c r="AA240">
        <f ca="1">'ETF variations'!AA240/'ETF price'!AB241</f>
        <v>-1.8456375838926196E-2</v>
      </c>
      <c r="AB240">
        <f ca="1">'ETF variations'!AB240/'ETF price'!AC241</f>
        <v>-2.5318829707426882E-2</v>
      </c>
      <c r="AC240">
        <f ca="1">'ETF variations'!AC240/'ETF price'!AD241</f>
        <v>2.8571428571427964E-3</v>
      </c>
      <c r="AD240">
        <f ca="1">'ETF variations'!AD240/'ETF price'!AE241</f>
        <v>3.6036036036036869E-3</v>
      </c>
      <c r="AE240">
        <f ca="1">'ETF variations'!AE240/'ETF price'!AF241</f>
        <v>-2.9069767441860492E-2</v>
      </c>
      <c r="AF240">
        <f ca="1">'ETF variations'!AF240/'ETF price'!AG241</f>
        <v>3.6447978793903296E-2</v>
      </c>
    </row>
    <row r="241" spans="1:32" x14ac:dyDescent="0.2">
      <c r="A241">
        <f ca="1">'ETF variations'!A241/'ETF price'!B242</f>
        <v>-3.7404068251248118E-2</v>
      </c>
      <c r="B241">
        <f ca="1">'ETF variations'!B241/'ETF price'!C242</f>
        <v>-4.0317192900920777E-2</v>
      </c>
      <c r="C241">
        <f ca="1">'ETF variations'!C241/'ETF price'!D242</f>
        <v>-1.0380173867912252E-2</v>
      </c>
      <c r="D241">
        <f ca="1">'ETF variations'!D241/'ETF price'!E242</f>
        <v>-4.2306783266367325E-2</v>
      </c>
      <c r="E241">
        <f ca="1">'ETF variations'!E241/'ETF price'!F242</f>
        <v>-2.9259896729776236E-2</v>
      </c>
      <c r="F241">
        <f ca="1">'ETF variations'!F241/'ETF price'!G242</f>
        <v>-3.9908256880733989E-2</v>
      </c>
      <c r="G241">
        <f ca="1">'ETF variations'!G241/'ETF price'!H242</f>
        <v>-3.2936507936507868E-2</v>
      </c>
      <c r="H241">
        <f ca="1">'ETF variations'!H241/'ETF price'!I242</f>
        <v>-1.8344039971448917E-2</v>
      </c>
      <c r="I241">
        <f ca="1">'ETF variations'!I241/'ETF price'!J242</f>
        <v>-2.3220358860091467E-2</v>
      </c>
      <c r="J241">
        <f ca="1">'ETF variations'!J241/'ETF price'!K242</f>
        <v>-1.8211072917428368E-2</v>
      </c>
      <c r="K241">
        <f ca="1">'ETF variations'!K241/'ETF price'!L242</f>
        <v>-2.888434227945608E-2</v>
      </c>
      <c r="L241">
        <f ca="1">'ETF variations'!L241/'ETF price'!M242</f>
        <v>-2.911164465786311E-2</v>
      </c>
      <c r="M241">
        <f ca="1">'ETF variations'!M241/'ETF price'!N242</f>
        <v>-1.8804974218986879E-2</v>
      </c>
      <c r="N241">
        <f ca="1">'ETF variations'!N241/'ETF price'!O242</f>
        <v>-2.6579925650557615E-2</v>
      </c>
      <c r="O241">
        <f ca="1">'ETF variations'!O241/'ETF price'!P242</f>
        <v>-6.0514372163389995E-3</v>
      </c>
      <c r="P241">
        <f ca="1">'ETF variations'!P241/'ETF price'!Q242</f>
        <v>-1.6363332776757455E-2</v>
      </c>
      <c r="Q241">
        <f ca="1">'ETF variations'!Q241/'ETF price'!R242</f>
        <v>-3.0517578125E-2</v>
      </c>
      <c r="R241">
        <f ca="1">'ETF variations'!R241/'ETF price'!S242</f>
        <v>-3.9514263685427993E-2</v>
      </c>
      <c r="S241">
        <f ca="1">'ETF variations'!S241/'ETF price'!T242</f>
        <v>-1.2111425111021425E-2</v>
      </c>
      <c r="T241">
        <f ca="1">'ETF variations'!T241/'ETF price'!U242</f>
        <v>-1.796318289786214E-2</v>
      </c>
      <c r="U241">
        <f ca="1">'ETF variations'!U241/'ETF price'!V242</f>
        <v>-3.0097908860147578E-2</v>
      </c>
      <c r="V241">
        <f ca="1">'ETF variations'!V241/'ETF price'!W242</f>
        <v>-1.9630484988452646E-2</v>
      </c>
      <c r="W241">
        <f ca="1">'ETF variations'!W241/'ETF price'!X242</f>
        <v>-2.6644462947543655E-2</v>
      </c>
      <c r="X241">
        <f ca="1">'ETF variations'!X241/'ETF price'!Y242</f>
        <v>-1.8342541436464049E-2</v>
      </c>
      <c r="Y241">
        <f ca="1">'ETF variations'!Y241/'ETF price'!Z242</f>
        <v>-1.8430753027909315E-2</v>
      </c>
      <c r="Z241">
        <f ca="1">'ETF variations'!Z241/'ETF price'!AA242</f>
        <v>-1.1511895625479733E-2</v>
      </c>
      <c r="AA241">
        <f ca="1">'ETF variations'!AA241/'ETF price'!AB242</f>
        <v>-1.8290598290598297E-2</v>
      </c>
      <c r="AB241">
        <f ca="1">'ETF variations'!AB241/'ETF price'!AC242</f>
        <v>-6.5422359053299269E-3</v>
      </c>
      <c r="AC241">
        <f ca="1">'ETF variations'!AC241/'ETF price'!AD242</f>
        <v>-2.2792022792022686E-2</v>
      </c>
      <c r="AD241">
        <f ca="1">'ETF variations'!AD241/'ETF price'!AE242</f>
        <v>-2.3339317773788129E-2</v>
      </c>
      <c r="AE241">
        <f ca="1">'ETF variations'!AE241/'ETF price'!AF242</f>
        <v>0</v>
      </c>
      <c r="AF241">
        <f ca="1">'ETF variations'!AF241/'ETF price'!AG242</f>
        <v>2.0460358056266004E-2</v>
      </c>
    </row>
    <row r="242" spans="1:32" x14ac:dyDescent="0.2">
      <c r="A242">
        <f ca="1">'ETF variations'!A242/'ETF price'!B243</f>
        <v>-1.3236318600510827E-2</v>
      </c>
      <c r="B242">
        <f ca="1">'ETF variations'!B242/'ETF price'!C243</f>
        <v>-1.3075456278943047E-2</v>
      </c>
      <c r="C242">
        <f ca="1">'ETF variations'!C242/'ETF price'!D243</f>
        <v>-1.5995804379179218E-2</v>
      </c>
      <c r="D242">
        <f ca="1">'ETF variations'!D242/'ETF price'!E243</f>
        <v>-7.5682790391576318E-3</v>
      </c>
      <c r="E242">
        <f ca="1">'ETF variations'!E242/'ETF price'!F243</f>
        <v>-6.6489361702127036E-3</v>
      </c>
      <c r="F242">
        <f ca="1">'ETF variations'!F242/'ETF price'!G243</f>
        <v>1.4333492594362702E-3</v>
      </c>
      <c r="G242">
        <f ca="1">'ETF variations'!G242/'ETF price'!H243</f>
        <v>-8.6171522363562101E-3</v>
      </c>
      <c r="H242">
        <f ca="1">'ETF variations'!H242/'ETF price'!I243</f>
        <v>-1.454228168399622E-2</v>
      </c>
      <c r="I242">
        <f ca="1">'ETF variations'!I242/'ETF price'!J243</f>
        <v>-1.3006763517028855E-2</v>
      </c>
      <c r="J242">
        <f ca="1">'ETF variations'!J242/'ETF price'!K243</f>
        <v>-9.2371871275328445E-3</v>
      </c>
      <c r="K242">
        <f ca="1">'ETF variations'!K242/'ETF price'!L243</f>
        <v>3.3461395464121457E-3</v>
      </c>
      <c r="L242">
        <f ca="1">'ETF variations'!L242/'ETF price'!M243</f>
        <v>3.0911901081910387E-4</v>
      </c>
      <c r="M242">
        <f ca="1">'ETF variations'!M242/'ETF price'!N243</f>
        <v>-1.5919629057187034E-2</v>
      </c>
      <c r="N242">
        <f ca="1">'ETF variations'!N242/'ETF price'!O243</f>
        <v>-1.7185411495130095E-3</v>
      </c>
      <c r="O242">
        <f ca="1">'ETF variations'!O242/'ETF price'!P243</f>
        <v>-1.22936424306287E-2</v>
      </c>
      <c r="P242">
        <f ca="1">'ETF variations'!P242/'ETF price'!Q243</f>
        <v>-1.2985910711254345E-2</v>
      </c>
      <c r="Q242">
        <f ca="1">'ETF variations'!Q242/'ETF price'!R243</f>
        <v>-4.2810375220347944E-3</v>
      </c>
      <c r="R242">
        <f ca="1">'ETF variations'!R242/'ETF price'!S243</f>
        <v>2.8095524784266623E-3</v>
      </c>
      <c r="S242">
        <f ca="1">'ETF variations'!S242/'ETF price'!T243</f>
        <v>-1.2668573763792348E-2</v>
      </c>
      <c r="T242">
        <f ca="1">'ETF variations'!T242/'ETF price'!U243</f>
        <v>-1.8896447467876037E-2</v>
      </c>
      <c r="U242">
        <f ca="1">'ETF variations'!U242/'ETF price'!V243</f>
        <v>-2.2557328015951995E-2</v>
      </c>
      <c r="V242">
        <f ca="1">'ETF variations'!V242/'ETF price'!W243</f>
        <v>-7.6560659599528274E-3</v>
      </c>
      <c r="W242">
        <f ca="1">'ETF variations'!W242/'ETF price'!X243</f>
        <v>-9.1653427838201146E-3</v>
      </c>
      <c r="X242">
        <f ca="1">'ETF variations'!X242/'ETF price'!Y243</f>
        <v>-8.1044574515983653E-3</v>
      </c>
      <c r="Y242">
        <f ca="1">'ETF variations'!Y242/'ETF price'!Z243</f>
        <v>-8.5836909871244704E-3</v>
      </c>
      <c r="Z242">
        <f ca="1">'ETF variations'!Z242/'ETF price'!AA243</f>
        <v>-2.9503105590062126E-2</v>
      </c>
      <c r="AA242">
        <f ca="1">'ETF variations'!AA242/'ETF price'!AB243</f>
        <v>-8.5321260665157939E-3</v>
      </c>
      <c r="AB242">
        <f ca="1">'ETF variations'!AB242/'ETF price'!AC243</f>
        <v>-4.8421460391245398E-3</v>
      </c>
      <c r="AC242">
        <f ca="1">'ETF variations'!AC242/'ETF price'!AD243</f>
        <v>-3.6443148688046642E-2</v>
      </c>
      <c r="AD242">
        <f ca="1">'ETF variations'!AD242/'ETF price'!AE243</f>
        <v>-3.4926470588235364E-2</v>
      </c>
      <c r="AE242">
        <f ca="1">'ETF variations'!AE242/'ETF price'!AF243</f>
        <v>-1.7964071856287442E-2</v>
      </c>
      <c r="AF242">
        <f ca="1">'ETF variations'!AF242/'ETF price'!AG243</f>
        <v>-8.7719298245614058E-2</v>
      </c>
    </row>
    <row r="243" spans="1:32" x14ac:dyDescent="0.2">
      <c r="A243">
        <f ca="1">'ETF variations'!A243/'ETF price'!B244</f>
        <v>-1.615939755255728E-2</v>
      </c>
      <c r="B243">
        <f ca="1">'ETF variations'!B243/'ETF price'!C244</f>
        <v>-1.4414082865642313E-2</v>
      </c>
      <c r="C243">
        <f ca="1">'ETF variations'!C243/'ETF price'!D244</f>
        <v>2.2651565622918281E-3</v>
      </c>
      <c r="D243">
        <f ca="1">'ETF variations'!D243/'ETF price'!E244</f>
        <v>-1.2350795755968128E-2</v>
      </c>
      <c r="E243">
        <f ca="1">'ETF variations'!E243/'ETF price'!F244</f>
        <v>-1.8518518518518479E-2</v>
      </c>
      <c r="F243">
        <f ca="1">'ETF variations'!F243/'ETF price'!G244</f>
        <v>-1.0973282442748112E-2</v>
      </c>
      <c r="G243">
        <f ca="1">'ETF variations'!G243/'ETF price'!H244</f>
        <v>-1.8211920529801376E-2</v>
      </c>
      <c r="H243">
        <f ca="1">'ETF variations'!H243/'ETF price'!I244</f>
        <v>-7.8211466096067463E-3</v>
      </c>
      <c r="I243">
        <f ca="1">'ETF variations'!I243/'ETF price'!J244</f>
        <v>-4.7846889952153386E-3</v>
      </c>
      <c r="J243">
        <f ca="1">'ETF variations'!J243/'ETF price'!K244</f>
        <v>-1.8345864661654117E-2</v>
      </c>
      <c r="K243">
        <f ca="1">'ETF variations'!K243/'ETF price'!L244</f>
        <v>-2.0503952569169918E-2</v>
      </c>
      <c r="L243">
        <f ca="1">'ETF variations'!L243/'ETF price'!M244</f>
        <v>-1.9932014833127305E-2</v>
      </c>
      <c r="M243">
        <f ca="1">'ETF variations'!M243/'ETF price'!N244</f>
        <v>-5.4970943929637415E-3</v>
      </c>
      <c r="N243">
        <f ca="1">'ETF variations'!N243/'ETF price'!O244</f>
        <v>-3.8255547054322873E-2</v>
      </c>
      <c r="O243">
        <f ca="1">'ETF variations'!O243/'ETF price'!P244</f>
        <v>-1.0312944523470893E-2</v>
      </c>
      <c r="P243">
        <f ca="1">'ETF variations'!P243/'ETF price'!Q244</f>
        <v>-1.9778140854759992E-3</v>
      </c>
      <c r="Q243">
        <f ca="1">'ETF variations'!Q243/'ETF price'!R244</f>
        <v>-1.9347496206373306E-2</v>
      </c>
      <c r="R243">
        <f ca="1">'ETF variations'!R243/'ETF price'!S244</f>
        <v>-2.4414648789273543E-2</v>
      </c>
      <c r="S243">
        <f ca="1">'ETF variations'!S243/'ETF price'!T244</f>
        <v>-7.8642384105960788E-3</v>
      </c>
      <c r="T243">
        <f ca="1">'ETF variations'!T243/'ETF price'!U244</f>
        <v>1.8027734976887325E-2</v>
      </c>
      <c r="U243">
        <f ca="1">'ETF variations'!U243/'ETF price'!V244</f>
        <v>-1.3132729822771912E-2</v>
      </c>
      <c r="V243">
        <f ca="1">'ETF variations'!V243/'ETF price'!W244</f>
        <v>-8.9020771513354368E-3</v>
      </c>
      <c r="W243">
        <f ca="1">'ETF variations'!W243/'ETF price'!X244</f>
        <v>-2.7133695115934739E-3</v>
      </c>
      <c r="X243">
        <f ca="1">'ETF variations'!X243/'ETF price'!Y244</f>
        <v>-6.5819337267362492E-3</v>
      </c>
      <c r="Y243">
        <f ca="1">'ETF variations'!Y243/'ETF price'!Z244</f>
        <v>-2.4350649350650274E-3</v>
      </c>
      <c r="Z243">
        <f ca="1">'ETF variations'!Z243/'ETF price'!AA244</f>
        <v>-2.2933333333333319E-2</v>
      </c>
      <c r="AA243">
        <f ca="1">'ETF variations'!AA243/'ETF price'!AB244</f>
        <v>-1.931858096241648E-3</v>
      </c>
      <c r="AB243">
        <f ca="1">'ETF variations'!AB243/'ETF price'!AC244</f>
        <v>9.7314130011672158E-4</v>
      </c>
      <c r="AC243">
        <f ca="1">'ETF variations'!AC243/'ETF price'!AD244</f>
        <v>-1.8154311649016656E-2</v>
      </c>
      <c r="AD243">
        <f ca="1">'ETF variations'!AD243/'ETF price'!AE244</f>
        <v>-1.7142857142857116E-2</v>
      </c>
      <c r="AE243">
        <f ca="1">'ETF variations'!AE243/'ETF price'!AF244</f>
        <v>-4.878048780487796E-2</v>
      </c>
      <c r="AF243">
        <f ca="1">'ETF variations'!AF243/'ETF price'!AG244</f>
        <v>-7.1428571428571494E-2</v>
      </c>
    </row>
    <row r="244" spans="1:32" x14ac:dyDescent="0.2">
      <c r="A244">
        <f ca="1">'ETF variations'!A244/'ETF price'!B245</f>
        <v>1.5149099027268198E-3</v>
      </c>
      <c r="B244">
        <f ca="1">'ETF variations'!B244/'ETF price'!C245</f>
        <v>2.2092914708901875E-3</v>
      </c>
      <c r="C244">
        <f ca="1">'ETF variations'!C244/'ETF price'!D245</f>
        <v>1.6750864131879886E-2</v>
      </c>
      <c r="D244">
        <f ca="1">'ETF variations'!D244/'ETF price'!E245</f>
        <v>-6.126731011330289E-3</v>
      </c>
      <c r="E244">
        <f ca="1">'ETF variations'!E244/'ETF price'!F245</f>
        <v>7.7290293248464719E-3</v>
      </c>
      <c r="F244">
        <f ca="1">'ETF variations'!F244/'ETF price'!G245</f>
        <v>9.6478533526288344E-4</v>
      </c>
      <c r="G244">
        <f ca="1">'ETF variations'!G244/'ETF price'!H245</f>
        <v>3.7942664418212421E-3</v>
      </c>
      <c r="H244">
        <f ca="1">'ETF variations'!H244/'ETF price'!I245</f>
        <v>-2.2309808879304781E-4</v>
      </c>
      <c r="I244">
        <f ca="1">'ETF variations'!I244/'ETF price'!J245</f>
        <v>1.2222946544980906E-3</v>
      </c>
      <c r="J244">
        <f ca="1">'ETF variations'!J244/'ETF price'!K245</f>
        <v>1.1642156862745176E-2</v>
      </c>
      <c r="K244">
        <f ca="1">'ETF variations'!K244/'ETF price'!L245</f>
        <v>1.8663303909205599E-2</v>
      </c>
      <c r="L244">
        <f ca="1">'ETF variations'!L244/'ETF price'!M245</f>
        <v>1.2612328551158824E-2</v>
      </c>
      <c r="M244">
        <f ca="1">'ETF variations'!M244/'ETF price'!N245</f>
        <v>1.1054958938723986E-3</v>
      </c>
      <c r="N244">
        <f ca="1">'ETF variations'!N244/'ETF price'!O245</f>
        <v>1.3524264120922827E-2</v>
      </c>
      <c r="O244">
        <f ca="1">'ETF variations'!O244/'ETF price'!P245</f>
        <v>1.5091627739849145E-2</v>
      </c>
      <c r="P244">
        <f ca="1">'ETF variations'!P244/'ETF price'!Q245</f>
        <v>1.5250732379803515E-2</v>
      </c>
      <c r="Q244">
        <f ca="1">'ETF variations'!Q244/'ETF price'!R245</f>
        <v>6.5764023210832384E-3</v>
      </c>
      <c r="R244">
        <f ca="1">'ETF variations'!R244/'ETF price'!S245</f>
        <v>2.6256410256410279E-2</v>
      </c>
      <c r="S244">
        <f ca="1">'ETF variations'!S244/'ETF price'!T245</f>
        <v>4.5890696704213368E-3</v>
      </c>
      <c r="T244">
        <f ca="1">'ETF variations'!T244/'ETF price'!U245</f>
        <v>2.2703193582564811E-3</v>
      </c>
      <c r="U244">
        <f ca="1">'ETF variations'!U244/'ETF price'!V245</f>
        <v>-7.6227390180878991E-3</v>
      </c>
      <c r="V244">
        <f ca="1">'ETF variations'!V244/'ETF price'!W245</f>
        <v>4.1916167664670829E-3</v>
      </c>
      <c r="W244">
        <f ca="1">'ETF variations'!W244/'ETF price'!X245</f>
        <v>4.3284689586939691E-3</v>
      </c>
      <c r="X244">
        <f ca="1">'ETF variations'!X244/'ETF price'!Y245</f>
        <v>5.0262737034498248E-3</v>
      </c>
      <c r="Y244">
        <f ca="1">'ETF variations'!Y244/'ETF price'!Z245</f>
        <v>2.9834553837808364E-3</v>
      </c>
      <c r="Z244">
        <f ca="1">'ETF variations'!Z244/'ETF price'!AA245</f>
        <v>-2.1834061135370714E-3</v>
      </c>
      <c r="AA244">
        <f ca="1">'ETF variations'!AA244/'ETF price'!AB245</f>
        <v>4.9269751891606751E-3</v>
      </c>
      <c r="AB244">
        <f ca="1">'ETF variations'!AB244/'ETF price'!AC245</f>
        <v>1.4971806338712874E-2</v>
      </c>
      <c r="AC244">
        <f ca="1">'ETF variations'!AC244/'ETF price'!AD245</f>
        <v>2.31124807395993E-2</v>
      </c>
      <c r="AD244">
        <f ca="1">'ETF variations'!AD244/'ETF price'!AE245</f>
        <v>2.2286821705426396E-2</v>
      </c>
      <c r="AE244">
        <f ca="1">'ETF variations'!AE244/'ETF price'!AF245</f>
        <v>-2.5641025641025664E-2</v>
      </c>
      <c r="AF244">
        <f ca="1">'ETF variations'!AF244/'ETF price'!AG245</f>
        <v>4.4378698224852436E-3</v>
      </c>
    </row>
    <row r="245" spans="1:32" x14ac:dyDescent="0.2">
      <c r="A245">
        <f ca="1">'ETF variations'!A245/'ETF price'!B246</f>
        <v>1.6559191147201644E-2</v>
      </c>
      <c r="B245">
        <f ca="1">'ETF variations'!B245/'ETF price'!C246</f>
        <v>1.583457526080484E-2</v>
      </c>
      <c r="C245">
        <f ca="1">'ETF variations'!C245/'ETF price'!D246</f>
        <v>-2.7588912133891204E-2</v>
      </c>
      <c r="D245">
        <f ca="1">'ETF variations'!D245/'ETF price'!E246</f>
        <v>2.2546867083262978E-2</v>
      </c>
      <c r="E245">
        <f ca="1">'ETF variations'!E245/'ETF price'!F246</f>
        <v>6.7674261222650889E-4</v>
      </c>
      <c r="F245">
        <f ca="1">'ETF variations'!F245/'ETF price'!G246</f>
        <v>1.397590361445779E-2</v>
      </c>
      <c r="G245">
        <f ca="1">'ETF variations'!G245/'ETF price'!H246</f>
        <v>1.6799664006719957E-2</v>
      </c>
      <c r="H245">
        <f ca="1">'ETF variations'!H245/'ETF price'!I246</f>
        <v>1.3165724486759969E-2</v>
      </c>
      <c r="I245">
        <f ca="1">'ETF variations'!I245/'ETF price'!J246</f>
        <v>1.2818425978676558E-2</v>
      </c>
      <c r="J245">
        <f ca="1">'ETF variations'!J245/'ETF price'!K246</f>
        <v>1.2492428831011334E-2</v>
      </c>
      <c r="K245">
        <f ca="1">'ETF variations'!K245/'ETF price'!L246</f>
        <v>2.2282743253280481E-2</v>
      </c>
      <c r="L245">
        <f ca="1">'ETF variations'!L245/'ETF price'!M246</f>
        <v>5.9162385178264899E-3</v>
      </c>
      <c r="M245">
        <f ca="1">'ETF variations'!M245/'ETF price'!N246</f>
        <v>1.3566808644896662E-2</v>
      </c>
      <c r="N245">
        <f ca="1">'ETF variations'!N245/'ETF price'!O246</f>
        <v>2.1978021978021928E-2</v>
      </c>
      <c r="O245">
        <f ca="1">'ETF variations'!O245/'ETF price'!P246</f>
        <v>1.899705014749262E-2</v>
      </c>
      <c r="P245">
        <f ca="1">'ETF variations'!P245/'ETF price'!Q246</f>
        <v>2.0028855130272423E-2</v>
      </c>
      <c r="Q245">
        <f ca="1">'ETF variations'!Q245/'ETF price'!R246</f>
        <v>8.7112477581346732E-3</v>
      </c>
      <c r="R245">
        <f ca="1">'ETF variations'!R245/'ETF price'!S246</f>
        <v>2.5584649210473737E-2</v>
      </c>
      <c r="S245">
        <f ca="1">'ETF variations'!S245/'ETF price'!T246</f>
        <v>1.2873754152824015E-2</v>
      </c>
      <c r="T245">
        <f ca="1">'ETF variations'!T245/'ETF price'!U246</f>
        <v>2.7786167321051092E-2</v>
      </c>
      <c r="U245">
        <f ca="1">'ETF variations'!U245/'ETF price'!V246</f>
        <v>2.0960812394219496E-2</v>
      </c>
      <c r="V245">
        <f ca="1">'ETF variations'!V245/'ETF price'!W246</f>
        <v>1.5503875968992342E-2</v>
      </c>
      <c r="W245">
        <f ca="1">'ETF variations'!W245/'ETF price'!X246</f>
        <v>1.6992981159955792E-2</v>
      </c>
      <c r="X245">
        <f ca="1">'ETF variations'!X245/'ETF price'!Y246</f>
        <v>1.8185951352580068E-2</v>
      </c>
      <c r="Y245">
        <f ca="1">'ETF variations'!Y245/'ETF price'!Z246</f>
        <v>1.7982693347755714E-2</v>
      </c>
      <c r="Z245">
        <f ca="1">'ETF variations'!Z245/'ETF price'!AA246</f>
        <v>1.0120350109409119E-2</v>
      </c>
      <c r="AA245">
        <f ca="1">'ETF variations'!AA245/'ETF price'!AB246</f>
        <v>1.6634564874803061E-2</v>
      </c>
      <c r="AB245">
        <f ca="1">'ETF variations'!AB245/'ETF price'!AC246</f>
        <v>-8.4291187739464514E-3</v>
      </c>
      <c r="AC245">
        <f ca="1">'ETF variations'!AC245/'ETF price'!AD246</f>
        <v>-6.0240963855421742E-3</v>
      </c>
      <c r="AD245">
        <f ca="1">'ETF variations'!AD245/'ETF price'!AE246</f>
        <v>-6.6350710900474202E-3</v>
      </c>
      <c r="AE245">
        <f ca="1">'ETF variations'!AE245/'ETF price'!AF246</f>
        <v>6.5789473684210583E-3</v>
      </c>
      <c r="AF245">
        <f ca="1">'ETF variations'!AF245/'ETF price'!AG246</f>
        <v>-2.3564064801178224E-2</v>
      </c>
    </row>
    <row r="246" spans="1:32" x14ac:dyDescent="0.2">
      <c r="A246">
        <f ca="1">'ETF variations'!A246/'ETF price'!B247</f>
        <v>-2.5217323204636221E-2</v>
      </c>
      <c r="B246">
        <f ca="1">'ETF variations'!B246/'ETF price'!C247</f>
        <v>-2.4787578702854737E-2</v>
      </c>
      <c r="C246">
        <f ca="1">'ETF variations'!C246/'ETF price'!D247</f>
        <v>1.3446282102997755E-3</v>
      </c>
      <c r="D246">
        <f ca="1">'ETF variations'!D246/'ETF price'!E247</f>
        <v>-4.0465769262532043E-2</v>
      </c>
      <c r="E246">
        <f ca="1">'ETF variations'!E246/'ETF price'!F247</f>
        <v>-1.2173128944995473E-2</v>
      </c>
      <c r="F246">
        <f ca="1">'ETF variations'!F246/'ETF price'!G247</f>
        <v>-2.4714828897338385E-2</v>
      </c>
      <c r="G246">
        <f ca="1">'ETF variations'!G246/'ETF price'!H247</f>
        <v>-1.1565468814539494E-2</v>
      </c>
      <c r="H246">
        <f ca="1">'ETF variations'!H246/'ETF price'!I247</f>
        <v>-1.3949049262168543E-3</v>
      </c>
      <c r="I246">
        <f ca="1">'ETF variations'!I246/'ETF price'!J247</f>
        <v>-9.6428140945791592E-4</v>
      </c>
      <c r="J246">
        <f ca="1">'ETF variations'!J246/'ETF price'!K247</f>
        <v>7.4777536827953892E-4</v>
      </c>
      <c r="K246">
        <f ca="1">'ETF variations'!K246/'ETF price'!L247</f>
        <v>2.9062727052554479E-3</v>
      </c>
      <c r="L246">
        <f ca="1">'ETF variations'!L246/'ETF price'!M247</f>
        <v>-3.4050456585667677E-3</v>
      </c>
      <c r="M246">
        <f ca="1">'ETF variations'!M246/'ETF price'!N247</f>
        <v>-1.5564202334629464E-3</v>
      </c>
      <c r="N246">
        <f ca="1">'ETF variations'!N246/'ETF price'!O247</f>
        <v>-3.0721966205836519E-3</v>
      </c>
      <c r="O246">
        <f ca="1">'ETF variations'!O246/'ETF price'!P247</f>
        <v>-2.3043075497915642E-2</v>
      </c>
      <c r="P246">
        <f ca="1">'ETF variations'!P246/'ETF price'!Q247</f>
        <v>-2.4960479241201431E-2</v>
      </c>
      <c r="Q246">
        <f ca="1">'ETF variations'!Q246/'ETF price'!R247</f>
        <v>-9.6520193040384936E-3</v>
      </c>
      <c r="R246">
        <f ca="1">'ETF variations'!R246/'ETF price'!S247</f>
        <v>-1.7540440459949437E-2</v>
      </c>
      <c r="S246">
        <f ca="1">'ETF variations'!S246/'ETF price'!T247</f>
        <v>-1.2710127101271106E-2</v>
      </c>
      <c r="T246">
        <f ca="1">'ETF variations'!T246/'ETF price'!U247</f>
        <v>-5.2894504848662862E-3</v>
      </c>
      <c r="U246">
        <f ca="1">'ETF variations'!U246/'ETF price'!V247</f>
        <v>-3.2644733486355548E-2</v>
      </c>
      <c r="V246">
        <f ca="1">'ETF variations'!V246/'ETF price'!W247</f>
        <v>-8.8079859072226728E-3</v>
      </c>
      <c r="W246">
        <f ca="1">'ETF variations'!W246/'ETF price'!X247</f>
        <v>-9.8074827460951954E-3</v>
      </c>
      <c r="X246">
        <f ca="1">'ETF variations'!X246/'ETF price'!Y247</f>
        <v>-6.2513954007591237E-3</v>
      </c>
      <c r="Y246">
        <f ca="1">'ETF variations'!Y246/'ETF price'!Z247</f>
        <v>-9.9614822685615608E-3</v>
      </c>
      <c r="Z246">
        <f ca="1">'ETF variations'!Z246/'ETF price'!AA247</f>
        <v>-4.8740861088545822E-3</v>
      </c>
      <c r="AA246">
        <f ca="1">'ETF variations'!AA246/'ETF price'!AB247</f>
        <v>-3.7891836031691156E-3</v>
      </c>
      <c r="AB246">
        <f ca="1">'ETF variations'!AB246/'ETF price'!AC247</f>
        <v>4.6367851622875194E-3</v>
      </c>
      <c r="AC246">
        <f ca="1">'ETF variations'!AC246/'ETF price'!AD247</f>
        <v>0</v>
      </c>
      <c r="AD246">
        <f ca="1">'ETF variations'!AD246/'ETF price'!AE247</f>
        <v>-1.9083969465648447E-3</v>
      </c>
      <c r="AE246">
        <f ca="1">'ETF variations'!AE246/'ETF price'!AF247</f>
        <v>-6.5359477124183061E-3</v>
      </c>
      <c r="AF246">
        <f ca="1">'ETF variations'!AF246/'ETF price'!AG247</f>
        <v>-8.2956259426847229E-3</v>
      </c>
    </row>
    <row r="247" spans="1:32" x14ac:dyDescent="0.2">
      <c r="A247">
        <f ca="1">'ETF variations'!A247/'ETF price'!B248</f>
        <v>1.0444283763155415E-3</v>
      </c>
      <c r="B247">
        <f ca="1">'ETF variations'!B247/'ETF price'!C248</f>
        <v>3.7609302034037845E-4</v>
      </c>
      <c r="C247">
        <f ca="1">'ETF variations'!C247/'ETF price'!D248</f>
        <v>-1.1682556734255466E-2</v>
      </c>
      <c r="D247">
        <f ca="1">'ETF variations'!D247/'ETF price'!E248</f>
        <v>8.6065926499706113E-4</v>
      </c>
      <c r="E247">
        <f ca="1">'ETF variations'!E247/'ETF price'!F248</f>
        <v>-4.5641259698768338E-3</v>
      </c>
      <c r="F247">
        <f ca="1">'ETF variations'!F247/'ETF price'!G248</f>
        <v>0</v>
      </c>
      <c r="G247">
        <f ca="1">'ETF variations'!G247/'ETF price'!H248</f>
        <v>4.178854993732371E-4</v>
      </c>
      <c r="H247">
        <f ca="1">'ETF variations'!H247/'ETF price'!I248</f>
        <v>5.8814880164669958E-4</v>
      </c>
      <c r="I247">
        <f ca="1">'ETF variations'!I247/'ETF price'!J248</f>
        <v>-1.1662980092499177E-3</v>
      </c>
      <c r="J247">
        <f ca="1">'ETF variations'!J247/'ETF price'!K248</f>
        <v>-1.3449899125756641E-2</v>
      </c>
      <c r="K247">
        <f ca="1">'ETF variations'!K247/'ETF price'!L248</f>
        <v>-2.3424293648877059E-2</v>
      </c>
      <c r="L247">
        <f ca="1">'ETF variations'!L247/'ETF price'!M248</f>
        <v>-1.5685665476005559E-2</v>
      </c>
      <c r="M247">
        <f ca="1">'ETF variations'!M247/'ETF price'!N248</f>
        <v>-1.2470771628996491E-3</v>
      </c>
      <c r="N247">
        <f ca="1">'ETF variations'!N247/'ETF price'!O248</f>
        <v>-2.5423728813559327E-2</v>
      </c>
      <c r="O247">
        <f ca="1">'ETF variations'!O247/'ETF price'!P248</f>
        <v>3.1883370866421686E-2</v>
      </c>
      <c r="P247">
        <f ca="1">'ETF variations'!P247/'ETF price'!Q248</f>
        <v>3.2937963990101543E-2</v>
      </c>
      <c r="Q247">
        <f ca="1">'ETF variations'!Q247/'ETF price'!R248</f>
        <v>6.9248525262886893E-3</v>
      </c>
      <c r="R247">
        <f ca="1">'ETF variations'!R247/'ETF price'!S248</f>
        <v>7.5381868676850346E-3</v>
      </c>
      <c r="S247">
        <f ca="1">'ETF variations'!S247/'ETF price'!T248</f>
        <v>1.8272425249169489E-2</v>
      </c>
      <c r="T247">
        <f ca="1">'ETF variations'!T247/'ETF price'!U248</f>
        <v>2.3929098966026446E-2</v>
      </c>
      <c r="U247">
        <f ca="1">'ETF variations'!U247/'ETF price'!V248</f>
        <v>-1.3182177695755339E-2</v>
      </c>
      <c r="V247">
        <f ca="1">'ETF variations'!V247/'ETF price'!W248</f>
        <v>5.6279620853082E-3</v>
      </c>
      <c r="W247">
        <f ca="1">'ETF variations'!W247/'ETF price'!X248</f>
        <v>6.7253607238933373E-3</v>
      </c>
      <c r="X247">
        <f ca="1">'ETF variations'!X247/'ETF price'!Y248</f>
        <v>6.2907211862503068E-3</v>
      </c>
      <c r="Y247">
        <f ca="1">'ETF variations'!Y247/'ETF price'!Z248</f>
        <v>6.1711832573114259E-3</v>
      </c>
      <c r="Z247">
        <f ca="1">'ETF variations'!Z247/'ETF price'!AA248</f>
        <v>8.9795918367346472E-3</v>
      </c>
      <c r="AA247">
        <f ca="1">'ETF variations'!AA247/'ETF price'!AB248</f>
        <v>6.5698478561548312E-3</v>
      </c>
      <c r="AB247">
        <f ca="1">'ETF variations'!AB247/'ETF price'!AC248</f>
        <v>-3.8461538461544473E-4</v>
      </c>
      <c r="AC247">
        <f ca="1">'ETF variations'!AC247/'ETF price'!AD248</f>
        <v>3.0303030303031006E-3</v>
      </c>
      <c r="AD247">
        <f ca="1">'ETF variations'!AD247/'ETF price'!AE248</f>
        <v>3.8240917782025952E-3</v>
      </c>
      <c r="AE247">
        <f ca="1">'ETF variations'!AE247/'ETF price'!AF248</f>
        <v>-1.3157894736842117E-2</v>
      </c>
      <c r="AF247">
        <f ca="1">'ETF variations'!AF247/'ETF price'!AG248</f>
        <v>2.2813688212927272E-3</v>
      </c>
    </row>
    <row r="248" spans="1:32" x14ac:dyDescent="0.2">
      <c r="A248">
        <f ca="1">'ETF variations'!A248/'ETF price'!B249</f>
        <v>-9.4703049759228951E-3</v>
      </c>
      <c r="B248">
        <f ca="1">'ETF variations'!B248/'ETF price'!C249</f>
        <v>-9.7747423164886264E-3</v>
      </c>
      <c r="C248">
        <f ca="1">'ETF variations'!C248/'ETF price'!D249</f>
        <v>-1.6304347826086803E-2</v>
      </c>
      <c r="D248">
        <f ca="1">'ETF variations'!D248/'ETF price'!E249</f>
        <v>-1.8058302519563234E-2</v>
      </c>
      <c r="E248">
        <f ca="1">'ETF variations'!E248/'ETF price'!F249</f>
        <v>-6.1898211829435126E-3</v>
      </c>
      <c r="F248">
        <f ca="1">'ETF variations'!F248/'ETF price'!G249</f>
        <v>-1.1695906432748463E-2</v>
      </c>
      <c r="G248">
        <f ca="1">'ETF variations'!G248/'ETF price'!H249</f>
        <v>-5.8479532163742921E-3</v>
      </c>
      <c r="H248">
        <f ca="1">'ETF variations'!H248/'ETF price'!I249</f>
        <v>-2.5716385011020893E-3</v>
      </c>
      <c r="I248">
        <f ca="1">'ETF variations'!I248/'ETF price'!J249</f>
        <v>-4.8316959252698377E-3</v>
      </c>
      <c r="J248">
        <f ca="1">'ETF variations'!J248/'ETF price'!K249</f>
        <v>-2.090433992274476E-2</v>
      </c>
      <c r="K248">
        <f ca="1">'ETF variations'!K248/'ETF price'!L249</f>
        <v>-2.8931750741839631E-2</v>
      </c>
      <c r="L248">
        <f ca="1">'ETF variations'!L248/'ETF price'!M249</f>
        <v>-1.7040075733670012E-2</v>
      </c>
      <c r="M248">
        <f ca="1">'ETF variations'!M248/'ETF price'!N249</f>
        <v>-4.6823786483532089E-3</v>
      </c>
      <c r="N248">
        <f ca="1">'ETF variations'!N248/'ETF price'!O249</f>
        <v>-2.8458498023715511E-2</v>
      </c>
      <c r="O248">
        <f ca="1">'ETF variations'!O248/'ETF price'!P249</f>
        <v>1.0682288077188061E-2</v>
      </c>
      <c r="P248">
        <f ca="1">'ETF variations'!P248/'ETF price'!Q249</f>
        <v>1.0078479966955795E-2</v>
      </c>
      <c r="Q248">
        <f ca="1">'ETF variations'!Q248/'ETF price'!R249</f>
        <v>8.9149261334701209E-4</v>
      </c>
      <c r="R248">
        <f ca="1">'ETF variations'!R248/'ETF price'!S249</f>
        <v>8.0724552077181284E-3</v>
      </c>
      <c r="S248">
        <f ca="1">'ETF variations'!S248/'ETF price'!T249</f>
        <v>8.972267536704685E-3</v>
      </c>
      <c r="T248">
        <f ca="1">'ETF variations'!T248/'ETF price'!U249</f>
        <v>3.0294287362955565E-3</v>
      </c>
      <c r="U248">
        <f ca="1">'ETF variations'!U248/'ETF price'!V249</f>
        <v>-2.3777718407694378E-2</v>
      </c>
      <c r="V248">
        <f ca="1">'ETF variations'!V248/'ETF price'!W249</f>
        <v>-2.9455081001487823E-4</v>
      </c>
      <c r="W248">
        <f ca="1">'ETF variations'!W248/'ETF price'!X249</f>
        <v>-1.0931616664642708E-3</v>
      </c>
      <c r="X248">
        <f ca="1">'ETF variations'!X248/'ETF price'!Y249</f>
        <v>6.6979236436707156E-4</v>
      </c>
      <c r="Y248">
        <f ca="1">'ETF variations'!Y248/'ETF price'!Z249</f>
        <v>-5.3333333333341673E-4</v>
      </c>
      <c r="Z248">
        <f ca="1">'ETF variations'!Z248/'ETF price'!AA249</f>
        <v>-8.0906148867316988E-4</v>
      </c>
      <c r="AA248">
        <f ca="1">'ETF variations'!AA248/'ETF price'!AB249</f>
        <v>1.0305736860185895E-3</v>
      </c>
      <c r="AB248">
        <f ca="1">'ETF variations'!AB248/'ETF price'!AC249</f>
        <v>-4.040015390534701E-3</v>
      </c>
      <c r="AC248">
        <f ca="1">'ETF variations'!AC248/'ETF price'!AD249</f>
        <v>-1.057401812688826E-2</v>
      </c>
      <c r="AD248">
        <f ca="1">'ETF variations'!AD248/'ETF price'!AE249</f>
        <v>-1.2380952380952456E-2</v>
      </c>
      <c r="AE248">
        <f ca="1">'ETF variations'!AE248/'ETF price'!AF249</f>
        <v>-6.6666666666666721E-2</v>
      </c>
      <c r="AF248">
        <f ca="1">'ETF variations'!AF248/'ETF price'!AG249</f>
        <v>-5.1593323216995425E-2</v>
      </c>
    </row>
    <row r="249" spans="1:32" x14ac:dyDescent="0.2">
      <c r="A249">
        <f ca="1">'ETF variations'!A249/'ETF price'!B250</f>
        <v>-1.612380489385833E-2</v>
      </c>
      <c r="B249">
        <f ca="1">'ETF variations'!B249/'ETF price'!C250</f>
        <v>-1.5724364855886262E-2</v>
      </c>
      <c r="C249">
        <f ca="1">'ETF variations'!C249/'ETF price'!D250</f>
        <v>2.9419889502762364E-2</v>
      </c>
      <c r="D249">
        <f ca="1">'ETF variations'!D249/'ETF price'!E250</f>
        <v>-1.4712321569314237E-2</v>
      </c>
      <c r="E249">
        <f ca="1">'ETF variations'!E249/'ETF price'!F250</f>
        <v>-1.0149942329873237E-2</v>
      </c>
      <c r="F249">
        <f ca="1">'ETF variations'!F249/'ETF price'!G250</f>
        <v>-1.1341222879684438E-2</v>
      </c>
      <c r="G249">
        <f ca="1">'ETF variations'!G249/'ETF price'!H250</f>
        <v>-1.5126050420168043E-2</v>
      </c>
      <c r="H249">
        <f ca="1">'ETF variations'!H249/'ETF price'!I250</f>
        <v>-6.4825046040515319E-3</v>
      </c>
      <c r="I249">
        <f ca="1">'ETF variations'!I249/'ETF price'!J250</f>
        <v>-5.502508496520413E-3</v>
      </c>
      <c r="J249">
        <f ca="1">'ETF variations'!J249/'ETF price'!K250</f>
        <v>-6.8074572599986366E-3</v>
      </c>
      <c r="K249">
        <f ca="1">'ETF variations'!K249/'ETF price'!L250</f>
        <v>3.6923860453271203E-3</v>
      </c>
      <c r="L249">
        <f ca="1">'ETF variations'!L249/'ETF price'!M250</f>
        <v>-3.8523274478329838E-3</v>
      </c>
      <c r="M249">
        <f ca="1">'ETF variations'!M249/'ETF price'!N250</f>
        <v>-5.9589148502431008E-3</v>
      </c>
      <c r="N249">
        <f ca="1">'ETF variations'!N249/'ETF price'!O250</f>
        <v>-1.4646053702196887E-2</v>
      </c>
      <c r="O249">
        <f ca="1">'ETF variations'!O249/'ETF price'!P250</f>
        <v>-2.2388907830435265E-2</v>
      </c>
      <c r="P249">
        <f ca="1">'ETF variations'!P249/'ETF price'!Q250</f>
        <v>-2.5599083994438502E-2</v>
      </c>
      <c r="Q249">
        <f ca="1">'ETF variations'!Q249/'ETF price'!R250</f>
        <v>-1.5269118208423499E-2</v>
      </c>
      <c r="R249">
        <f ca="1">'ETF variations'!R249/'ETF price'!S250</f>
        <v>-4.0039062500000083E-2</v>
      </c>
      <c r="S249">
        <f ca="1">'ETF variations'!S249/'ETF price'!T250</f>
        <v>-1.1317704122877834E-2</v>
      </c>
      <c r="T249">
        <f ca="1">'ETF variations'!T249/'ETF price'!U250</f>
        <v>-1.3663166978282796E-2</v>
      </c>
      <c r="U249">
        <f ca="1">'ETF variations'!U249/'ETF price'!V250</f>
        <v>-1.7104542966611933E-2</v>
      </c>
      <c r="V249">
        <f ca="1">'ETF variations'!V249/'ETF price'!W250</f>
        <v>-3.5356511490865481E-3</v>
      </c>
      <c r="W249">
        <f ca="1">'ETF variations'!W249/'ETF price'!X250</f>
        <v>-6.3229571984435321E-3</v>
      </c>
      <c r="X249">
        <f ca="1">'ETF variations'!X249/'ETF price'!Y250</f>
        <v>-7.8090138331102501E-3</v>
      </c>
      <c r="Y249">
        <f ca="1">'ETF variations'!Y249/'ETF price'!Z250</f>
        <v>-5.3361792956242195E-3</v>
      </c>
      <c r="Z249">
        <f ca="1">'ETF variations'!Z249/'ETF price'!AA250</f>
        <v>-1.592442645074214E-2</v>
      </c>
      <c r="AA249">
        <f ca="1">'ETF variations'!AA249/'ETF price'!AB250</f>
        <v>-7.0350034317090545E-3</v>
      </c>
      <c r="AB249">
        <f ca="1">'ETF variations'!AB249/'ETF price'!AC250</f>
        <v>1.5839289163608272E-2</v>
      </c>
      <c r="AC249">
        <f ca="1">'ETF variations'!AC249/'ETF price'!AD250</f>
        <v>-3.0534351145037517E-3</v>
      </c>
      <c r="AD249">
        <f ca="1">'ETF variations'!AD249/'ETF price'!AE250</f>
        <v>-1.9286403085824085E-3</v>
      </c>
      <c r="AE249">
        <f ca="1">'ETF variations'!AE249/'ETF price'!AF250</f>
        <v>-2.142857142857129E-2</v>
      </c>
      <c r="AF249">
        <f ca="1">'ETF variations'!AF249/'ETF price'!AG250</f>
        <v>-2.0799999999999982E-2</v>
      </c>
    </row>
    <row r="250" spans="1:32" x14ac:dyDescent="0.2">
      <c r="A250">
        <f ca="1">'ETF variations'!A250/'ETF price'!B251</f>
        <v>2.6187927200856397E-2</v>
      </c>
      <c r="B250">
        <f ca="1">'ETF variations'!B250/'ETF price'!C251</f>
        <v>2.725811636129849E-2</v>
      </c>
      <c r="C250">
        <f ca="1">'ETF variations'!C250/'ETF price'!D251</f>
        <v>-5.3669663222871667E-4</v>
      </c>
      <c r="D250">
        <f ca="1">'ETF variations'!D250/'ETF price'!E251</f>
        <v>3.1908274820015903E-2</v>
      </c>
      <c r="E250">
        <f ca="1">'ETF variations'!E250/'ETF price'!F251</f>
        <v>2.656723374504779E-2</v>
      </c>
      <c r="F250">
        <f ca="1">'ETF variations'!F250/'ETF price'!G251</f>
        <v>3.3416458852867738E-2</v>
      </c>
      <c r="G250">
        <f ca="1">'ETF variations'!G250/'ETF price'!H251</f>
        <v>2.4317406143344721E-2</v>
      </c>
      <c r="H250">
        <f ca="1">'ETF variations'!H250/'ETF price'!I251</f>
        <v>1.0899384592570614E-2</v>
      </c>
      <c r="I250">
        <f ca="1">'ETF variations'!I250/'ETF price'!J251</f>
        <v>1.2286411716842888E-2</v>
      </c>
      <c r="J250">
        <f ca="1">'ETF variations'!J250/'ETF price'!K251</f>
        <v>2.297686735727095E-2</v>
      </c>
      <c r="K250">
        <f ca="1">'ETF variations'!K250/'ETF price'!L251</f>
        <v>4.3638208803754887E-2</v>
      </c>
      <c r="L250">
        <f ca="1">'ETF variations'!L250/'ETF price'!M251</f>
        <v>2.0625201417982617E-2</v>
      </c>
      <c r="M250">
        <f ca="1">'ETF variations'!M250/'ETF price'!N251</f>
        <v>1.2462533522637738E-2</v>
      </c>
      <c r="N250">
        <f ca="1">'ETF variations'!N250/'ETF price'!O251</f>
        <v>4.6242774566474035E-2</v>
      </c>
      <c r="O250">
        <f ca="1">'ETF variations'!O250/'ETF price'!P251</f>
        <v>1.0462683096954263E-2</v>
      </c>
      <c r="P250">
        <f ca="1">'ETF variations'!P250/'ETF price'!Q251</f>
        <v>1.1583011583011544E-2</v>
      </c>
      <c r="Q250">
        <f ca="1">'ETF variations'!Q250/'ETF price'!R251</f>
        <v>1.0854115518800923E-2</v>
      </c>
      <c r="R250">
        <f ca="1">'ETF variations'!R250/'ETF price'!S251</f>
        <v>1.8718209562563617E-2</v>
      </c>
      <c r="S250">
        <f ca="1">'ETF variations'!S250/'ETF price'!T251</f>
        <v>-1.2264922322159091E-3</v>
      </c>
      <c r="T250">
        <f ca="1">'ETF variations'!T250/'ETF price'!U251</f>
        <v>-7.2907553222509715E-4</v>
      </c>
      <c r="U250">
        <f ca="1">'ETF variations'!U250/'ETF price'!V251</f>
        <v>1.7402199638034247E-2</v>
      </c>
      <c r="V250">
        <f ca="1">'ETF variations'!V250/'ETF price'!W251</f>
        <v>1.3897102306327583E-2</v>
      </c>
      <c r="W250">
        <f ca="1">'ETF variations'!W250/'ETF price'!X251</f>
        <v>1.5907978463044509E-2</v>
      </c>
      <c r="X250">
        <f ca="1">'ETF variations'!X250/'ETF price'!Y251</f>
        <v>2.0688104340004537E-2</v>
      </c>
      <c r="Y250">
        <f ca="1">'ETF variations'!Y250/'ETF price'!Z251</f>
        <v>1.5960300429184518E-2</v>
      </c>
      <c r="Z250">
        <f ca="1">'ETF variations'!Z250/'ETF price'!AA251</f>
        <v>2.2216127262753765E-2</v>
      </c>
      <c r="AA250">
        <f ca="1">'ETF variations'!AA250/'ETF price'!AB251</f>
        <v>1.8835320546051554E-2</v>
      </c>
      <c r="AB250">
        <f ca="1">'ETF variations'!AB250/'ETF price'!AC251</f>
        <v>-1.5212017493821143E-3</v>
      </c>
      <c r="AC250">
        <f ca="1">'ETF variations'!AC250/'ETF price'!AD251</f>
        <v>0</v>
      </c>
      <c r="AD250">
        <f ca="1">'ETF variations'!AD250/'ETF price'!AE251</f>
        <v>0</v>
      </c>
      <c r="AE250">
        <f ca="1">'ETF variations'!AE250/'ETF price'!AF251</f>
        <v>3.6496350364963369E-2</v>
      </c>
      <c r="AF250">
        <f ca="1">'ETF variations'!AF250/'ETF price'!AG251</f>
        <v>3.9215686274509838E-2</v>
      </c>
    </row>
    <row r="251" spans="1:32" x14ac:dyDescent="0.2">
      <c r="A251">
        <f ca="1">'ETF variations'!A251/'ETF price'!B252</f>
        <v>-1.3642564802182947E-3</v>
      </c>
      <c r="B251">
        <f ca="1">'ETF variations'!B251/'ETF price'!C252</f>
        <v>-5.3194818198873232E-4</v>
      </c>
      <c r="C251">
        <f ca="1">'ETF variations'!C251/'ETF price'!D252</f>
        <v>-7.2492952074102845E-3</v>
      </c>
      <c r="D251">
        <f ca="1">'ETF variations'!D251/'ETF price'!E252</f>
        <v>-9.4745908699396585E-4</v>
      </c>
      <c r="E251">
        <f ca="1">'ETF variations'!E251/'ETF price'!F252</f>
        <v>0</v>
      </c>
      <c r="F251">
        <f ca="1">'ETF variations'!F251/'ETF price'!G252</f>
        <v>-8.2046332046331154E-3</v>
      </c>
      <c r="G251">
        <f ca="1">'ETF variations'!G251/'ETF price'!H252</f>
        <v>-4.1649312786339616E-3</v>
      </c>
      <c r="H251">
        <f ca="1">'ETF variations'!H251/'ETF price'!I252</f>
        <v>-3.5939562857562643E-3</v>
      </c>
      <c r="I251">
        <f ca="1">'ETF variations'!I251/'ETF price'!J252</f>
        <v>-3.0946065428823317E-3</v>
      </c>
      <c r="J251">
        <f ca="1">'ETF variations'!J251/'ETF price'!K252</f>
        <v>-3.8069133546529135E-4</v>
      </c>
      <c r="K251">
        <f ca="1">'ETF variations'!K251/'ETF price'!L252</f>
        <v>8.873222316761931E-3</v>
      </c>
      <c r="L251">
        <f ca="1">'ETF variations'!L251/'ETF price'!M252</f>
        <v>2.5260498894852635E-3</v>
      </c>
      <c r="M251">
        <f ca="1">'ETF variations'!M251/'ETF price'!N252</f>
        <v>-3.1162355874105631E-3</v>
      </c>
      <c r="N251">
        <f ca="1">'ETF variations'!N251/'ETF price'!O252</f>
        <v>-1.5785319652722631E-3</v>
      </c>
      <c r="O251">
        <f ca="1">'ETF variations'!O251/'ETF price'!P252</f>
        <v>6.3276576161987704E-3</v>
      </c>
      <c r="P251">
        <f ca="1">'ETF variations'!P251/'ETF price'!Q252</f>
        <v>6.3060073016927079E-3</v>
      </c>
      <c r="Q251">
        <f ca="1">'ETF variations'!Q251/'ETF price'!R252</f>
        <v>-7.0305509395372249E-3</v>
      </c>
      <c r="R251">
        <f ca="1">'ETF variations'!R251/'ETF price'!S252</f>
        <v>-5.1927301777511085E-3</v>
      </c>
      <c r="S251">
        <f ca="1">'ETF variations'!S251/'ETF price'!T252</f>
        <v>9.0053213262381859E-3</v>
      </c>
      <c r="T251">
        <f ca="1">'ETF variations'!T251/'ETF price'!U252</f>
        <v>2.305559608930393E-2</v>
      </c>
      <c r="U251">
        <f ca="1">'ETF variations'!U251/'ETF price'!V252</f>
        <v>-1.9157088122605443E-3</v>
      </c>
      <c r="V251">
        <f ca="1">'ETF variations'!V251/'ETF price'!W252</f>
        <v>-2.6246719160103911E-3</v>
      </c>
      <c r="W251">
        <f ca="1">'ETF variations'!W251/'ETF price'!X252</f>
        <v>-3.4931341845337517E-3</v>
      </c>
      <c r="X251">
        <f ca="1">'ETF variations'!X251/'ETF price'!Y252</f>
        <v>-5.2875082617317029E-3</v>
      </c>
      <c r="Y251">
        <f ca="1">'ETF variations'!Y251/'ETF price'!Z252</f>
        <v>-3.6963696369637115E-3</v>
      </c>
      <c r="Z251">
        <f ca="1">'ETF variations'!Z251/'ETF price'!AA252</f>
        <v>-9.1226187281997148E-3</v>
      </c>
      <c r="AA251">
        <f ca="1">'ETF variations'!AA251/'ETF price'!AB252</f>
        <v>-3.7313432835820704E-3</v>
      </c>
      <c r="AB251">
        <f ca="1">'ETF variations'!AB251/'ETF price'!AC252</f>
        <v>2.4757189106837281E-3</v>
      </c>
      <c r="AC251">
        <f ca="1">'ETF variations'!AC251/'ETF price'!AD252</f>
        <v>1.2251148545176121E-2</v>
      </c>
      <c r="AD251">
        <f ca="1">'ETF variations'!AD251/'ETF price'!AE252</f>
        <v>7.7294685990338232E-3</v>
      </c>
      <c r="AE251">
        <f ca="1">'ETF variations'!AE251/'ETF price'!AF252</f>
        <v>7.0422535211267668E-3</v>
      </c>
      <c r="AF251">
        <f ca="1">'ETF variations'!AF251/'ETF price'!AG252</f>
        <v>1.2578616352201269E-2</v>
      </c>
    </row>
    <row r="252" spans="1:32" x14ac:dyDescent="0.2">
      <c r="A252">
        <f ca="1">'ETF variations'!A252/'ETF price'!B253</f>
        <v>-9.4824815171969841E-3</v>
      </c>
      <c r="B252">
        <f ca="1">'ETF variations'!B252/'ETF price'!C253</f>
        <v>-9.5801634263172793E-3</v>
      </c>
      <c r="C252">
        <f ca="1">'ETF variations'!C252/'ETF price'!D253</f>
        <v>3.1102096010818658E-3</v>
      </c>
      <c r="D252">
        <f ca="1">'ETF variations'!D252/'ETF price'!E253</f>
        <v>-9.7422191568238246E-3</v>
      </c>
      <c r="E252">
        <f ca="1">'ETF variations'!E252/'ETF price'!F253</f>
        <v>-2.4971623155504979E-3</v>
      </c>
      <c r="F252">
        <f ca="1">'ETF variations'!F252/'ETF price'!G253</f>
        <v>4.8661800486616965E-3</v>
      </c>
      <c r="G252">
        <f ca="1">'ETF variations'!G252/'ETF price'!H253</f>
        <v>-5.8552906733584514E-3</v>
      </c>
      <c r="H252">
        <f ca="1">'ETF variations'!H252/'ETF price'!I253</f>
        <v>-2.8708133971290864E-3</v>
      </c>
      <c r="I252">
        <f ca="1">'ETF variations'!I252/'ETF price'!J253</f>
        <v>-4.1120741785930668E-3</v>
      </c>
      <c r="J252">
        <f ca="1">'ETF variations'!J252/'ETF price'!K253</f>
        <v>-9.520907913778659E-3</v>
      </c>
      <c r="K252">
        <f ca="1">'ETF variations'!K252/'ETF price'!L253</f>
        <v>-1.7710843373493962E-2</v>
      </c>
      <c r="L252">
        <f ca="1">'ETF variations'!L252/'ETF price'!M253</f>
        <v>-8.5039370078740031E-3</v>
      </c>
      <c r="M252">
        <f ca="1">'ETF variations'!M252/'ETF price'!N253</f>
        <v>-3.4385745545482786E-3</v>
      </c>
      <c r="N252">
        <f ca="1">'ETF variations'!N252/'ETF price'!O253</f>
        <v>-1.0276679841897295E-2</v>
      </c>
      <c r="O252">
        <f ca="1">'ETF variations'!O252/'ETF price'!P253</f>
        <v>-3.5097747799245377E-2</v>
      </c>
      <c r="P252">
        <f ca="1">'ETF variations'!P252/'ETF price'!Q253</f>
        <v>-3.966029023746704E-2</v>
      </c>
      <c r="Q252">
        <f ca="1">'ETF variations'!Q252/'ETF price'!R253</f>
        <v>-1.0298661174048982E-3</v>
      </c>
      <c r="R252">
        <f ca="1">'ETF variations'!R252/'ETF price'!S253</f>
        <v>-1.385264003212216E-2</v>
      </c>
      <c r="S252">
        <f ca="1">'ETF variations'!S252/'ETF price'!T253</f>
        <v>-2.3935091277890463E-2</v>
      </c>
      <c r="T252">
        <f ca="1">'ETF variations'!T252/'ETF price'!U253</f>
        <v>-3.5230352303523019E-2</v>
      </c>
      <c r="U252">
        <f ca="1">'ETF variations'!U252/'ETF price'!V253</f>
        <v>-1.0556621880998027E-2</v>
      </c>
      <c r="V252">
        <f ca="1">'ETF variations'!V252/'ETF price'!W253</f>
        <v>3.5087719298244864E-3</v>
      </c>
      <c r="W252">
        <f ca="1">'ETF variations'!W252/'ETF price'!X253</f>
        <v>3.1427535355976173E-3</v>
      </c>
      <c r="X252">
        <f ca="1">'ETF variations'!X252/'ETF price'!Y253</f>
        <v>-3.986710963455143E-3</v>
      </c>
      <c r="Y252">
        <f ca="1">'ETF variations'!Y252/'ETF price'!Z253</f>
        <v>3.3125745329269907E-3</v>
      </c>
      <c r="Z252">
        <f ca="1">'ETF variations'!Z252/'ETF price'!AA253</f>
        <v>3.7909558624424741E-3</v>
      </c>
      <c r="AA252">
        <f ca="1">'ETF variations'!AA252/'ETF price'!AB253</f>
        <v>-6.9799114742935594E-3</v>
      </c>
      <c r="AB252">
        <f ca="1">'ETF variations'!AB252/'ETF price'!AC253</f>
        <v>1.8427051671732499E-2</v>
      </c>
      <c r="AC252">
        <f ca="1">'ETF variations'!AC252/'ETF price'!AD253</f>
        <v>1.5128593040846878E-3</v>
      </c>
      <c r="AD252">
        <f ca="1">'ETF variations'!AD252/'ETF price'!AE253</f>
        <v>5.7526366251198944E-3</v>
      </c>
      <c r="AE252">
        <f ca="1">'ETF variations'!AE252/'ETF price'!AF253</f>
        <v>0</v>
      </c>
      <c r="AF252">
        <f ca="1">'ETF variations'!AF252/'ETF price'!AG253</f>
        <v>-1.0869565217391347E-2</v>
      </c>
    </row>
    <row r="253" spans="1:32" x14ac:dyDescent="0.2">
      <c r="A253">
        <f ca="1">'ETF variations'!A253/'ETF price'!B254</f>
        <v>2.5961382443614569E-3</v>
      </c>
      <c r="B253">
        <f ca="1">'ETF variations'!B253/'ETF price'!C254</f>
        <v>4.3306464359096075E-3</v>
      </c>
      <c r="C253">
        <f ca="1">'ETF variations'!C253/'ETF price'!D254</f>
        <v>-2.2108385009436512E-2</v>
      </c>
      <c r="D253">
        <f ca="1">'ETF variations'!D253/'ETF price'!E254</f>
        <v>2.5770503221312847E-2</v>
      </c>
      <c r="E253">
        <f ca="1">'ETF variations'!E253/'ETF price'!F254</f>
        <v>3.8689121529358605E-3</v>
      </c>
      <c r="F253">
        <f ca="1">'ETF variations'!F253/'ETF price'!G254</f>
        <v>1.5012106537530377E-2</v>
      </c>
      <c r="G253">
        <f ca="1">'ETF variations'!G253/'ETF price'!H254</f>
        <v>2.0193521245267163E-2</v>
      </c>
      <c r="H253">
        <f ca="1">'ETF variations'!H253/'ETF price'!I254</f>
        <v>2.6576111029084984E-3</v>
      </c>
      <c r="I253">
        <f ca="1">'ETF variations'!I253/'ETF price'!J254</f>
        <v>4.3719386309355648E-3</v>
      </c>
      <c r="J253">
        <f ca="1">'ETF variations'!J253/'ETF price'!K254</f>
        <v>1.284220239926189E-2</v>
      </c>
      <c r="K253">
        <f ca="1">'ETF variations'!K253/'ETF price'!L254</f>
        <v>2.0973874647368988E-2</v>
      </c>
      <c r="L253">
        <f ca="1">'ETF variations'!L253/'ETF price'!M254</f>
        <v>1.7947903430749722E-2</v>
      </c>
      <c r="M253">
        <f ca="1">'ETF variations'!M253/'ETF price'!N254</f>
        <v>4.234629861982483E-3</v>
      </c>
      <c r="N253">
        <f ca="1">'ETF variations'!N253/'ETF price'!O254</f>
        <v>2.5958466453674209E-2</v>
      </c>
      <c r="O253">
        <f ca="1">'ETF variations'!O253/'ETF price'!P254</f>
        <v>-1.1848341232233549E-4</v>
      </c>
      <c r="P253">
        <f ca="1">'ETF variations'!P253/'ETF price'!Q254</f>
        <v>1.8030394092900142E-3</v>
      </c>
      <c r="Q253">
        <f ca="1">'ETF variations'!Q253/'ETF price'!R254</f>
        <v>1.7396907216494957E-2</v>
      </c>
      <c r="R253">
        <f ca="1">'ETF variations'!R253/'ETF price'!S254</f>
        <v>2.4633550488599366E-2</v>
      </c>
      <c r="S253">
        <f ca="1">'ETF variations'!S253/'ETF price'!T254</f>
        <v>-1.7871986699916863E-2</v>
      </c>
      <c r="T253">
        <f ca="1">'ETF variations'!T253/'ETF price'!U254</f>
        <v>-4.9379065641632219E-2</v>
      </c>
      <c r="U253">
        <f ca="1">'ETF variations'!U253/'ETF price'!V254</f>
        <v>1.5657475405292994E-2</v>
      </c>
      <c r="V253">
        <f ca="1">'ETF variations'!V253/'ETF price'!W254</f>
        <v>1.6025641025640944E-2</v>
      </c>
      <c r="W253">
        <f ca="1">'ETF variations'!W253/'ETF price'!X254</f>
        <v>1.5062055669357755E-2</v>
      </c>
      <c r="X253">
        <f ca="1">'ETF variations'!X253/'ETF price'!Y254</f>
        <v>1.1340893929286147E-2</v>
      </c>
      <c r="Y253">
        <f ca="1">'ETF variations'!Y253/'ETF price'!Z254</f>
        <v>1.5583729529846895E-2</v>
      </c>
      <c r="Z253">
        <f ca="1">'ETF variations'!Z253/'ETF price'!AA254</f>
        <v>2.2929592662530387E-2</v>
      </c>
      <c r="AA253">
        <f ca="1">'ETF variations'!AA253/'ETF price'!AB254</f>
        <v>1.354363106463225E-2</v>
      </c>
      <c r="AB253">
        <f ca="1">'ETF variations'!AB253/'ETF price'!AC254</f>
        <v>-9.8862152583473438E-3</v>
      </c>
      <c r="AC253">
        <f ca="1">'ETF variations'!AC253/'ETF price'!AD254</f>
        <v>1.057401812688826E-2</v>
      </c>
      <c r="AD253">
        <f ca="1">'ETF variations'!AD253/'ETF price'!AE254</f>
        <v>9.532888465204923E-3</v>
      </c>
      <c r="AE253">
        <f ca="1">'ETF variations'!AE253/'ETF price'!AF254</f>
        <v>0.125874125874126</v>
      </c>
      <c r="AF253">
        <f ca="1">'ETF variations'!AF253/'ETF price'!AG254</f>
        <v>0.11616954474097334</v>
      </c>
    </row>
    <row r="254" spans="1:32" x14ac:dyDescent="0.2">
      <c r="A254">
        <f ca="1">'ETF variations'!A254/'ETF price'!B255</f>
        <v>-1.9420618223013365E-2</v>
      </c>
      <c r="B254">
        <f ca="1">'ETF variations'!B254/'ETF price'!C255</f>
        <v>-2.071005917159776E-2</v>
      </c>
      <c r="C254">
        <f ca="1">'ETF variations'!C254/'ETF price'!D255</f>
        <v>2.6606010476978116E-2</v>
      </c>
      <c r="D254">
        <f ca="1">'ETF variations'!D254/'ETF price'!E255</f>
        <v>-1.689017144797144E-2</v>
      </c>
      <c r="E254">
        <f ca="1">'ETF variations'!E254/'ETF price'!F255</f>
        <v>-3.2872364543187552E-2</v>
      </c>
      <c r="F254">
        <f ca="1">'ETF variations'!F254/'ETF price'!G255</f>
        <v>-1.479007633587797E-2</v>
      </c>
      <c r="G254">
        <f ca="1">'ETF variations'!G254/'ETF price'!H255</f>
        <v>-8.6597938144330252E-3</v>
      </c>
      <c r="H254">
        <f ca="1">'ETF variations'!H254/'ETF price'!I255</f>
        <v>-1.0234133411868549E-2</v>
      </c>
      <c r="I254">
        <f ca="1">'ETF variations'!I254/'ETF price'!J255</f>
        <v>-9.0685583007536971E-3</v>
      </c>
      <c r="J254">
        <f ca="1">'ETF variations'!J254/'ETF price'!K255</f>
        <v>8.3516817250007755E-4</v>
      </c>
      <c r="K254">
        <f ca="1">'ETF variations'!K254/'ETF price'!L255</f>
        <v>-8.6496876501681759E-3</v>
      </c>
      <c r="L254">
        <f ca="1">'ETF variations'!L254/'ETF price'!M255</f>
        <v>-4.8369480418162308E-3</v>
      </c>
      <c r="M254">
        <f ca="1">'ETF variations'!M254/'ETF price'!N255</f>
        <v>-9.6829611119788311E-3</v>
      </c>
      <c r="N254">
        <f ca="1">'ETF variations'!N254/'ETF price'!O255</f>
        <v>-2.7247956403269862E-3</v>
      </c>
      <c r="O254">
        <f ca="1">'ETF variations'!O254/'ETF price'!P255</f>
        <v>1.8248607654935491E-2</v>
      </c>
      <c r="P254">
        <f ca="1">'ETF variations'!P254/'ETF price'!Q255</f>
        <v>1.6712375728488073E-2</v>
      </c>
      <c r="Q254">
        <f ca="1">'ETF variations'!Q254/'ETF price'!R255</f>
        <v>-1.5832805573147563E-2</v>
      </c>
      <c r="R254">
        <f ca="1">'ETF variations'!R254/'ETF price'!S255</f>
        <v>5.3645936817008372E-3</v>
      </c>
      <c r="S254">
        <f ca="1">'ETF variations'!S254/'ETF price'!T255</f>
        <v>-5.0782903089292191E-3</v>
      </c>
      <c r="T254">
        <f ca="1">'ETF variations'!T254/'ETF price'!U255</f>
        <v>7.4650077760498286E-3</v>
      </c>
      <c r="U254">
        <f ca="1">'ETF variations'!U254/'ETF price'!V255</f>
        <v>-3.2605729877216924E-2</v>
      </c>
      <c r="V254">
        <f ca="1">'ETF variations'!V254/'ETF price'!W255</f>
        <v>-7.4562661313449389E-3</v>
      </c>
      <c r="W254">
        <f ca="1">'ETF variations'!W254/'ETF price'!X255</f>
        <v>-8.4283000949666887E-3</v>
      </c>
      <c r="X254">
        <f ca="1">'ETF variations'!X254/'ETF price'!Y255</f>
        <v>-9.6745822339489394E-3</v>
      </c>
      <c r="Y254">
        <f ca="1">'ETF variations'!Y254/'ETF price'!Z255</f>
        <v>-8.062418725617743E-3</v>
      </c>
      <c r="Z254">
        <f ca="1">'ETF variations'!Z254/'ETF price'!AA255</f>
        <v>-2.927215189873416E-2</v>
      </c>
      <c r="AA254">
        <f ca="1">'ETF variations'!AA254/'ETF price'!AB255</f>
        <v>-1.8944519621109566E-2</v>
      </c>
      <c r="AB254">
        <f ca="1">'ETF variations'!AB254/'ETF price'!AC255</f>
        <v>2.6563677467972942E-2</v>
      </c>
      <c r="AC254">
        <f ca="1">'ETF variations'!AC254/'ETF price'!AD255</f>
        <v>4.4843049327353305E-3</v>
      </c>
      <c r="AD254">
        <f ca="1">'ETF variations'!AD254/'ETF price'!AE255</f>
        <v>4.7214353163362336E-3</v>
      </c>
      <c r="AE254">
        <f ca="1">'ETF variations'!AE254/'ETF price'!AF255</f>
        <v>-5.5900621118012465E-2</v>
      </c>
      <c r="AF254">
        <f ca="1">'ETF variations'!AF254/'ETF price'!AG255</f>
        <v>-1.8284106891701811E-2</v>
      </c>
    </row>
    <row r="255" spans="1:32" x14ac:dyDescent="0.2">
      <c r="A255">
        <f ca="1">'ETF variations'!A255/'ETF price'!B256</f>
        <v>2.9295263244759836E-2</v>
      </c>
      <c r="B255">
        <f ca="1">'ETF variations'!B255/'ETF price'!C256</f>
        <v>2.8604486726232677E-2</v>
      </c>
      <c r="C255">
        <f ca="1">'ETF variations'!C255/'ETF price'!D256</f>
        <v>1.3562508392641401E-2</v>
      </c>
      <c r="D255">
        <f ca="1">'ETF variations'!D255/'ETF price'!E256</f>
        <v>4.653371320037987E-2</v>
      </c>
      <c r="E255">
        <f ca="1">'ETF variations'!E255/'ETF price'!F256</f>
        <v>1.1251758087201219E-2</v>
      </c>
      <c r="F255">
        <f ca="1">'ETF variations'!F255/'ETF price'!G256</f>
        <v>2.8571428571428567E-2</v>
      </c>
      <c r="G255">
        <f ca="1">'ETF variations'!G255/'ETF price'!H256</f>
        <v>1.7470881863560803E-2</v>
      </c>
      <c r="H255">
        <f ca="1">'ETF variations'!H255/'ETF price'!I256</f>
        <v>9.2241315182621485E-3</v>
      </c>
      <c r="I255">
        <f ca="1">'ETF variations'!I255/'ETF price'!J256</f>
        <v>8.4194256894167124E-3</v>
      </c>
      <c r="J255">
        <f ca="1">'ETF variations'!J255/'ETF price'!K256</f>
        <v>1.0013654984069134E-2</v>
      </c>
      <c r="K255">
        <f ca="1">'ETF variations'!K255/'ETF price'!L256</f>
        <v>7.7556955889481411E-3</v>
      </c>
      <c r="L255">
        <f ca="1">'ETF variations'!L255/'ETF price'!M256</f>
        <v>1.583568516776427E-2</v>
      </c>
      <c r="M255">
        <f ca="1">'ETF variations'!M255/'ETF price'!N256</f>
        <v>8.6737107711718064E-3</v>
      </c>
      <c r="N255">
        <f ca="1">'ETF variations'!N255/'ETF price'!O256</f>
        <v>-1.5612802498049454E-3</v>
      </c>
      <c r="O255">
        <f ca="1">'ETF variations'!O255/'ETF price'!P256</f>
        <v>1.8968928197369898E-2</v>
      </c>
      <c r="P255">
        <f ca="1">'ETF variations'!P255/'ETF price'!Q256</f>
        <v>1.6943437579027273E-2</v>
      </c>
      <c r="Q255">
        <f ca="1">'ETF variations'!Q255/'ETF price'!R256</f>
        <v>3.4362934362934382E-2</v>
      </c>
      <c r="R255">
        <f ca="1">'ETF variations'!R255/'ETF price'!S256</f>
        <v>4.4861660079051305E-2</v>
      </c>
      <c r="S255">
        <f ca="1">'ETF variations'!S255/'ETF price'!T256</f>
        <v>5.5295618885580176E-3</v>
      </c>
      <c r="T255">
        <f ca="1">'ETF variations'!T255/'ETF price'!U256</f>
        <v>7.7184316146954545E-4</v>
      </c>
      <c r="U255">
        <f ca="1">'ETF variations'!U255/'ETF price'!V256</f>
        <v>4.1743054576223494E-2</v>
      </c>
      <c r="V255">
        <f ca="1">'ETF variations'!V255/'ETF price'!W256</f>
        <v>2.2247905229702488E-2</v>
      </c>
      <c r="W255">
        <f ca="1">'ETF variations'!W255/'ETF price'!X256</f>
        <v>2.4182928289237352E-2</v>
      </c>
      <c r="X255">
        <f ca="1">'ETF variations'!X255/'ETF price'!Y256</f>
        <v>2.686500888099469E-2</v>
      </c>
      <c r="Y255">
        <f ca="1">'ETF variations'!Y255/'ETF price'!Z256</f>
        <v>2.3203985317252176E-2</v>
      </c>
      <c r="Z255">
        <f ca="1">'ETF variations'!Z255/'ETF price'!AA256</f>
        <v>2.9068187992393378E-2</v>
      </c>
      <c r="AA255">
        <f ca="1">'ETF variations'!AA255/'ETF price'!AB256</f>
        <v>2.9310344827586255E-2</v>
      </c>
      <c r="AB255">
        <f ca="1">'ETF variations'!AB255/'ETF price'!AC256</f>
        <v>2.936318590567014E-3</v>
      </c>
      <c r="AC255">
        <f ca="1">'ETF variations'!AC255/'ETF price'!AD256</f>
        <v>2.976190476190545E-3</v>
      </c>
      <c r="AD255">
        <f ca="1">'ETF variations'!AD255/'ETF price'!AE256</f>
        <v>2.8195488721803907E-3</v>
      </c>
      <c r="AE255">
        <f ca="1">'ETF variations'!AE255/'ETF price'!AF256</f>
        <v>1.3157894736842117E-2</v>
      </c>
      <c r="AF255">
        <f ca="1">'ETF variations'!AF255/'ETF price'!AG256</f>
        <v>1.2893982808022902E-2</v>
      </c>
    </row>
    <row r="256" spans="1:32" x14ac:dyDescent="0.2">
      <c r="A256">
        <f ca="1">'ETF variations'!A256/'ETF price'!B257</f>
        <v>1.1625110238114349E-2</v>
      </c>
      <c r="B256">
        <f ca="1">'ETF variations'!B256/'ETF price'!C257</f>
        <v>1.2529683789526279E-2</v>
      </c>
      <c r="C256">
        <f ca="1">'ETF variations'!C256/'ETF price'!D257</f>
        <v>7.0217276099629189E-3</v>
      </c>
      <c r="D256">
        <f ca="1">'ETF variations'!D256/'ETF price'!E257</f>
        <v>1.8478798878072883E-2</v>
      </c>
      <c r="E256">
        <f ca="1">'ETF variations'!E256/'ETF price'!F257</f>
        <v>-2.3180343069072811E-4</v>
      </c>
      <c r="F256">
        <f ca="1">'ETF variations'!F256/'ETF price'!G257</f>
        <v>1.5536723163841895E-2</v>
      </c>
      <c r="G256">
        <f ca="1">'ETF variations'!G256/'ETF price'!H257</f>
        <v>5.7236304170073821E-3</v>
      </c>
      <c r="H256">
        <f ca="1">'ETF variations'!H256/'ETF price'!I257</f>
        <v>-1.673177563204822E-2</v>
      </c>
      <c r="I256">
        <f ca="1">'ETF variations'!I256/'ETF price'!J257</f>
        <v>-1.5649578510063305E-2</v>
      </c>
      <c r="J256">
        <f ca="1">'ETF variations'!J256/'ETF price'!K257</f>
        <v>-2.1481147664112854E-2</v>
      </c>
      <c r="K256">
        <f ca="1">'ETF variations'!K256/'ETF price'!L257</f>
        <v>-2.2727272727272735E-2</v>
      </c>
      <c r="L256">
        <f ca="1">'ETF variations'!L256/'ETF price'!M257</f>
        <v>-2.6238617070535618E-2</v>
      </c>
      <c r="M256">
        <f ca="1">'ETF variations'!M256/'ETF price'!N257</f>
        <v>-1.5322076297686116E-2</v>
      </c>
      <c r="N256">
        <f ca="1">'ETF variations'!N256/'ETF price'!O257</f>
        <v>-1.5637216575449517E-2</v>
      </c>
      <c r="O256">
        <f ca="1">'ETF variations'!O256/'ETF price'!P257</f>
        <v>-3.5404294198264304E-3</v>
      </c>
      <c r="P256">
        <f ca="1">'ETF variations'!P256/'ETF price'!Q257</f>
        <v>-1.740716180371301E-3</v>
      </c>
      <c r="Q256">
        <f ca="1">'ETF variations'!Q256/'ETF price'!R257</f>
        <v>6.3456513624485615E-3</v>
      </c>
      <c r="R256">
        <f ca="1">'ETF variations'!R256/'ETF price'!S257</f>
        <v>-1.5131454511064554E-3</v>
      </c>
      <c r="S256">
        <f ca="1">'ETF variations'!S256/'ETF price'!T257</f>
        <v>1.1844331641286003E-2</v>
      </c>
      <c r="T256">
        <f ca="1">'ETF variations'!T256/'ETF price'!U257</f>
        <v>1.6196205460434942E-2</v>
      </c>
      <c r="U256">
        <f ca="1">'ETF variations'!U256/'ETF price'!V257</f>
        <v>1.1371328008663723E-2</v>
      </c>
      <c r="V256">
        <f ca="1">'ETF variations'!V256/'ETF price'!W257</f>
        <v>-3.6743923120407728E-3</v>
      </c>
      <c r="W256">
        <f ca="1">'ETF variations'!W256/'ETF price'!X257</f>
        <v>-3.6236119228521598E-3</v>
      </c>
      <c r="X256">
        <f ca="1">'ETF variations'!X256/'ETF price'!Y257</f>
        <v>-6.270270270270252E-3</v>
      </c>
      <c r="Y256">
        <f ca="1">'ETF variations'!Y256/'ETF price'!Z257</f>
        <v>-2.6905829596411755E-3</v>
      </c>
      <c r="Z256">
        <f ca="1">'ETF variations'!Z256/'ETF price'!AA257</f>
        <v>-5.2798310454073717E-4</v>
      </c>
      <c r="AA256">
        <f ca="1">'ETF variations'!AA256/'ETF price'!AB257</f>
        <v>-9.04522613065337E-3</v>
      </c>
      <c r="AB256">
        <f ca="1">'ETF variations'!AB256/'ETF price'!AC257</f>
        <v>7.5022872827082109E-3</v>
      </c>
      <c r="AC256">
        <f ca="1">'ETF variations'!AC256/'ETF price'!AD257</f>
        <v>1.9287833827893158E-2</v>
      </c>
      <c r="AD256">
        <f ca="1">'ETF variations'!AD256/'ETF price'!AE257</f>
        <v>1.9681349578256874E-2</v>
      </c>
      <c r="AE256">
        <f ca="1">'ETF variations'!AE256/'ETF price'!AF257</f>
        <v>5.844155844155835E-2</v>
      </c>
      <c r="AF256">
        <f ca="1">'ETF variations'!AF256/'ETF price'!AG257</f>
        <v>9.6181046676096144E-2</v>
      </c>
    </row>
    <row r="257" spans="1:32" x14ac:dyDescent="0.2">
      <c r="A257">
        <f ca="1">'ETF variations'!A257/'ETF price'!B258</f>
        <v>6.1816452686637097E-3</v>
      </c>
      <c r="B257">
        <f ca="1">'ETF variations'!B257/'ETF price'!C258</f>
        <v>6.4804814071901433E-3</v>
      </c>
      <c r="C257">
        <f ca="1">'ETF variations'!C257/'ETF price'!D258</f>
        <v>1.8681752400999889E-2</v>
      </c>
      <c r="D257">
        <f ca="1">'ETF variations'!D257/'ETF price'!E258</f>
        <v>1.2878665154706006E-2</v>
      </c>
      <c r="E257">
        <f ca="1">'ETF variations'!E257/'ETF price'!F258</f>
        <v>9.2742870391836641E-4</v>
      </c>
      <c r="F257">
        <f ca="1">'ETF variations'!F257/'ETF price'!G258</f>
        <v>6.4904960593417044E-3</v>
      </c>
      <c r="G257">
        <f ca="1">'ETF variations'!G257/'ETF price'!H258</f>
        <v>9.7560975609755456E-3</v>
      </c>
      <c r="H257">
        <f ca="1">'ETF variations'!H257/'ETF price'!I258</f>
        <v>8.3958020989505586E-3</v>
      </c>
      <c r="I257">
        <f ca="1">'ETF variations'!I257/'ETF price'!J258</f>
        <v>1.0038926449498007E-2</v>
      </c>
      <c r="J257">
        <f ca="1">'ETF variations'!J257/'ETF price'!K258</f>
        <v>2.2643536997236632E-2</v>
      </c>
      <c r="K257">
        <f ca="1">'ETF variations'!K257/'ETF price'!L258</f>
        <v>2.842377260981915E-2</v>
      </c>
      <c r="L257">
        <f ca="1">'ETF variations'!L257/'ETF price'!M258</f>
        <v>2.9957203994293875E-2</v>
      </c>
      <c r="M257">
        <f ca="1">'ETF variations'!M257/'ETF price'!N258</f>
        <v>1.0003175611305218E-2</v>
      </c>
      <c r="N257">
        <f ca="1">'ETF variations'!N257/'ETF price'!O258</f>
        <v>3.0182684670373376E-2</v>
      </c>
      <c r="O257">
        <f ca="1">'ETF variations'!O257/'ETF price'!P258</f>
        <v>7.1060171919771296E-3</v>
      </c>
      <c r="P257">
        <f ca="1">'ETF variations'!P257/'ETF price'!Q258</f>
        <v>8.3035788424811081E-3</v>
      </c>
      <c r="Q257">
        <f ca="1">'ETF variations'!Q257/'ETF price'!R258</f>
        <v>1.0014836795252254E-2</v>
      </c>
      <c r="R257">
        <f ca="1">'ETF variations'!R257/'ETF price'!S258</f>
        <v>2.4815305929153292E-2</v>
      </c>
      <c r="S257">
        <f ca="1">'ETF variations'!S257/'ETF price'!T258</f>
        <v>0</v>
      </c>
      <c r="T257">
        <f ca="1">'ETF variations'!T257/'ETF price'!U258</f>
        <v>3.0358227079554088E-4</v>
      </c>
      <c r="U257">
        <f ca="1">'ETF variations'!U257/'ETF price'!V258</f>
        <v>3.1187257395261847E-2</v>
      </c>
      <c r="V257">
        <f ca="1">'ETF variations'!V257/'ETF price'!W258</f>
        <v>5.673758865248308E-3</v>
      </c>
      <c r="W257">
        <f ca="1">'ETF variations'!W257/'ETF price'!X258</f>
        <v>7.7428437353356501E-3</v>
      </c>
      <c r="X257">
        <f ca="1">'ETF variations'!X257/'ETF price'!Y258</f>
        <v>7.3977371627501369E-3</v>
      </c>
      <c r="Y257">
        <f ca="1">'ETF variations'!Y257/'ETF price'!Z258</f>
        <v>6.5519013360738811E-3</v>
      </c>
      <c r="Z257">
        <f ca="1">'ETF variations'!Z257/'ETF price'!AA258</f>
        <v>2.9054410987849823E-3</v>
      </c>
      <c r="AA257">
        <f ca="1">'ETF variations'!AA257/'ETF price'!AB258</f>
        <v>7.6064908722110018E-3</v>
      </c>
      <c r="AB257">
        <f ca="1">'ETF variations'!AB257/'ETF price'!AC258</f>
        <v>1.0170722847802309E-2</v>
      </c>
      <c r="AC257">
        <f ca="1">'ETF variations'!AC257/'ETF price'!AD258</f>
        <v>1.746724890829696E-2</v>
      </c>
      <c r="AD257">
        <f ca="1">'ETF variations'!AD257/'ETF price'!AE258</f>
        <v>1.8382352941176405E-2</v>
      </c>
      <c r="AE257">
        <f ca="1">'ETF variations'!AE257/'ETF price'!AF258</f>
        <v>9.2024539877300707E-2</v>
      </c>
      <c r="AF257">
        <f ca="1">'ETF variations'!AF257/'ETF price'!AG258</f>
        <v>8.1290322580645266E-2</v>
      </c>
    </row>
    <row r="258" spans="1:32" x14ac:dyDescent="0.2">
      <c r="A258">
        <f ca="1">'ETF variations'!A258/'ETF price'!B259</f>
        <v>1.7328292375551377E-2</v>
      </c>
      <c r="B258">
        <f ca="1">'ETF variations'!B258/'ETF price'!C259</f>
        <v>1.6863406408094438E-2</v>
      </c>
      <c r="C258">
        <f ca="1">'ETF variations'!C258/'ETF price'!D259</f>
        <v>7.1031899780446481E-3</v>
      </c>
      <c r="D258">
        <f ca="1">'ETF variations'!D258/'ETF price'!E259</f>
        <v>1.2954818072770928E-2</v>
      </c>
      <c r="E258">
        <f ca="1">'ETF variations'!E258/'ETF price'!F259</f>
        <v>6.9492703266156395E-3</v>
      </c>
      <c r="F258">
        <f ca="1">'ETF variations'!F258/'ETF price'!G259</f>
        <v>1.9806540764624583E-2</v>
      </c>
      <c r="G258">
        <f ca="1">'ETF variations'!G258/'ETF price'!H259</f>
        <v>1.650563607085347E-2</v>
      </c>
      <c r="H258">
        <f ca="1">'ETF variations'!H258/'ETF price'!I259</f>
        <v>5.6497175141242261E-3</v>
      </c>
      <c r="I258">
        <f ca="1">'ETF variations'!I258/'ETF price'!J259</f>
        <v>6.2880324543611006E-3</v>
      </c>
      <c r="J258">
        <f ca="1">'ETF variations'!J258/'ETF price'!K259</f>
        <v>5.7044209262179643E-3</v>
      </c>
      <c r="K258">
        <f ca="1">'ETF variations'!K258/'ETF price'!L259</f>
        <v>9.5716678631251155E-3</v>
      </c>
      <c r="L258">
        <f ca="1">'ETF variations'!L258/'ETF price'!M259</f>
        <v>9.6952908587256918E-3</v>
      </c>
      <c r="M258">
        <f ca="1">'ETF variations'!M258/'ETF price'!N259</f>
        <v>5.9739034742965344E-3</v>
      </c>
      <c r="N258">
        <f ca="1">'ETF variations'!N258/'ETF price'!O259</f>
        <v>1.8118735543562022E-2</v>
      </c>
      <c r="O258">
        <f ca="1">'ETF variations'!O258/'ETF price'!P259</f>
        <v>3.0727210652099239E-3</v>
      </c>
      <c r="P258">
        <f ca="1">'ETF variations'!P258/'ETF price'!Q259</f>
        <v>3.4587828378488633E-3</v>
      </c>
      <c r="Q258">
        <f ca="1">'ETF variations'!Q258/'ETF price'!R259</f>
        <v>1.566899253274576E-2</v>
      </c>
      <c r="R258">
        <f ca="1">'ETF variations'!R258/'ETF price'!S259</f>
        <v>5.360443622920502E-3</v>
      </c>
      <c r="S258">
        <f ca="1">'ETF variations'!S258/'ETF price'!T259</f>
        <v>1.797658862876253E-2</v>
      </c>
      <c r="T258">
        <f ca="1">'ETF variations'!T258/'ETF price'!U259</f>
        <v>3.2625189681335223E-2</v>
      </c>
      <c r="U258">
        <f ca="1">'ETF variations'!U258/'ETF price'!V259</f>
        <v>4.1147455867081871E-2</v>
      </c>
      <c r="V258">
        <f ca="1">'ETF variations'!V258/'ETF price'!W259</f>
        <v>9.3088857545838722E-3</v>
      </c>
      <c r="W258">
        <f ca="1">'ETF variations'!W258/'ETF price'!X259</f>
        <v>8.6146682188590791E-3</v>
      </c>
      <c r="X258">
        <f ca="1">'ETF variations'!X258/'ETF price'!Y259</f>
        <v>8.6393088552917004E-3</v>
      </c>
      <c r="Y258">
        <f ca="1">'ETF variations'!Y258/'ETF price'!Z259</f>
        <v>9.1895341416719702E-3</v>
      </c>
      <c r="Z258">
        <f ca="1">'ETF variations'!Z258/'ETF price'!AA259</f>
        <v>3.6344482486173363E-2</v>
      </c>
      <c r="AA258">
        <f ca="1">'ETF variations'!AA258/'ETF price'!AB259</f>
        <v>5.5359838953195489E-3</v>
      </c>
      <c r="AB258">
        <f ca="1">'ETF variations'!AB258/'ETF price'!AC259</f>
        <v>6.6522833513125599E-3</v>
      </c>
      <c r="AC258">
        <f ca="1">'ETF variations'!AC258/'ETF price'!AD259</f>
        <v>4.2918454935621398E-3</v>
      </c>
      <c r="AD258">
        <f ca="1">'ETF variations'!AD258/'ETF price'!AE259</f>
        <v>4.512635379061436E-3</v>
      </c>
      <c r="AE258">
        <f ca="1">'ETF variations'!AE258/'ETF price'!AF259</f>
        <v>1.6853932584269676E-2</v>
      </c>
      <c r="AF258">
        <f ca="1">'ETF variations'!AF258/'ETF price'!AG259</f>
        <v>-1.4319809069212527E-2</v>
      </c>
    </row>
    <row r="259" spans="1:32" x14ac:dyDescent="0.2">
      <c r="A259">
        <f ca="1">'ETF variations'!A259/'ETF price'!B260</f>
        <v>7.4326416847321766E-3</v>
      </c>
      <c r="B259">
        <f ca="1">'ETF variations'!B259/'ETF price'!C260</f>
        <v>7.8094376601840253E-3</v>
      </c>
      <c r="C259">
        <f ca="1">'ETF variations'!C259/'ETF price'!D260</f>
        <v>5.0012823800974675E-3</v>
      </c>
      <c r="D259">
        <f ca="1">'ETF variations'!D259/'ETF price'!E260</f>
        <v>1.2157574800663189E-2</v>
      </c>
      <c r="E259">
        <f ca="1">'ETF variations'!E259/'ETF price'!F260</f>
        <v>-9.2017483321829184E-4</v>
      </c>
      <c r="F259">
        <f ca="1">'ETF variations'!F259/'ETF price'!G260</f>
        <v>1.3550135501355046E-2</v>
      </c>
      <c r="G259">
        <f ca="1">'ETF variations'!G259/'ETF price'!H260</f>
        <v>4.3564356435643343E-3</v>
      </c>
      <c r="H259">
        <f ca="1">'ETF variations'!H259/'ETF price'!I260</f>
        <v>-3.1785925487877501E-3</v>
      </c>
      <c r="I259">
        <f ca="1">'ETF variations'!I259/'ETF price'!J260</f>
        <v>-4.8377343277566839E-4</v>
      </c>
      <c r="J259">
        <f ca="1">'ETF variations'!J259/'ETF price'!K260</f>
        <v>8.3588327487126232E-3</v>
      </c>
      <c r="K259">
        <f ca="1">'ETF variations'!K259/'ETF price'!L260</f>
        <v>4.195306944773651E-2</v>
      </c>
      <c r="L259">
        <f ca="1">'ETF variations'!L259/'ETF price'!M260</f>
        <v>1.9966468526139342E-2</v>
      </c>
      <c r="M259">
        <f ca="1">'ETF variations'!M259/'ETF price'!N260</f>
        <v>-3.1254883575563565E-4</v>
      </c>
      <c r="N259">
        <f ca="1">'ETF variations'!N259/'ETF price'!O260</f>
        <v>1.24952669443392E-2</v>
      </c>
      <c r="O259">
        <f ca="1">'ETF variations'!O259/'ETF price'!P260</f>
        <v>1.9060585432266765E-2</v>
      </c>
      <c r="P259">
        <f ca="1">'ETF variations'!P259/'ETF price'!Q260</f>
        <v>2.0106688551497769E-2</v>
      </c>
      <c r="Q259">
        <f ca="1">'ETF variations'!Q259/'ETF price'!R260</f>
        <v>3.7362902253826958E-3</v>
      </c>
      <c r="R259">
        <f ca="1">'ETF variations'!R259/'ETF price'!S260</f>
        <v>2.0040448611877114E-2</v>
      </c>
      <c r="S259">
        <f ca="1">'ETF variations'!S259/'ETF price'!T260</f>
        <v>8.2135523613962747E-3</v>
      </c>
      <c r="T259">
        <f ca="1">'ETF variations'!T259/'ETF price'!U260</f>
        <v>8.2292432035268523E-3</v>
      </c>
      <c r="U259">
        <f ca="1">'ETF variations'!U259/'ETF price'!V260</f>
        <v>1.8326891908739724E-2</v>
      </c>
      <c r="V259">
        <f ca="1">'ETF variations'!V259/'ETF price'!W260</f>
        <v>1.9564002235886047E-3</v>
      </c>
      <c r="W259">
        <f ca="1">'ETF variations'!W259/'ETF price'!X260</f>
        <v>5.0784856879039445E-3</v>
      </c>
      <c r="X259">
        <f ca="1">'ETF variations'!X259/'ETF price'!Y260</f>
        <v>9.6359743040684304E-3</v>
      </c>
      <c r="Y259">
        <f ca="1">'ETF variations'!Y259/'ETF price'!Z260</f>
        <v>4.1735171367144625E-3</v>
      </c>
      <c r="Z259">
        <f ca="1">'ETF variations'!Z259/'ETF price'!AA260</f>
        <v>1.1181702668360806E-2</v>
      </c>
      <c r="AA259">
        <f ca="1">'ETF variations'!AA259/'ETF price'!AB260</f>
        <v>1.2345679012345713E-2</v>
      </c>
      <c r="AB259">
        <f ca="1">'ETF variations'!AB259/'ETF price'!AC260</f>
        <v>5.7153063046972725E-3</v>
      </c>
      <c r="AC259">
        <f ca="1">'ETF variations'!AC259/'ETF price'!AD260</f>
        <v>8.8319088319088343E-2</v>
      </c>
      <c r="AD259">
        <f ca="1">'ETF variations'!AD259/'ETF price'!AE260</f>
        <v>8.7151841868822896E-2</v>
      </c>
      <c r="AE259">
        <f ca="1">'ETF variations'!AE259/'ETF price'!AF260</f>
        <v>8.2872928176795535E-2</v>
      </c>
      <c r="AF259">
        <f ca="1">'ETF variations'!AF259/'ETF price'!AG260</f>
        <v>0.1501210653753027</v>
      </c>
    </row>
    <row r="260" spans="1:32" x14ac:dyDescent="0.2">
      <c r="A260">
        <f ca="1">'ETF variations'!A260/'ETF price'!B261</f>
        <v>2.8435290501076277E-3</v>
      </c>
      <c r="B260">
        <f ca="1">'ETF variations'!B260/'ETF price'!C261</f>
        <v>4.2185256103397803E-3</v>
      </c>
      <c r="C260">
        <f ca="1">'ETF variations'!C260/'ETF price'!D261</f>
        <v>4.2107949470460418E-3</v>
      </c>
      <c r="D260">
        <f ca="1">'ETF variations'!D260/'ETF price'!E261</f>
        <v>4.1338429139692774E-3</v>
      </c>
      <c r="E260">
        <f ca="1">'ETF variations'!E260/'ETF price'!F261</f>
        <v>6.216900759843498E-3</v>
      </c>
      <c r="F260">
        <f ca="1">'ETF variations'!F260/'ETF price'!G261</f>
        <v>2.2281639928697482E-3</v>
      </c>
      <c r="G260">
        <f ca="1">'ETF variations'!G260/'ETF price'!H261</f>
        <v>3.5488958990536222E-3</v>
      </c>
      <c r="H260">
        <f ca="1">'ETF variations'!H260/'ETF price'!I261</f>
        <v>4.4493882091212042E-3</v>
      </c>
      <c r="I260">
        <f ca="1">'ETF variations'!I260/'ETF price'!J261</f>
        <v>4.3157342798370232E-3</v>
      </c>
      <c r="J260">
        <f ca="1">'ETF variations'!J260/'ETF price'!K261</f>
        <v>8.2895418547848116E-3</v>
      </c>
      <c r="K260">
        <f ca="1">'ETF variations'!K260/'ETF price'!L261</f>
        <v>-4.5495905368523942E-4</v>
      </c>
      <c r="L260">
        <f ca="1">'ETF variations'!L260/'ETF price'!M261</f>
        <v>1.4943215780043509E-4</v>
      </c>
      <c r="M260">
        <f ca="1">'ETF variations'!M260/'ETF price'!N261</f>
        <v>5.0023448491481534E-3</v>
      </c>
      <c r="N260">
        <f ca="1">'ETF variations'!N260/'ETF price'!O261</f>
        <v>1.7202692595362785E-2</v>
      </c>
      <c r="O260">
        <f ca="1">'ETF variations'!O260/'ETF price'!P261</f>
        <v>1.4473391226899317E-3</v>
      </c>
      <c r="P260">
        <f ca="1">'ETF variations'!P260/'ETF price'!Q261</f>
        <v>2.172164119066742E-3</v>
      </c>
      <c r="Q260">
        <f ca="1">'ETF variations'!Q260/'ETF price'!R261</f>
        <v>6.1239193083574102E-3</v>
      </c>
      <c r="R260">
        <f ca="1">'ETF variations'!R260/'ETF price'!S261</f>
        <v>1.3338139870223541E-2</v>
      </c>
      <c r="S260">
        <f ca="1">'ETF variations'!S260/'ETF price'!T261</f>
        <v>9.7759674134418918E-3</v>
      </c>
      <c r="T260">
        <f ca="1">'ETF variations'!T260/'ETF price'!U261</f>
        <v>2.0988194140795769E-2</v>
      </c>
      <c r="U260">
        <f ca="1">'ETF variations'!U260/'ETF price'!V261</f>
        <v>7.3457394711052963E-4</v>
      </c>
      <c r="V260">
        <f ca="1">'ETF variations'!V260/'ETF price'!W261</f>
        <v>7.5313807531379642E-3</v>
      </c>
      <c r="W260">
        <f ca="1">'ETF variations'!W260/'ETF price'!X261</f>
        <v>6.5457050987598464E-3</v>
      </c>
      <c r="X260">
        <f ca="1">'ETF variations'!X260/'ETF price'!Y261</f>
        <v>2.5450689289502554E-3</v>
      </c>
      <c r="Y260">
        <f ca="1">'ETF variations'!Y260/'ETF price'!Z261</f>
        <v>6.0453400503777044E-3</v>
      </c>
      <c r="Z260">
        <f ca="1">'ETF variations'!Z260/'ETF price'!AA261</f>
        <v>-5.7803468208091702E-3</v>
      </c>
      <c r="AA260">
        <f ca="1">'ETF variations'!AA260/'ETF price'!AB261</f>
        <v>-1.1535926170072558E-3</v>
      </c>
      <c r="AB260">
        <f ca="1">'ETF variations'!AB260/'ETF price'!AC261</f>
        <v>-3.3741786538803911E-3</v>
      </c>
      <c r="AC260">
        <f ca="1">'ETF variations'!AC260/'ETF price'!AD261</f>
        <v>2.0942408376963369E-2</v>
      </c>
      <c r="AD260">
        <f ca="1">'ETF variations'!AD260/'ETF price'!AE261</f>
        <v>2.3140495867768691E-2</v>
      </c>
      <c r="AE260">
        <f ca="1">'ETF variations'!AE260/'ETF price'!AF261</f>
        <v>9.1836734693877639E-2</v>
      </c>
      <c r="AF260">
        <f ca="1">'ETF variations'!AF260/'ETF price'!AG261</f>
        <v>2.3684210526315752E-2</v>
      </c>
    </row>
    <row r="261" spans="1:32" x14ac:dyDescent="0.2">
      <c r="A261">
        <f ca="1">'ETF variations'!A261/'ETF price'!B262</f>
        <v>4.5214192658441519E-3</v>
      </c>
      <c r="B261">
        <f ca="1">'ETF variations'!B261/'ETF price'!C262</f>
        <v>5.0052137643378722E-3</v>
      </c>
      <c r="C261">
        <f ca="1">'ETF variations'!C261/'ETF price'!D262</f>
        <v>-1.1435832274460047E-2</v>
      </c>
      <c r="D261">
        <f ca="1">'ETF variations'!D261/'ETF price'!E262</f>
        <v>1.0874631039302963E-3</v>
      </c>
      <c r="E261">
        <f ca="1">'ETF variations'!E261/'ETF price'!F262</f>
        <v>1.3729977116704675E-2</v>
      </c>
      <c r="F261">
        <f ca="1">'ETF variations'!F261/'ETF price'!G262</f>
        <v>1.5562472209871118E-2</v>
      </c>
      <c r="G261">
        <f ca="1">'ETF variations'!G261/'ETF price'!H262</f>
        <v>1.9646365422397137E-3</v>
      </c>
      <c r="H261">
        <f ca="1">'ETF variations'!H261/'ETF price'!I262</f>
        <v>-4.6511627906976414E-3</v>
      </c>
      <c r="I261">
        <f ca="1">'ETF variations'!I261/'ETF price'!J262</f>
        <v>-3.9357429718875087E-3</v>
      </c>
      <c r="J261">
        <f ca="1">'ETF variations'!J261/'ETF price'!K262</f>
        <v>3.670263524921924E-4</v>
      </c>
      <c r="K261">
        <f ca="1">'ETF variations'!K261/'ETF price'!L262</f>
        <v>-1.160673645880742E-2</v>
      </c>
      <c r="L261">
        <f ca="1">'ETF variations'!L261/'ETF price'!M262</f>
        <v>-5.9763932466765644E-4</v>
      </c>
      <c r="M261">
        <f ca="1">'ETF variations'!M261/'ETF price'!N262</f>
        <v>-5.2885363198009547E-3</v>
      </c>
      <c r="N261">
        <f ca="1">'ETF variations'!N261/'ETF price'!O262</f>
        <v>-2.9411764705881728E-3</v>
      </c>
      <c r="O261">
        <f ca="1">'ETF variations'!O261/'ETF price'!P262</f>
        <v>2.1122846025569508E-3</v>
      </c>
      <c r="P261">
        <f ca="1">'ETF variations'!P261/'ETF price'!Q262</f>
        <v>1.0435899494261032E-3</v>
      </c>
      <c r="Q261">
        <f ca="1">'ETF variations'!Q261/'ETF price'!R262</f>
        <v>-1.0025062656641643E-2</v>
      </c>
      <c r="R261">
        <f ca="1">'ETF variations'!R261/'ETF price'!S262</f>
        <v>-1.0138740661686237E-2</v>
      </c>
      <c r="S261">
        <f ca="1">'ETF variations'!S261/'ETF price'!T262</f>
        <v>6.8576038725293147E-3</v>
      </c>
      <c r="T261">
        <f ca="1">'ETF variations'!T261/'ETF price'!U262</f>
        <v>1.1563169164882261E-2</v>
      </c>
      <c r="U261">
        <f ca="1">'ETF variations'!U261/'ETF price'!V262</f>
        <v>6.7286518228530882E-3</v>
      </c>
      <c r="V261">
        <f ca="1">'ETF variations'!V261/'ETF price'!W262</f>
        <v>-6.6445182724251079E-3</v>
      </c>
      <c r="W261">
        <f ca="1">'ETF variations'!W261/'ETF price'!X262</f>
        <v>-6.0467769537935097E-3</v>
      </c>
      <c r="X261">
        <f ca="1">'ETF variations'!X261/'ETF price'!Y262</f>
        <v>-3.8079119949227776E-3</v>
      </c>
      <c r="Y261">
        <f ca="1">'ETF variations'!Y261/'ETF price'!Z262</f>
        <v>-5.5082623935903572E-3</v>
      </c>
      <c r="Z261">
        <f ca="1">'ETF variations'!Z261/'ETF price'!AA262</f>
        <v>2.5278058645091027E-4</v>
      </c>
      <c r="AA261">
        <f ca="1">'ETF variations'!AA261/'ETF price'!AB262</f>
        <v>-6.1046032007919067E-3</v>
      </c>
      <c r="AB261">
        <f ca="1">'ETF variations'!AB261/'ETF price'!AC262</f>
        <v>-1.8175338560228013E-2</v>
      </c>
      <c r="AC261">
        <f ca="1">'ETF variations'!AC261/'ETF price'!AD262</f>
        <v>9.743589743589752E-2</v>
      </c>
      <c r="AD261">
        <f ca="1">'ETF variations'!AD261/'ETF price'!AE262</f>
        <v>0.10016155088852975</v>
      </c>
      <c r="AE261">
        <f ca="1">'ETF variations'!AE261/'ETF price'!AF262</f>
        <v>0</v>
      </c>
      <c r="AF261">
        <f ca="1">'ETF variations'!AF261/'ETF price'!AG262</f>
        <v>6.6838046272493609E-2</v>
      </c>
    </row>
    <row r="262" spans="1:32" x14ac:dyDescent="0.2">
      <c r="A262">
        <f ca="1">'ETF variations'!A262/'ETF price'!B263</f>
        <v>-1.2892889838266905E-2</v>
      </c>
      <c r="B262">
        <f ca="1">'ETF variations'!B262/'ETF price'!C263</f>
        <v>-1.2598938724690955E-2</v>
      </c>
      <c r="C262">
        <f ca="1">'ETF variations'!C262/'ETF price'!D263</f>
        <v>-7.8406169665809697E-3</v>
      </c>
      <c r="D262">
        <f ca="1">'ETF variations'!D262/'ETF price'!E263</f>
        <v>-5.1986343885784261E-3</v>
      </c>
      <c r="E262">
        <f ca="1">'ETF variations'!E262/'ETF price'!F263</f>
        <v>-1.4898419864559743E-2</v>
      </c>
      <c r="F262">
        <f ca="1">'ETF variations'!F262/'ETF price'!G263</f>
        <v>-8.3187390542907736E-3</v>
      </c>
      <c r="G262">
        <f ca="1">'ETF variations'!G262/'ETF price'!H263</f>
        <v>-1.1372549019607809E-2</v>
      </c>
      <c r="H262">
        <f ca="1">'ETF variations'!H262/'ETF price'!I263</f>
        <v>-1.4092864560154322E-2</v>
      </c>
      <c r="I262">
        <f ca="1">'ETF variations'!I262/'ETF price'!J263</f>
        <v>-1.4031126522054746E-2</v>
      </c>
      <c r="J262">
        <f ca="1">'ETF variations'!J262/'ETF price'!K263</f>
        <v>-7.4845905488700485E-3</v>
      </c>
      <c r="K262">
        <f ca="1">'ETF variations'!K262/'ETF price'!L263</f>
        <v>-1.2433801519686833E-2</v>
      </c>
      <c r="L262">
        <f ca="1">'ETF variations'!L262/'ETF price'!M263</f>
        <v>-2.0929884885633214E-3</v>
      </c>
      <c r="M262">
        <f ca="1">'ETF variations'!M262/'ETF price'!N263</f>
        <v>-1.3448006254886621E-2</v>
      </c>
      <c r="N262">
        <f ca="1">'ETF variations'!N262/'ETF price'!O263</f>
        <v>-5.1622418879056255E-3</v>
      </c>
      <c r="O262">
        <f ca="1">'ETF variations'!O262/'ETF price'!P263</f>
        <v>-1.8304859108054201E-2</v>
      </c>
      <c r="P262">
        <f ca="1">'ETF variations'!P262/'ETF price'!Q263</f>
        <v>-1.8765036086607886E-2</v>
      </c>
      <c r="Q262">
        <f ca="1">'ETF variations'!Q262/'ETF price'!R263</f>
        <v>-1.4104882459312859E-2</v>
      </c>
      <c r="R262">
        <f ca="1">'ETF variations'!R262/'ETF price'!S263</f>
        <v>-1.7250673854447455E-2</v>
      </c>
      <c r="S262">
        <f ca="1">'ETF variations'!S262/'ETF price'!T263</f>
        <v>-1.0817307692307675E-2</v>
      </c>
      <c r="T262">
        <f ca="1">'ETF variations'!T262/'ETF price'!U263</f>
        <v>-1.9051651143098987E-2</v>
      </c>
      <c r="U262">
        <f ca="1">'ETF variations'!U262/'ETF price'!V263</f>
        <v>-6.0760724267833266E-3</v>
      </c>
      <c r="V262">
        <f ca="1">'ETF variations'!V262/'ETF price'!W263</f>
        <v>-1.8673355629877417E-2</v>
      </c>
      <c r="W262">
        <f ca="1">'ETF variations'!W262/'ETF price'!X263</f>
        <v>-1.8709825528007457E-2</v>
      </c>
      <c r="X262">
        <f ca="1">'ETF variations'!X262/'ETF price'!Y263</f>
        <v>-2.9517944361860279E-2</v>
      </c>
      <c r="Y262">
        <f ca="1">'ETF variations'!Y262/'ETF price'!Z263</f>
        <v>-1.8001007049345326E-2</v>
      </c>
      <c r="Z262">
        <f ca="1">'ETF variations'!Z262/'ETF price'!AA263</f>
        <v>-1.5415718979024499E-2</v>
      </c>
      <c r="AA262">
        <f ca="1">'ETF variations'!AA262/'ETF price'!AB263</f>
        <v>-3.5690571049136761E-2</v>
      </c>
      <c r="AB262">
        <f ca="1">'ETF variations'!AB262/'ETF price'!AC263</f>
        <v>-1.1433756805807669E-2</v>
      </c>
      <c r="AC262">
        <f ca="1">'ETF variations'!AC262/'ETF price'!AD263</f>
        <v>-2.9205607476635514E-2</v>
      </c>
      <c r="AD262">
        <f ca="1">'ETF variations'!AD262/'ETF price'!AE263</f>
        <v>-3.3773861967694503E-2</v>
      </c>
      <c r="AE262">
        <f ca="1">'ETF variations'!AE262/'ETF price'!AF263</f>
        <v>4.6728971962615821E-3</v>
      </c>
      <c r="AF262">
        <f ca="1">'ETF variations'!AF262/'ETF price'!AG263</f>
        <v>-8.3373493975903629E-2</v>
      </c>
    </row>
    <row r="263" spans="1:32" x14ac:dyDescent="0.2">
      <c r="A263">
        <f ca="1">'ETF variations'!A263/'ETF price'!B264</f>
        <v>-1.1670144524306291E-2</v>
      </c>
      <c r="B263">
        <f ca="1">'ETF variations'!B263/'ETF price'!C264</f>
        <v>-1.2279332292542258E-2</v>
      </c>
      <c r="C263">
        <f ca="1">'ETF variations'!C263/'ETF price'!D264</f>
        <v>3.135121129680013E-2</v>
      </c>
      <c r="D263">
        <f ca="1">'ETF variations'!D263/'ETF price'!E264</f>
        <v>-2.8078933000546043E-2</v>
      </c>
      <c r="E263">
        <f ca="1">'ETF variations'!E263/'ETF price'!F264</f>
        <v>-9.6241979835014133E-3</v>
      </c>
      <c r="F263">
        <f ca="1">'ETF variations'!F263/'ETF price'!G264</f>
        <v>-1.1037527593818985E-2</v>
      </c>
      <c r="G263">
        <f ca="1">'ETF variations'!G263/'ETF price'!H264</f>
        <v>-1.1900039666798918E-2</v>
      </c>
      <c r="H263">
        <f ca="1">'ETF variations'!H263/'ETF price'!I264</f>
        <v>2.4074631357208971E-3</v>
      </c>
      <c r="I263">
        <f ca="1">'ETF variations'!I263/'ETF price'!J264</f>
        <v>1.4312586897848791E-3</v>
      </c>
      <c r="J263">
        <f ca="1">'ETF variations'!J263/'ETF price'!K264</f>
        <v>-8.9457341416529623E-3</v>
      </c>
      <c r="K263">
        <f ca="1">'ETF variations'!K263/'ETF price'!L264</f>
        <v>-1.0375378876194923E-2</v>
      </c>
      <c r="L263">
        <f ca="1">'ETF variations'!L263/'ETF price'!M264</f>
        <v>-5.8426966292134917E-3</v>
      </c>
      <c r="M263">
        <f ca="1">'ETF variations'!M263/'ETF price'!N264</f>
        <v>1.9020446980503635E-3</v>
      </c>
      <c r="N263">
        <f ca="1">'ETF variations'!N263/'ETF price'!O264</f>
        <v>-2.7427724240177982E-2</v>
      </c>
      <c r="O263">
        <f ca="1">'ETF variations'!O263/'ETF price'!P264</f>
        <v>1.2430783139337875E-2</v>
      </c>
      <c r="P263">
        <f ca="1">'ETF variations'!P263/'ETF price'!Q264</f>
        <v>1.1278195488721767E-2</v>
      </c>
      <c r="Q263">
        <f ca="1">'ETF variations'!Q263/'ETF price'!R264</f>
        <v>-7.7035950110050802E-3</v>
      </c>
      <c r="R263">
        <f ca="1">'ETF variations'!R263/'ETF price'!S264</f>
        <v>-1.6456390565002068E-3</v>
      </c>
      <c r="S263">
        <f ca="1">'ETF variations'!S263/'ETF price'!T264</f>
        <v>1.012555690562981E-2</v>
      </c>
      <c r="T263">
        <f ca="1">'ETF variations'!T263/'ETF price'!U264</f>
        <v>1.5537332757876538E-2</v>
      </c>
      <c r="U263">
        <f ca="1">'ETF variations'!U263/'ETF price'!V264</f>
        <v>-4.6827240493948062E-2</v>
      </c>
      <c r="V263">
        <f ca="1">'ETF variations'!V263/'ETF price'!W264</f>
        <v>-1.1644419199091273E-2</v>
      </c>
      <c r="W263">
        <f ca="1">'ETF variations'!W263/'ETF price'!X264</f>
        <v>-1.1463329044332551E-2</v>
      </c>
      <c r="X263">
        <f ca="1">'ETF variations'!X263/'ETF price'!Y264</f>
        <v>-2.1881838074398561E-3</v>
      </c>
      <c r="Y263">
        <f ca="1">'ETF variations'!Y263/'ETF price'!Z264</f>
        <v>-1.2049737213177951E-2</v>
      </c>
      <c r="Z263">
        <f ca="1">'ETF variations'!Z263/'ETF price'!AA264</f>
        <v>-4.8767967145789968E-3</v>
      </c>
      <c r="AA263">
        <f ca="1">'ETF variations'!AA263/'ETF price'!AB264</f>
        <v>1.2050266827335716E-3</v>
      </c>
      <c r="AB263">
        <f ca="1">'ETF variations'!AB263/'ETF price'!AC264</f>
        <v>2.0011015237745611E-2</v>
      </c>
      <c r="AC263">
        <f ca="1">'ETF variations'!AC263/'ETF price'!AD264</f>
        <v>1.6847172081828975E-2</v>
      </c>
      <c r="AD263">
        <f ca="1">'ETF variations'!AD263/'ETF price'!AE264</f>
        <v>1.8996960486322188E-2</v>
      </c>
      <c r="AE263">
        <f ca="1">'ETF variations'!AE263/'ETF price'!AF264</f>
        <v>-7.9069767441860436E-2</v>
      </c>
      <c r="AF263">
        <f ca="1">'ETF variations'!AF263/'ETF price'!AG264</f>
        <v>2.6288117770767987E-3</v>
      </c>
    </row>
    <row r="264" spans="1:32" x14ac:dyDescent="0.2">
      <c r="A264">
        <f ca="1">'ETF variations'!A264/'ETF price'!B265</f>
        <v>2.7056615577103597E-2</v>
      </c>
      <c r="B264">
        <f ca="1">'ETF variations'!B264/'ETF price'!C265</f>
        <v>2.7994771877564606E-2</v>
      </c>
      <c r="C264">
        <f ca="1">'ETF variations'!C264/'ETF price'!D265</f>
        <v>2.72578821756061E-2</v>
      </c>
      <c r="D264">
        <f ca="1">'ETF variations'!D264/'ETF price'!E265</f>
        <v>3.1297648663831085E-2</v>
      </c>
      <c r="E264">
        <f ca="1">'ETF variations'!E264/'ETF price'!F265</f>
        <v>2.3368810735770431E-2</v>
      </c>
      <c r="F264">
        <f ca="1">'ETF variations'!F264/'ETF price'!G265</f>
        <v>2.0982142857142966E-2</v>
      </c>
      <c r="G264">
        <f ca="1">'ETF variations'!G264/'ETF price'!H265</f>
        <v>1.926936973103173E-2</v>
      </c>
      <c r="H264">
        <f ca="1">'ETF variations'!H264/'ETF price'!I265</f>
        <v>5.0285199639746878E-3</v>
      </c>
      <c r="I264">
        <f ca="1">'ETF variations'!I264/'ETF price'!J265</f>
        <v>6.6968843154069785E-3</v>
      </c>
      <c r="J264">
        <f ca="1">'ETF variations'!J264/'ETF price'!K265</f>
        <v>1.0593062290190133E-2</v>
      </c>
      <c r="K264">
        <f ca="1">'ETF variations'!K264/'ETF price'!L265</f>
        <v>2.473789610083631E-2</v>
      </c>
      <c r="L264">
        <f ca="1">'ETF variations'!L264/'ETF price'!M265</f>
        <v>1.3411693791440636E-2</v>
      </c>
      <c r="M264">
        <f ca="1">'ETF variations'!M264/'ETF price'!N265</f>
        <v>6.6445182724252762E-3</v>
      </c>
      <c r="N264">
        <f ca="1">'ETF variations'!N264/'ETF price'!O265</f>
        <v>2.3628048780487843E-2</v>
      </c>
      <c r="O264">
        <f ca="1">'ETF variations'!O264/'ETF price'!P265</f>
        <v>9.9341444357629264E-3</v>
      </c>
      <c r="P264">
        <f ca="1">'ETF variations'!P264/'ETF price'!Q265</f>
        <v>1.2930337805075227E-2</v>
      </c>
      <c r="Q264">
        <f ca="1">'ETF variations'!Q264/'ETF price'!R265</f>
        <v>2.0086260012322801E-2</v>
      </c>
      <c r="R264">
        <f ca="1">'ETF variations'!R264/'ETF price'!S265</f>
        <v>2.4542124542124472E-2</v>
      </c>
      <c r="S264">
        <f ca="1">'ETF variations'!S264/'ETF price'!T265</f>
        <v>6.0144346431434872E-3</v>
      </c>
      <c r="T264">
        <f ca="1">'ETF variations'!T264/'ETF price'!U265</f>
        <v>1.3599660008499699E-2</v>
      </c>
      <c r="U264">
        <f ca="1">'ETF variations'!U264/'ETF price'!V265</f>
        <v>1.936890713186256E-2</v>
      </c>
      <c r="V264">
        <f ca="1">'ETF variations'!V264/'ETF price'!W265</f>
        <v>1.5804597701149548E-2</v>
      </c>
      <c r="W264">
        <f ca="1">'ETF variations'!W264/'ETF price'!X265</f>
        <v>1.7394391196308114E-2</v>
      </c>
      <c r="X264">
        <f ca="1">'ETF variations'!X264/'ETF price'!Y265</f>
        <v>2.6754385964912256E-2</v>
      </c>
      <c r="Y264">
        <f ca="1">'ETF variations'!Y264/'ETF price'!Z265</f>
        <v>1.6738030362008646E-2</v>
      </c>
      <c r="Z264">
        <f ca="1">'ETF variations'!Z264/'ETF price'!AA265</f>
        <v>1.1606912561258594E-2</v>
      </c>
      <c r="AA264">
        <f ca="1">'ETF variations'!AA264/'ETF price'!AB265</f>
        <v>2.7682255845942343E-2</v>
      </c>
      <c r="AB264">
        <f ca="1">'ETF variations'!AB264/'ETF price'!AC265</f>
        <v>1.3138948884089216E-2</v>
      </c>
      <c r="AC264">
        <f ca="1">'ETF variations'!AC264/'ETF price'!AD265</f>
        <v>5.6804733727810704E-2</v>
      </c>
      <c r="AD264">
        <f ca="1">'ETF variations'!AD264/'ETF price'!AE265</f>
        <v>5.8165548098433953E-2</v>
      </c>
      <c r="AE264">
        <f ca="1">'ETF variations'!AE264/'ETF price'!AF265</f>
        <v>1.5151515151515053E-2</v>
      </c>
      <c r="AF264">
        <f ca="1">'ETF variations'!AF264/'ETF price'!AG265</f>
        <v>7.6560041950707966E-2</v>
      </c>
    </row>
    <row r="265" spans="1:32" x14ac:dyDescent="0.2">
      <c r="A265">
        <f ca="1">'ETF variations'!A265/'ETF price'!B266</f>
        <v>2.2765341860819317E-2</v>
      </c>
      <c r="B265">
        <f ca="1">'ETF variations'!B265/'ETF price'!C266</f>
        <v>2.3743347131874717E-2</v>
      </c>
      <c r="C265">
        <f ca="1">'ETF variations'!C265/'ETF price'!D266</f>
        <v>-3.7906578625581102E-3</v>
      </c>
      <c r="D265">
        <f ca="1">'ETF variations'!D265/'ETF price'!E266</f>
        <v>5.0190646642284786E-2</v>
      </c>
      <c r="E265">
        <f ca="1">'ETF variations'!E265/'ETF price'!F266</f>
        <v>1.6278543974677956E-2</v>
      </c>
      <c r="F265">
        <f ca="1">'ETF variations'!F265/'ETF price'!G266</f>
        <v>1.8364669873196245E-2</v>
      </c>
      <c r="G265">
        <f ca="1">'ETF variations'!G265/'ETF price'!H266</f>
        <v>2.0874359984245812E-2</v>
      </c>
      <c r="H265">
        <f ca="1">'ETF variations'!H265/'ETF price'!I266</f>
        <v>3.4351430064969604E-3</v>
      </c>
      <c r="I265">
        <f ca="1">'ETF variations'!I265/'ETF price'!J266</f>
        <v>4.0157384496816171E-3</v>
      </c>
      <c r="J265">
        <f ca="1">'ETF variations'!J265/'ETF price'!K266</f>
        <v>9.7438547279840044E-3</v>
      </c>
      <c r="K265">
        <f ca="1">'ETF variations'!K265/'ETF price'!L266</f>
        <v>1.9542476146683723E-3</v>
      </c>
      <c r="L265">
        <f ca="1">'ETF variations'!L265/'ETF price'!M266</f>
        <v>-1.6356877323419989E-3</v>
      </c>
      <c r="M265">
        <f ca="1">'ETF variations'!M265/'ETF price'!N266</f>
        <v>3.1431714600030762E-3</v>
      </c>
      <c r="N265">
        <f ca="1">'ETF variations'!N265/'ETF price'!O266</f>
        <v>1.6381236038719334E-2</v>
      </c>
      <c r="O265">
        <f ca="1">'ETF variations'!O265/'ETF price'!P266</f>
        <v>1.3262599469494954E-3</v>
      </c>
      <c r="P265">
        <f ca="1">'ETF variations'!P265/'ETF price'!Q266</f>
        <v>7.180469123983039E-4</v>
      </c>
      <c r="Q265">
        <f ca="1">'ETF variations'!Q265/'ETF price'!R266</f>
        <v>3.261657405170283E-3</v>
      </c>
      <c r="R265">
        <f ca="1">'ETF variations'!R265/'ETF price'!S266</f>
        <v>2.681444404719444E-3</v>
      </c>
      <c r="S265">
        <f ca="1">'ETF variations'!S265/'ETF price'!T266</f>
        <v>2.3913909924272109E-3</v>
      </c>
      <c r="T265">
        <f ca="1">'ETF variations'!T265/'ETF price'!U266</f>
        <v>-6.9881201956669683E-4</v>
      </c>
      <c r="U265">
        <f ca="1">'ETF variations'!U265/'ETF price'!V266</f>
        <v>2.6928400654334977E-2</v>
      </c>
      <c r="V265">
        <f ca="1">'ETF variations'!V265/'ETF price'!W266</f>
        <v>1.1598302687411501E-2</v>
      </c>
      <c r="W265">
        <f ca="1">'ETF variations'!W265/'ETF price'!X266</f>
        <v>1.244475459409157E-2</v>
      </c>
      <c r="X265">
        <f ca="1">'ETF variations'!X265/'ETF price'!Y266</f>
        <v>1.3455788124733074E-2</v>
      </c>
      <c r="Y265">
        <f ca="1">'ETF variations'!Y265/'ETF price'!Z266</f>
        <v>1.1485451761102676E-2</v>
      </c>
      <c r="Z265">
        <f ca="1">'ETF variations'!Z265/'ETF price'!AA266</f>
        <v>2.8046914839367524E-3</v>
      </c>
      <c r="AA265">
        <f ca="1">'ETF variations'!AA265/'ETF price'!AB266</f>
        <v>1.5894261335117881E-2</v>
      </c>
      <c r="AB265">
        <f ca="1">'ETF variations'!AB265/'ETF price'!AC266</f>
        <v>-1.4212115828743702E-3</v>
      </c>
      <c r="AC265">
        <f ca="1">'ETF variations'!AC265/'ETF price'!AD266</f>
        <v>3.1354983202687696E-2</v>
      </c>
      <c r="AD265">
        <f ca="1">'ETF variations'!AD265/'ETF price'!AE266</f>
        <v>3.3826638477801298E-2</v>
      </c>
      <c r="AE265">
        <f ca="1">'ETF variations'!AE265/'ETF price'!AF266</f>
        <v>7.4626865671641979E-2</v>
      </c>
      <c r="AF265">
        <f ca="1">'ETF variations'!AF265/'ETF price'!AG266</f>
        <v>5.1144666341938483E-2</v>
      </c>
    </row>
    <row r="266" spans="1:32" x14ac:dyDescent="0.2">
      <c r="A266">
        <f ca="1">'ETF variations'!A266/'ETF price'!B267</f>
        <v>-4.4666120747414778E-4</v>
      </c>
      <c r="B266">
        <f ca="1">'ETF variations'!B266/'ETF price'!C267</f>
        <v>-1.6751870144125029E-3</v>
      </c>
      <c r="C266">
        <f ca="1">'ETF variations'!C266/'ETF price'!D267</f>
        <v>-4.9097827421137313E-3</v>
      </c>
      <c r="D266">
        <f ca="1">'ETF variations'!D266/'ETF price'!E267</f>
        <v>-7.5577949021933179E-3</v>
      </c>
      <c r="E266">
        <f ca="1">'ETF variations'!E266/'ETF price'!F267</f>
        <v>-3.7819799777530968E-3</v>
      </c>
      <c r="F266">
        <f ca="1">'ETF variations'!F266/'ETF price'!G267</f>
        <v>-3.0055817947617128E-3</v>
      </c>
      <c r="G266">
        <f ca="1">'ETF variations'!G266/'ETF price'!H267</f>
        <v>-7.7160493827161582E-3</v>
      </c>
      <c r="H266">
        <f ca="1">'ETF variations'!H266/'ETF price'!I267</f>
        <v>-6.6235022698520113E-3</v>
      </c>
      <c r="I266">
        <f ca="1">'ETF variations'!I266/'ETF price'!J267</f>
        <v>-6.7873303167421085E-3</v>
      </c>
      <c r="J266">
        <f ca="1">'ETF variations'!J266/'ETF price'!K267</f>
        <v>-7.3104759119752217E-5</v>
      </c>
      <c r="K266">
        <f ca="1">'ETF variations'!K266/'ETF price'!L267</f>
        <v>1.9045433685176649E-2</v>
      </c>
      <c r="L266">
        <f ca="1">'ETF variations'!L266/'ETF price'!M267</f>
        <v>-1.0425975573429757E-3</v>
      </c>
      <c r="M266">
        <f ca="1">'ETF variations'!M266/'ETF price'!N267</f>
        <v>-5.4833150556165035E-3</v>
      </c>
      <c r="N266">
        <f ca="1">'ETF variations'!N266/'ETF price'!O267</f>
        <v>-2.9304029304029981E-3</v>
      </c>
      <c r="O266">
        <f ca="1">'ETF variations'!O266/'ETF price'!P267</f>
        <v>-3.8631346578365819E-3</v>
      </c>
      <c r="P266">
        <f ca="1">'ETF variations'!P266/'ETF price'!Q267</f>
        <v>-3.3484812245874328E-3</v>
      </c>
      <c r="Q266">
        <f ca="1">'ETF variations'!Q266/'ETF price'!R267</f>
        <v>6.0204695966281955E-4</v>
      </c>
      <c r="R266">
        <f ca="1">'ETF variations'!R266/'ETF price'!S267</f>
        <v>1.9611338919593409E-3</v>
      </c>
      <c r="S266">
        <f ca="1">'ETF variations'!S266/'ETF price'!T267</f>
        <v>-5.5666003976141956E-3</v>
      </c>
      <c r="T266">
        <f ca="1">'ETF variations'!T266/'ETF price'!U267</f>
        <v>-1.7902097902097919E-2</v>
      </c>
      <c r="U266">
        <f ca="1">'ETF variations'!U266/'ETF price'!V267</f>
        <v>-1.1395662296287129E-2</v>
      </c>
      <c r="V266">
        <f ca="1">'ETF variations'!V266/'ETF price'!W267</f>
        <v>5.5928411633118368E-4</v>
      </c>
      <c r="W266">
        <f ca="1">'ETF variations'!W266/'ETF price'!X267</f>
        <v>-1.0338885697875177E-3</v>
      </c>
      <c r="X266">
        <f ca="1">'ETF variations'!X266/'ETF price'!Y267</f>
        <v>-9.6944151738672466E-3</v>
      </c>
      <c r="Y266">
        <f ca="1">'ETF variations'!Y266/'ETF price'!Z267</f>
        <v>3.7850113550342082E-4</v>
      </c>
      <c r="Z266">
        <f ca="1">'ETF variations'!Z266/'ETF price'!AA267</f>
        <v>4.322400203407112E-3</v>
      </c>
      <c r="AA266">
        <f ca="1">'ETF variations'!AA266/'ETF price'!AB267</f>
        <v>-1.1857707509881405E-2</v>
      </c>
      <c r="AB266">
        <f ca="1">'ETF variations'!AB266/'ETF price'!AC267</f>
        <v>6.7603629247465317E-3</v>
      </c>
      <c r="AC266">
        <f ca="1">'ETF variations'!AC266/'ETF price'!AD267</f>
        <v>-2.1715526601521549E-3</v>
      </c>
      <c r="AD266">
        <f ca="1">'ETF variations'!AD266/'ETF price'!AE267</f>
        <v>-3.4083162917519232E-3</v>
      </c>
      <c r="AE266">
        <f ca="1">'ETF variations'!AE266/'ETF price'!AF267</f>
        <v>2.7777777777777801E-2</v>
      </c>
      <c r="AF266">
        <f ca="1">'ETF variations'!AF266/'ETF price'!AG267</f>
        <v>-2.3632993512511493E-2</v>
      </c>
    </row>
    <row r="267" spans="1:32" x14ac:dyDescent="0.2">
      <c r="A267">
        <f ca="1">'ETF variations'!A267/'ETF price'!B268</f>
        <v>-2.085350413346251E-3</v>
      </c>
      <c r="B267">
        <f ca="1">'ETF variations'!B267/'ETF price'!C268</f>
        <v>-2.1119629683204436E-3</v>
      </c>
      <c r="C267">
        <f ca="1">'ETF variations'!C267/'ETF price'!D268</f>
        <v>2.022943135561861E-2</v>
      </c>
      <c r="D267">
        <f ca="1">'ETF variations'!D267/'ETF price'!E268</f>
        <v>2.7624309392265535E-3</v>
      </c>
      <c r="E267">
        <f ca="1">'ETF variations'!E267/'ETF price'!F268</f>
        <v>-6.6994193836536703E-4</v>
      </c>
      <c r="F267">
        <f ca="1">'ETF variations'!F267/'ETF price'!G268</f>
        <v>1.2919896640827364E-3</v>
      </c>
      <c r="G267">
        <f ca="1">'ETF variations'!G267/'ETF price'!H268</f>
        <v>3.8880248833593088E-3</v>
      </c>
      <c r="H267">
        <f ca="1">'ETF variations'!H267/'ETF price'!I268</f>
        <v>2.9967036260129207E-4</v>
      </c>
      <c r="I267">
        <f ca="1">'ETF variations'!I267/'ETF price'!J268</f>
        <v>1.3016596160103854E-3</v>
      </c>
      <c r="J267">
        <f ca="1">'ETF variations'!J267/'ETF price'!K268</f>
        <v>7.3110103816280926E-5</v>
      </c>
      <c r="K267">
        <f ca="1">'ETF variations'!K267/'ETF price'!L268</f>
        <v>9.006980409819017E-4</v>
      </c>
      <c r="L267">
        <f ca="1">'ETF variations'!L267/'ETF price'!M268</f>
        <v>-1.9382734456537269E-3</v>
      </c>
      <c r="M267">
        <f ca="1">'ETF variations'!M267/'ETF price'!N268</f>
        <v>4.7258979206050945E-4</v>
      </c>
      <c r="N267">
        <f ca="1">'ETF variations'!N267/'ETF price'!O268</f>
        <v>7.3475385745773599E-4</v>
      </c>
      <c r="O267">
        <f ca="1">'ETF variations'!O267/'ETF price'!P268</f>
        <v>1.1080332409977968E-4</v>
      </c>
      <c r="P267">
        <f ca="1">'ETF variations'!P267/'ETF price'!Q268</f>
        <v>-6.3994880409565865E-4</v>
      </c>
      <c r="Q267">
        <f ca="1">'ETF variations'!Q267/'ETF price'!R268</f>
        <v>2.0457280385078424E-3</v>
      </c>
      <c r="R267">
        <f ca="1">'ETF variations'!R267/'ETF price'!S268</f>
        <v>1.2455516014234799E-2</v>
      </c>
      <c r="S267">
        <f ca="1">'ETF variations'!S267/'ETF price'!T268</f>
        <v>-2.7988804478208829E-3</v>
      </c>
      <c r="T267">
        <f ca="1">'ETF variations'!T267/'ETF price'!U268</f>
        <v>4.129877527769955E-3</v>
      </c>
      <c r="U267">
        <f ca="1">'ETF variations'!U267/'ETF price'!V268</f>
        <v>-1.8344075359444767E-2</v>
      </c>
      <c r="V267">
        <f ca="1">'ETF variations'!V267/'ETF price'!W268</f>
        <v>7.8256008943544189E-3</v>
      </c>
      <c r="W267">
        <f ca="1">'ETF variations'!W267/'ETF price'!X268</f>
        <v>6.7847286108556051E-3</v>
      </c>
      <c r="X267">
        <f ca="1">'ETF variations'!X267/'ETF price'!Y268</f>
        <v>4.6818472015322165E-3</v>
      </c>
      <c r="Y267">
        <f ca="1">'ETF variations'!Y267/'ETF price'!Z268</f>
        <v>6.3059654433093703E-3</v>
      </c>
      <c r="Z267">
        <f ca="1">'ETF variations'!Z267/'ETF price'!AA268</f>
        <v>1.0126582278480796E-3</v>
      </c>
      <c r="AA267">
        <f ca="1">'ETF variations'!AA267/'ETF price'!AB268</f>
        <v>2.3333333333333426E-3</v>
      </c>
      <c r="AB267">
        <f ca="1">'ETF variations'!AB267/'ETF price'!AC268</f>
        <v>6.1848383106554924E-3</v>
      </c>
      <c r="AC267">
        <f ca="1">'ETF variations'!AC267/'ETF price'!AD268</f>
        <v>-3.2644178454841527E-3</v>
      </c>
      <c r="AD267">
        <f ca="1">'ETF variations'!AD267/'ETF price'!AE268</f>
        <v>-4.787961696306328E-3</v>
      </c>
      <c r="AE267">
        <f ca="1">'ETF variations'!AE267/'ETF price'!AF268</f>
        <v>-5.8558558558558703E-2</v>
      </c>
      <c r="AF267">
        <f ca="1">'ETF variations'!AF267/'ETF price'!AG268</f>
        <v>-7.5937351684860054E-3</v>
      </c>
    </row>
    <row r="268" spans="1:32" x14ac:dyDescent="0.2">
      <c r="A268">
        <f ca="1">'ETF variations'!A268/'ETF price'!B269</f>
        <v>1.5971341144861453E-2</v>
      </c>
      <c r="B268">
        <f ca="1">'ETF variations'!B268/'ETF price'!C269</f>
        <v>1.5916734315203553E-2</v>
      </c>
      <c r="C268">
        <f ca="1">'ETF variations'!C268/'ETF price'!D269</f>
        <v>6.1661225970258146E-3</v>
      </c>
      <c r="D268">
        <f ca="1">'ETF variations'!D268/'ETF price'!E269</f>
        <v>1.6826744099471304E-2</v>
      </c>
      <c r="E268">
        <f ca="1">'ETF variations'!E268/'ETF price'!F269</f>
        <v>2.0335195530726182E-2</v>
      </c>
      <c r="F268">
        <f ca="1">'ETF variations'!F268/'ETF price'!G269</f>
        <v>9.8924731182795881E-3</v>
      </c>
      <c r="G268">
        <f ca="1">'ETF variations'!G268/'ETF price'!H269</f>
        <v>1.2780790085205201E-2</v>
      </c>
      <c r="H268">
        <f ca="1">'ETF variations'!H268/'ETF price'!I269</f>
        <v>1.8723786698621927E-3</v>
      </c>
      <c r="I268">
        <f ca="1">'ETF variations'!I268/'ETF price'!J269</f>
        <v>2.4780630484238448E-3</v>
      </c>
      <c r="J268">
        <f ca="1">'ETF variations'!J268/'ETF price'!K269</f>
        <v>2.7048760874333255E-3</v>
      </c>
      <c r="K268">
        <f ca="1">'ETF variations'!K268/'ETF price'!L269</f>
        <v>-3.4870641169854021E-3</v>
      </c>
      <c r="L268">
        <f ca="1">'ETF variations'!L268/'ETF price'!M269</f>
        <v>0</v>
      </c>
      <c r="M268">
        <f ca="1">'ETF variations'!M268/'ETF price'!N269</f>
        <v>1.5745551881593675E-3</v>
      </c>
      <c r="N268">
        <f ca="1">'ETF variations'!N268/'ETF price'!O269</f>
        <v>6.6079295154186229E-3</v>
      </c>
      <c r="O268">
        <f ca="1">'ETF variations'!O268/'ETF price'!P269</f>
        <v>3.1575448703744673E-2</v>
      </c>
      <c r="P268">
        <f ca="1">'ETF variations'!P268/'ETF price'!Q269</f>
        <v>3.0176899063475399E-2</v>
      </c>
      <c r="Q268">
        <f ca="1">'ETF variations'!Q268/'ETF price'!R269</f>
        <v>4.8036507745887556E-3</v>
      </c>
      <c r="R268">
        <f ca="1">'ETF variations'!R268/'ETF price'!S269</f>
        <v>7.5571177504393629E-3</v>
      </c>
      <c r="S268">
        <f ca="1">'ETF variations'!S268/'ETF price'!T269</f>
        <v>4.41058540497191E-3</v>
      </c>
      <c r="T268">
        <f ca="1">'ETF variations'!T268/'ETF price'!U269</f>
        <v>5.9566019004396774E-3</v>
      </c>
      <c r="U268">
        <f ca="1">'ETF variations'!U268/'ETF price'!V269</f>
        <v>3.5353535353535494E-3</v>
      </c>
      <c r="V268">
        <f ca="1">'ETF variations'!V268/'ETF price'!W269</f>
        <v>5.2689961175817444E-3</v>
      </c>
      <c r="W268">
        <f ca="1">'ETF variations'!W268/'ETF price'!X269</f>
        <v>6.6247858366647438E-3</v>
      </c>
      <c r="X268">
        <f ca="1">'ETF variations'!X268/'ETF price'!Y269</f>
        <v>1.0802796017792798E-2</v>
      </c>
      <c r="Y268">
        <f ca="1">'ETF variations'!Y268/'ETF price'!Z269</f>
        <v>7.394410327108524E-3</v>
      </c>
      <c r="Z268">
        <f ca="1">'ETF variations'!Z268/'ETF price'!AA269</f>
        <v>1.1380880121396127E-2</v>
      </c>
      <c r="AA268">
        <f ca="1">'ETF variations'!AA268/'ETF price'!AB269</f>
        <v>6.983704689058891E-3</v>
      </c>
      <c r="AB268">
        <f ca="1">'ETF variations'!AB268/'ETF price'!AC269</f>
        <v>7.0249385317879467E-3</v>
      </c>
      <c r="AC268">
        <f ca="1">'ETF variations'!AC268/'ETF price'!AD269</f>
        <v>6.550218340611408E-3</v>
      </c>
      <c r="AD268">
        <f ca="1">'ETF variations'!AD268/'ETF price'!AE269</f>
        <v>1.0309278350515367E-2</v>
      </c>
      <c r="AE268">
        <f ca="1">'ETF variations'!AE268/'ETF price'!AF269</f>
        <v>-4.7846889952152093E-3</v>
      </c>
      <c r="AF268">
        <f ca="1">'ETF variations'!AF268/'ETF price'!AG269</f>
        <v>8.6083213773314061E-3</v>
      </c>
    </row>
    <row r="269" spans="1:32" x14ac:dyDescent="0.2">
      <c r="A269">
        <f ca="1">'ETF variations'!A269/'ETF price'!B270</f>
        <v>4.1871740248291571E-3</v>
      </c>
      <c r="B269">
        <f ca="1">'ETF variations'!B269/'ETF price'!C270</f>
        <v>4.5946177335120476E-3</v>
      </c>
      <c r="C269">
        <f ca="1">'ETF variations'!C269/'ETF price'!D270</f>
        <v>-2.1869742850276295E-2</v>
      </c>
      <c r="D269">
        <f ca="1">'ETF variations'!D269/'ETF price'!E270</f>
        <v>-6.3703595225891819E-3</v>
      </c>
      <c r="E269">
        <f ca="1">'ETF variations'!E269/'ETF price'!F270</f>
        <v>2.1901007446342843E-3</v>
      </c>
      <c r="F269">
        <f ca="1">'ETF variations'!F269/'ETF price'!G270</f>
        <v>1.235093696763199E-2</v>
      </c>
      <c r="G269">
        <f ca="1">'ETF variations'!G269/'ETF price'!H270</f>
        <v>2.6768642447418849E-3</v>
      </c>
      <c r="H269">
        <f ca="1">'ETF variations'!H269/'ETF price'!I270</f>
        <v>-6.8027210884353479E-3</v>
      </c>
      <c r="I269">
        <f ca="1">'ETF variations'!I269/'ETF price'!J270</f>
        <v>-6.1190582323621965E-3</v>
      </c>
      <c r="J269">
        <f ca="1">'ETF variations'!J269/'ETF price'!K270</f>
        <v>5.1035287255754721E-4</v>
      </c>
      <c r="K269">
        <f ca="1">'ETF variations'!K269/'ETF price'!L270</f>
        <v>9.0303646009707323E-3</v>
      </c>
      <c r="L269">
        <f ca="1">'ETF variations'!L269/'ETF price'!M270</f>
        <v>3.5853002688976563E-3</v>
      </c>
      <c r="M269">
        <f ca="1">'ETF variations'!M269/'ETF price'!N270</f>
        <v>-4.7162395849708718E-3</v>
      </c>
      <c r="N269">
        <f ca="1">'ETF variations'!N269/'ETF price'!O270</f>
        <v>8.7527352297592422E-3</v>
      </c>
      <c r="O269">
        <f ca="1">'ETF variations'!O269/'ETF price'!P270</f>
        <v>-2.0191171732359525E-2</v>
      </c>
      <c r="P269">
        <f ca="1">'ETF variations'!P269/'ETF price'!Q270</f>
        <v>-1.8026418026417974E-2</v>
      </c>
      <c r="Q269">
        <f ca="1">'ETF variations'!Q269/'ETF price'!R270</f>
        <v>-3.2269630692003826E-3</v>
      </c>
      <c r="R269">
        <f ca="1">'ETF variations'!R269/'ETF price'!S270</f>
        <v>-4.0118611547182428E-3</v>
      </c>
      <c r="S269">
        <f ca="1">'ETF variations'!S269/'ETF price'!T270</f>
        <v>-1.1177644710578888E-2</v>
      </c>
      <c r="T269">
        <f ca="1">'ETF variations'!T269/'ETF price'!U270</f>
        <v>-2.0160721838432351E-2</v>
      </c>
      <c r="U269">
        <f ca="1">'ETF variations'!U269/'ETF price'!V270</f>
        <v>8.4297936587821049E-3</v>
      </c>
      <c r="V269">
        <f ca="1">'ETF variations'!V269/'ETF price'!W270</f>
        <v>0</v>
      </c>
      <c r="W269">
        <f ca="1">'ETF variations'!W269/'ETF price'!X270</f>
        <v>2.1559060478837824E-3</v>
      </c>
      <c r="X269">
        <f ca="1">'ETF variations'!X269/'ETF price'!Y270</f>
        <v>5.6580050293378696E-3</v>
      </c>
      <c r="Y269">
        <f ca="1">'ETF variations'!Y269/'ETF price'!Z270</f>
        <v>-1.368499626772822E-3</v>
      </c>
      <c r="Z269">
        <f ca="1">'ETF variations'!Z269/'ETF price'!AA270</f>
        <v>9.0022505626406457E-3</v>
      </c>
      <c r="AA269">
        <f ca="1">'ETF variations'!AA269/'ETF price'!AB270</f>
        <v>6.2747688243063975E-3</v>
      </c>
      <c r="AB269">
        <f ca="1">'ETF variations'!AB269/'ETF price'!AC270</f>
        <v>-6.9759330310430008E-3</v>
      </c>
      <c r="AC269">
        <f ca="1">'ETF variations'!AC269/'ETF price'!AD270</f>
        <v>-1.0845986984815387E-3</v>
      </c>
      <c r="AD269">
        <f ca="1">'ETF variations'!AD269/'ETF price'!AE270</f>
        <v>-3.4013605442176145E-3</v>
      </c>
      <c r="AE269">
        <f ca="1">'ETF variations'!AE269/'ETF price'!AF270</f>
        <v>5.7692307692307744E-2</v>
      </c>
      <c r="AF269">
        <f ca="1">'ETF variations'!AF269/'ETF price'!AG270</f>
        <v>4.0777619724988119E-2</v>
      </c>
    </row>
    <row r="270" spans="1:32" x14ac:dyDescent="0.2">
      <c r="A270">
        <f ca="1">'ETF variations'!A270/'ETF price'!B271</f>
        <v>-1.9092904169714597E-2</v>
      </c>
      <c r="B270">
        <f ca="1">'ETF variations'!B270/'ETF price'!C271</f>
        <v>-1.9544344071359569E-2</v>
      </c>
      <c r="C270">
        <f ca="1">'ETF variations'!C270/'ETF price'!D271</f>
        <v>1.584766584766575E-2</v>
      </c>
      <c r="D270">
        <f ca="1">'ETF variations'!D270/'ETF price'!E271</f>
        <v>-2.6529108327192297E-2</v>
      </c>
      <c r="E270">
        <f ca="1">'ETF variations'!E270/'ETF price'!F271</f>
        <v>-1.507867132867128E-2</v>
      </c>
      <c r="F270">
        <f ca="1">'ETF variations'!F270/'ETF price'!G271</f>
        <v>-1.3462347496844775E-2</v>
      </c>
      <c r="G270">
        <f ca="1">'ETF variations'!G270/'ETF price'!H271</f>
        <v>-1.6399694889397395E-2</v>
      </c>
      <c r="H270">
        <f ca="1">'ETF variations'!H270/'ETF price'!I271</f>
        <v>-9.0320638265845021E-3</v>
      </c>
      <c r="I270">
        <f ca="1">'ETF variations'!I270/'ETF price'!J271</f>
        <v>-1.0274810405284114E-2</v>
      </c>
      <c r="J270">
        <f ca="1">'ETF variations'!J270/'ETF price'!K271</f>
        <v>-1.7707498360416664E-2</v>
      </c>
      <c r="K270">
        <f ca="1">'ETF variations'!K270/'ETF price'!L271</f>
        <v>-2.5618078084797026E-2</v>
      </c>
      <c r="L270">
        <f ca="1">'ETF variations'!L270/'ETF price'!M271</f>
        <v>-2.1286097052694353E-2</v>
      </c>
      <c r="M270">
        <f ca="1">'ETF variations'!M270/'ETF price'!N271</f>
        <v>-9.9510345916917157E-3</v>
      </c>
      <c r="N270">
        <f ca="1">'ETF variations'!N270/'ETF price'!O271</f>
        <v>-3.3984092552422317E-2</v>
      </c>
      <c r="O270">
        <f ca="1">'ETF variations'!O270/'ETF price'!P271</f>
        <v>-2.2909130768387628E-2</v>
      </c>
      <c r="P270">
        <f ca="1">'ETF variations'!P270/'ETF price'!Q271</f>
        <v>-2.255103655641711E-2</v>
      </c>
      <c r="Q270">
        <f ca="1">'ETF variations'!Q270/'ETF price'!R271</f>
        <v>-6.8345323741008076E-3</v>
      </c>
      <c r="R270">
        <f ca="1">'ETF variations'!R270/'ETF price'!S271</f>
        <v>-1.1033274956217207E-2</v>
      </c>
      <c r="S270">
        <f ca="1">'ETF variations'!S270/'ETF price'!T271</f>
        <v>-1.2918853451756168E-2</v>
      </c>
      <c r="T270">
        <f ca="1">'ETF variations'!T270/'ETF price'!U271</f>
        <v>-2.0143884892086412E-2</v>
      </c>
      <c r="U270">
        <f ca="1">'ETF variations'!U270/'ETF price'!V271</f>
        <v>-2.4079850280723725E-2</v>
      </c>
      <c r="V270">
        <f ca="1">'ETF variations'!V270/'ETF price'!W271</f>
        <v>-4.9655172413793029E-3</v>
      </c>
      <c r="W270">
        <f ca="1">'ETF variations'!W270/'ETF price'!X271</f>
        <v>-5.32155797101448E-3</v>
      </c>
      <c r="X270">
        <f ca="1">'ETF variations'!X270/'ETF price'!Y271</f>
        <v>-9.7937070222962868E-3</v>
      </c>
      <c r="Y270">
        <f ca="1">'ETF variations'!Y270/'ETF price'!Z271</f>
        <v>-5.7306590257878882E-3</v>
      </c>
      <c r="Z270">
        <f ca="1">'ETF variations'!Z270/'ETF price'!AA271</f>
        <v>-1.2143742255266468E-2</v>
      </c>
      <c r="AA270">
        <f ca="1">'ETF variations'!AA270/'ETF price'!AB271</f>
        <v>-1.0173941581883778E-2</v>
      </c>
      <c r="AB270">
        <f ca="1">'ETF variations'!AB270/'ETF price'!AC271</f>
        <v>1.2644889357218105E-2</v>
      </c>
      <c r="AC270">
        <f ca="1">'ETF variations'!AC270/'ETF price'!AD271</f>
        <v>-2.062975027144422E-2</v>
      </c>
      <c r="AD270">
        <f ca="1">'ETF variations'!AD270/'ETF price'!AE271</f>
        <v>-1.9112627986348201E-2</v>
      </c>
      <c r="AE270">
        <f ca="1">'ETF variations'!AE270/'ETF price'!AF271</f>
        <v>-6.3636363636363685E-2</v>
      </c>
      <c r="AF270">
        <f ca="1">'ETF variations'!AF270/'ETF price'!AG271</f>
        <v>-5.7858769931662855E-2</v>
      </c>
    </row>
    <row r="271" spans="1:32" x14ac:dyDescent="0.2">
      <c r="A271">
        <f ca="1">'ETF variations'!A271/'ETF price'!B272</f>
        <v>1.3945857260049254E-2</v>
      </c>
      <c r="B271">
        <f ca="1">'ETF variations'!B271/'ETF price'!C272</f>
        <v>1.518224488613319E-2</v>
      </c>
      <c r="C271">
        <f ca="1">'ETF variations'!C271/'ETF price'!D272</f>
        <v>2.8177530535735861E-2</v>
      </c>
      <c r="D271">
        <f ca="1">'ETF variations'!D271/'ETF price'!E272</f>
        <v>1.8622255866767662E-2</v>
      </c>
      <c r="E271">
        <f ca="1">'ETF variations'!E271/'ETF price'!F272</f>
        <v>1.9081428888395816E-2</v>
      </c>
      <c r="F271">
        <f ca="1">'ETF variations'!F271/'ETF price'!G272</f>
        <v>1.4925373134328419E-2</v>
      </c>
      <c r="G271">
        <f ca="1">'ETF variations'!G271/'ETF price'!H272</f>
        <v>1.6673129119813872E-2</v>
      </c>
      <c r="H271">
        <f ca="1">'ETF variations'!H271/'ETF price'!I272</f>
        <v>1.2912046179553525E-2</v>
      </c>
      <c r="I271">
        <f ca="1">'ETF variations'!I271/'ETF price'!J272</f>
        <v>1.3759578149460341E-2</v>
      </c>
      <c r="J271">
        <f ca="1">'ETF variations'!J271/'ETF price'!K272</f>
        <v>1.2982195845697328E-2</v>
      </c>
      <c r="K271">
        <f ca="1">'ETF variations'!K271/'ETF price'!L272</f>
        <v>2.0665901262916321E-2</v>
      </c>
      <c r="L271">
        <f ca="1">'ETF variations'!L271/'ETF price'!M272</f>
        <v>1.5665399239543742E-2</v>
      </c>
      <c r="M271">
        <f ca="1">'ETF variations'!M271/'ETF price'!N272</f>
        <v>1.3241863433312033E-2</v>
      </c>
      <c r="N271">
        <f ca="1">'ETF variations'!N271/'ETF price'!O272</f>
        <v>1.6467065868263523E-2</v>
      </c>
      <c r="O271">
        <f ca="1">'ETF variations'!O271/'ETF price'!P272</f>
        <v>8.8624635404981628E-3</v>
      </c>
      <c r="P271">
        <f ca="1">'ETF variations'!P271/'ETF price'!Q272</f>
        <v>1.0928519388002869E-2</v>
      </c>
      <c r="Q271">
        <f ca="1">'ETF variations'!Q271/'ETF price'!R272</f>
        <v>2.1972715199806921E-2</v>
      </c>
      <c r="R271">
        <f ca="1">'ETF variations'!R271/'ETF price'!S272</f>
        <v>1.1510536568089227E-2</v>
      </c>
      <c r="S271">
        <f ca="1">'ETF variations'!S271/'ETF price'!T272</f>
        <v>1.7177914110429519E-2</v>
      </c>
      <c r="T271">
        <f ca="1">'ETF variations'!T271/'ETF price'!U272</f>
        <v>1.7914831130690145E-2</v>
      </c>
      <c r="U271">
        <f ca="1">'ETF variations'!U271/'ETF price'!V272</f>
        <v>3.2983891587829176E-2</v>
      </c>
      <c r="V271">
        <f ca="1">'ETF variations'!V271/'ETF price'!W272</f>
        <v>1.3584696423620793E-2</v>
      </c>
      <c r="W271">
        <f ca="1">'ETF variations'!W271/'ETF price'!X272</f>
        <v>1.5480933409220257E-2</v>
      </c>
      <c r="X271">
        <f ca="1">'ETF variations'!X271/'ETF price'!Y272</f>
        <v>2.6304713804713803E-2</v>
      </c>
      <c r="Y271">
        <f ca="1">'ETF variations'!Y271/'ETF price'!Z272</f>
        <v>1.4659817065530656E-2</v>
      </c>
      <c r="Z271">
        <f ca="1">'ETF variations'!Z271/'ETF price'!AA272</f>
        <v>1.8314099347717109E-2</v>
      </c>
      <c r="AA271">
        <f ca="1">'ETF variations'!AA271/'ETF price'!AB272</f>
        <v>2.9840848806366001E-2</v>
      </c>
      <c r="AB271">
        <f ca="1">'ETF variations'!AB271/'ETF price'!AC272</f>
        <v>5.8966354491849365E-3</v>
      </c>
      <c r="AC271">
        <f ca="1">'ETF variations'!AC271/'ETF price'!AD272</f>
        <v>1.8847006651884695E-2</v>
      </c>
      <c r="AD271">
        <f ca="1">'ETF variations'!AD271/'ETF price'!AE272</f>
        <v>1.8093249826026555E-2</v>
      </c>
      <c r="AE271">
        <f ca="1">'ETF variations'!AE271/'ETF price'!AF272</f>
        <v>1.9417475728155355E-2</v>
      </c>
      <c r="AF271">
        <f ca="1">'ETF variations'!AF271/'ETF price'!AG272</f>
        <v>2.1760154738878108E-2</v>
      </c>
    </row>
    <row r="272" spans="1:32" x14ac:dyDescent="0.2">
      <c r="A272">
        <f ca="1">'ETF variations'!A272/'ETF price'!B273</f>
        <v>2.3536334215945781E-2</v>
      </c>
      <c r="B272">
        <f ca="1">'ETF variations'!B272/'ETF price'!C273</f>
        <v>2.4544779953193742E-2</v>
      </c>
      <c r="C272">
        <f ca="1">'ETF variations'!C272/'ETF price'!D273</f>
        <v>4.4460127028934385E-2</v>
      </c>
      <c r="D272">
        <f ca="1">'ETF variations'!D272/'ETF price'!E273</f>
        <v>5.217003567181934E-2</v>
      </c>
      <c r="E272">
        <f ca="1">'ETF variations'!E272/'ETF price'!F273</f>
        <v>1.9812758545612971E-2</v>
      </c>
      <c r="F272">
        <f ca="1">'ETF variations'!F272/'ETF price'!G273</f>
        <v>3.2773109243697376E-2</v>
      </c>
      <c r="G272">
        <f ca="1">'ETF variations'!G272/'ETF price'!H273</f>
        <v>2.0213577421815454E-2</v>
      </c>
      <c r="H272">
        <f ca="1">'ETF variations'!H272/'ETF price'!I273</f>
        <v>4.7240551889621727E-3</v>
      </c>
      <c r="I272">
        <f ca="1">'ETF variations'!I272/'ETF price'!J273</f>
        <v>5.8923927178152983E-3</v>
      </c>
      <c r="J272">
        <f ca="1">'ETF variations'!J272/'ETF price'!K273</f>
        <v>1.171731966312681E-3</v>
      </c>
      <c r="K272">
        <f ca="1">'ETF variations'!K272/'ETF price'!L273</f>
        <v>9.4488188976376737E-3</v>
      </c>
      <c r="L272">
        <f ca="1">'ETF variations'!L272/'ETF price'!M273</f>
        <v>5.840071877807735E-3</v>
      </c>
      <c r="M272">
        <f ca="1">'ETF variations'!M272/'ETF price'!N273</f>
        <v>5.825854196189648E-3</v>
      </c>
      <c r="N272">
        <f ca="1">'ETF variations'!N272/'ETF price'!O273</f>
        <v>1.6200294550810061E-2</v>
      </c>
      <c r="O272">
        <f ca="1">'ETF variations'!O272/'ETF price'!P273</f>
        <v>-1.9681974869342936E-2</v>
      </c>
      <c r="P272">
        <f ca="1">'ETF variations'!P272/'ETF price'!Q273</f>
        <v>-1.8337604099935876E-2</v>
      </c>
      <c r="Q272">
        <f ca="1">'ETF variations'!Q272/'ETF price'!R273</f>
        <v>6.6154754873005081E-3</v>
      </c>
      <c r="R272">
        <f ca="1">'ETF variations'!R272/'ETF price'!S273</f>
        <v>1.8382352941176548E-2</v>
      </c>
      <c r="S272">
        <f ca="1">'ETF variations'!S272/'ETF price'!T273</f>
        <v>-1.8898271009248187E-2</v>
      </c>
      <c r="T272">
        <f ca="1">'ETF variations'!T272/'ETF price'!U273</f>
        <v>-2.8274668205424031E-2</v>
      </c>
      <c r="U272">
        <f ca="1">'ETF variations'!U272/'ETF price'!V273</f>
        <v>2.2648514851485127E-2</v>
      </c>
      <c r="V272">
        <f ca="1">'ETF variations'!V272/'ETF price'!W273</f>
        <v>0</v>
      </c>
      <c r="W272">
        <f ca="1">'ETF variations'!W272/'ETF price'!X273</f>
        <v>3.1386615850241134E-3</v>
      </c>
      <c r="X272">
        <f ca="1">'ETF variations'!X272/'ETF price'!Y273</f>
        <v>1.271273323764604E-2</v>
      </c>
      <c r="Y272">
        <f ca="1">'ETF variations'!Y272/'ETF price'!Z273</f>
        <v>2.3462583353914264E-3</v>
      </c>
      <c r="Z272">
        <f ca="1">'ETF variations'!Z272/'ETF price'!AA273</f>
        <v>7.390983000739028E-3</v>
      </c>
      <c r="AA272">
        <f ca="1">'ETF variations'!AA272/'ETF price'!AB273</f>
        <v>1.4166130070830693E-2</v>
      </c>
      <c r="AB272">
        <f ca="1">'ETF variations'!AB272/'ETF price'!AC273</f>
        <v>6.3793103448275424E-3</v>
      </c>
      <c r="AC272">
        <f ca="1">'ETF variations'!AC272/'ETF price'!AD273</f>
        <v>2.1762785636561598E-2</v>
      </c>
      <c r="AD272">
        <f ca="1">'ETF variations'!AD272/'ETF price'!AE273</f>
        <v>1.0936431989063456E-2</v>
      </c>
      <c r="AE272">
        <f ca="1">'ETF variations'!AE272/'ETF price'!AF273</f>
        <v>9.0476190476190446E-2</v>
      </c>
      <c r="AF272">
        <f ca="1">'ETF variations'!AF272/'ETF price'!AG273</f>
        <v>5.5371509701845803E-2</v>
      </c>
    </row>
    <row r="273" spans="1:32" x14ac:dyDescent="0.2">
      <c r="A273">
        <f ca="1">'ETF variations'!A273/'ETF price'!B274</f>
        <v>2.7306697326818133E-2</v>
      </c>
      <c r="B273">
        <f ca="1">'ETF variations'!B273/'ETF price'!C274</f>
        <v>2.9806674466544066E-2</v>
      </c>
      <c r="C273">
        <f ca="1">'ETF variations'!C273/'ETF price'!D274</f>
        <v>-1.565315315315316E-2</v>
      </c>
      <c r="D273">
        <f ca="1">'ETF variations'!D273/'ETF price'!E274</f>
        <v>2.3167113999152427E-2</v>
      </c>
      <c r="E273">
        <f ca="1">'ETF variations'!E273/'ETF price'!F274</f>
        <v>2.6473099914602793E-2</v>
      </c>
      <c r="F273">
        <f ca="1">'ETF variations'!F273/'ETF price'!G274</f>
        <v>1.5052888527257976E-2</v>
      </c>
      <c r="G273">
        <f ca="1">'ETF variations'!G273/'ETF price'!H274</f>
        <v>1.4579439252336469E-2</v>
      </c>
      <c r="H273">
        <f ca="1">'ETF variations'!H273/'ETF price'!I274</f>
        <v>-6.7915516083289539E-3</v>
      </c>
      <c r="I273">
        <f ca="1">'ETF variations'!I273/'ETF price'!J274</f>
        <v>-3.2723306265907254E-3</v>
      </c>
      <c r="J273">
        <f ca="1">'ETF variations'!J273/'ETF price'!K274</f>
        <v>3.3647867749248741E-3</v>
      </c>
      <c r="K273">
        <f ca="1">'ETF variations'!K273/'ETF price'!L274</f>
        <v>2.4849565411187921E-2</v>
      </c>
      <c r="L273">
        <f ca="1">'ETF variations'!L273/'ETF price'!M274</f>
        <v>1.1165698972755694E-2</v>
      </c>
      <c r="M273">
        <f ca="1">'ETF variations'!M273/'ETF price'!N274</f>
        <v>-3.1308703819662308E-3</v>
      </c>
      <c r="N273">
        <f ca="1">'ETF variations'!N273/'ETF price'!O274</f>
        <v>2.7536231884057898E-2</v>
      </c>
      <c r="O273">
        <f ca="1">'ETF variations'!O273/'ETF price'!P274</f>
        <v>-2.2799455535390097E-2</v>
      </c>
      <c r="P273">
        <f ca="1">'ETF variations'!P273/'ETF price'!Q274</f>
        <v>-2.3492943959540009E-2</v>
      </c>
      <c r="Q273">
        <f ca="1">'ETF variations'!Q273/'ETF price'!R274</f>
        <v>-3.1686421781480581E-3</v>
      </c>
      <c r="R273">
        <f ca="1">'ETF variations'!R273/'ETF price'!S274</f>
        <v>5.3292074952723941E-3</v>
      </c>
      <c r="S273">
        <f ca="1">'ETF variations'!S273/'ETF price'!T274</f>
        <v>-7.3770491803278578E-3</v>
      </c>
      <c r="T273">
        <f ca="1">'ETF variations'!T273/'ETF price'!U274</f>
        <v>-1.1728028503563038E-2</v>
      </c>
      <c r="U273">
        <f ca="1">'ETF variations'!U273/'ETF price'!V274</f>
        <v>-1.1254992133607559E-2</v>
      </c>
      <c r="V273">
        <f ca="1">'ETF variations'!V273/'ETF price'!W274</f>
        <v>2.7352297592996254E-3</v>
      </c>
      <c r="W273">
        <f ca="1">'ETF variations'!W273/'ETF price'!X274</f>
        <v>3.5758185272098267E-3</v>
      </c>
      <c r="X273">
        <f ca="1">'ETF variations'!X273/'ETF price'!Y274</f>
        <v>2.0854423972464085E-2</v>
      </c>
      <c r="Y273">
        <f ca="1">'ETF variations'!Y273/'ETF price'!Z274</f>
        <v>2.0943698410743096E-3</v>
      </c>
      <c r="Z273">
        <f ca="1">'ETF variations'!Z273/'ETF price'!AA274</f>
        <v>2.2988505747126381E-2</v>
      </c>
      <c r="AA273">
        <f ca="1">'ETF variations'!AA273/'ETF price'!AB274</f>
        <v>2.6666666666666776E-2</v>
      </c>
      <c r="AB273">
        <f ca="1">'ETF variations'!AB273/'ETF price'!AC274</f>
        <v>5.1396265204730403E-4</v>
      </c>
      <c r="AC273">
        <f ca="1">'ETF variations'!AC273/'ETF price'!AD274</f>
        <v>1.1714589989350311E-2</v>
      </c>
      <c r="AD273">
        <f ca="1">'ETF variations'!AD273/'ETF price'!AE274</f>
        <v>1.2170385395537628E-2</v>
      </c>
      <c r="AE273">
        <f ca="1">'ETF variations'!AE273/'ETF price'!AF274</f>
        <v>3.4934497816593919E-2</v>
      </c>
      <c r="AF273">
        <f ca="1">'ETF variations'!AF273/'ETF price'!AG274</f>
        <v>9.4170403587443843E-2</v>
      </c>
    </row>
    <row r="274" spans="1:32" x14ac:dyDescent="0.2">
      <c r="A274">
        <f ca="1">'ETF variations'!A274/'ETF price'!B275</f>
        <v>-8.3240067151650644E-3</v>
      </c>
      <c r="B274">
        <f ca="1">'ETF variations'!B274/'ETF price'!C275</f>
        <v>-1.0603765418740575E-2</v>
      </c>
      <c r="C274">
        <f ca="1">'ETF variations'!C274/'ETF price'!D275</f>
        <v>-1.2927582656446579E-2</v>
      </c>
      <c r="D274">
        <f ca="1">'ETF variations'!D274/'ETF price'!E275</f>
        <v>-1.9536103824382246E-2</v>
      </c>
      <c r="E274">
        <f ca="1">'ETF variations'!E274/'ETF price'!F275</f>
        <v>-2.1838602329450858E-2</v>
      </c>
      <c r="F274">
        <f ca="1">'ETF variations'!F274/'ETF price'!G275</f>
        <v>-1.6032064128256456E-2</v>
      </c>
      <c r="G274">
        <f ca="1">'ETF variations'!G274/'ETF price'!H275</f>
        <v>-1.6949152542372913E-2</v>
      </c>
      <c r="H274">
        <f ca="1">'ETF variations'!H274/'ETF price'!I275</f>
        <v>-2.9305680793508771E-3</v>
      </c>
      <c r="I274">
        <f ca="1">'ETF variations'!I274/'ETF price'!J275</f>
        <v>-4.3369001297016586E-3</v>
      </c>
      <c r="J274">
        <f ca="1">'ETF variations'!J274/'ETF price'!K275</f>
        <v>-4.2283298097250425E-3</v>
      </c>
      <c r="K274">
        <f ca="1">'ETF variations'!K274/'ETF price'!L275</f>
        <v>-1.7179515059258434E-2</v>
      </c>
      <c r="L274">
        <f ca="1">'ETF variations'!L274/'ETF price'!M275</f>
        <v>-2.0612485276796312E-3</v>
      </c>
      <c r="M274">
        <f ca="1">'ETF variations'!M274/'ETF price'!N275</f>
        <v>-4.3969849246231337E-3</v>
      </c>
      <c r="N274">
        <f ca="1">'ETF variations'!N274/'ETF price'!O275</f>
        <v>-2.1156558533145201E-2</v>
      </c>
      <c r="O274">
        <f ca="1">'ETF variations'!O274/'ETF price'!P275</f>
        <v>-2.2054556006965982E-3</v>
      </c>
      <c r="P274">
        <f ca="1">'ETF variations'!P274/'ETF price'!Q275</f>
        <v>-2.255450672458408E-3</v>
      </c>
      <c r="Q274">
        <f ca="1">'ETF variations'!Q274/'ETF price'!R275</f>
        <v>-1.8012714857546516E-2</v>
      </c>
      <c r="R274">
        <f ca="1">'ETF variations'!R274/'ETF price'!S275</f>
        <v>-9.4049247606018665E-3</v>
      </c>
      <c r="S274">
        <f ca="1">'ETF variations'!S274/'ETF price'!T275</f>
        <v>-2.5185796862097418E-2</v>
      </c>
      <c r="T274">
        <f ca="1">'ETF variations'!T274/'ETF price'!U275</f>
        <v>-3.2597266035751658E-2</v>
      </c>
      <c r="U274">
        <f ca="1">'ETF variations'!U274/'ETF price'!V275</f>
        <v>-2.4112607099143191E-2</v>
      </c>
      <c r="V274">
        <f ca="1">'ETF variations'!V274/'ETF price'!W275</f>
        <v>-1.9094380796506596E-3</v>
      </c>
      <c r="W274">
        <f ca="1">'ETF variations'!W274/'ETF price'!X275</f>
        <v>0</v>
      </c>
      <c r="X274">
        <f ca="1">'ETF variations'!X274/'ETF price'!Y275</f>
        <v>-7.9333597778657571E-4</v>
      </c>
      <c r="Y274">
        <f ca="1">'ETF variations'!Y274/'ETF price'!Z275</f>
        <v>-1.721170395869198E-3</v>
      </c>
      <c r="Z274">
        <f ca="1">'ETF variations'!Z274/'ETF price'!AA275</f>
        <v>-2.0798469997609311E-2</v>
      </c>
      <c r="AA274">
        <f ca="1">'ETF variations'!AA274/'ETF price'!AB275</f>
        <v>6.1842918985763817E-4</v>
      </c>
      <c r="AB274">
        <f ca="1">'ETF variations'!AB274/'ETF price'!AC275</f>
        <v>-4.6232876712328083E-3</v>
      </c>
      <c r="AC274">
        <f ca="1">'ETF variations'!AC274/'ETF price'!AD275</f>
        <v>-2.3157894736842172E-2</v>
      </c>
      <c r="AD274">
        <f ca="1">'ETF variations'!AD274/'ETF price'!AE275</f>
        <v>-2.2712090848363384E-2</v>
      </c>
      <c r="AE274">
        <f ca="1">'ETF variations'!AE274/'ETF price'!AF275</f>
        <v>-2.9535864978903072E-2</v>
      </c>
      <c r="AF274">
        <f ca="1">'ETF variations'!AF274/'ETF price'!AG275</f>
        <v>-6.8852459016393433E-2</v>
      </c>
    </row>
    <row r="275" spans="1:32" x14ac:dyDescent="0.2">
      <c r="A275">
        <f ca="1">'ETF variations'!A275/'ETF price'!B276</f>
        <v>-1.2202863793468421E-2</v>
      </c>
      <c r="B275">
        <f ca="1">'ETF variations'!B275/'ETF price'!C276</f>
        <v>-1.3123359580052524E-2</v>
      </c>
      <c r="C275">
        <f ca="1">'ETF variations'!C275/'ETF price'!D276</f>
        <v>2.8048215113583699E-2</v>
      </c>
      <c r="D275">
        <f ca="1">'ETF variations'!D275/'ETF price'!E276</f>
        <v>-1.6264169541646147E-2</v>
      </c>
      <c r="E275">
        <f ca="1">'ETF variations'!E275/'ETF price'!F276</f>
        <v>-1.7648309589623608E-2</v>
      </c>
      <c r="F275">
        <f ca="1">'ETF variations'!F275/'ETF price'!G276</f>
        <v>-1.5071283095723054E-2</v>
      </c>
      <c r="G275">
        <f ca="1">'ETF variations'!G275/'ETF price'!H276</f>
        <v>-1.3493253373313321E-2</v>
      </c>
      <c r="H275">
        <f ca="1">'ETF variations'!H275/'ETF price'!I276</f>
        <v>-5.5769085839174701E-3</v>
      </c>
      <c r="I275">
        <f ca="1">'ETF variations'!I275/'ETF price'!J276</f>
        <v>-7.0018318746183543E-3</v>
      </c>
      <c r="J275">
        <f ca="1">'ETF variations'!J275/'ETF price'!K276</f>
        <v>-7.1747565707591309E-3</v>
      </c>
      <c r="K275">
        <f ca="1">'ETF variations'!K275/'ETF price'!L276</f>
        <v>-7.6335877862595165E-3</v>
      </c>
      <c r="L275">
        <f ca="1">'ETF variations'!L275/'ETF price'!M276</f>
        <v>-7.8194157568604473E-3</v>
      </c>
      <c r="M275">
        <f ca="1">'ETF variations'!M275/'ETF price'!N276</f>
        <v>-7.2555205047318749E-3</v>
      </c>
      <c r="N275">
        <f ca="1">'ETF variations'!N275/'ETF price'!O276</f>
        <v>-1.9452449567723438E-2</v>
      </c>
      <c r="O275">
        <f ca="1">'ETF variations'!O275/'ETF price'!P276</f>
        <v>-4.536993950674739E-3</v>
      </c>
      <c r="P275">
        <f ca="1">'ETF variations'!P275/'ETF price'!Q276</f>
        <v>-5.3583389149363747E-3</v>
      </c>
      <c r="Q275">
        <f ca="1">'ETF variations'!Q275/'ETF price'!R276</f>
        <v>-1.1029852535667206E-2</v>
      </c>
      <c r="R275">
        <f ca="1">'ETF variations'!R275/'ETF price'!S276</f>
        <v>-1.7780079406179893E-2</v>
      </c>
      <c r="S275">
        <f ca="1">'ETF variations'!S275/'ETF price'!T276</f>
        <v>2.9648454044896352E-3</v>
      </c>
      <c r="T275">
        <f ca="1">'ETF variations'!T275/'ETF price'!U276</f>
        <v>1.7080745341614818E-2</v>
      </c>
      <c r="U275">
        <f ca="1">'ETF variations'!U275/'ETF price'!V276</f>
        <v>-7.1491283080397259E-3</v>
      </c>
      <c r="V275">
        <f ca="1">'ETF variations'!V275/'ETF price'!W276</f>
        <v>-2.7329871549617695E-4</v>
      </c>
      <c r="W275">
        <f ca="1">'ETF variations'!W275/'ETF price'!X276</f>
        <v>-3.2290390825075854E-3</v>
      </c>
      <c r="X275">
        <f ca="1">'ETF variations'!X275/'ETF price'!Y276</f>
        <v>-1.0917030567685674E-2</v>
      </c>
      <c r="Y275">
        <f ca="1">'ETF variations'!Y275/'ETF price'!Z276</f>
        <v>-1.8472906403941586E-3</v>
      </c>
      <c r="Z275">
        <f ca="1">'ETF variations'!Z275/'ETF price'!AA276</f>
        <v>-6.3476562499999514E-3</v>
      </c>
      <c r="AA275">
        <f ca="1">'ETF variations'!AA275/'ETF price'!AB276</f>
        <v>-9.5797280593325797E-3</v>
      </c>
      <c r="AB275">
        <f ca="1">'ETF variations'!AB275/'ETF price'!AC276</f>
        <v>1.0665749182865945E-2</v>
      </c>
      <c r="AC275">
        <f ca="1">'ETF variations'!AC275/'ETF price'!AD276</f>
        <v>-1.5086206896551595E-2</v>
      </c>
      <c r="AD275">
        <f ca="1">'ETF variations'!AD275/'ETF price'!AE276</f>
        <v>-1.5721120984278907E-2</v>
      </c>
      <c r="AE275">
        <f ca="1">'ETF variations'!AE275/'ETF price'!AF276</f>
        <v>1.7391304347826105E-2</v>
      </c>
      <c r="AF275">
        <f ca="1">'ETF variations'!AF275/'ETF price'!AG276</f>
        <v>-5.7218309859154498E-3</v>
      </c>
    </row>
    <row r="276" spans="1:32" x14ac:dyDescent="0.2">
      <c r="A276">
        <f ca="1">'ETF variations'!A276/'ETF price'!B277</f>
        <v>2.4992859183090545E-2</v>
      </c>
      <c r="B276">
        <f ca="1">'ETF variations'!B276/'ETF price'!C277</f>
        <v>2.3963874113475274E-2</v>
      </c>
      <c r="C276">
        <f ca="1">'ETF variations'!C276/'ETF price'!D277</f>
        <v>-1.9729425028184894E-2</v>
      </c>
      <c r="D276">
        <f ca="1">'ETF variations'!D276/'ETF price'!E277</f>
        <v>3.1849413111938084E-2</v>
      </c>
      <c r="E276">
        <f ca="1">'ETF variations'!E276/'ETF price'!F277</f>
        <v>1.7748917748917754E-2</v>
      </c>
      <c r="F276">
        <f ca="1">'ETF variations'!F276/'ETF price'!G277</f>
        <v>1.9851116625310191E-2</v>
      </c>
      <c r="G276">
        <f ca="1">'ETF variations'!G276/'ETF price'!H277</f>
        <v>1.6717325227963573E-2</v>
      </c>
      <c r="H276">
        <f ca="1">'ETF variations'!H276/'ETF price'!I277</f>
        <v>6.4418340280410977E-3</v>
      </c>
      <c r="I276">
        <f ca="1">'ETF variations'!I276/'ETF price'!J277</f>
        <v>6.3542819661377564E-3</v>
      </c>
      <c r="J276">
        <f ca="1">'ETF variations'!J276/'ETF price'!K277</f>
        <v>5.2356020942406862E-3</v>
      </c>
      <c r="K276">
        <f ca="1">'ETF variations'!K276/'ETF price'!L277</f>
        <v>6.9119286510589779E-3</v>
      </c>
      <c r="L276">
        <f ca="1">'ETF variations'!L276/'ETF price'!M277</f>
        <v>2.9739776951673287E-3</v>
      </c>
      <c r="M276">
        <f ca="1">'ETF variations'!M276/'ETF price'!N277</f>
        <v>6.355258976803395E-3</v>
      </c>
      <c r="N276">
        <f ca="1">'ETF variations'!N276/'ETF price'!O277</f>
        <v>1.2490815576781774E-2</v>
      </c>
      <c r="O276">
        <f ca="1">'ETF variations'!O276/'ETF price'!P277</f>
        <v>3.2488021502863167E-2</v>
      </c>
      <c r="P276">
        <f ca="1">'ETF variations'!P276/'ETF price'!Q277</f>
        <v>3.0976430976431036E-2</v>
      </c>
      <c r="Q276">
        <f ca="1">'ETF variations'!Q276/'ETF price'!R277</f>
        <v>1.3456176506243174E-2</v>
      </c>
      <c r="R276">
        <f ca="1">'ETF variations'!R276/'ETF price'!S277</f>
        <v>6.1511423550088123E-3</v>
      </c>
      <c r="S276">
        <f ca="1">'ETF variations'!S276/'ETF price'!T277</f>
        <v>1.9003378378378347E-2</v>
      </c>
      <c r="T276">
        <f ca="1">'ETF variations'!T276/'ETF price'!U277</f>
        <v>3.4503816793893208E-2</v>
      </c>
      <c r="U276">
        <f ca="1">'ETF variations'!U276/'ETF price'!V277</f>
        <v>-3.0318342597270703E-3</v>
      </c>
      <c r="V276">
        <f ca="1">'ETF variations'!V276/'ETF price'!W277</f>
        <v>1.148168398031716E-2</v>
      </c>
      <c r="W276">
        <f ca="1">'ETF variations'!W276/'ETF price'!X277</f>
        <v>1.2511170688114439E-2</v>
      </c>
      <c r="X276">
        <f ca="1">'ETF variations'!X276/'ETF price'!Y277</f>
        <v>1.2040939193257104E-2</v>
      </c>
      <c r="Y276">
        <f ca="1">'ETF variations'!Y276/'ETF price'!Z277</f>
        <v>1.2338062924120914E-2</v>
      </c>
      <c r="Z276">
        <f ca="1">'ETF variations'!Z276/'ETF price'!AA277</f>
        <v>-3.9312039312040213E-3</v>
      </c>
      <c r="AA276">
        <f ca="1">'ETF variations'!AA276/'ETF price'!AB277</f>
        <v>1.0764430577223276E-2</v>
      </c>
      <c r="AB276">
        <f ca="1">'ETF variations'!AB276/'ETF price'!AC277</f>
        <v>-6.2978723404254885E-3</v>
      </c>
      <c r="AC276">
        <f ca="1">'ETF variations'!AC276/'ETF price'!AD277</f>
        <v>7.6586433260394183E-3</v>
      </c>
      <c r="AD276">
        <f ca="1">'ETF variations'!AD276/'ETF price'!AE277</f>
        <v>7.6388888888888496E-3</v>
      </c>
      <c r="AE276">
        <f ca="1">'ETF variations'!AE276/'ETF price'!AF277</f>
        <v>0</v>
      </c>
      <c r="AF276">
        <f ca="1">'ETF variations'!AF276/'ETF price'!AG277</f>
        <v>3.5413899955733445E-3</v>
      </c>
    </row>
    <row r="277" spans="1:32" x14ac:dyDescent="0.2">
      <c r="A277">
        <f ca="1">'ETF variations'!A277/'ETF price'!B278</f>
        <v>-1.2052389577817959E-2</v>
      </c>
      <c r="B277">
        <f ca="1">'ETF variations'!B277/'ETF price'!C278</f>
        <v>-1.2661995075890822E-2</v>
      </c>
      <c r="C277">
        <f ca="1">'ETF variations'!C277/'ETF price'!D278</f>
        <v>-9.0856814261070298E-3</v>
      </c>
      <c r="D277">
        <f ca="1">'ETF variations'!D277/'ETF price'!E278</f>
        <v>-2.1502393008254107E-2</v>
      </c>
      <c r="E277">
        <f ca="1">'ETF variations'!E277/'ETF price'!F278</f>
        <v>2.1267545725219076E-4</v>
      </c>
      <c r="F277">
        <f ca="1">'ETF variations'!F277/'ETF price'!G278</f>
        <v>-1.5409570154095661E-2</v>
      </c>
      <c r="G277">
        <f ca="1">'ETF variations'!G277/'ETF price'!H278</f>
        <v>-1.1584454409566602E-2</v>
      </c>
      <c r="H277">
        <f ca="1">'ETF variations'!H277/'ETF price'!I278</f>
        <v>-2.9367469879519183E-3</v>
      </c>
      <c r="I277">
        <f ca="1">'ETF variations'!I277/'ETF price'!J278</f>
        <v>-4.8069089131496595E-3</v>
      </c>
      <c r="J277">
        <f ca="1">'ETF variations'!J277/'ETF price'!K278</f>
        <v>-2.1933685446009248E-2</v>
      </c>
      <c r="K277">
        <f ca="1">'ETF variations'!K277/'ETF price'!L278</f>
        <v>-3.4654561558901634E-2</v>
      </c>
      <c r="L277">
        <f ca="1">'ETF variations'!L277/'ETF price'!M278</f>
        <v>-2.0607857672349895E-2</v>
      </c>
      <c r="M277">
        <f ca="1">'ETF variations'!M277/'ETF price'!N278</f>
        <v>-5.0520997789706389E-3</v>
      </c>
      <c r="N277">
        <f ca="1">'ETF variations'!N277/'ETF price'!O278</f>
        <v>-3.2656023222060911E-2</v>
      </c>
      <c r="O277">
        <f ca="1">'ETF variations'!O277/'ETF price'!P278</f>
        <v>-8.941709111488309E-3</v>
      </c>
      <c r="P277">
        <f ca="1">'ETF variations'!P277/'ETF price'!Q278</f>
        <v>-7.8380143696930756E-3</v>
      </c>
      <c r="Q277">
        <f ca="1">'ETF variations'!Q277/'ETF price'!R278</f>
        <v>-8.0143540669854966E-3</v>
      </c>
      <c r="R277">
        <f ca="1">'ETF variations'!R277/'ETF price'!S278</f>
        <v>-2.6550218340611408E-2</v>
      </c>
      <c r="S277">
        <f ca="1">'ETF variations'!S277/'ETF price'!T278</f>
        <v>2.072109407376739E-3</v>
      </c>
      <c r="T277">
        <f ca="1">'ETF variations'!T277/'ETF price'!U278</f>
        <v>1.3577331759149965E-2</v>
      </c>
      <c r="U277">
        <f ca="1">'ETF variations'!U277/'ETF price'!V278</f>
        <v>-1.1403953370501846E-2</v>
      </c>
      <c r="V277">
        <f ca="1">'ETF variations'!V277/'ETF price'!W278</f>
        <v>-5.9459459459459156E-3</v>
      </c>
      <c r="W277">
        <f ca="1">'ETF variations'!W277/'ETF price'!X278</f>
        <v>-5.8473080317740641E-3</v>
      </c>
      <c r="X277">
        <f ca="1">'ETF variations'!X277/'ETF price'!Y278</f>
        <v>-7.5351973031925947E-3</v>
      </c>
      <c r="Y277">
        <f ca="1">'ETF variations'!Y277/'ETF price'!Z278</f>
        <v>-6.0938452163315053E-3</v>
      </c>
      <c r="Z277">
        <f ca="1">'ETF variations'!Z277/'ETF price'!AA278</f>
        <v>-2.7133695115934739E-3</v>
      </c>
      <c r="AA277">
        <f ca="1">'ETF variations'!AA277/'ETF price'!AB278</f>
        <v>-1.1267170859700632E-2</v>
      </c>
      <c r="AB277">
        <f ca="1">'ETF variations'!AB277/'ETF price'!AC278</f>
        <v>-1.3189448441247056E-2</v>
      </c>
      <c r="AC277">
        <f ca="1">'ETF variations'!AC277/'ETF price'!AD278</f>
        <v>-1.7372421281216084E-2</v>
      </c>
      <c r="AD277">
        <f ca="1">'ETF variations'!AD277/'ETF price'!AE278</f>
        <v>-1.722949689869056E-2</v>
      </c>
      <c r="AE277">
        <f ca="1">'ETF variations'!AE277/'ETF price'!AF278</f>
        <v>-2.1367521367521292E-2</v>
      </c>
      <c r="AF277">
        <f ca="1">'ETF variations'!AF277/'ETF price'!AG278</f>
        <v>-2.2055580061755623E-2</v>
      </c>
    </row>
    <row r="278" spans="1:32" x14ac:dyDescent="0.2">
      <c r="A278">
        <f ca="1">'ETF variations'!A278/'ETF price'!B279</f>
        <v>-5.5003173259995852E-3</v>
      </c>
      <c r="B278">
        <f ca="1">'ETF variations'!B278/'ETF price'!C279</f>
        <v>-4.2199873948429029E-3</v>
      </c>
      <c r="C278">
        <f ca="1">'ETF variations'!C278/'ETF price'!D279</f>
        <v>-9.6332404828226356E-3</v>
      </c>
      <c r="D278">
        <f ca="1">'ETF variations'!D278/'ETF price'!E279</f>
        <v>2.5519245764515038E-3</v>
      </c>
      <c r="E278">
        <f ca="1">'ETF variations'!E278/'ETF price'!F279</f>
        <v>-4.2526047203912997E-3</v>
      </c>
      <c r="F278">
        <f ca="1">'ETF variations'!F278/'ETF price'!G279</f>
        <v>-1.0708401976935813E-2</v>
      </c>
      <c r="G278">
        <f ca="1">'ETF variations'!G278/'ETF price'!H279</f>
        <v>-7.1833648393193851E-3</v>
      </c>
      <c r="H278">
        <f ca="1">'ETF variations'!H278/'ETF price'!I279</f>
        <v>-8.7606676232912673E-3</v>
      </c>
      <c r="I278">
        <f ca="1">'ETF variations'!I278/'ETF price'!J279</f>
        <v>-8.8415882112158201E-3</v>
      </c>
      <c r="J278">
        <f ca="1">'ETF variations'!J278/'ETF price'!K279</f>
        <v>-6.9751743793595349E-3</v>
      </c>
      <c r="K278">
        <f ca="1">'ETF variations'!K278/'ETF price'!L279</f>
        <v>-1.2616125702488752E-2</v>
      </c>
      <c r="L278">
        <f ca="1">'ETF variations'!L278/'ETF price'!M279</f>
        <v>-6.2064789585225032E-3</v>
      </c>
      <c r="M278">
        <f ca="1">'ETF variations'!M278/'ETF price'!N279</f>
        <v>-9.2034274833387077E-3</v>
      </c>
      <c r="N278">
        <f ca="1">'ETF variations'!N278/'ETF price'!O279</f>
        <v>-1.9504876219054747E-2</v>
      </c>
      <c r="O278">
        <f ca="1">'ETF variations'!O278/'ETF price'!P279</f>
        <v>-8.5655550479671085E-3</v>
      </c>
      <c r="P278">
        <f ca="1">'ETF variations'!P278/'ETF price'!Q279</f>
        <v>-9.4634628044765589E-3</v>
      </c>
      <c r="Q278">
        <f ca="1">'ETF variations'!Q278/'ETF price'!R279</f>
        <v>-1.4470034969251208E-2</v>
      </c>
      <c r="R278">
        <f ca="1">'ETF variations'!R278/'ETF price'!S279</f>
        <v>-9.869011304503808E-3</v>
      </c>
      <c r="S278">
        <f ca="1">'ETF variations'!S278/'ETF price'!T279</f>
        <v>-7.8577336641853304E-3</v>
      </c>
      <c r="T278">
        <f ca="1">'ETF variations'!T278/'ETF price'!U279</f>
        <v>-1.1065812463599374E-2</v>
      </c>
      <c r="U278">
        <f ca="1">'ETF variations'!U278/'ETF price'!V279</f>
        <v>-2.0763906690592034E-2</v>
      </c>
      <c r="V278">
        <f ca="1">'ETF variations'!V278/'ETF price'!W279</f>
        <v>-1.1147362697118099E-2</v>
      </c>
      <c r="W278">
        <f ca="1">'ETF variations'!W278/'ETF price'!X279</f>
        <v>-1.3871934302519144E-2</v>
      </c>
      <c r="X278">
        <f ca="1">'ETF variations'!X278/'ETF price'!Y279</f>
        <v>-1.5584415584415466E-2</v>
      </c>
      <c r="Y278">
        <f ca="1">'ETF variations'!Y278/'ETF price'!Z279</f>
        <v>-1.3733905579399023E-2</v>
      </c>
      <c r="Z278">
        <f ca="1">'ETF variations'!Z278/'ETF price'!AA279</f>
        <v>-9.6463022508038732E-3</v>
      </c>
      <c r="AA278">
        <f ca="1">'ETF variations'!AA278/'ETF price'!AB279</f>
        <v>-1.467374336559483E-2</v>
      </c>
      <c r="AB278">
        <f ca="1">'ETF variations'!AB278/'ETF price'!AC279</f>
        <v>8.6790487762536297E-4</v>
      </c>
      <c r="AC278">
        <f ca="1">'ETF variations'!AC278/'ETF price'!AD279</f>
        <v>-3.8674033149171422E-2</v>
      </c>
      <c r="AD278">
        <f ca="1">'ETF variations'!AD278/'ETF price'!AE279</f>
        <v>-3.8569424964936809E-2</v>
      </c>
      <c r="AE278">
        <f ca="1">'ETF variations'!AE278/'ETF price'!AF279</f>
        <v>-9.6069868995633273E-2</v>
      </c>
      <c r="AF278">
        <f ca="1">'ETF variations'!AF278/'ETF price'!AG279</f>
        <v>-0.10419485791610293</v>
      </c>
    </row>
    <row r="279" spans="1:32" x14ac:dyDescent="0.2">
      <c r="A279">
        <f ca="1">'ETF variations'!A279/'ETF price'!B280</f>
        <v>-4.6089484506842918E-3</v>
      </c>
      <c r="B279">
        <f ca="1">'ETF variations'!B279/'ETF price'!C280</f>
        <v>-6.356806736564029E-3</v>
      </c>
      <c r="C279">
        <f ca="1">'ETF variations'!C279/'ETF price'!D280</f>
        <v>1.7930387905777584E-2</v>
      </c>
      <c r="D279">
        <f ca="1">'ETF variations'!D279/'ETF price'!E280</f>
        <v>-1.5908930212826133E-2</v>
      </c>
      <c r="E279">
        <f ca="1">'ETF variations'!E279/'ETF price'!F280</f>
        <v>-4.2707666026043181E-4</v>
      </c>
      <c r="F279">
        <f ca="1">'ETF variations'!F279/'ETF price'!G280</f>
        <v>-6.2447960033304986E-3</v>
      </c>
      <c r="G279">
        <f ca="1">'ETF variations'!G279/'ETF price'!H280</f>
        <v>-9.1393754760092146E-3</v>
      </c>
      <c r="H279">
        <f ca="1">'ETF variations'!H279/'ETF price'!I280</f>
        <v>9.4476190476191161E-3</v>
      </c>
      <c r="I279">
        <f ca="1">'ETF variations'!I279/'ETF price'!J280</f>
        <v>7.6815065664492185E-3</v>
      </c>
      <c r="J279">
        <f ca="1">'ETF variations'!J279/'ETF price'!K280</f>
        <v>-3.0211480362531752E-4</v>
      </c>
      <c r="K279">
        <f ca="1">'ETF variations'!K279/'ETF price'!L280</f>
        <v>-5.4594029504007298E-3</v>
      </c>
      <c r="L279">
        <f ca="1">'ETF variations'!L279/'ETF price'!M280</f>
        <v>-1.827875095201897E-3</v>
      </c>
      <c r="M279">
        <f ca="1">'ETF variations'!M279/'ETF price'!N280</f>
        <v>7.3670723894939281E-3</v>
      </c>
      <c r="N279">
        <f ca="1">'ETF variations'!N279/'ETF price'!O280</f>
        <v>-6.1208875286916653E-3</v>
      </c>
      <c r="O279">
        <f ca="1">'ETF variations'!O279/'ETF price'!P280</f>
        <v>3.9165994701071204E-2</v>
      </c>
      <c r="P279">
        <f ca="1">'ETF variations'!P279/'ETF price'!Q280</f>
        <v>3.9461659882030403E-2</v>
      </c>
      <c r="Q279">
        <f ca="1">'ETF variations'!Q279/'ETF price'!R280</f>
        <v>3.6706227823320339E-3</v>
      </c>
      <c r="R279">
        <f ca="1">'ETF variations'!R279/'ETF price'!S280</f>
        <v>1.4498006524102628E-3</v>
      </c>
      <c r="S279">
        <f ca="1">'ETF variations'!S279/'ETF price'!T280</f>
        <v>1.4172571904960395E-2</v>
      </c>
      <c r="T279">
        <f ca="1">'ETF variations'!T279/'ETF price'!U280</f>
        <v>2.8710247349823362E-2</v>
      </c>
      <c r="U279">
        <f ca="1">'ETF variations'!U279/'ETF price'!V280</f>
        <v>-6.8062827225132223E-3</v>
      </c>
      <c r="V279">
        <f ca="1">'ETF variations'!V279/'ETF price'!W280</f>
        <v>3.2994226010449423E-3</v>
      </c>
      <c r="W279">
        <f ca="1">'ETF variations'!W279/'ETF price'!X280</f>
        <v>2.9259509340536249E-3</v>
      </c>
      <c r="X279">
        <f ca="1">'ETF variations'!X279/'ETF price'!Y280</f>
        <v>0</v>
      </c>
      <c r="Y279">
        <f ca="1">'ETF variations'!Y279/'ETF price'!Z280</f>
        <v>4.2272783787142753E-3</v>
      </c>
      <c r="Z279">
        <f ca="1">'ETF variations'!Z279/'ETF price'!AA280</f>
        <v>1.9980019980019555E-3</v>
      </c>
      <c r="AA279">
        <f ca="1">'ETF variations'!AA279/'ETF price'!AB280</f>
        <v>-2.0595690747781284E-3</v>
      </c>
      <c r="AB279">
        <f ca="1">'ETF variations'!AB279/'ETF price'!AC280</f>
        <v>1.0232396808879699E-2</v>
      </c>
      <c r="AC279">
        <f ca="1">'ETF variations'!AC279/'ETF price'!AD280</f>
        <v>-1.0344827586206881E-2</v>
      </c>
      <c r="AD279">
        <f ca="1">'ETF variations'!AD279/'ETF price'!AE280</f>
        <v>-1.1670313639679075E-2</v>
      </c>
      <c r="AE279">
        <f ca="1">'ETF variations'!AE279/'ETF price'!AF280</f>
        <v>-2.898550724637684E-2</v>
      </c>
      <c r="AF279">
        <f ca="1">'ETF variations'!AF279/'ETF price'!AG280</f>
        <v>-2.1148036253776342E-2</v>
      </c>
    </row>
    <row r="280" spans="1:32" x14ac:dyDescent="0.2">
      <c r="A280">
        <f ca="1">'ETF variations'!A280/'ETF price'!B281</f>
        <v>1.7310158142185547E-2</v>
      </c>
      <c r="B280">
        <f ca="1">'ETF variations'!B280/'ETF price'!C281</f>
        <v>1.7004541929766376E-2</v>
      </c>
      <c r="C280">
        <f ca="1">'ETF variations'!C280/'ETF price'!D281</f>
        <v>7.9438176375776857E-3</v>
      </c>
      <c r="D280">
        <f ca="1">'ETF variations'!D280/'ETF price'!E281</f>
        <v>1.4657278344589682E-2</v>
      </c>
      <c r="E280">
        <f ca="1">'ETF variations'!E280/'ETF price'!F281</f>
        <v>1.2390514847254824E-2</v>
      </c>
      <c r="F280">
        <f ca="1">'ETF variations'!F280/'ETF price'!G281</f>
        <v>5.4461667364892755E-3</v>
      </c>
      <c r="G280">
        <f ca="1">'ETF variations'!G280/'ETF price'!H281</f>
        <v>1.4219830899308263E-2</v>
      </c>
      <c r="H280">
        <f ca="1">'ETF variations'!H280/'ETF price'!I281</f>
        <v>8.3025133972374834E-3</v>
      </c>
      <c r="I280">
        <f ca="1">'ETF variations'!I280/'ETF price'!J281</f>
        <v>7.7049180327868668E-3</v>
      </c>
      <c r="J280">
        <f ca="1">'ETF variations'!J280/'ETF price'!K281</f>
        <v>1.3750377757630652E-2</v>
      </c>
      <c r="K280">
        <f ca="1">'ETF variations'!K280/'ETF price'!L281</f>
        <v>-7.0077084793275252E-4</v>
      </c>
      <c r="L280">
        <f ca="1">'ETF variations'!L280/'ETF price'!M281</f>
        <v>4.5780558522813541E-3</v>
      </c>
      <c r="M280">
        <f ca="1">'ETF variations'!M280/'ETF price'!N281</f>
        <v>8.2670906200318466E-3</v>
      </c>
      <c r="N280">
        <f ca="1">'ETF variations'!N280/'ETF price'!O281</f>
        <v>1.7705927636643606E-2</v>
      </c>
      <c r="O280">
        <f ca="1">'ETF variations'!O280/'ETF price'!P281</f>
        <v>-2.5496064737832811E-3</v>
      </c>
      <c r="P280">
        <f ca="1">'ETF variations'!P280/'ETF price'!Q281</f>
        <v>-3.9961636828644504E-3</v>
      </c>
      <c r="Q280">
        <f ca="1">'ETF variations'!Q280/'ETF price'!R281</f>
        <v>5.2419846397658496E-3</v>
      </c>
      <c r="R280">
        <f ca="1">'ETF variations'!R280/'ETF price'!S281</f>
        <v>2.533478103510687E-3</v>
      </c>
      <c r="S280">
        <f ca="1">'ETF variations'!S280/'ETF price'!T281</f>
        <v>-2.0550760378132823E-3</v>
      </c>
      <c r="T280">
        <f ca="1">'ETF variations'!T280/'ETF price'!U281</f>
        <v>-5.2955488764849651E-3</v>
      </c>
      <c r="U280">
        <f ca="1">'ETF variations'!U280/'ETF price'!V281</f>
        <v>1.5814443858724339E-2</v>
      </c>
      <c r="V280">
        <f ca="1">'ETF variations'!V280/'ETF price'!W281</f>
        <v>1.1510002740476694E-2</v>
      </c>
      <c r="W280">
        <f ca="1">'ETF variations'!W280/'ETF price'!X281</f>
        <v>1.200628366247748E-2</v>
      </c>
      <c r="X280">
        <f ca="1">'ETF variations'!X280/'ETF price'!Y281</f>
        <v>1.0148163182463973E-2</v>
      </c>
      <c r="Y280">
        <f ca="1">'ETF variations'!Y280/'ETF price'!Z281</f>
        <v>1.1761792744831037E-2</v>
      </c>
      <c r="Z280">
        <f ca="1">'ETF variations'!Z280/'ETF price'!AA281</f>
        <v>9.2223330009971235E-3</v>
      </c>
      <c r="AA280">
        <f ca="1">'ETF variations'!AA280/'ETF price'!AB281</f>
        <v>8.0965232576599138E-3</v>
      </c>
      <c r="AB280">
        <f ca="1">'ETF variations'!AB280/'ETF price'!AC281</f>
        <v>-6.8669527896994249E-4</v>
      </c>
      <c r="AC280">
        <f ca="1">'ETF variations'!AC280/'ETF price'!AD281</f>
        <v>-2.32288037166081E-3</v>
      </c>
      <c r="AD280">
        <f ca="1">'ETF variations'!AD280/'ETF price'!AE281</f>
        <v>-1.476014760147701E-3</v>
      </c>
      <c r="AE280">
        <f ca="1">'ETF variations'!AE280/'ETF price'!AF281</f>
        <v>-9.9502487562188047E-3</v>
      </c>
      <c r="AF280">
        <f ca="1">'ETF variations'!AF280/'ETF price'!AG281</f>
        <v>-2.0576131687244188E-3</v>
      </c>
    </row>
    <row r="281" spans="1:32" x14ac:dyDescent="0.2">
      <c r="A281">
        <f ca="1">'ETF variations'!A281/'ETF price'!B282</f>
        <v>4.2714095651563977E-3</v>
      </c>
      <c r="B281">
        <f ca="1">'ETF variations'!B281/'ETF price'!C282</f>
        <v>5.3101682914873608E-3</v>
      </c>
      <c r="C281">
        <f ca="1">'ETF variations'!C281/'ETF price'!D282</f>
        <v>7.0816676185037645E-3</v>
      </c>
      <c r="D281">
        <f ca="1">'ETF variations'!D281/'ETF price'!E282</f>
        <v>1.8198555445404285E-2</v>
      </c>
      <c r="E281">
        <f ca="1">'ETF variations'!E281/'ETF price'!F282</f>
        <v>5.6974045157205319E-3</v>
      </c>
      <c r="F281">
        <f ca="1">'ETF variations'!F281/'ETF price'!G282</f>
        <v>1.0416666666666666E-2</v>
      </c>
      <c r="G281">
        <f ca="1">'ETF variations'!G281/'ETF price'!H282</f>
        <v>5.3050397877984299E-3</v>
      </c>
      <c r="H281">
        <f ca="1">'ETF variations'!H281/'ETF price'!I282</f>
        <v>-5.9136162886443003E-3</v>
      </c>
      <c r="I281">
        <f ca="1">'ETF variations'!I281/'ETF price'!J282</f>
        <v>-4.880429477794E-3</v>
      </c>
      <c r="J281">
        <f ca="1">'ETF variations'!J281/'ETF price'!K282</f>
        <v>-3.0555969593083661E-3</v>
      </c>
      <c r="K281">
        <f ca="1">'ETF variations'!K281/'ETF price'!L282</f>
        <v>3.7400654511453154E-3</v>
      </c>
      <c r="L281">
        <f ca="1">'ETF variations'!L281/'ETF price'!M282</f>
        <v>-1.8228771077017248E-3</v>
      </c>
      <c r="M281">
        <f ca="1">'ETF variations'!M281/'ETF price'!N282</f>
        <v>-3.9419741406496369E-3</v>
      </c>
      <c r="N281">
        <f ca="1">'ETF variations'!N281/'ETF price'!O282</f>
        <v>-6.0514372163388858E-3</v>
      </c>
      <c r="O281">
        <f ca="1">'ETF variations'!O281/'ETF price'!P282</f>
        <v>3.3340742387198414E-4</v>
      </c>
      <c r="P281">
        <f ca="1">'ETF variations'!P281/'ETF price'!Q282</f>
        <v>1.6851227732305708E-3</v>
      </c>
      <c r="Q281">
        <f ca="1">'ETF variations'!Q281/'ETF price'!R282</f>
        <v>2.3041474654379329E-3</v>
      </c>
      <c r="R281">
        <f ca="1">'ETF variations'!R281/'ETF price'!S282</f>
        <v>2.4187725631769016E-2</v>
      </c>
      <c r="S281">
        <f ca="1">'ETF variations'!S281/'ETF price'!T282</f>
        <v>3.2948929159801604E-3</v>
      </c>
      <c r="T281">
        <f ca="1">'ETF variations'!T281/'ETF price'!U282</f>
        <v>-1.4388489208632276E-3</v>
      </c>
      <c r="U281">
        <f ca="1">'ETF variations'!U281/'ETF price'!V282</f>
        <v>-7.1354436948624436E-3</v>
      </c>
      <c r="V281">
        <f ca="1">'ETF variations'!V281/'ETF price'!W282</f>
        <v>-5.4185857491193647E-3</v>
      </c>
      <c r="W281">
        <f ca="1">'ETF variations'!W281/'ETF price'!X282</f>
        <v>-5.6547289056435406E-3</v>
      </c>
      <c r="X281">
        <f ca="1">'ETF variations'!X281/'ETF price'!Y282</f>
        <v>-2.8129395218002926E-3</v>
      </c>
      <c r="Y281">
        <f ca="1">'ETF variations'!Y281/'ETF price'!Z282</f>
        <v>-5.7513460597160898E-3</v>
      </c>
      <c r="Z281">
        <f ca="1">'ETF variations'!Z281/'ETF price'!AA282</f>
        <v>-1.0372931588046473E-2</v>
      </c>
      <c r="AA281">
        <f ca="1">'ETF variations'!AA281/'ETF price'!AB282</f>
        <v>-3.7795275590551494E-3</v>
      </c>
      <c r="AB281">
        <f ca="1">'ETF variations'!AB281/'ETF price'!AC282</f>
        <v>1.2025425184676222E-3</v>
      </c>
      <c r="AC281">
        <f ca="1">'ETF variations'!AC281/'ETF price'!AD282</f>
        <v>2.793946449359723E-2</v>
      </c>
      <c r="AD281">
        <f ca="1">'ETF variations'!AD281/'ETF price'!AE282</f>
        <v>2.7346637102734737E-2</v>
      </c>
      <c r="AE281">
        <f ca="1">'ETF variations'!AE281/'ETF price'!AF282</f>
        <v>6.0301507537688384E-2</v>
      </c>
      <c r="AF281">
        <f ca="1">'ETF variations'!AF281/'ETF price'!AG282</f>
        <v>4.2268041237113418E-2</v>
      </c>
    </row>
    <row r="282" spans="1:32" x14ac:dyDescent="0.2">
      <c r="A282">
        <f ca="1">'ETF variations'!A282/'ETF price'!B283</f>
        <v>4.6715939199554876E-3</v>
      </c>
      <c r="B282">
        <f ca="1">'ETF variations'!B282/'ETF price'!C283</f>
        <v>7.0428257984125626E-3</v>
      </c>
      <c r="C282">
        <f ca="1">'ETF variations'!C282/'ETF price'!D283</f>
        <v>-2.075535896563455E-2</v>
      </c>
      <c r="D282">
        <f ca="1">'ETF variations'!D282/'ETF price'!E283</f>
        <v>4.0336601989012623E-3</v>
      </c>
      <c r="E282">
        <f ca="1">'ETF variations'!E282/'ETF price'!F283</f>
        <v>1.4267729752413069E-2</v>
      </c>
      <c r="F282">
        <f ca="1">'ETF variations'!F282/'ETF price'!G283</f>
        <v>1.2371134020619026E-3</v>
      </c>
      <c r="G282">
        <f ca="1">'ETF variations'!G282/'ETF price'!H283</f>
        <v>1.4323407463249114E-2</v>
      </c>
      <c r="H282">
        <f ca="1">'ETF variations'!H282/'ETF price'!I283</f>
        <v>-4.9698795180724772E-3</v>
      </c>
      <c r="I282">
        <f ca="1">'ETF variations'!I282/'ETF price'!J283</f>
        <v>-2.8608795161027345E-3</v>
      </c>
      <c r="J282">
        <f ca="1">'ETF variations'!J282/'ETF price'!K283</f>
        <v>0</v>
      </c>
      <c r="K282">
        <f ca="1">'ETF variations'!K282/'ETF price'!L283</f>
        <v>2.0959478341873177E-3</v>
      </c>
      <c r="L282">
        <f ca="1">'ETF variations'!L282/'ETF price'!M283</f>
        <v>5.6308020088267326E-3</v>
      </c>
      <c r="M282">
        <f ca="1">'ETF variations'!M282/'ETF price'!N283</f>
        <v>-3.6409688143106533E-3</v>
      </c>
      <c r="N282">
        <f ca="1">'ETF variations'!N282/'ETF price'!O283</f>
        <v>1.1415525114155143E-2</v>
      </c>
      <c r="O282">
        <f ca="1">'ETF variations'!O282/'ETF price'!P283</f>
        <v>-1.6998111320964349E-2</v>
      </c>
      <c r="P282">
        <f ca="1">'ETF variations'!P282/'ETF price'!Q283</f>
        <v>-1.4820155411359403E-2</v>
      </c>
      <c r="Q282">
        <f ca="1">'ETF variations'!Q282/'ETF price'!R283</f>
        <v>4.3557168784028964E-3</v>
      </c>
      <c r="R282">
        <f ca="1">'ETF variations'!R282/'ETF price'!S283</f>
        <v>-1.4099400775467994E-3</v>
      </c>
      <c r="S282">
        <f ca="1">'ETF variations'!S282/'ETF price'!T283</f>
        <v>-1.0673234811165765E-2</v>
      </c>
      <c r="T282">
        <f ca="1">'ETF variations'!T282/'ETF price'!U283</f>
        <v>-5.4755043227667092E-3</v>
      </c>
      <c r="U282">
        <f ca="1">'ETF variations'!U282/'ETF price'!V283</f>
        <v>3.2797595714099112E-2</v>
      </c>
      <c r="V282">
        <f ca="1">'ETF variations'!V282/'ETF price'!W283</f>
        <v>1.0896213565785658E-3</v>
      </c>
      <c r="W282">
        <f ca="1">'ETF variations'!W282/'ETF price'!X283</f>
        <v>3.1222123104369635E-3</v>
      </c>
      <c r="X282">
        <f ca="1">'ETF variations'!X282/'ETF price'!Y283</f>
        <v>6.2462220431189833E-3</v>
      </c>
      <c r="Y282">
        <f ca="1">'ETF variations'!Y282/'ETF price'!Z283</f>
        <v>2.7076923076922938E-3</v>
      </c>
      <c r="Z282">
        <f ca="1">'ETF variations'!Z282/'ETF price'!AA283</f>
        <v>2.7451959071624517E-3</v>
      </c>
      <c r="AA282">
        <f ca="1">'ETF variations'!AA282/'ETF price'!AB283</f>
        <v>1.1855833069870489E-2</v>
      </c>
      <c r="AB282">
        <f ca="1">'ETF variations'!AB282/'ETF price'!AC283</f>
        <v>-1.2697323266986993E-2</v>
      </c>
      <c r="AC282">
        <f ca="1">'ETF variations'!AC282/'ETF price'!AD283</f>
        <v>8.6070215175537909E-2</v>
      </c>
      <c r="AD282">
        <f ca="1">'ETF variations'!AD282/'ETF price'!AE283</f>
        <v>8.5611510791366863E-2</v>
      </c>
      <c r="AE282">
        <f ca="1">'ETF variations'!AE282/'ETF price'!AF283</f>
        <v>0.13744075829383889</v>
      </c>
      <c r="AF282">
        <f ca="1">'ETF variations'!AF282/'ETF price'!AG283</f>
        <v>0.10781404549950543</v>
      </c>
    </row>
    <row r="283" spans="1:32" x14ac:dyDescent="0.2">
      <c r="A283">
        <f ca="1">'ETF variations'!A283/'ETF price'!B284</f>
        <v>-1.7350267194114789E-2</v>
      </c>
      <c r="B283">
        <f ca="1">'ETF variations'!B283/'ETF price'!C284</f>
        <v>-1.8237082066869227E-2</v>
      </c>
      <c r="C283">
        <f ca="1">'ETF variations'!C283/'ETF price'!D284</f>
        <v>-1.2971971276349369E-2</v>
      </c>
      <c r="D283">
        <f ca="1">'ETF variations'!D283/'ETF price'!E284</f>
        <v>-2.4520329708388112E-2</v>
      </c>
      <c r="E283">
        <f ca="1">'ETF variations'!E283/'ETF price'!F284</f>
        <v>-1.7583781547372803E-2</v>
      </c>
      <c r="F283">
        <f ca="1">'ETF variations'!F283/'ETF price'!G284</f>
        <v>-1.3591433278418526E-2</v>
      </c>
      <c r="G283">
        <f ca="1">'ETF variations'!G283/'ETF price'!H284</f>
        <v>-1.6350798959494661E-2</v>
      </c>
      <c r="H283">
        <f ca="1">'ETF variations'!H283/'ETF price'!I284</f>
        <v>-9.9894051763280856E-3</v>
      </c>
      <c r="I283">
        <f ca="1">'ETF variations'!I283/'ETF price'!J284</f>
        <v>-9.508976145585676E-3</v>
      </c>
      <c r="J283">
        <f ca="1">'ETF variations'!J283/'ETF price'!K284</f>
        <v>-1.2558869701726894E-2</v>
      </c>
      <c r="K283">
        <f ca="1">'ETF variations'!K283/'ETF price'!L284</f>
        <v>-1.4989542179874579E-2</v>
      </c>
      <c r="L283">
        <f ca="1">'ETF variations'!L283/'ETF price'!M284</f>
        <v>-1.5587167070217935E-2</v>
      </c>
      <c r="M283">
        <f ca="1">'ETF variations'!M283/'ETF price'!N284</f>
        <v>-8.7384810931044991E-3</v>
      </c>
      <c r="N283">
        <f ca="1">'ETF variations'!N283/'ETF price'!O284</f>
        <v>-9.0293453724604386E-3</v>
      </c>
      <c r="O283">
        <f ca="1">'ETF variations'!O283/'ETF price'!P284</f>
        <v>-9.8327305605787133E-3</v>
      </c>
      <c r="P283">
        <f ca="1">'ETF variations'!P283/'ETF price'!Q284</f>
        <v>-9.9203122458936324E-3</v>
      </c>
      <c r="Q283">
        <f ca="1">'ETF variations'!Q283/'ETF price'!R284</f>
        <v>-1.1323936875075435E-2</v>
      </c>
      <c r="R283">
        <f ca="1">'ETF variations'!R283/'ETF price'!S284</f>
        <v>9.707024355806641E-3</v>
      </c>
      <c r="S283">
        <f ca="1">'ETF variations'!S283/'ETF price'!T284</f>
        <v>-2.9045643153527089E-3</v>
      </c>
      <c r="T283">
        <f ca="1">'ETF variations'!T283/'ETF price'!U284</f>
        <v>-8.2584758041146511E-3</v>
      </c>
      <c r="U283">
        <f ca="1">'ETF variations'!U283/'ETF price'!V284</f>
        <v>-3.5551619433198407E-2</v>
      </c>
      <c r="V283">
        <f ca="1">'ETF variations'!V283/'ETF price'!W284</f>
        <v>-1.0068027210884284E-2</v>
      </c>
      <c r="W283">
        <f ca="1">'ETF variations'!W283/'ETF price'!X284</f>
        <v>-1.0115606936416147E-2</v>
      </c>
      <c r="X283">
        <f ca="1">'ETF variations'!X283/'ETF price'!Y284</f>
        <v>-1.3015618742490961E-2</v>
      </c>
      <c r="Y283">
        <f ca="1">'ETF variations'!Y283/'ETF price'!Z284</f>
        <v>-1.0433288326991461E-2</v>
      </c>
      <c r="Z283">
        <f ca="1">'ETF variations'!Z283/'ETF price'!AA284</f>
        <v>-9.2085614733697727E-3</v>
      </c>
      <c r="AA283">
        <f ca="1">'ETF variations'!AA283/'ETF price'!AB284</f>
        <v>-1.7653491641930988E-2</v>
      </c>
      <c r="AB283">
        <f ca="1">'ETF variations'!AB283/'ETF price'!AC284</f>
        <v>-1.7379214459506678E-3</v>
      </c>
      <c r="AC283">
        <f ca="1">'ETF variations'!AC283/'ETF price'!AD284</f>
        <v>1.6684045881126187E-2</v>
      </c>
      <c r="AD283">
        <f ca="1">'ETF variations'!AD283/'ETF price'!AE284</f>
        <v>1.7892644135188839E-2</v>
      </c>
      <c r="AE283">
        <f ca="1">'ETF variations'!AE283/'ETF price'!AF284</f>
        <v>-7.0833333333333304E-2</v>
      </c>
      <c r="AF283">
        <f ca="1">'ETF variations'!AF283/'ETF price'!AG284</f>
        <v>-4.4196428571428505E-2</v>
      </c>
    </row>
    <row r="284" spans="1:32" x14ac:dyDescent="0.2">
      <c r="A284">
        <f ca="1">'ETF variations'!A284/'ETF price'!B285</f>
        <v>-1.2500882830708455E-2</v>
      </c>
      <c r="B284">
        <f ca="1">'ETF variations'!B284/'ETF price'!C285</f>
        <v>-1.2246910874270602E-2</v>
      </c>
      <c r="C284">
        <f ca="1">'ETF variations'!C284/'ETF price'!D285</f>
        <v>-2.4172729406242693E-2</v>
      </c>
      <c r="D284">
        <f ca="1">'ETF variations'!D284/'ETF price'!E285</f>
        <v>-1.5550663921039735E-2</v>
      </c>
      <c r="E284">
        <f ca="1">'ETF variations'!E284/'ETF price'!F285</f>
        <v>-7.3699726258159909E-3</v>
      </c>
      <c r="F284">
        <f ca="1">'ETF variations'!F284/'ETF price'!G285</f>
        <v>-1.5448851774530313E-2</v>
      </c>
      <c r="G284">
        <f ca="1">'ETF variations'!G284/'ETF price'!H285</f>
        <v>-9.0668681526255551E-3</v>
      </c>
      <c r="H284">
        <f ca="1">'ETF variations'!H284/'ETF price'!I285</f>
        <v>8.9435866075524839E-3</v>
      </c>
      <c r="I284">
        <f ca="1">'ETF variations'!I284/'ETF price'!J285</f>
        <v>1.0096830257386401E-2</v>
      </c>
      <c r="J284">
        <f ca="1">'ETF variations'!J284/'ETF price'!K285</f>
        <v>9.6146566734802794E-3</v>
      </c>
      <c r="K284">
        <f ca="1">'ETF variations'!K284/'ETF price'!L285</f>
        <v>2.3947151114781188E-2</v>
      </c>
      <c r="L284">
        <f ca="1">'ETF variations'!L284/'ETF price'!M285</f>
        <v>1.7371252882398304E-2</v>
      </c>
      <c r="M284">
        <f ca="1">'ETF variations'!M284/'ETF price'!N285</f>
        <v>8.975797403430073E-3</v>
      </c>
      <c r="N284">
        <f ca="1">'ETF variations'!N284/'ETF price'!O285</f>
        <v>1.1389521640091143E-2</v>
      </c>
      <c r="O284">
        <f ca="1">'ETF variations'!O284/'ETF price'!P285</f>
        <v>-3.5612373016778956E-2</v>
      </c>
      <c r="P284">
        <f ca="1">'ETF variations'!P284/'ETF price'!Q285</f>
        <v>-3.6711563731931657E-2</v>
      </c>
      <c r="Q284">
        <f ca="1">'ETF variations'!Q284/'ETF price'!R285</f>
        <v>-9.3822346777140981E-3</v>
      </c>
      <c r="R284">
        <f ca="1">'ETF variations'!R284/'ETF price'!S285</f>
        <v>-1.8003845481559186E-2</v>
      </c>
      <c r="S284">
        <f ca="1">'ETF variations'!S284/'ETF price'!T285</f>
        <v>-7.4906367041198381E-3</v>
      </c>
      <c r="T284">
        <f ca="1">'ETF variations'!T284/'ETF price'!U285</f>
        <v>-2.0891161431702072E-2</v>
      </c>
      <c r="U284">
        <f ca="1">'ETF variations'!U284/'ETF price'!V285</f>
        <v>-6.9526433162796948E-3</v>
      </c>
      <c r="V284">
        <f ca="1">'ETF variations'!V284/'ETF price'!W285</f>
        <v>2.7487630566239721E-4</v>
      </c>
      <c r="W284">
        <f ca="1">'ETF variations'!W284/'ETF price'!X285</f>
        <v>7.8607523863006613E-4</v>
      </c>
      <c r="X284">
        <f ca="1">'ETF variations'!X284/'ETF price'!Y285</f>
        <v>3.85473726922292E-3</v>
      </c>
      <c r="Y284">
        <f ca="1">'ETF variations'!Y284/'ETF price'!Z285</f>
        <v>3.7211610022328375E-4</v>
      </c>
      <c r="Z284">
        <f ca="1">'ETF variations'!Z284/'ETF price'!AA285</f>
        <v>-5.0238633509169265E-3</v>
      </c>
      <c r="AA284">
        <f ca="1">'ETF variations'!AA284/'ETF price'!AB285</f>
        <v>5.0890585241730327E-3</v>
      </c>
      <c r="AB284">
        <f ca="1">'ETF variations'!AB284/'ETF price'!AC285</f>
        <v>-2.4547353760445624E-2</v>
      </c>
      <c r="AC284">
        <f ca="1">'ETF variations'!AC284/'ETF price'!AD285</f>
        <v>9.230769230769216E-3</v>
      </c>
      <c r="AD284">
        <f ca="1">'ETF variations'!AD284/'ETF price'!AE285</f>
        <v>1.1067708333333329E-2</v>
      </c>
      <c r="AE284">
        <f ca="1">'ETF variations'!AE284/'ETF price'!AF285</f>
        <v>4.035874439461877E-2</v>
      </c>
      <c r="AF284">
        <f ca="1">'ETF variations'!AF284/'ETF price'!AG285</f>
        <v>8.4072863148061516E-3</v>
      </c>
    </row>
    <row r="285" spans="1:32" x14ac:dyDescent="0.2">
      <c r="A285">
        <f ca="1">'ETF variations'!A285/'ETF price'!B286</f>
        <v>-2.37448147618366E-2</v>
      </c>
      <c r="B285">
        <f ca="1">'ETF variations'!B285/'ETF price'!C286</f>
        <v>-2.4187285032730418E-2</v>
      </c>
      <c r="C285">
        <f ca="1">'ETF variations'!C285/'ETF price'!D286</f>
        <v>1.4790764790764839E-2</v>
      </c>
      <c r="D285">
        <f ca="1">'ETF variations'!D285/'ETF price'!E286</f>
        <v>-3.2386035776110655E-2</v>
      </c>
      <c r="E285">
        <f ca="1">'ETF variations'!E285/'ETF price'!F286</f>
        <v>-1.3576580398812061E-2</v>
      </c>
      <c r="F285">
        <f ca="1">'ETF variations'!F285/'ETF price'!G286</f>
        <v>-2.7565733672603843E-2</v>
      </c>
      <c r="G285">
        <f ca="1">'ETF variations'!G285/'ETF price'!H286</f>
        <v>-2.7830728173846755E-2</v>
      </c>
      <c r="H285">
        <f ca="1">'ETF variations'!H285/'ETF price'!I286</f>
        <v>-1.2955526933858685E-2</v>
      </c>
      <c r="I285">
        <f ca="1">'ETF variations'!I285/'ETF price'!J286</f>
        <v>-1.6919295370749675E-2</v>
      </c>
      <c r="J285">
        <f ca="1">'ETF variations'!J285/'ETF price'!K286</f>
        <v>-2.7894421115777047E-2</v>
      </c>
      <c r="K285">
        <f ca="1">'ETF variations'!K285/'ETF price'!L286</f>
        <v>-4.6428571428571444E-2</v>
      </c>
      <c r="L285">
        <f ca="1">'ETF variations'!L285/'ETF price'!M286</f>
        <v>-2.9313992142641458E-2</v>
      </c>
      <c r="M285">
        <f ca="1">'ETF variations'!M285/'ETF price'!N286</f>
        <v>-1.6679904686259003E-2</v>
      </c>
      <c r="N285">
        <f ca="1">'ETF variations'!N285/'ETF price'!O286</f>
        <v>-5.3303303303303365E-2</v>
      </c>
      <c r="O285">
        <f ca="1">'ETF variations'!O285/'ETF price'!P286</f>
        <v>-4.9710024855012629E-3</v>
      </c>
      <c r="P285">
        <f ca="1">'ETF variations'!P285/'ETF price'!Q286</f>
        <v>-6.47966578565952E-3</v>
      </c>
      <c r="Q285">
        <f ca="1">'ETF variations'!Q285/'ETF price'!R286</f>
        <v>-1.648216482164826E-2</v>
      </c>
      <c r="R285">
        <f ca="1">'ETF variations'!R285/'ETF price'!S286</f>
        <v>-2.6165895336418634E-2</v>
      </c>
      <c r="S285">
        <f ca="1">'ETF variations'!S285/'ETF price'!T286</f>
        <v>1.2578616352200245E-3</v>
      </c>
      <c r="T285">
        <f ca="1">'ETF variations'!T285/'ETF price'!U286</f>
        <v>-4.9239033124440215E-3</v>
      </c>
      <c r="U285">
        <f ca="1">'ETF variations'!U285/'ETF price'!V286</f>
        <v>-2.1268163804491404E-2</v>
      </c>
      <c r="V285">
        <f ca="1">'ETF variations'!V285/'ETF price'!W286</f>
        <v>-2.0610057708161583E-2</v>
      </c>
      <c r="W285">
        <f ca="1">'ETF variations'!W285/'ETF price'!X286</f>
        <v>-2.1207360861759429E-2</v>
      </c>
      <c r="X285">
        <f ca="1">'ETF variations'!X285/'ETF price'!Y286</f>
        <v>-2.566693613581237E-2</v>
      </c>
      <c r="Y285">
        <f ca="1">'ETF variations'!Y285/'ETF price'!Z286</f>
        <v>-2.0582765034098085E-2</v>
      </c>
      <c r="Z285">
        <f ca="1">'ETF variations'!Z285/'ETF price'!AA286</f>
        <v>-1.9691996970462033E-2</v>
      </c>
      <c r="AA285">
        <f ca="1">'ETF variations'!AA285/'ETF price'!AB286</f>
        <v>-2.3259493670886169E-2</v>
      </c>
      <c r="AB285">
        <f ca="1">'ETF variations'!AB285/'ETF price'!AC286</f>
        <v>3.0340888809566608E-3</v>
      </c>
      <c r="AC285">
        <f ca="1">'ETF variations'!AC285/'ETF price'!AD286</f>
        <v>-1.5243902439024426E-2</v>
      </c>
      <c r="AD285">
        <f ca="1">'ETF variations'!AD285/'ETF price'!AE286</f>
        <v>-1.6741790083708939E-2</v>
      </c>
      <c r="AE285">
        <f ca="1">'ETF variations'!AE285/'ETF price'!AF286</f>
        <v>1.2931034482758728E-2</v>
      </c>
      <c r="AF285">
        <f ca="1">'ETF variations'!AF285/'ETF price'!AG286</f>
        <v>-4.9096804075961037E-2</v>
      </c>
    </row>
    <row r="286" spans="1:32" x14ac:dyDescent="0.2">
      <c r="A286">
        <f ca="1">'ETF variations'!A286/'ETF price'!B287</f>
        <v>-1.4652014652013819E-3</v>
      </c>
      <c r="B286">
        <f ca="1">'ETF variations'!B286/'ETF price'!C287</f>
        <v>-2.2740193291638454E-4</v>
      </c>
      <c r="C286">
        <f ca="1">'ETF variations'!C286/'ETF price'!D287</f>
        <v>-1.8248607654935491E-2</v>
      </c>
      <c r="D286">
        <f ca="1">'ETF variations'!D286/'ETF price'!E287</f>
        <v>-4.7707789787552347E-3</v>
      </c>
      <c r="E286">
        <f ca="1">'ETF variations'!E286/'ETF price'!F287</f>
        <v>9.0322580645161663E-3</v>
      </c>
      <c r="F286">
        <f ca="1">'ETF variations'!F286/'ETF price'!G287</f>
        <v>-8.7221979938942752E-4</v>
      </c>
      <c r="G286">
        <f ca="1">'ETF variations'!G286/'ETF price'!H287</f>
        <v>1.9607843137255179E-3</v>
      </c>
      <c r="H286">
        <f ca="1">'ETF variations'!H286/'ETF price'!I287</f>
        <v>-3.3773411114522392E-3</v>
      </c>
      <c r="I286">
        <f ca="1">'ETF variations'!I286/'ETF price'!J287</f>
        <v>-2.083593782556153E-3</v>
      </c>
      <c r="J286">
        <f ca="1">'ETF variations'!J286/'ETF price'!K287</f>
        <v>-1.8512804689909033E-3</v>
      </c>
      <c r="K286">
        <f ca="1">'ETF variations'!K286/'ETF price'!L287</f>
        <v>1.0390238008940431E-2</v>
      </c>
      <c r="L286">
        <f ca="1">'ETF variations'!L286/'ETF price'!M287</f>
        <v>-3.5803237858030787E-3</v>
      </c>
      <c r="M286">
        <f ca="1">'ETF variations'!M286/'ETF price'!N287</f>
        <v>-2.1001615508884565E-3</v>
      </c>
      <c r="N286">
        <f ca="1">'ETF variations'!N286/'ETF price'!O287</f>
        <v>1.2688342585249814E-2</v>
      </c>
      <c r="O286">
        <f ca="1">'ETF variations'!O286/'ETF price'!P287</f>
        <v>-6.6611157368857872E-3</v>
      </c>
      <c r="P286">
        <f ca="1">'ETF variations'!P286/'ETF price'!Q287</f>
        <v>-7.0368145541921173E-3</v>
      </c>
      <c r="Q286">
        <f ca="1">'ETF variations'!Q286/'ETF price'!R287</f>
        <v>7.5037518759380759E-3</v>
      </c>
      <c r="R286">
        <f ca="1">'ETF variations'!R286/'ETF price'!S287</f>
        <v>2.0106013525863541E-3</v>
      </c>
      <c r="S286">
        <f ca="1">'ETF variations'!S286/'ETF price'!T287</f>
        <v>-1.2981574539363432E-2</v>
      </c>
      <c r="T286">
        <f ca="1">'ETF variations'!T286/'ETF price'!U287</f>
        <v>-2.6540710751237009E-2</v>
      </c>
      <c r="U286">
        <f ca="1">'ETF variations'!U286/'ETF price'!V287</f>
        <v>0</v>
      </c>
      <c r="V286">
        <f ca="1">'ETF variations'!V286/'ETF price'!W287</f>
        <v>-1.122334455667765E-3</v>
      </c>
      <c r="W286">
        <f ca="1">'ETF variations'!W286/'ETF price'!X287</f>
        <v>-1.6049524246245623E-3</v>
      </c>
      <c r="X286">
        <f ca="1">'ETF variations'!X286/'ETF price'!Y287</f>
        <v>-3.111387678904762E-3</v>
      </c>
      <c r="Y286">
        <f ca="1">'ETF variations'!Y286/'ETF price'!Z287</f>
        <v>-1.6457779465754584E-3</v>
      </c>
      <c r="Z286">
        <f ca="1">'ETF variations'!Z286/'ETF price'!AA287</f>
        <v>-9.0136492402781727E-3</v>
      </c>
      <c r="AA286">
        <f ca="1">'ETF variations'!AA286/'ETF price'!AB287</f>
        <v>-4.8598736432852287E-3</v>
      </c>
      <c r="AB286">
        <f ca="1">'ETF variations'!AB286/'ETF price'!AC287</f>
        <v>-1.6014234875445445E-3</v>
      </c>
      <c r="AC286">
        <f ca="1">'ETF variations'!AC286/'ETF price'!AD287</f>
        <v>-2.7863777089783239E-2</v>
      </c>
      <c r="AD286">
        <f ca="1">'ETF variations'!AD286/'ETF price'!AE287</f>
        <v>-2.815979043876881E-2</v>
      </c>
      <c r="AE286">
        <f ca="1">'ETF variations'!AE286/'ETF price'!AF287</f>
        <v>-6.3829787234042507E-2</v>
      </c>
      <c r="AF286">
        <f ca="1">'ETF variations'!AF286/'ETF price'!AG287</f>
        <v>-1.1690209449586068E-2</v>
      </c>
    </row>
    <row r="287" spans="1:32" x14ac:dyDescent="0.2">
      <c r="A287">
        <f ca="1">'ETF variations'!A287/'ETF price'!B288</f>
        <v>1.6581071166544319E-2</v>
      </c>
      <c r="B287">
        <f ca="1">'ETF variations'!B287/'ETF price'!C288</f>
        <v>1.5381553508472557E-2</v>
      </c>
      <c r="C287">
        <f ca="1">'ETF variations'!C287/'ETF price'!D288</f>
        <v>4.3452021726010795E-3</v>
      </c>
      <c r="D287">
        <f ca="1">'ETF variations'!D287/'ETF price'!E288</f>
        <v>3.2881432102464345E-2</v>
      </c>
      <c r="E287">
        <f ca="1">'ETF variations'!E287/'ETF price'!F288</f>
        <v>1.2787723785165209E-3</v>
      </c>
      <c r="F287">
        <f ca="1">'ETF variations'!F287/'ETF price'!G288</f>
        <v>2.4006983849847258E-2</v>
      </c>
      <c r="G287">
        <f ca="1">'ETF variations'!G287/'ETF price'!H288</f>
        <v>3.5225048923679006E-3</v>
      </c>
      <c r="H287">
        <f ca="1">'ETF variations'!H287/'ETF price'!I288</f>
        <v>2.6956253850892969E-3</v>
      </c>
      <c r="I287">
        <f ca="1">'ETF variations'!I287/'ETF price'!J288</f>
        <v>2.7143274731699406E-3</v>
      </c>
      <c r="J287">
        <f ca="1">'ETF variations'!J287/'ETF price'!K288</f>
        <v>-3.0911901081916975E-3</v>
      </c>
      <c r="K287">
        <f ca="1">'ETF variations'!K287/'ETF price'!L288</f>
        <v>-1.9131890469926652E-3</v>
      </c>
      <c r="L287">
        <f ca="1">'ETF variations'!L287/'ETF price'!M288</f>
        <v>5.9365724105607783E-3</v>
      </c>
      <c r="M287">
        <f ca="1">'ETF variations'!M287/'ETF price'!N288</f>
        <v>3.2378177108628092E-3</v>
      </c>
      <c r="N287">
        <f ca="1">'ETF variations'!N287/'ETF price'!O288</f>
        <v>-1.0180109631949805E-2</v>
      </c>
      <c r="O287">
        <f ca="1">'ETF variations'!O287/'ETF price'!P288</f>
        <v>1.5088013411567368E-2</v>
      </c>
      <c r="P287">
        <f ca="1">'ETF variations'!P287/'ETF price'!Q288</f>
        <v>1.6074669432201188E-2</v>
      </c>
      <c r="Q287">
        <f ca="1">'ETF variations'!Q287/'ETF price'!R288</f>
        <v>1.1171797418073909E-3</v>
      </c>
      <c r="R287">
        <f ca="1">'ETF variations'!R287/'ETF price'!S288</f>
        <v>-9.4855892010215822E-3</v>
      </c>
      <c r="S287">
        <f ca="1">'ETF variations'!S287/'ETF price'!T288</f>
        <v>7.6368264743317659E-3</v>
      </c>
      <c r="T287">
        <f ca="1">'ETF variations'!T287/'ETF price'!U288</f>
        <v>2.2489217498459547E-2</v>
      </c>
      <c r="U287">
        <f ca="1">'ETF variations'!U287/'ETF price'!V288</f>
        <v>7.5583749493859124E-3</v>
      </c>
      <c r="V287">
        <f ca="1">'ETF variations'!V287/'ETF price'!W288</f>
        <v>8.4269662921351504E-4</v>
      </c>
      <c r="W287">
        <f ca="1">'ETF variations'!W287/'ETF price'!X288</f>
        <v>2.181651165460991E-3</v>
      </c>
      <c r="X287">
        <f ca="1">'ETF variations'!X287/'ETF price'!Y288</f>
        <v>5.409904286308739E-3</v>
      </c>
      <c r="Y287">
        <f ca="1">'ETF variations'!Y287/'ETF price'!Z288</f>
        <v>1.3948769972102388E-3</v>
      </c>
      <c r="Z287">
        <f ca="1">'ETF variations'!Z287/'ETF price'!AA288</f>
        <v>9.6153846153847339E-3</v>
      </c>
      <c r="AA287">
        <f ca="1">'ETF variations'!AA287/'ETF price'!AB288</f>
        <v>3.9068858863747676E-3</v>
      </c>
      <c r="AB287">
        <f ca="1">'ETF variations'!AB287/'ETF price'!AC288</f>
        <v>5.3466405275354016E-4</v>
      </c>
      <c r="AC287">
        <f ca="1">'ETF variations'!AC287/'ETF price'!AD288</f>
        <v>5.3078556263270391E-3</v>
      </c>
      <c r="AD287">
        <f ca="1">'ETF variations'!AD287/'ETF price'!AE288</f>
        <v>7.4123989218328459E-3</v>
      </c>
      <c r="AE287">
        <f ca="1">'ETF variations'!AE287/'ETF price'!AF288</f>
        <v>1.8181818181818195E-2</v>
      </c>
      <c r="AF287">
        <f ca="1">'ETF variations'!AF287/'ETF price'!AG288</f>
        <v>5.4213898472153495E-3</v>
      </c>
    </row>
    <row r="288" spans="1:32" x14ac:dyDescent="0.2">
      <c r="A288">
        <f ca="1">'ETF variations'!A288/'ETF price'!B289</f>
        <v>-1.7826212471131631E-2</v>
      </c>
      <c r="B288">
        <f ca="1">'ETF variations'!B288/'ETF price'!C289</f>
        <v>-1.7388625990535603E-2</v>
      </c>
      <c r="C288">
        <f ca="1">'ETF variations'!C288/'ETF price'!D289</f>
        <v>1.0816007691383659E-3</v>
      </c>
      <c r="D288">
        <f ca="1">'ETF variations'!D288/'ETF price'!E289</f>
        <v>-1.79115300942712E-2</v>
      </c>
      <c r="E288">
        <f ca="1">'ETF variations'!E288/'ETF price'!F289</f>
        <v>-1.5325670498084268E-2</v>
      </c>
      <c r="F288">
        <f ca="1">'ETF variations'!F288/'ETF price'!G289</f>
        <v>-9.3776641091220126E-3</v>
      </c>
      <c r="G288">
        <f ca="1">'ETF variations'!G288/'ETF price'!H289</f>
        <v>-1.6770670826833062E-2</v>
      </c>
      <c r="H288">
        <f ca="1">'ETF variations'!H288/'ETF price'!I289</f>
        <v>-1.2904216913741507E-2</v>
      </c>
      <c r="I288">
        <f ca="1">'ETF variations'!I288/'ETF price'!J289</f>
        <v>-1.3243378310844605E-2</v>
      </c>
      <c r="J288">
        <f ca="1">'ETF variations'!J288/'ETF price'!K289</f>
        <v>-2.0077519379844987E-2</v>
      </c>
      <c r="K288">
        <f ca="1">'ETF variations'!K288/'ETF price'!L289</f>
        <v>-2.3960704444710674E-2</v>
      </c>
      <c r="L288">
        <f ca="1">'ETF variations'!L288/'ETF price'!M289</f>
        <v>-1.1958378630222132E-2</v>
      </c>
      <c r="M288">
        <f ca="1">'ETF variations'!M288/'ETF price'!N289</f>
        <v>-1.3877682749717596E-2</v>
      </c>
      <c r="N288">
        <f ca="1">'ETF variations'!N288/'ETF price'!O289</f>
        <v>-2.0569620253164538E-2</v>
      </c>
      <c r="O288">
        <f ca="1">'ETF variations'!O288/'ETF price'!P289</f>
        <v>-1.2976288781408451E-3</v>
      </c>
      <c r="P288">
        <f ca="1">'ETF variations'!P288/'ETF price'!Q289</f>
        <v>2.5516713447308955E-3</v>
      </c>
      <c r="Q288">
        <f ca="1">'ETF variations'!Q288/'ETF price'!R289</f>
        <v>6.6955982641040543E-3</v>
      </c>
      <c r="R288">
        <f ca="1">'ETF variations'!R288/'ETF price'!S289</f>
        <v>-9.3922651933701293E-3</v>
      </c>
      <c r="S288">
        <f ca="1">'ETF variations'!S288/'ETF price'!T289</f>
        <v>-3.3684210526315071E-3</v>
      </c>
      <c r="T288">
        <f ca="1">'ETF variations'!T288/'ETF price'!U289</f>
        <v>1.0846640554383833E-2</v>
      </c>
      <c r="U288">
        <f ca="1">'ETF variations'!U288/'ETF price'!V289</f>
        <v>-2.7595445411922333E-2</v>
      </c>
      <c r="V288">
        <f ca="1">'ETF variations'!V288/'ETF price'!W289</f>
        <v>8.4198708953112631E-4</v>
      </c>
      <c r="W288">
        <f ca="1">'ETF variations'!W288/'ETF price'!X289</f>
        <v>-2.2914757103570144E-4</v>
      </c>
      <c r="X288">
        <f ca="1">'ETF variations'!X288/'ETF price'!Y289</f>
        <v>-4.1390728476827659E-4</v>
      </c>
      <c r="Y288">
        <f ca="1">'ETF variations'!Y288/'ETF price'!Z289</f>
        <v>0</v>
      </c>
      <c r="Z288">
        <f ca="1">'ETF variations'!Z288/'ETF price'!AA289</f>
        <v>-1.8532818532818504E-2</v>
      </c>
      <c r="AA288">
        <f ca="1">'ETF variations'!AA288/'ETF price'!AB289</f>
        <v>1.6215339711363728E-4</v>
      </c>
      <c r="AB288">
        <f ca="1">'ETF variations'!AB288/'ETF price'!AC289</f>
        <v>1.425008906305634E-3</v>
      </c>
      <c r="AC288">
        <f ca="1">'ETF variations'!AC288/'ETF price'!AD289</f>
        <v>-3.2734952481520641E-2</v>
      </c>
      <c r="AD288">
        <f ca="1">'ETF variations'!AD288/'ETF price'!AE289</f>
        <v>-3.5451505016722368E-2</v>
      </c>
      <c r="AE288">
        <f ca="1">'ETF variations'!AE288/'ETF price'!AF289</f>
        <v>-1.785714285714287E-2</v>
      </c>
      <c r="AF288">
        <f ca="1">'ETF variations'!AF288/'ETF price'!AG289</f>
        <v>-3.9705882352941119E-2</v>
      </c>
    </row>
    <row r="289" spans="1:32" x14ac:dyDescent="0.2">
      <c r="A289">
        <f ca="1">'ETF variations'!A289/'ETF price'!B290</f>
        <v>5.3640972885589666E-3</v>
      </c>
      <c r="B289">
        <f ca="1">'ETF variations'!B289/'ETF price'!C290</f>
        <v>4.4739541775903145E-3</v>
      </c>
      <c r="C289">
        <f ca="1">'ETF variations'!C289/'ETF price'!D290</f>
        <v>-7.0828331332533426E-3</v>
      </c>
      <c r="D289">
        <f ca="1">'ETF variations'!D289/'ETF price'!E290</f>
        <v>5.2425607324815739E-3</v>
      </c>
      <c r="E289">
        <f ca="1">'ETF variations'!E289/'ETF price'!F290</f>
        <v>1.9455252918288675E-3</v>
      </c>
      <c r="F289">
        <f ca="1">'ETF variations'!F289/'ETF price'!G290</f>
        <v>1.333907056798633E-2</v>
      </c>
      <c r="G289">
        <f ca="1">'ETF variations'!G289/'ETF price'!H290</f>
        <v>1.5866719555731514E-3</v>
      </c>
      <c r="H289">
        <f ca="1">'ETF variations'!H289/'ETF price'!I290</f>
        <v>-3.0347832853473379E-3</v>
      </c>
      <c r="I289">
        <f ca="1">'ETF variations'!I289/'ETF price'!J290</f>
        <v>-2.3212627669452661E-3</v>
      </c>
      <c r="J289">
        <f ca="1">'ETF variations'!J289/'ETF price'!K290</f>
        <v>3.638952614508409E-3</v>
      </c>
      <c r="K289">
        <f ca="1">'ETF variations'!K289/'ETF price'!L290</f>
        <v>8.1011415244874995E-3</v>
      </c>
      <c r="L289">
        <f ca="1">'ETF variations'!L289/'ETF price'!M290</f>
        <v>3.7723986167872052E-3</v>
      </c>
      <c r="M289">
        <f ca="1">'ETF variations'!M289/'ETF price'!N290</f>
        <v>-1.1454753722795006E-3</v>
      </c>
      <c r="N289">
        <f ca="1">'ETF variations'!N289/'ETF price'!O290</f>
        <v>8.8852988691437342E-3</v>
      </c>
      <c r="O289">
        <f ca="1">'ETF variations'!O289/'ETF price'!P290</f>
        <v>2.9529884242853769E-3</v>
      </c>
      <c r="P289">
        <f ca="1">'ETF variations'!P289/'ETF price'!Q290</f>
        <v>3.8177653346906644E-3</v>
      </c>
      <c r="Q289">
        <f ca="1">'ETF variations'!Q289/'ETF price'!R290</f>
        <v>3.3255327010715116E-3</v>
      </c>
      <c r="R289">
        <f ca="1">'ETF variations'!R289/'ETF price'!S290</f>
        <v>2.5097601784718374E-2</v>
      </c>
      <c r="S289">
        <f ca="1">'ETF variations'!S289/'ETF price'!T290</f>
        <v>8.4495141529360249E-4</v>
      </c>
      <c r="T289">
        <f ca="1">'ETF variations'!T289/'ETF price'!U290</f>
        <v>-1.2667660208643731E-2</v>
      </c>
      <c r="U289">
        <f ca="1">'ETF variations'!U289/'ETF price'!V290</f>
        <v>2.2454883592781312E-2</v>
      </c>
      <c r="V289">
        <f ca="1">'ETF variations'!V289/'ETF price'!W290</f>
        <v>-2.8042624789674736E-4</v>
      </c>
      <c r="W289">
        <f ca="1">'ETF variations'!W289/'ETF price'!X290</f>
        <v>-9.1680036672012709E-4</v>
      </c>
      <c r="X289">
        <f ca="1">'ETF variations'!X289/'ETF price'!Y290</f>
        <v>8.2815734989660989E-4</v>
      </c>
      <c r="Y289">
        <f ca="1">'ETF variations'!Y289/'ETF price'!Z290</f>
        <v>2.5326073192346487E-4</v>
      </c>
      <c r="Z289">
        <f ca="1">'ETF variations'!Z289/'ETF price'!AA290</f>
        <v>1.5735641227378747E-3</v>
      </c>
      <c r="AA289">
        <f ca="1">'ETF variations'!AA289/'ETF price'!AB290</f>
        <v>-3.2425421530484964E-4</v>
      </c>
      <c r="AB289">
        <f ca="1">'ETF variations'!AB289/'ETF price'!AC290</f>
        <v>-4.8025613660618287E-3</v>
      </c>
      <c r="AC289">
        <f ca="1">'ETF variations'!AC289/'ETF price'!AD290</f>
        <v>2.1834061135370714E-3</v>
      </c>
      <c r="AD289">
        <f ca="1">'ETF variations'!AD289/'ETF price'!AE290</f>
        <v>4.1608876560333217E-3</v>
      </c>
      <c r="AE289">
        <f ca="1">'ETF variations'!AE289/'ETF price'!AF290</f>
        <v>-3.636363636363639E-2</v>
      </c>
      <c r="AF289">
        <f ca="1">'ETF variations'!AF289/'ETF price'!AG290</f>
        <v>3.5732516590097135E-3</v>
      </c>
    </row>
    <row r="290" spans="1:32" x14ac:dyDescent="0.2">
      <c r="A290">
        <f ca="1">'ETF variations'!A290/'ETF price'!B291</f>
        <v>-2.1926618915362006E-3</v>
      </c>
      <c r="B290">
        <f ca="1">'ETF variations'!B290/'ETF price'!C291</f>
        <v>-1.0496751680898878E-3</v>
      </c>
      <c r="C290">
        <f ca="1">'ETF variations'!C290/'ETF price'!D291</f>
        <v>1.3783097569822279E-2</v>
      </c>
      <c r="D290">
        <f ca="1">'ETF variations'!D290/'ETF price'!E291</f>
        <v>3.4523284853828951E-3</v>
      </c>
      <c r="E290">
        <f ca="1">'ETF variations'!E290/'ETF price'!F291</f>
        <v>-1.9417475728156074E-3</v>
      </c>
      <c r="F290">
        <f ca="1">'ETF variations'!F290/'ETF price'!G291</f>
        <v>-4.2462845010622348E-4</v>
      </c>
      <c r="G290">
        <f ca="1">'ETF variations'!G290/'ETF price'!H291</f>
        <v>-3.1683168316831009E-3</v>
      </c>
      <c r="H290">
        <f ca="1">'ETF variations'!H290/'ETF price'!I291</f>
        <v>-7.4149235092101371E-3</v>
      </c>
      <c r="I290">
        <f ca="1">'ETF variations'!I290/'ETF price'!J291</f>
        <v>-6.8953847455475933E-3</v>
      </c>
      <c r="J290">
        <f ca="1">'ETF variations'!J290/'ETF price'!K291</f>
        <v>2.4434460471348804E-3</v>
      </c>
      <c r="K290">
        <f ca="1">'ETF variations'!K290/'ETF price'!L291</f>
        <v>8.7665895531474358E-3</v>
      </c>
      <c r="L290">
        <f ca="1">'ETF variations'!L290/'ETF price'!M291</f>
        <v>-3.7582211086752584E-3</v>
      </c>
      <c r="M290">
        <f ca="1">'ETF variations'!M290/'ETF price'!N291</f>
        <v>-6.7169069462646889E-3</v>
      </c>
      <c r="N290">
        <f ca="1">'ETF variations'!N290/'ETF price'!O291</f>
        <v>1.1208967173739037E-2</v>
      </c>
      <c r="O290">
        <f ca="1">'ETF variations'!O290/'ETF price'!P291</f>
        <v>-1.4368154516546919E-2</v>
      </c>
      <c r="P290">
        <f ca="1">'ETF variations'!P290/'ETF price'!Q291</f>
        <v>-1.4536849222447591E-2</v>
      </c>
      <c r="Q290">
        <f ca="1">'ETF variations'!Q290/'ETF price'!R291</f>
        <v>4.5421065553646525E-3</v>
      </c>
      <c r="R290">
        <f ca="1">'ETF variations'!R290/'ETF price'!S291</f>
        <v>1.940515052593399E-2</v>
      </c>
      <c r="S290">
        <f ca="1">'ETF variations'!S290/'ETF price'!T291</f>
        <v>2.9548332629801724E-3</v>
      </c>
      <c r="T290">
        <f ca="1">'ETF variations'!T290/'ETF price'!U291</f>
        <v>1.4490566037735755E-2</v>
      </c>
      <c r="U290">
        <f ca="1">'ETF variations'!U290/'ETF price'!V291</f>
        <v>9.4314201023992707E-4</v>
      </c>
      <c r="V290">
        <f ca="1">'ETF variations'!V290/'ETF price'!W291</f>
        <v>1.9635343618513404E-3</v>
      </c>
      <c r="W290">
        <f ca="1">'ETF variations'!W290/'ETF price'!X291</f>
        <v>2.0646937370955793E-3</v>
      </c>
      <c r="X290">
        <f ca="1">'ETF variations'!X290/'ETF price'!Y291</f>
        <v>-1.6549441456351964E-3</v>
      </c>
      <c r="Y290">
        <f ca="1">'ETF variations'!Y290/'ETF price'!Z291</f>
        <v>1.5191796429928415E-3</v>
      </c>
      <c r="Z290">
        <f ca="1">'ETF variations'!Z290/'ETF price'!AA291</f>
        <v>5.2369730295897165E-4</v>
      </c>
      <c r="AA290">
        <f ca="1">'ETF variations'!AA290/'ETF price'!AB291</f>
        <v>-1.6217969510216399E-3</v>
      </c>
      <c r="AB290">
        <f ca="1">'ETF variations'!AB290/'ETF price'!AC291</f>
        <v>-5.1831992850760724E-3</v>
      </c>
      <c r="AC290">
        <f ca="1">'ETF variations'!AC290/'ETF price'!AD291</f>
        <v>0</v>
      </c>
      <c r="AD290">
        <f ca="1">'ETF variations'!AD290/'ETF price'!AE291</f>
        <v>-2.0718232044199679E-3</v>
      </c>
      <c r="AE290">
        <f ca="1">'ETF variations'!AE290/'ETF price'!AF291</f>
        <v>0</v>
      </c>
      <c r="AF290">
        <f ca="1">'ETF variations'!AF290/'ETF price'!AG291</f>
        <v>1.2716174974567651E-2</v>
      </c>
    </row>
    <row r="291" spans="1:32" x14ac:dyDescent="0.2">
      <c r="A291">
        <f ca="1">'ETF variations'!A291/'ETF price'!B292</f>
        <v>-7.3249340755933189E-3</v>
      </c>
      <c r="B291">
        <f ca="1">'ETF variations'!B291/'ETF price'!C292</f>
        <v>-7.7246393275020656E-3</v>
      </c>
      <c r="C291">
        <f ca="1">'ETF variations'!C291/'ETF price'!D292</f>
        <v>2.2898032200357802E-2</v>
      </c>
      <c r="D291">
        <f ca="1">'ETF variations'!D291/'ETF price'!E292</f>
        <v>2.9280433350407757E-4</v>
      </c>
      <c r="E291">
        <f ca="1">'ETF variations'!E291/'ETF price'!F292</f>
        <v>-3.8910505836575815E-3</v>
      </c>
      <c r="F291">
        <f ca="1">'ETF variations'!F291/'ETF price'!G292</f>
        <v>2.5488530161428325E-3</v>
      </c>
      <c r="G291">
        <f ca="1">'ETF variations'!G291/'ETF price'!H292</f>
        <v>6.7540723083034625E-3</v>
      </c>
      <c r="H291">
        <f ca="1">'ETF variations'!H291/'ETF price'!I292</f>
        <v>-1.6513328615240068E-3</v>
      </c>
      <c r="I291">
        <f ca="1">'ETF variations'!I291/'ETF price'!J292</f>
        <v>1.7038677798611546E-4</v>
      </c>
      <c r="J291">
        <f ca="1">'ETF variations'!J291/'ETF price'!K292</f>
        <v>6.9193269381977937E-3</v>
      </c>
      <c r="K291">
        <f ca="1">'ETF variations'!K291/'ETF price'!L292</f>
        <v>3.0175015087507548E-3</v>
      </c>
      <c r="L291">
        <f ca="1">'ETF variations'!L291/'ETF price'!M292</f>
        <v>1.273184533165686E-2</v>
      </c>
      <c r="M291">
        <f ca="1">'ETF variations'!M291/'ETF price'!N292</f>
        <v>-3.298697014679717E-4</v>
      </c>
      <c r="N291">
        <f ca="1">'ETF variations'!N291/'ETF price'!O292</f>
        <v>8.7094220110846728E-3</v>
      </c>
      <c r="O291">
        <f ca="1">'ETF variations'!O291/'ETF price'!P292</f>
        <v>1.9715617158561426E-2</v>
      </c>
      <c r="P291">
        <f ca="1">'ETF variations'!P291/'ETF price'!Q292</f>
        <v>1.9982847341338015E-2</v>
      </c>
      <c r="Q291">
        <f ca="1">'ETF variations'!Q291/'ETF price'!R292</f>
        <v>7.8210925088598379E-3</v>
      </c>
      <c r="R291">
        <f ca="1">'ETF variations'!R291/'ETF price'!S292</f>
        <v>2.0458993061732763E-2</v>
      </c>
      <c r="S291">
        <f ca="1">'ETF variations'!S291/'ETF price'!T292</f>
        <v>1.7255892255892261E-2</v>
      </c>
      <c r="T291">
        <f ca="1">'ETF variations'!T291/'ETF price'!U292</f>
        <v>1.2795714923374491E-2</v>
      </c>
      <c r="U291">
        <f ca="1">'ETF variations'!U291/'ETF price'!V292</f>
        <v>3.0421321846816406E-2</v>
      </c>
      <c r="V291">
        <f ca="1">'ETF variations'!V291/'ETF price'!W292</f>
        <v>-3.3594624860021683E-3</v>
      </c>
      <c r="W291">
        <f ca="1">'ETF variations'!W291/'ETF price'!X292</f>
        <v>-3.891941391941431E-3</v>
      </c>
      <c r="X291">
        <f ca="1">'ETF variations'!X291/'ETF price'!Y292</f>
        <v>-4.9730625777039969E-3</v>
      </c>
      <c r="Y291">
        <f ca="1">'ETF variations'!Y291/'ETF price'!Z292</f>
        <v>-2.9073442042725824E-3</v>
      </c>
      <c r="Z291">
        <f ca="1">'ETF variations'!Z291/'ETF price'!AA292</f>
        <v>-1.5440984035592865E-2</v>
      </c>
      <c r="AA291">
        <f ca="1">'ETF variations'!AA291/'ETF price'!AB292</f>
        <v>-6.0103963612736276E-3</v>
      </c>
      <c r="AB291">
        <f ca="1">'ETF variations'!AB291/'ETF price'!AC292</f>
        <v>1.778656126482217E-2</v>
      </c>
      <c r="AC291">
        <f ca="1">'ETF variations'!AC291/'ETF price'!AD292</f>
        <v>4.3572984749456348E-3</v>
      </c>
      <c r="AD291">
        <f ca="1">'ETF variations'!AD291/'ETF price'!AE292</f>
        <v>-1.3840830449826694E-3</v>
      </c>
      <c r="AE291">
        <f ca="1">'ETF variations'!AE291/'ETF price'!AF292</f>
        <v>3.3018867924528225E-2</v>
      </c>
      <c r="AF291">
        <f ca="1">'ETF variations'!AF291/'ETF price'!AG292</f>
        <v>2.511300853842326E-3</v>
      </c>
    </row>
    <row r="292" spans="1:32" x14ac:dyDescent="0.2">
      <c r="A292">
        <f ca="1">'ETF variations'!A292/'ETF price'!B293</f>
        <v>1.232290436835882E-2</v>
      </c>
      <c r="B292">
        <f ca="1">'ETF variations'!B292/'ETF price'!C293</f>
        <v>1.1877504293073939E-2</v>
      </c>
      <c r="C292">
        <f ca="1">'ETF variations'!C292/'ETF price'!D293</f>
        <v>2.7981811822316558E-3</v>
      </c>
      <c r="D292">
        <f ca="1">'ETF variations'!D292/'ETF price'!E293</f>
        <v>7.976582510062228E-3</v>
      </c>
      <c r="E292">
        <f ca="1">'ETF variations'!E292/'ETF price'!F293</f>
        <v>1.5407986111111131E-2</v>
      </c>
      <c r="F292">
        <f ca="1">'ETF variations'!F292/'ETF price'!G293</f>
        <v>2.966101694915266E-3</v>
      </c>
      <c r="G292">
        <f ca="1">'ETF variations'!G292/'ETF price'!H293</f>
        <v>1.0260457774269991E-2</v>
      </c>
      <c r="H292">
        <f ca="1">'ETF variations'!H292/'ETF price'!I293</f>
        <v>6.1436672967863986E-3</v>
      </c>
      <c r="I292">
        <f ca="1">'ETF variations'!I292/'ETF price'!J293</f>
        <v>5.536626916524629E-3</v>
      </c>
      <c r="J292">
        <f ca="1">'ETF variations'!J292/'ETF price'!K293</f>
        <v>2.3426518819304339E-3</v>
      </c>
      <c r="K292">
        <f ca="1">'ETF variations'!K292/'ETF price'!L293</f>
        <v>-8.1829121540311998E-3</v>
      </c>
      <c r="L292">
        <f ca="1">'ETF variations'!L292/'ETF price'!M293</f>
        <v>-2.9489368306691282E-3</v>
      </c>
      <c r="M292">
        <f ca="1">'ETF variations'!M292/'ETF price'!N293</f>
        <v>4.6196997195182502E-3</v>
      </c>
      <c r="N292">
        <f ca="1">'ETF variations'!N292/'ETF price'!O293</f>
        <v>1.6483516483516411E-2</v>
      </c>
      <c r="O292">
        <f ca="1">'ETF variations'!O292/'ETF price'!P293</f>
        <v>8.7883759081321764E-3</v>
      </c>
      <c r="P292">
        <f ca="1">'ETF variations'!P292/'ETF price'!Q293</f>
        <v>1.0089968889262495E-2</v>
      </c>
      <c r="Q292">
        <f ca="1">'ETF variations'!Q292/'ETF price'!R293</f>
        <v>1.1398084151812753E-2</v>
      </c>
      <c r="R292">
        <f ca="1">'ETF variations'!R292/'ETF price'!S293</f>
        <v>4.3584379358437937E-3</v>
      </c>
      <c r="S292">
        <f ca="1">'ETF variations'!S292/'ETF price'!T293</f>
        <v>-3.7236243276790818E-3</v>
      </c>
      <c r="T292">
        <f ca="1">'ETF variations'!T292/'ETF price'!U293</f>
        <v>3.3788746878214192E-3</v>
      </c>
      <c r="U292">
        <f ca="1">'ETF variations'!U292/'ETF price'!V293</f>
        <v>-3.9190071848464684E-3</v>
      </c>
      <c r="V292">
        <f ca="1">'ETF variations'!V292/'ETF price'!W293</f>
        <v>-4.7752808988764522E-3</v>
      </c>
      <c r="W292">
        <f ca="1">'ETF variations'!W292/'ETF price'!X293</f>
        <v>-5.8607216731784758E-3</v>
      </c>
      <c r="X292">
        <f ca="1">'ETF variations'!X292/'ETF price'!Y293</f>
        <v>-1.6867971678467351E-2</v>
      </c>
      <c r="Y292">
        <f ca="1">'ETF variations'!Y292/'ETF price'!Z293</f>
        <v>-5.5780933062880038E-3</v>
      </c>
      <c r="Z292">
        <f ca="1">'ETF variations'!Z292/'ETF price'!AA293</f>
        <v>1.302498670919729E-2</v>
      </c>
      <c r="AA292">
        <f ca="1">'ETF variations'!AA292/'ETF price'!AB293</f>
        <v>-2.5330936427520791E-2</v>
      </c>
      <c r="AB292">
        <f ca="1">'ETF variations'!AB292/'ETF price'!AC293</f>
        <v>7.0609002647836099E-4</v>
      </c>
      <c r="AC292">
        <f ca="1">'ETF variations'!AC292/'ETF price'!AD293</f>
        <v>2.1691973969630773E-3</v>
      </c>
      <c r="AD292">
        <f ca="1">'ETF variations'!AD292/'ETF price'!AE293</f>
        <v>3.4650034650035143E-3</v>
      </c>
      <c r="AE292">
        <f ca="1">'ETF variations'!AE292/'ETF price'!AF293</f>
        <v>-4.5662100456621044E-2</v>
      </c>
      <c r="AF292">
        <f ca="1">'ETF variations'!AF292/'ETF price'!AG293</f>
        <v>-1.6032064128256526E-2</v>
      </c>
    </row>
    <row r="293" spans="1:32" x14ac:dyDescent="0.2">
      <c r="A293">
        <f ca="1">'ETF variations'!A293/'ETF price'!B294</f>
        <v>2.1503025001822208E-2</v>
      </c>
      <c r="B293">
        <f ca="1">'ETF variations'!B293/'ETF price'!C294</f>
        <v>2.0987130533163669E-2</v>
      </c>
      <c r="C293">
        <f ca="1">'ETF variations'!C293/'ETF price'!D294</f>
        <v>-1.162655505173817E-2</v>
      </c>
      <c r="D293">
        <f ca="1">'ETF variations'!D293/'ETF price'!E294</f>
        <v>1.5391316974009035E-2</v>
      </c>
      <c r="E293">
        <f ca="1">'ETF variations'!E293/'ETF price'!F294</f>
        <v>9.4037187433211739E-3</v>
      </c>
      <c r="F293">
        <f ca="1">'ETF variations'!F293/'ETF price'!G294</f>
        <v>3.1263202365863892E-2</v>
      </c>
      <c r="G293">
        <f ca="1">'ETF variations'!G293/'ETF price'!H294</f>
        <v>1.44531249999999E-2</v>
      </c>
      <c r="H293">
        <f ca="1">'ETF variations'!H293/'ETF price'!I294</f>
        <v>1.1194614059808929E-2</v>
      </c>
      <c r="I293">
        <f ca="1">'ETF variations'!I293/'ETF price'!J294</f>
        <v>1.2791190173655275E-2</v>
      </c>
      <c r="J293">
        <f ca="1">'ETF variations'!J293/'ETF price'!K294</f>
        <v>1.6827672172016177E-2</v>
      </c>
      <c r="K293">
        <f ca="1">'ETF variations'!K293/'ETF price'!L294</f>
        <v>1.4195583596214532E-2</v>
      </c>
      <c r="L293">
        <f ca="1">'ETF variations'!L293/'ETF price'!M294</f>
        <v>1.4943960149439727E-2</v>
      </c>
      <c r="M293">
        <f ca="1">'ETF variations'!M293/'ETF price'!N294</f>
        <v>1.2645754639513812E-2</v>
      </c>
      <c r="N293">
        <f ca="1">'ETF variations'!N293/'ETF price'!O294</f>
        <v>2.0077220077220199E-2</v>
      </c>
      <c r="O293">
        <f ca="1">'ETF variations'!O293/'ETF price'!P294</f>
        <v>1.359042862121038E-2</v>
      </c>
      <c r="P293">
        <f ca="1">'ETF variations'!P293/'ETF price'!Q294</f>
        <v>1.4401065512361642E-2</v>
      </c>
      <c r="Q293">
        <f ca="1">'ETF variations'!Q293/'ETF price'!R294</f>
        <v>1.4266874475482529E-2</v>
      </c>
      <c r="R293">
        <f ca="1">'ETF variations'!R293/'ETF price'!S294</f>
        <v>2.55164034021871E-2</v>
      </c>
      <c r="S293">
        <f ca="1">'ETF variations'!S293/'ETF price'!T294</f>
        <v>1.5780730897010074E-2</v>
      </c>
      <c r="T293">
        <f ca="1">'ETF variations'!T293/'ETF price'!U294</f>
        <v>2.2840409956076169E-2</v>
      </c>
      <c r="U293">
        <f ca="1">'ETF variations'!U293/'ETF price'!V294</f>
        <v>2.5573770491803316E-2</v>
      </c>
      <c r="V293">
        <f ca="1">'ETF variations'!V293/'ETF price'!W294</f>
        <v>1.5805814281682255E-2</v>
      </c>
      <c r="W293">
        <f ca="1">'ETF variations'!W293/'ETF price'!X294</f>
        <v>1.5489538781643615E-2</v>
      </c>
      <c r="X293">
        <f ca="1">'ETF variations'!X293/'ETF price'!Y294</f>
        <v>1.4827367083244985E-2</v>
      </c>
      <c r="Y293">
        <f ca="1">'ETF variations'!Y293/'ETF price'!Z294</f>
        <v>1.5553289138194785E-2</v>
      </c>
      <c r="Z293">
        <f ca="1">'ETF variations'!Z293/'ETF price'!AA294</f>
        <v>1.6793492521647878E-2</v>
      </c>
      <c r="AA293">
        <f ca="1">'ETF variations'!AA293/'ETF price'!AB294</f>
        <v>1.240778001341385E-2</v>
      </c>
      <c r="AB293">
        <f ca="1">'ETF variations'!AB293/'ETF price'!AC294</f>
        <v>-2.6988886928911646E-2</v>
      </c>
      <c r="AC293">
        <f ca="1">'ETF variations'!AC293/'ETF price'!AD294</f>
        <v>-5.4112554112554112E-2</v>
      </c>
      <c r="AD293">
        <f ca="1">'ETF variations'!AD293/'ETF price'!AE294</f>
        <v>-5.4558011049723819E-2</v>
      </c>
      <c r="AE293">
        <f ca="1">'ETF variations'!AE293/'ETF price'!AF294</f>
        <v>-5.2631578947368363E-2</v>
      </c>
      <c r="AF293">
        <f ca="1">'ETF variations'!AF293/'ETF price'!AG294</f>
        <v>1.3747454175152727E-2</v>
      </c>
    </row>
    <row r="294" spans="1:32" x14ac:dyDescent="0.2">
      <c r="A294">
        <f ca="1">'ETF variations'!A294/'ETF price'!B295</f>
        <v>4.7809333523620382E-3</v>
      </c>
      <c r="B294">
        <f ca="1">'ETF variations'!B294/'ETF price'!C295</f>
        <v>3.6291104523920141E-3</v>
      </c>
      <c r="C294">
        <f ca="1">'ETF variations'!C294/'ETF price'!D295</f>
        <v>9.5282907893187632E-3</v>
      </c>
      <c r="D294">
        <f ca="1">'ETF variations'!D294/'ETF price'!E295</f>
        <v>-1.1583011583011614E-2</v>
      </c>
      <c r="E294">
        <f ca="1">'ETF variations'!E294/'ETF price'!F295</f>
        <v>-2.7524878255345219E-3</v>
      </c>
      <c r="F294">
        <f ca="1">'ETF variations'!F294/'ETF price'!G295</f>
        <v>-4.5063498566161172E-3</v>
      </c>
      <c r="G294">
        <f ca="1">'ETF variations'!G294/'ETF price'!H295</f>
        <v>-8.8563727377743724E-3</v>
      </c>
      <c r="H294">
        <f ca="1">'ETF variations'!H294/'ETF price'!I295</f>
        <v>-4.6450414182839557E-4</v>
      </c>
      <c r="I294">
        <f ca="1">'ETF variations'!I294/'ETF price'!J295</f>
        <v>-3.596520575443349E-3</v>
      </c>
      <c r="J294">
        <f ca="1">'ETF variations'!J294/'ETF price'!K295</f>
        <v>-9.3472264787005724E-3</v>
      </c>
      <c r="K294">
        <f ca="1">'ETF variations'!K294/'ETF price'!L295</f>
        <v>-1.6987677951908142E-2</v>
      </c>
      <c r="L294">
        <f ca="1">'ETF variations'!L294/'ETF price'!M295</f>
        <v>-1.8711656441717881E-2</v>
      </c>
      <c r="M294">
        <f ca="1">'ETF variations'!M294/'ETF price'!N295</f>
        <v>-2.7570548167368571E-3</v>
      </c>
      <c r="N294">
        <f ca="1">'ETF variations'!N294/'ETF price'!O295</f>
        <v>-2.8766086298258952E-2</v>
      </c>
      <c r="O294">
        <f ca="1">'ETF variations'!O294/'ETF price'!P295</f>
        <v>4.5840018335998212E-4</v>
      </c>
      <c r="P294">
        <f ca="1">'ETF variations'!P294/'ETF price'!Q295</f>
        <v>-2.6259642212374296E-3</v>
      </c>
      <c r="Q294">
        <f ca="1">'ETF variations'!Q294/'ETF price'!R295</f>
        <v>-1.6193853427895869E-2</v>
      </c>
      <c r="R294">
        <f ca="1">'ETF variations'!R294/'ETF price'!S295</f>
        <v>-3.0974949221394692E-2</v>
      </c>
      <c r="S294">
        <f ca="1">'ETF variations'!S294/'ETF price'!T295</f>
        <v>-4.9059689288634906E-3</v>
      </c>
      <c r="T294">
        <f ca="1">'ETF variations'!T294/'ETF price'!U295</f>
        <v>9.018036072144223E-3</v>
      </c>
      <c r="U294">
        <f ca="1">'ETF variations'!U294/'ETF price'!V295</f>
        <v>1.9437340153452633E-2</v>
      </c>
      <c r="V294">
        <f ca="1">'ETF variations'!V294/'ETF price'!W295</f>
        <v>8.3356487913312412E-4</v>
      </c>
      <c r="W294">
        <f ca="1">'ETF variations'!W294/'ETF price'!X295</f>
        <v>-1.9351166761523906E-3</v>
      </c>
      <c r="X294">
        <f ca="1">'ETF variations'!X294/'ETF price'!Y295</f>
        <v>-6.4704654560633519E-3</v>
      </c>
      <c r="Y294">
        <f ca="1">'ETF variations'!Y294/'ETF price'!Z295</f>
        <v>-3.7660055234749109E-4</v>
      </c>
      <c r="Z294">
        <f ca="1">'ETF variations'!Z294/'ETF price'!AA295</f>
        <v>-3.870967741935447E-3</v>
      </c>
      <c r="AA294">
        <f ca="1">'ETF variations'!AA294/'ETF price'!AB295</f>
        <v>-7.4527989400464201E-3</v>
      </c>
      <c r="AB294">
        <f ca="1">'ETF variations'!AB294/'ETF price'!AC295</f>
        <v>-2.7193618564176686E-3</v>
      </c>
      <c r="AC294">
        <f ca="1">'ETF variations'!AC294/'ETF price'!AD295</f>
        <v>3.4324942791761283E-3</v>
      </c>
      <c r="AD294">
        <f ca="1">'ETF variations'!AD294/'ETF price'!AE295</f>
        <v>3.6523009495982991E-3</v>
      </c>
      <c r="AE294">
        <f ca="1">'ETF variations'!AE294/'ETF price'!AF295</f>
        <v>3.0303030303030332E-2</v>
      </c>
      <c r="AF294">
        <f ca="1">'ETF variations'!AF294/'ETF price'!AG295</f>
        <v>-1.0547463586137663E-2</v>
      </c>
    </row>
    <row r="295" spans="1:32" x14ac:dyDescent="0.2">
      <c r="A295">
        <f ca="1">'ETF variations'!A295/'ETF price'!B296</f>
        <v>-1.2428094595554292E-2</v>
      </c>
      <c r="B295">
        <f ca="1">'ETF variations'!B295/'ETF price'!C296</f>
        <v>-1.2310919730595064E-2</v>
      </c>
      <c r="C295">
        <f ca="1">'ETF variations'!C295/'ETF price'!D296</f>
        <v>-1.8410626893498001E-2</v>
      </c>
      <c r="D295">
        <f ca="1">'ETF variations'!D295/'ETF price'!E296</f>
        <v>-1.056134259259265E-2</v>
      </c>
      <c r="E295">
        <f ca="1">'ETF variations'!E295/'ETF price'!F296</f>
        <v>-9.1295116772823724E-3</v>
      </c>
      <c r="F295">
        <f ca="1">'ETF variations'!F295/'ETF price'!G296</f>
        <v>-1.6049382716049405E-2</v>
      </c>
      <c r="G295">
        <f ca="1">'ETF variations'!G295/'ETF price'!H296</f>
        <v>-1.2043512043511995E-2</v>
      </c>
      <c r="H295">
        <f ca="1">'ETF variations'!H295/'ETF price'!I296</f>
        <v>-1.6110293548137342E-2</v>
      </c>
      <c r="I295">
        <f ca="1">'ETF variations'!I295/'ETF price'!J296</f>
        <v>-1.5235457063711893E-2</v>
      </c>
      <c r="J295">
        <f ca="1">'ETF variations'!J295/'ETF price'!K296</f>
        <v>-1.5854601701469538E-2</v>
      </c>
      <c r="K295">
        <f ca="1">'ETF variations'!K295/'ETF price'!L296</f>
        <v>-1.2169891687965014E-3</v>
      </c>
      <c r="L295">
        <f ca="1">'ETF variations'!L295/'ETF price'!M296</f>
        <v>-1.3910597061581643E-2</v>
      </c>
      <c r="M295">
        <f ca="1">'ETF variations'!M295/'ETF price'!N296</f>
        <v>-1.5937550821271816E-2</v>
      </c>
      <c r="N295">
        <f ca="1">'ETF variations'!N295/'ETF price'!O296</f>
        <v>-1.7147310989867548E-2</v>
      </c>
      <c r="O295">
        <f ca="1">'ETF variations'!O295/'ETF price'!P296</f>
        <v>-1.7411225658648295E-2</v>
      </c>
      <c r="P295">
        <f ca="1">'ETF variations'!P295/'ETF price'!Q296</f>
        <v>-1.6949152542372899E-2</v>
      </c>
      <c r="Q295">
        <f ca="1">'ETF variations'!Q295/'ETF price'!R296</f>
        <v>-1.9704433497536953E-2</v>
      </c>
      <c r="R295">
        <f ca="1">'ETF variations'!R295/'ETF price'!S296</f>
        <v>-2.8471615720524063E-2</v>
      </c>
      <c r="S295">
        <f ca="1">'ETF variations'!S295/'ETF price'!T296</f>
        <v>-2.0542317173377157E-2</v>
      </c>
      <c r="T295">
        <f ca="1">'ETF variations'!T295/'ETF price'!U296</f>
        <v>-3.7452120868208268E-2</v>
      </c>
      <c r="U295">
        <f ca="1">'ETF variations'!U295/'ETF price'!V296</f>
        <v>-1.1791269443050648E-2</v>
      </c>
      <c r="V295">
        <f ca="1">'ETF variations'!V295/'ETF price'!W296</f>
        <v>-2.5818989450305377E-2</v>
      </c>
      <c r="W295">
        <f ca="1">'ETF variations'!W295/'ETF price'!X296</f>
        <v>-2.3722627737226418E-2</v>
      </c>
      <c r="X295">
        <f ca="1">'ETF variations'!X295/'ETF price'!Y296</f>
        <v>-2.9621848739495873E-2</v>
      </c>
      <c r="Y295">
        <f ca="1">'ETF variations'!Y295/'ETF price'!Z296</f>
        <v>-2.4488258194147794E-2</v>
      </c>
      <c r="Z295">
        <f ca="1">'ETF variations'!Z295/'ETF price'!AA296</f>
        <v>-2.5129533678756446E-2</v>
      </c>
      <c r="AA295">
        <f ca="1">'ETF variations'!AA295/'ETF price'!AB296</f>
        <v>-3.2204238277990987E-2</v>
      </c>
      <c r="AB295">
        <f ca="1">'ETF variations'!AB295/'ETF price'!AC296</f>
        <v>-4.3083075804399157E-2</v>
      </c>
      <c r="AC295">
        <f ca="1">'ETF variations'!AC295/'ETF price'!AD296</f>
        <v>-1.3683010262257609E-2</v>
      </c>
      <c r="AD295">
        <f ca="1">'ETF variations'!AD295/'ETF price'!AE296</f>
        <v>-1.3828238719068377E-2</v>
      </c>
      <c r="AE295">
        <f ca="1">'ETF variations'!AE295/'ETF price'!AF296</f>
        <v>0</v>
      </c>
      <c r="AF295">
        <f ca="1">'ETF variations'!AF295/'ETF price'!AG296</f>
        <v>-3.1979695431472034E-2</v>
      </c>
    </row>
    <row r="296" spans="1:32" x14ac:dyDescent="0.2">
      <c r="A296">
        <f ca="1">'ETF variations'!A296/'ETF price'!B297</f>
        <v>8.2698115921185505E-3</v>
      </c>
      <c r="B296">
        <f ca="1">'ETF variations'!B296/'ETF price'!C297</f>
        <v>7.9090045274159745E-3</v>
      </c>
      <c r="C296">
        <f ca="1">'ETF variations'!C296/'ETF price'!D297</f>
        <v>-1.8637226970560226E-2</v>
      </c>
      <c r="D296">
        <f ca="1">'ETF variations'!D296/'ETF price'!E297</f>
        <v>2.6612077789150361E-2</v>
      </c>
      <c r="E296">
        <f ca="1">'ETF variations'!E296/'ETF price'!F297</f>
        <v>-3.856867366616664E-3</v>
      </c>
      <c r="F296">
        <f ca="1">'ETF variations'!F296/'ETF price'!G297</f>
        <v>1.2128816394813849E-2</v>
      </c>
      <c r="G296">
        <f ca="1">'ETF variations'!G296/'ETF price'!H297</f>
        <v>1.5729453401493964E-3</v>
      </c>
      <c r="H296">
        <f ca="1">'ETF variations'!H296/'ETF price'!I297</f>
        <v>-5.3530662048335573E-3</v>
      </c>
      <c r="I296">
        <f ca="1">'ETF variations'!I296/'ETF price'!J297</f>
        <v>-5.838980522524846E-3</v>
      </c>
      <c r="J296">
        <f ca="1">'ETF variations'!J296/'ETF price'!K297</f>
        <v>-6.8369351669941422E-3</v>
      </c>
      <c r="K296">
        <f ca="1">'ETF variations'!K296/'ETF price'!L297</f>
        <v>-1.0235165102960755E-2</v>
      </c>
      <c r="L296">
        <f ca="1">'ETF variations'!L296/'ETF price'!M297</f>
        <v>-9.1932160405770388E-3</v>
      </c>
      <c r="M296">
        <f ca="1">'ETF variations'!M296/'ETF price'!N297</f>
        <v>-5.6189059659559797E-3</v>
      </c>
      <c r="N296">
        <f ca="1">'ETF variations'!N296/'ETF price'!O297</f>
        <v>-2.3790642347342873E-3</v>
      </c>
      <c r="O296">
        <f ca="1">'ETF variations'!O296/'ETF price'!P297</f>
        <v>-1.02588015854511E-2</v>
      </c>
      <c r="P296">
        <f ca="1">'ETF variations'!P296/'ETF price'!Q297</f>
        <v>-1.07130900569133E-2</v>
      </c>
      <c r="Q296">
        <f ca="1">'ETF variations'!Q296/'ETF price'!R297</f>
        <v>4.9025615884298497E-3</v>
      </c>
      <c r="R296">
        <f ca="1">'ETF variations'!R296/'ETF price'!S297</f>
        <v>2.5170801869831101E-3</v>
      </c>
      <c r="S296">
        <f ca="1">'ETF variations'!S296/'ETF price'!T297</f>
        <v>-5.4530201342281462E-3</v>
      </c>
      <c r="T296">
        <f ca="1">'ETF variations'!T296/'ETF price'!U297</f>
        <v>-1.1053795136330142E-2</v>
      </c>
      <c r="U296">
        <f ca="1">'ETF variations'!U296/'ETF price'!V297</f>
        <v>-5.458238131505545E-3</v>
      </c>
      <c r="V296">
        <f ca="1">'ETF variations'!V296/'ETF price'!W297</f>
        <v>-3.70475919065268E-3</v>
      </c>
      <c r="W296">
        <f ca="1">'ETF variations'!W296/'ETF price'!X297</f>
        <v>-4.0887850467289056E-3</v>
      </c>
      <c r="X296">
        <f ca="1">'ETF variations'!X296/'ETF price'!Y297</f>
        <v>-3.8969473912102127E-3</v>
      </c>
      <c r="Y296">
        <f ca="1">'ETF variations'!Y296/'ETF price'!Z297</f>
        <v>-3.2183316168898041E-3</v>
      </c>
      <c r="Z296">
        <f ca="1">'ETF variations'!Z296/'ETF price'!AA297</f>
        <v>1.4084507042253362E-2</v>
      </c>
      <c r="AA296">
        <f ca="1">'ETF variations'!AA296/'ETF price'!AB297</f>
        <v>-5.1724137931033996E-3</v>
      </c>
      <c r="AB296">
        <f ca="1">'ETF variations'!AB296/'ETF price'!AC297</f>
        <v>-2.7735562310030409E-2</v>
      </c>
      <c r="AC296">
        <f ca="1">'ETF variations'!AC296/'ETF price'!AD297</f>
        <v>2.3121387283236501E-3</v>
      </c>
      <c r="AD296">
        <f ca="1">'ETF variations'!AD296/'ETF price'!AE297</f>
        <v>1.47601476014757E-3</v>
      </c>
      <c r="AE296">
        <f ca="1">'ETF variations'!AE296/'ETF price'!AF297</f>
        <v>-1.9607843137254919E-2</v>
      </c>
      <c r="AF296">
        <f ca="1">'ETF variations'!AF296/'ETF price'!AG297</f>
        <v>1.0487676979548807E-3</v>
      </c>
    </row>
    <row r="297" spans="1:32" x14ac:dyDescent="0.2">
      <c r="A297">
        <f ca="1">'ETF variations'!A297/'ETF price'!B298</f>
        <v>-1.4335639398045925E-2</v>
      </c>
      <c r="B297">
        <f ca="1">'ETF variations'!B297/'ETF price'!C298</f>
        <v>-1.5749341466795925E-2</v>
      </c>
      <c r="C297">
        <f ca="1">'ETF variations'!C297/'ETF price'!D298</f>
        <v>7.0158461352364618E-3</v>
      </c>
      <c r="D297">
        <f ca="1">'ETF variations'!D297/'ETF price'!E298</f>
        <v>-1.9868964534966473E-2</v>
      </c>
      <c r="E297">
        <f ca="1">'ETF variations'!E297/'ETF price'!F298</f>
        <v>-2.1940202194020285E-2</v>
      </c>
      <c r="F297">
        <f ca="1">'ETF variations'!F297/'ETF price'!G298</f>
        <v>-1.6528925619834652E-2</v>
      </c>
      <c r="G297">
        <f ca="1">'ETF variations'!G297/'ETF price'!H298</f>
        <v>-2.1201413427561804E-2</v>
      </c>
      <c r="H297">
        <f ca="1">'ETF variations'!H297/'ETF price'!I298</f>
        <v>-1.0130589631974683E-2</v>
      </c>
      <c r="I297">
        <f ca="1">'ETF variations'!I297/'ETF price'!J298</f>
        <v>-1.1660807682414469E-2</v>
      </c>
      <c r="J297">
        <f ca="1">'ETF variations'!J297/'ETF price'!K298</f>
        <v>-1.9227725905997726E-2</v>
      </c>
      <c r="K297">
        <f ca="1">'ETF variations'!K297/'ETF price'!L298</f>
        <v>-3.0776806598547334E-2</v>
      </c>
      <c r="L297">
        <f ca="1">'ETF variations'!L297/'ETF price'!M298</f>
        <v>-1.3597824348104326E-2</v>
      </c>
      <c r="M297">
        <f ca="1">'ETF variations'!M297/'ETF price'!N298</f>
        <v>-1.096892138939677E-2</v>
      </c>
      <c r="N297">
        <f ca="1">'ETF variations'!N297/'ETF price'!O298</f>
        <v>-2.7821939586645441E-2</v>
      </c>
      <c r="O297">
        <f ca="1">'ETF variations'!O297/'ETF price'!P298</f>
        <v>-1.4134275618374591E-2</v>
      </c>
      <c r="P297">
        <f ca="1">'ETF variations'!P297/'ETF price'!Q298</f>
        <v>-1.6074450084602416E-2</v>
      </c>
      <c r="Q297">
        <f ca="1">'ETF variations'!Q297/'ETF price'!R298</f>
        <v>-2.5734845712891811E-2</v>
      </c>
      <c r="R297">
        <f ca="1">'ETF variations'!R297/'ETF price'!S298</f>
        <v>-2.582496413199422E-2</v>
      </c>
      <c r="S297">
        <f ca="1">'ETF variations'!S297/'ETF price'!T298</f>
        <v>-1.2231126107127758E-2</v>
      </c>
      <c r="T297">
        <f ca="1">'ETF variations'!T297/'ETF price'!U298</f>
        <v>-1.2816691505216088E-2</v>
      </c>
      <c r="U297">
        <f ca="1">'ETF variations'!U297/'ETF price'!V298</f>
        <v>-1.6975111678366284E-2</v>
      </c>
      <c r="V297">
        <f ca="1">'ETF variations'!V297/'ETF price'!W298</f>
        <v>-4.0617848970251766E-2</v>
      </c>
      <c r="W297">
        <f ca="1">'ETF variations'!W297/'ETF price'!X298</f>
        <v>-4.1876832844574698E-2</v>
      </c>
      <c r="X297">
        <f ca="1">'ETF variations'!X297/'ETF price'!Y298</f>
        <v>-7.2810258639426251E-2</v>
      </c>
      <c r="Y297">
        <f ca="1">'ETF variations'!Y297/'ETF price'!Z298</f>
        <v>-4.2102544233501286E-2</v>
      </c>
      <c r="Z297">
        <f ca="1">'ETF variations'!Z297/'ETF price'!AA298</f>
        <v>-2.2798742138364716E-2</v>
      </c>
      <c r="AA297">
        <f ca="1">'ETF variations'!AA297/'ETF price'!AB298</f>
        <v>-8.1109185441941067E-2</v>
      </c>
      <c r="AB297">
        <f ca="1">'ETF variations'!AB297/'ETF price'!AC298</f>
        <v>-4.200859710824538E-2</v>
      </c>
      <c r="AC297">
        <f ca="1">'ETF variations'!AC297/'ETF price'!AD298</f>
        <v>-9.2272202998846573E-2</v>
      </c>
      <c r="AD297">
        <f ca="1">'ETF variations'!AD297/'ETF price'!AE298</f>
        <v>-8.9904200442151846E-2</v>
      </c>
      <c r="AE297">
        <f ca="1">'ETF variations'!AE297/'ETF price'!AF298</f>
        <v>-2.0000000000000018E-2</v>
      </c>
      <c r="AF297">
        <f ca="1">'ETF variations'!AF297/'ETF price'!AG298</f>
        <v>-8.3813514929282421E-2</v>
      </c>
    </row>
    <row r="298" spans="1:32" x14ac:dyDescent="0.2">
      <c r="A298">
        <f ca="1">'ETF variations'!A298/'ETF price'!B299</f>
        <v>-1.7583212735166269E-2</v>
      </c>
      <c r="B298">
        <f ca="1">'ETF variations'!B298/'ETF price'!C299</f>
        <v>-1.9776319125560014E-2</v>
      </c>
      <c r="C298">
        <f ca="1">'ETF variations'!C298/'ETF price'!D299</f>
        <v>2.5705705705705711E-2</v>
      </c>
      <c r="D298">
        <f ca="1">'ETF variations'!D298/'ETF price'!E299</f>
        <v>-1.9327181573784762E-2</v>
      </c>
      <c r="E298">
        <f ca="1">'ETF variations'!E298/'ETF price'!F299</f>
        <v>-2.2652298218605701E-2</v>
      </c>
      <c r="F298">
        <f ca="1">'ETF variations'!F298/'ETF price'!G299</f>
        <v>-2.1428571428571495E-2</v>
      </c>
      <c r="G298">
        <f ca="1">'ETF variations'!G298/'ETF price'!H299</f>
        <v>-2.6073004412354536E-2</v>
      </c>
      <c r="H298">
        <f ca="1">'ETF variations'!H298/'ETF price'!I299</f>
        <v>-7.3558807068040905E-3</v>
      </c>
      <c r="I298">
        <f ca="1">'ETF variations'!I298/'ETF price'!J299</f>
        <v>-1.0019953153465787E-2</v>
      </c>
      <c r="J298">
        <f ca="1">'ETF variations'!J298/'ETF price'!K299</f>
        <v>-1.5974183138362276E-2</v>
      </c>
      <c r="K298">
        <f ca="1">'ETF variations'!K298/'ETF price'!L299</f>
        <v>-3.8994030229899751E-2</v>
      </c>
      <c r="L298">
        <f ca="1">'ETF variations'!L298/'ETF price'!M299</f>
        <v>-1.9948102497567254E-2</v>
      </c>
      <c r="M298">
        <f ca="1">'ETF variations'!M298/'ETF price'!N299</f>
        <v>-1.0922534027894448E-2</v>
      </c>
      <c r="N298">
        <f ca="1">'ETF variations'!N298/'ETF price'!O299</f>
        <v>-3.5977105478332071E-2</v>
      </c>
      <c r="O298">
        <f ca="1">'ETF variations'!O298/'ETF price'!P299</f>
        <v>-1.2783751493429E-2</v>
      </c>
      <c r="P298">
        <f ca="1">'ETF variations'!P298/'ETF price'!Q299</f>
        <v>-1.4617368873602776E-2</v>
      </c>
      <c r="Q298">
        <f ca="1">'ETF variations'!Q298/'ETF price'!R299</f>
        <v>-2.128192288432635E-2</v>
      </c>
      <c r="R298">
        <f ca="1">'ETF variations'!R298/'ETF price'!S299</f>
        <v>-3.3505154639175264E-2</v>
      </c>
      <c r="S298">
        <f ca="1">'ETF variations'!S298/'ETF price'!T299</f>
        <v>1.067463706233988E-2</v>
      </c>
      <c r="T298">
        <f ca="1">'ETF variations'!T298/'ETF price'!U299</f>
        <v>1.3586956521739217E-2</v>
      </c>
      <c r="U298">
        <f ca="1">'ETF variations'!U298/'ETF price'!V299</f>
        <v>-2.5447935601142481E-2</v>
      </c>
      <c r="V298">
        <f ca="1">'ETF variations'!V298/'ETF price'!W299</f>
        <v>-1.8187239117471658E-2</v>
      </c>
      <c r="W298">
        <f ca="1">'ETF variations'!W298/'ETF price'!X299</f>
        <v>-2.4730656219392876E-2</v>
      </c>
      <c r="X298">
        <f ca="1">'ETF variations'!X298/'ETF price'!Y299</f>
        <v>-4.17252695733707E-2</v>
      </c>
      <c r="Y298">
        <f ca="1">'ETF variations'!Y298/'ETF price'!Z299</f>
        <v>-2.3459619792368814E-2</v>
      </c>
      <c r="Z298">
        <f ca="1">'ETF variations'!Z298/'ETF price'!AA299</f>
        <v>-3.1912040761598225E-2</v>
      </c>
      <c r="AA298">
        <f ca="1">'ETF variations'!AA298/'ETF price'!AB299</f>
        <v>-4.3945680875141557E-2</v>
      </c>
      <c r="AB298">
        <f ca="1">'ETF variations'!AB298/'ETF price'!AC299</f>
        <v>2.712624923516211E-2</v>
      </c>
      <c r="AC298">
        <f ca="1">'ETF variations'!AC298/'ETF price'!AD299</f>
        <v>-3.8119440914866896E-3</v>
      </c>
      <c r="AD298">
        <f ca="1">'ETF variations'!AD298/'ETF price'!AE299</f>
        <v>-8.0971659919028063E-3</v>
      </c>
      <c r="AE298">
        <f ca="1">'ETF variations'!AE298/'ETF price'!AF299</f>
        <v>-7.1428571428571383E-2</v>
      </c>
      <c r="AF298">
        <f ca="1">'ETF variations'!AF298/'ETF price'!AG299</f>
        <v>-4.4025157232704379E-2</v>
      </c>
    </row>
    <row r="299" spans="1:32" x14ac:dyDescent="0.2">
      <c r="A299">
        <f ca="1">'ETF variations'!A299/'ETF price'!B300</f>
        <v>5.4503940487587877E-3</v>
      </c>
      <c r="B299">
        <f ca="1">'ETF variations'!B299/'ETF price'!C300</f>
        <v>4.6558413565167545E-3</v>
      </c>
      <c r="C299">
        <f ca="1">'ETF variations'!C299/'ETF price'!D300</f>
        <v>4.450169809111084E-3</v>
      </c>
      <c r="D299">
        <f ca="1">'ETF variations'!D299/'ETF price'!E300</f>
        <v>2.9636215455280463E-4</v>
      </c>
      <c r="E299">
        <f ca="1">'ETF variations'!E299/'ETF price'!F300</f>
        <v>-4.5004500450036052E-4</v>
      </c>
      <c r="F299">
        <f ca="1">'ETF variations'!F299/'ETF price'!G300</f>
        <v>8.5873765564618181E-4</v>
      </c>
      <c r="G299">
        <f ca="1">'ETF variations'!G299/'ETF price'!H300</f>
        <v>-1.2355848434926332E-3</v>
      </c>
      <c r="H299">
        <f ca="1">'ETF variations'!H299/'ETF price'!I300</f>
        <v>9.3435360451066974E-3</v>
      </c>
      <c r="I299">
        <f ca="1">'ETF variations'!I299/'ETF price'!J300</f>
        <v>9.7270297506900881E-3</v>
      </c>
      <c r="J299">
        <f ca="1">'ETF variations'!J299/'ETF price'!K300</f>
        <v>2.7875707141100318E-2</v>
      </c>
      <c r="K299">
        <f ca="1">'ETF variations'!K299/'ETF price'!L300</f>
        <v>2.9077451757864168E-2</v>
      </c>
      <c r="L299">
        <f ca="1">'ETF variations'!L299/'ETF price'!M300</f>
        <v>9.7633625682608544E-3</v>
      </c>
      <c r="M299">
        <f ca="1">'ETF variations'!M299/'ETF price'!N300</f>
        <v>1.0873258579680608E-2</v>
      </c>
      <c r="N299">
        <f ca="1">'ETF variations'!N299/'ETF price'!O300</f>
        <v>2.9686174724342786E-2</v>
      </c>
      <c r="O299">
        <f ca="1">'ETF variations'!O299/'ETF price'!P300</f>
        <v>-2.0331598692968567E-2</v>
      </c>
      <c r="P299">
        <f ca="1">'ETF variations'!P299/'ETF price'!Q300</f>
        <v>-2.181500872600349E-2</v>
      </c>
      <c r="Q299">
        <f ca="1">'ETF variations'!Q299/'ETF price'!R300</f>
        <v>-1.0232796111537622E-2</v>
      </c>
      <c r="R299">
        <f ca="1">'ETF variations'!R299/'ETF price'!S300</f>
        <v>-8.0000000000000331E-3</v>
      </c>
      <c r="S299">
        <f ca="1">'ETF variations'!S299/'ETF price'!T300</f>
        <v>-6.3371356147022447E-3</v>
      </c>
      <c r="T299">
        <f ca="1">'ETF variations'!T299/'ETF price'!U300</f>
        <v>-2.8150134048257381E-2</v>
      </c>
      <c r="U299">
        <f ca="1">'ETF variations'!U299/'ETF price'!V300</f>
        <v>9.3258726352242439E-4</v>
      </c>
      <c r="V299">
        <f ca="1">'ETF variations'!V299/'ETF price'!W300</f>
        <v>-3.9477679927118155E-2</v>
      </c>
      <c r="W299">
        <f ca="1">'ETF variations'!W299/'ETF price'!X300</f>
        <v>-4.2304795380366439E-2</v>
      </c>
      <c r="X299">
        <f ca="1">'ETF variations'!X299/'ETF price'!Y300</f>
        <v>-9.9559686888454013E-2</v>
      </c>
      <c r="Y299">
        <f ca="1">'ETF variations'!Y299/'ETF price'!Z300</f>
        <v>-3.7829628606930954E-2</v>
      </c>
      <c r="Z299">
        <f ca="1">'ETF variations'!Z299/'ETF price'!AA300</f>
        <v>1.6066481994459786E-2</v>
      </c>
      <c r="AA299">
        <f ca="1">'ETF variations'!AA299/'ETF price'!AB300</f>
        <v>-0.1231012033931741</v>
      </c>
      <c r="AB299">
        <f ca="1">'ETF variations'!AB299/'ETF price'!AC300</f>
        <v>-2.1644162033359737E-2</v>
      </c>
      <c r="AC299">
        <f ca="1">'ETF variations'!AC299/'ETF price'!AD300</f>
        <v>0.22321428571428573</v>
      </c>
      <c r="AD299">
        <f ca="1">'ETF variations'!AD299/'ETF price'!AE300</f>
        <v>0.22285714285714289</v>
      </c>
      <c r="AE299">
        <f ca="1">'ETF variations'!AE299/'ETF price'!AF300</f>
        <v>6.0439560439560371E-2</v>
      </c>
      <c r="AF299">
        <f ca="1">'ETF variations'!AF299/'ETF price'!AG300</f>
        <v>0.10406698564593314</v>
      </c>
    </row>
    <row r="300" spans="1:32" x14ac:dyDescent="0.2">
      <c r="A300">
        <f ca="1">'ETF variations'!A300/'ETF price'!B301</f>
        <v>2.3075232583693546E-2</v>
      </c>
      <c r="B300">
        <f ca="1">'ETF variations'!B300/'ETF price'!C301</f>
        <v>2.2570586720828408E-2</v>
      </c>
      <c r="C300">
        <f ca="1">'ETF variations'!C300/'ETF price'!D301</f>
        <v>3.2295674478255924E-2</v>
      </c>
      <c r="D300">
        <f ca="1">'ETF variations'!D300/'ETF price'!E301</f>
        <v>2.9183023479742227E-2</v>
      </c>
      <c r="E300">
        <f ca="1">'ETF variations'!E300/'ETF price'!F301</f>
        <v>1.5758667266996752E-2</v>
      </c>
      <c r="F300">
        <f ca="1">'ETF variations'!F300/'ETF price'!G301</f>
        <v>1.7160017160017253E-2</v>
      </c>
      <c r="G300">
        <f ca="1">'ETF variations'!G300/'ETF price'!H301</f>
        <v>1.1958762886597902E-2</v>
      </c>
      <c r="H300">
        <f ca="1">'ETF variations'!H300/'ETF price'!I301</f>
        <v>8.9378341712553228E-3</v>
      </c>
      <c r="I300">
        <f ca="1">'ETF variations'!I300/'ETF price'!J301</f>
        <v>1.1282273812106848E-2</v>
      </c>
      <c r="J300">
        <f ca="1">'ETF variations'!J300/'ETF price'!K301</f>
        <v>1.2602696019781433E-2</v>
      </c>
      <c r="K300">
        <f ca="1">'ETF variations'!K300/'ETF price'!L301</f>
        <v>1.5026971487284893E-2</v>
      </c>
      <c r="L300">
        <f ca="1">'ETF variations'!L300/'ETF price'!M301</f>
        <v>1.9501802687643358E-2</v>
      </c>
      <c r="M300">
        <f ca="1">'ETF variations'!M300/'ETF price'!N301</f>
        <v>1.0420168067226848E-2</v>
      </c>
      <c r="N300">
        <f ca="1">'ETF variations'!N300/'ETF price'!O301</f>
        <v>1.1532125205930707E-2</v>
      </c>
      <c r="O300">
        <f ca="1">'ETF variations'!O300/'ETF price'!P301</f>
        <v>9.8826436071648809E-3</v>
      </c>
      <c r="P300">
        <f ca="1">'ETF variations'!P300/'ETF price'!Q301</f>
        <v>8.2069580731489889E-3</v>
      </c>
      <c r="Q300">
        <f ca="1">'ETF variations'!Q300/'ETF price'!R301</f>
        <v>1.2794003618506192E-2</v>
      </c>
      <c r="R300">
        <f ca="1">'ETF variations'!R300/'ETF price'!S301</f>
        <v>7.8725038402458463E-3</v>
      </c>
      <c r="S300">
        <f ca="1">'ETF variations'!S300/'ETF price'!T301</f>
        <v>-1.2755102040816356E-2</v>
      </c>
      <c r="T300">
        <f ca="1">'ETF variations'!T300/'ETF price'!U301</f>
        <v>-3.5555555555555562E-2</v>
      </c>
      <c r="U300">
        <f ca="1">'ETF variations'!U300/'ETF price'!V301</f>
        <v>6.5220284839612556E-3</v>
      </c>
      <c r="V300">
        <f ca="1">'ETF variations'!V300/'ETF price'!W301</f>
        <v>2.0233955105912239E-2</v>
      </c>
      <c r="W300">
        <f ca="1">'ETF variations'!W300/'ETF price'!X301</f>
        <v>2.3594180102241409E-2</v>
      </c>
      <c r="X300">
        <f ca="1">'ETF variations'!X300/'ETF price'!Y301</f>
        <v>1.9288236892148893E-2</v>
      </c>
      <c r="Y300">
        <f ca="1">'ETF variations'!Y300/'ETF price'!Z301</f>
        <v>2.1093413689194991E-2</v>
      </c>
      <c r="Z300">
        <f ca="1">'ETF variations'!Z300/'ETF price'!AA301</f>
        <v>1.0359869138495162E-2</v>
      </c>
      <c r="AA300">
        <f ca="1">'ETF variations'!AA300/'ETF price'!AB301</f>
        <v>2.0922384701912253E-2</v>
      </c>
      <c r="AB300">
        <f ca="1">'ETF variations'!AB300/'ETF price'!AC301</f>
        <v>1.2989648873553753E-2</v>
      </c>
      <c r="AC300">
        <f ca="1">'ETF variations'!AC300/'ETF price'!AD301</f>
        <v>3.2325338894682011E-2</v>
      </c>
      <c r="AD300">
        <f ca="1">'ETF variations'!AD300/'ETF price'!AE301</f>
        <v>3.2710280373831786E-2</v>
      </c>
      <c r="AE300">
        <f ca="1">'ETF variations'!AE300/'ETF price'!AF301</f>
        <v>1.5544041450777216E-2</v>
      </c>
      <c r="AF300">
        <f ca="1">'ETF variations'!AF300/'ETF price'!AG301</f>
        <v>5.9588299024918627E-2</v>
      </c>
    </row>
    <row r="301" spans="1:32" x14ac:dyDescent="0.2">
      <c r="A301">
        <f ca="1">'ETF variations'!A301/'ETF price'!B302</f>
        <v>5.7281970499794145E-4</v>
      </c>
      <c r="B301">
        <f ca="1">'ETF variations'!B301/'ETF price'!C302</f>
        <v>-3.6367705477534677E-4</v>
      </c>
      <c r="C301">
        <f ca="1">'ETF variations'!C301/'ETF price'!D302</f>
        <v>-2.0329794443190289E-3</v>
      </c>
      <c r="D301">
        <f ca="1">'ETF variations'!D301/'ETF price'!E302</f>
        <v>-1.1658870097157079E-2</v>
      </c>
      <c r="E301">
        <f ca="1">'ETF variations'!E301/'ETF price'!F302</f>
        <v>-5.7624113475176868E-3</v>
      </c>
      <c r="F301">
        <f ca="1">'ETF variations'!F301/'ETF price'!G302</f>
        <v>-2.3196963306621708E-2</v>
      </c>
      <c r="G301">
        <f ca="1">'ETF variations'!G301/'ETF price'!H302</f>
        <v>-1.263243683781576E-2</v>
      </c>
      <c r="H301">
        <f ca="1">'ETF variations'!H301/'ETF price'!I302</f>
        <v>-8.7004666613947352E-4</v>
      </c>
      <c r="I301">
        <f ca="1">'ETF variations'!I301/'ETF price'!J302</f>
        <v>-2.5316455696202675E-3</v>
      </c>
      <c r="J301">
        <f ca="1">'ETF variations'!J301/'ETF price'!K302</f>
        <v>-7.0106341079165073E-3</v>
      </c>
      <c r="K301">
        <f ca="1">'ETF variations'!K301/'ETF price'!L302</f>
        <v>-1.2400354295837074E-2</v>
      </c>
      <c r="L301">
        <f ca="1">'ETF variations'!L301/'ETF price'!M302</f>
        <v>-1.0769972673203692E-2</v>
      </c>
      <c r="M301">
        <f ca="1">'ETF variations'!M301/'ETF price'!N302</f>
        <v>-1.8296739853625988E-3</v>
      </c>
      <c r="N301">
        <f ca="1">'ETF variations'!N301/'ETF price'!O302</f>
        <v>-8.1433224755698595E-4</v>
      </c>
      <c r="O301">
        <f ca="1">'ETF variations'!O301/'ETF price'!P302</f>
        <v>-5.3700305810397558E-2</v>
      </c>
      <c r="P301">
        <f ca="1">'ETF variations'!P301/'ETF price'!Q302</f>
        <v>-5.3441868695805986E-2</v>
      </c>
      <c r="Q301">
        <f ca="1">'ETF variations'!Q301/'ETF price'!R302</f>
        <v>-3.2410361107566746E-2</v>
      </c>
      <c r="R301">
        <f ca="1">'ETF variations'!R301/'ETF price'!S302</f>
        <v>-5.9439893313012089E-2</v>
      </c>
      <c r="S301">
        <f ca="1">'ETF variations'!S301/'ETF price'!T302</f>
        <v>-2.3255813953488337E-2</v>
      </c>
      <c r="T301">
        <f ca="1">'ETF variations'!T301/'ETF price'!U302</f>
        <v>-4.6241856030510037E-2</v>
      </c>
      <c r="U301">
        <f ca="1">'ETF variations'!U301/'ETF price'!V302</f>
        <v>-3.160539539804285E-2</v>
      </c>
      <c r="V301">
        <f ca="1">'ETF variations'!V301/'ETF price'!W302</f>
        <v>-2.6650139448404182E-2</v>
      </c>
      <c r="W301">
        <f ca="1">'ETF variations'!W301/'ETF price'!X302</f>
        <v>-2.5867588679728649E-2</v>
      </c>
      <c r="X301">
        <f ca="1">'ETF variations'!X301/'ETF price'!Y302</f>
        <v>-2.0255863539445765E-2</v>
      </c>
      <c r="Y301">
        <f ca="1">'ETF variations'!Y301/'ETF price'!Z302</f>
        <v>-2.6559865092748745E-2</v>
      </c>
      <c r="Z301">
        <f ca="1">'ETF variations'!Z301/'ETF price'!AA302</f>
        <v>5.3966540744727518E-4</v>
      </c>
      <c r="AA301">
        <f ca="1">'ETF variations'!AA301/'ETF price'!AB302</f>
        <v>-1.6306743058616173E-2</v>
      </c>
      <c r="AB301">
        <f ca="1">'ETF variations'!AB301/'ETF price'!AC302</f>
        <v>-2.5445802444399843E-2</v>
      </c>
      <c r="AC301">
        <f ca="1">'ETF variations'!AC301/'ETF price'!AD302</f>
        <v>-3.1313131313131362E-2</v>
      </c>
      <c r="AD301">
        <f ca="1">'ETF variations'!AD301/'ETF price'!AE302</f>
        <v>-2.714932126696832E-2</v>
      </c>
      <c r="AE301">
        <f ca="1">'ETF variations'!AE301/'ETF price'!AF302</f>
        <v>3.0612244897959211E-2</v>
      </c>
      <c r="AF301">
        <f ca="1">'ETF variations'!AF301/'ETF price'!AG302</f>
        <v>-2.4028629856850659E-2</v>
      </c>
    </row>
    <row r="302" spans="1:32" x14ac:dyDescent="0.2">
      <c r="A302">
        <f ca="1">'ETF variations'!A302/'ETF price'!B303</f>
        <v>2.8052096751109111E-2</v>
      </c>
      <c r="B302">
        <f ca="1">'ETF variations'!B302/'ETF price'!C303</f>
        <v>2.7313687627683068E-2</v>
      </c>
      <c r="C302">
        <f ca="1">'ETF variations'!C302/'ETF price'!D303</f>
        <v>1.4712539610683053E-3</v>
      </c>
      <c r="D302">
        <f ca="1">'ETF variations'!D302/'ETF price'!E303</f>
        <v>3.9102890846865038E-2</v>
      </c>
      <c r="E302">
        <f ca="1">'ETF variations'!E302/'ETF price'!F303</f>
        <v>1.3820775746767665E-2</v>
      </c>
      <c r="F302">
        <f ca="1">'ETF variations'!F302/'ETF price'!G303</f>
        <v>3.5837651122625144E-2</v>
      </c>
      <c r="G302">
        <f ca="1">'ETF variations'!G302/'ETF price'!H303</f>
        <v>1.6095749071399115E-2</v>
      </c>
      <c r="H302">
        <f ca="1">'ETF variations'!H302/'ETF price'!I303</f>
        <v>9.3413552881571153E-3</v>
      </c>
      <c r="I302">
        <f ca="1">'ETF variations'!I302/'ETF price'!J303</f>
        <v>1.0754538415211219E-2</v>
      </c>
      <c r="J302">
        <f ca="1">'ETF variations'!J302/'ETF price'!K303</f>
        <v>5.394256703157168E-3</v>
      </c>
      <c r="K302">
        <f ca="1">'ETF variations'!K302/'ETF price'!L303</f>
        <v>2.3062139654068778E-3</v>
      </c>
      <c r="L302">
        <f ca="1">'ETF variations'!L302/'ETF price'!M303</f>
        <v>1.52746181345466E-2</v>
      </c>
      <c r="M302">
        <f ca="1">'ETF variations'!M302/'ETF price'!N303</f>
        <v>9.165139143476159E-3</v>
      </c>
      <c r="N302">
        <f ca="1">'ETF variations'!N302/'ETF price'!O303</f>
        <v>1.0187449062754686E-2</v>
      </c>
      <c r="O302">
        <f ca="1">'ETF variations'!O302/'ETF price'!P303</f>
        <v>1.0858324715615349E-2</v>
      </c>
      <c r="P302">
        <f ca="1">'ETF variations'!P302/'ETF price'!Q303</f>
        <v>1.0469246588147227E-2</v>
      </c>
      <c r="Q302">
        <f ca="1">'ETF variations'!Q302/'ETF price'!R303</f>
        <v>1.1473031781616835E-2</v>
      </c>
      <c r="R302">
        <f ca="1">'ETF variations'!R302/'ETF price'!S303</f>
        <v>1.0330160016204277E-2</v>
      </c>
      <c r="S302">
        <f ca="1">'ETF variations'!S302/'ETF price'!T303</f>
        <v>3.0864197530864322E-3</v>
      </c>
      <c r="T302">
        <f ca="1">'ETF variations'!T302/'ETF price'!U303</f>
        <v>4.9983338887027711E-4</v>
      </c>
      <c r="U302">
        <f ca="1">'ETF variations'!U302/'ETF price'!V303</f>
        <v>-1.3382493513587381E-2</v>
      </c>
      <c r="V302">
        <f ca="1">'ETF variations'!V302/'ETF price'!W303</f>
        <v>1.9102196752626484E-2</v>
      </c>
      <c r="W302">
        <f ca="1">'ETF variations'!W302/'ETF price'!X303</f>
        <v>1.9981595898514663E-2</v>
      </c>
      <c r="X302">
        <f ca="1">'ETF variations'!X302/'ETF price'!Y303</f>
        <v>3.0739934711643161E-2</v>
      </c>
      <c r="Y302">
        <f ca="1">'ETF variations'!Y302/'ETF price'!Z303</f>
        <v>1.9922044174967658E-2</v>
      </c>
      <c r="Z302">
        <f ca="1">'ETF variations'!Z302/'ETF price'!AA303</f>
        <v>0</v>
      </c>
      <c r="AA302">
        <f ca="1">'ETF variations'!AA302/'ETF price'!AB303</f>
        <v>3.5170250896057353E-2</v>
      </c>
      <c r="AB302">
        <f ca="1">'ETF variations'!AB302/'ETF price'!AC303</f>
        <v>5.9621710526315611E-3</v>
      </c>
      <c r="AC302">
        <f ca="1">'ETF variations'!AC302/'ETF price'!AD303</f>
        <v>2.7111574556830009E-2</v>
      </c>
      <c r="AD302">
        <f ca="1">'ETF variations'!AD302/'ETF price'!AE303</f>
        <v>2.3920265780730858E-2</v>
      </c>
      <c r="AE302">
        <f ca="1">'ETF variations'!AE302/'ETF price'!AF303</f>
        <v>4.9504950495048447E-3</v>
      </c>
      <c r="AF302">
        <f ca="1">'ETF variations'!AF302/'ETF price'!AG303</f>
        <v>4.7668936616029341E-2</v>
      </c>
    </row>
    <row r="303" spans="1:32" x14ac:dyDescent="0.2">
      <c r="A303">
        <f ca="1">'ETF variations'!A303/'ETF price'!B304</f>
        <v>-1.3921759710426606E-3</v>
      </c>
      <c r="B303">
        <f ca="1">'ETF variations'!B303/'ETF price'!C304</f>
        <v>-2.7241275981366971E-3</v>
      </c>
      <c r="C303">
        <f ca="1">'ETF variations'!C303/'ETF price'!D304</f>
        <v>1.2769804497683465E-2</v>
      </c>
      <c r="D303">
        <f ca="1">'ETF variations'!D303/'ETF price'!E304</f>
        <v>-6.2368605466011666E-3</v>
      </c>
      <c r="E303">
        <f ca="1">'ETF variations'!E303/'ETF price'!F304</f>
        <v>-7.9155672823218882E-3</v>
      </c>
      <c r="F303">
        <f ca="1">'ETF variations'!F303/'ETF price'!G304</f>
        <v>-9.5873280533554355E-3</v>
      </c>
      <c r="G303">
        <f ca="1">'ETF variations'!G303/'ETF price'!H304</f>
        <v>-1.5028432168968358E-2</v>
      </c>
      <c r="H303">
        <f ca="1">'ETF variations'!H303/'ETF price'!I304</f>
        <v>-1.2862745098039221E-2</v>
      </c>
      <c r="I303">
        <f ca="1">'ETF variations'!I303/'ETF price'!J304</f>
        <v>-1.4598229485869963E-2</v>
      </c>
      <c r="J303">
        <f ca="1">'ETF variations'!J303/'ETF price'!K304</f>
        <v>-1.7673978223133935E-2</v>
      </c>
      <c r="K303">
        <f ca="1">'ETF variations'!K303/'ETF price'!L304</f>
        <v>-2.2114278409817254E-2</v>
      </c>
      <c r="L303">
        <f ca="1">'ETF variations'!L303/'ETF price'!M304</f>
        <v>-2.5448143405889828E-2</v>
      </c>
      <c r="M303">
        <f ca="1">'ETF variations'!M303/'ETF price'!N304</f>
        <v>-1.6842800528401636E-2</v>
      </c>
      <c r="N303">
        <f ca="1">'ETF variations'!N303/'ETF price'!O304</f>
        <v>-3.5901573215006075E-2</v>
      </c>
      <c r="O303">
        <f ca="1">'ETF variations'!O303/'ETF price'!P304</f>
        <v>-1.5728900255754526E-2</v>
      </c>
      <c r="P303">
        <f ca="1">'ETF variations'!P303/'ETF price'!Q304</f>
        <v>-1.7391304347826046E-2</v>
      </c>
      <c r="Q303">
        <f ca="1">'ETF variations'!Q303/'ETF price'!R304</f>
        <v>-1.5514993481095146E-2</v>
      </c>
      <c r="R303">
        <f ca="1">'ETF variations'!R303/'ETF price'!S304</f>
        <v>-7.8187650360866182E-3</v>
      </c>
      <c r="S303">
        <f ca="1">'ETF variations'!S303/'ETF price'!T304</f>
        <v>-3.0769230769230895E-3</v>
      </c>
      <c r="T303">
        <f ca="1">'ETF variations'!T303/'ETF price'!U304</f>
        <v>-2.3147377185678612E-2</v>
      </c>
      <c r="U303">
        <f ca="1">'ETF variations'!U303/'ETF price'!V304</f>
        <v>-3.9307958477508696E-2</v>
      </c>
      <c r="V303">
        <f ca="1">'ETF variations'!V303/'ETF price'!W304</f>
        <v>-3.2177444548578495E-2</v>
      </c>
      <c r="W303">
        <f ca="1">'ETF variations'!W303/'ETF price'!X304</f>
        <v>-3.3509472870215343E-2</v>
      </c>
      <c r="X303">
        <f ca="1">'ETF variations'!X303/'ETF price'!Y304</f>
        <v>-5.5687516495117433E-2</v>
      </c>
      <c r="Y303">
        <f ca="1">'ETF variations'!Y303/'ETF price'!Z304</f>
        <v>-3.3262561924982427E-2</v>
      </c>
      <c r="Z303">
        <f ca="1">'ETF variations'!Z303/'ETF price'!AA304</f>
        <v>-2.2923408845738982E-2</v>
      </c>
      <c r="AA303">
        <f ca="1">'ETF variations'!AA303/'ETF price'!AB304</f>
        <v>-5.9943735122267972E-2</v>
      </c>
      <c r="AB303">
        <f ca="1">'ETF variations'!AB303/'ETF price'!AC304</f>
        <v>3.2495401594114112E-2</v>
      </c>
      <c r="AC303">
        <f ca="1">'ETF variations'!AC303/'ETF price'!AD304</f>
        <v>7.3096446700507675E-2</v>
      </c>
      <c r="AD303">
        <f ca="1">'ETF variations'!AD303/'ETF price'!AE304</f>
        <v>8.0467229072031049E-2</v>
      </c>
      <c r="AE303">
        <f ca="1">'ETF variations'!AE303/'ETF price'!AF304</f>
        <v>4.9261083743842415E-2</v>
      </c>
      <c r="AF303">
        <f ca="1">'ETF variations'!AF303/'ETF price'!AG304</f>
        <v>7.0500000000000007E-2</v>
      </c>
    </row>
    <row r="304" spans="1:32" x14ac:dyDescent="0.2">
      <c r="A304">
        <f ca="1">'ETF variations'!A304/'ETF price'!B305</f>
        <v>4.8794088944648805E-4</v>
      </c>
      <c r="B304">
        <f ca="1">'ETF variations'!B304/'ETF price'!C305</f>
        <v>3.0593569887186339E-3</v>
      </c>
      <c r="C304">
        <f ca="1">'ETF variations'!C304/'ETF price'!D305</f>
        <v>-1.1492970319125207E-2</v>
      </c>
      <c r="D304">
        <f ca="1">'ETF variations'!D304/'ETF price'!E305</f>
        <v>1.0577533319229955E-2</v>
      </c>
      <c r="E304">
        <f ca="1">'ETF variations'!E304/'ETF price'!F305</f>
        <v>1.04166666666668E-2</v>
      </c>
      <c r="F304">
        <f ca="1">'ETF variations'!F304/'ETF price'!G305</f>
        <v>1.2205387205387169E-2</v>
      </c>
      <c r="G304">
        <f ca="1">'ETF variations'!G304/'ETF price'!H305</f>
        <v>9.4845360824742445E-3</v>
      </c>
      <c r="H304">
        <f ca="1">'ETF variations'!H304/'ETF price'!I305</f>
        <v>8.7398696964881162E-3</v>
      </c>
      <c r="I304">
        <f ca="1">'ETF variations'!I304/'ETF price'!J305</f>
        <v>1.2223038051224518E-2</v>
      </c>
      <c r="J304">
        <f ca="1">'ETF variations'!J304/'ETF price'!K305</f>
        <v>1.0843373493975858E-2</v>
      </c>
      <c r="K304">
        <f ca="1">'ETF variations'!K304/'ETF price'!L305</f>
        <v>3.660130718954263E-3</v>
      </c>
      <c r="L304">
        <f ca="1">'ETF variations'!L304/'ETF price'!M305</f>
        <v>2.0200361307275361E-2</v>
      </c>
      <c r="M304">
        <f ca="1">'ETF variations'!M304/'ETF price'!N305</f>
        <v>1.1252939200537482E-2</v>
      </c>
      <c r="N304">
        <f ca="1">'ETF variations'!N304/'ETF price'!O305</f>
        <v>2.9288702928870415E-3</v>
      </c>
      <c r="O304">
        <f ca="1">'ETF variations'!O304/'ETF price'!P305</f>
        <v>9.4842146290763148E-3</v>
      </c>
      <c r="P304">
        <f ca="1">'ETF variations'!P304/'ETF price'!Q305</f>
        <v>2.1653172660515883E-2</v>
      </c>
      <c r="Q304">
        <f ca="1">'ETF variations'!Q304/'ETF price'!R305</f>
        <v>1.6156800423784912E-2</v>
      </c>
      <c r="R304">
        <f ca="1">'ETF variations'!R304/'ETF price'!S305</f>
        <v>1.1921600323297562E-2</v>
      </c>
      <c r="S304">
        <f ca="1">'ETF variations'!S304/'ETF price'!T305</f>
        <v>3.968253968253962E-3</v>
      </c>
      <c r="T304">
        <f ca="1">'ETF variations'!T304/'ETF price'!U305</f>
        <v>1.9263552676440549E-2</v>
      </c>
      <c r="U304">
        <f ca="1">'ETF variations'!U304/'ETF price'!V305</f>
        <v>1.584786053882738E-2</v>
      </c>
      <c r="V304">
        <f ca="1">'ETF variations'!V304/'ETF price'!W305</f>
        <v>6.1329890251775755E-3</v>
      </c>
      <c r="W304">
        <f ca="1">'ETF variations'!W304/'ETF price'!X305</f>
        <v>1.2801706894252673E-2</v>
      </c>
      <c r="X304">
        <f ca="1">'ETF variations'!X304/'ETF price'!Y305</f>
        <v>8.384572386808193E-3</v>
      </c>
      <c r="Y304">
        <f ca="1">'ETF variations'!Y304/'ETF price'!Z305</f>
        <v>1.3762811127379176E-2</v>
      </c>
      <c r="Z304">
        <f ca="1">'ETF variations'!Z304/'ETF price'!AA305</f>
        <v>3.5881865857025274E-3</v>
      </c>
      <c r="AA304">
        <f ca="1">'ETF variations'!AA304/'ETF price'!AB305</f>
        <v>2.7624309392266242E-3</v>
      </c>
      <c r="AB304">
        <f ca="1">'ETF variations'!AB304/'ETF price'!AC305</f>
        <v>-2.6326207442597095E-2</v>
      </c>
      <c r="AC304">
        <f ca="1">'ETF variations'!AC304/'ETF price'!AD305</f>
        <v>3.689687795648066E-2</v>
      </c>
      <c r="AD304">
        <f ca="1">'ETF variations'!AD304/'ETF price'!AE305</f>
        <v>3.1231231231231421E-2</v>
      </c>
      <c r="AE304">
        <f ca="1">'ETF variations'!AE304/'ETF price'!AF305</f>
        <v>8.9201877934272283E-2</v>
      </c>
      <c r="AF304">
        <f ca="1">'ETF variations'!AF304/'ETF price'!AG305</f>
        <v>-4.6707146193368252E-3</v>
      </c>
    </row>
    <row r="305" spans="1:32" x14ac:dyDescent="0.2">
      <c r="A305">
        <f ca="1">'ETF variations'!A305/'ETF price'!B306</f>
        <v>8.0819340904340325E-3</v>
      </c>
      <c r="B305">
        <f ca="1">'ETF variations'!B305/'ETF price'!C306</f>
        <v>1.1274202772255775E-2</v>
      </c>
      <c r="C305">
        <f ca="1">'ETF variations'!C305/'ETF price'!D306</f>
        <v>1.5125860706626068E-2</v>
      </c>
      <c r="D305">
        <f ca="1">'ETF variations'!D305/'ETF price'!E306</f>
        <v>2.0235852348056103E-3</v>
      </c>
      <c r="E305">
        <f ca="1">'ETF variations'!E305/'ETF price'!F306</f>
        <v>1.8425093222197767E-2</v>
      </c>
      <c r="F305">
        <f ca="1">'ETF variations'!F305/'ETF price'!G306</f>
        <v>1.9126819126819163E-2</v>
      </c>
      <c r="G305">
        <f ca="1">'ETF variations'!G305/'ETF price'!H306</f>
        <v>1.5931372549019631E-2</v>
      </c>
      <c r="H305">
        <f ca="1">'ETF variations'!H305/'ETF price'!I306</f>
        <v>6.0649023314430549E-3</v>
      </c>
      <c r="I305">
        <f ca="1">'ETF variations'!I305/'ETF price'!J306</f>
        <v>7.0404505888375882E-3</v>
      </c>
      <c r="J305">
        <f ca="1">'ETF variations'!J305/'ETF price'!K306</f>
        <v>1.191895113230081E-3</v>
      </c>
      <c r="K305">
        <f ca="1">'ETF variations'!K305/'ETF price'!L306</f>
        <v>-9.8984110445429156E-3</v>
      </c>
      <c r="L305">
        <f ca="1">'ETF variations'!L305/'ETF price'!M306</f>
        <v>-9.6587250482928482E-4</v>
      </c>
      <c r="M305">
        <f ca="1">'ETF variations'!M305/'ETF price'!N306</f>
        <v>7.6399269224381476E-3</v>
      </c>
      <c r="N305">
        <f ca="1">'ETF variations'!N305/'ETF price'!O306</f>
        <v>1.7104714226115984E-2</v>
      </c>
      <c r="O305">
        <f ca="1">'ETF variations'!O305/'ETF price'!P306</f>
        <v>3.4620334620334592E-2</v>
      </c>
      <c r="P305">
        <f ca="1">'ETF variations'!P305/'ETF price'!Q306</f>
        <v>3.4187246590490307E-2</v>
      </c>
      <c r="Q305">
        <f ca="1">'ETF variations'!Q305/'ETF price'!R306</f>
        <v>1.2120422259872183E-2</v>
      </c>
      <c r="R305">
        <f ca="1">'ETF variations'!R305/'ETF price'!S306</f>
        <v>1.4776357827476079E-2</v>
      </c>
      <c r="S305">
        <f ca="1">'ETF variations'!S305/'ETF price'!T306</f>
        <v>3.5133948177427251E-3</v>
      </c>
      <c r="T305">
        <f ca="1">'ETF variations'!T305/'ETF price'!U306</f>
        <v>2.4084295032614111E-2</v>
      </c>
      <c r="U305">
        <f ca="1">'ETF variations'!U305/'ETF price'!V306</f>
        <v>5.0631116153736958E-2</v>
      </c>
      <c r="V305">
        <f ca="1">'ETF variations'!V305/'ETF price'!W306</f>
        <v>2.5344882900224547E-2</v>
      </c>
      <c r="W305">
        <f ca="1">'ETF variations'!W305/'ETF price'!X306</f>
        <v>3.041474654377883E-2</v>
      </c>
      <c r="X305">
        <f ca="1">'ETF variations'!X305/'ETF price'!Y306</f>
        <v>5.2660753880266038E-2</v>
      </c>
      <c r="Y305">
        <f ca="1">'ETF variations'!Y305/'ETF price'!Z306</f>
        <v>2.8596187175043388E-2</v>
      </c>
      <c r="Z305">
        <f ca="1">'ETF variations'!Z305/'ETF price'!AA306</f>
        <v>-5.7755775577557995E-3</v>
      </c>
      <c r="AA305">
        <f ca="1">'ETF variations'!AA305/'ETF price'!AB306</f>
        <v>5.7621671258034843E-2</v>
      </c>
      <c r="AB305">
        <f ca="1">'ETF variations'!AB305/'ETF price'!AC306</f>
        <v>-1.2604187843057481E-2</v>
      </c>
      <c r="AC305">
        <f ca="1">'ETF variations'!AC305/'ETF price'!AD306</f>
        <v>1.3686131386861183E-2</v>
      </c>
      <c r="AD305">
        <f ca="1">'ETF variations'!AD305/'ETF price'!AE306</f>
        <v>1.3977868375072708E-2</v>
      </c>
      <c r="AE305">
        <f ca="1">'ETF variations'!AE305/'ETF price'!AF306</f>
        <v>-3.8793103448275801E-2</v>
      </c>
      <c r="AF305">
        <f ca="1">'ETF variations'!AF305/'ETF price'!AG306</f>
        <v>6.4758329422806321E-2</v>
      </c>
    </row>
    <row r="306" spans="1:32" x14ac:dyDescent="0.2">
      <c r="A306">
        <f ca="1">'ETF variations'!A306/'ETF price'!B307</f>
        <v>-9.9523118391042758E-3</v>
      </c>
      <c r="B306">
        <f ca="1">'ETF variations'!B306/'ETF price'!C307</f>
        <v>-1.2144876800861848E-2</v>
      </c>
      <c r="C306">
        <f ca="1">'ETF variations'!C306/'ETF price'!D307</f>
        <v>1.3343711775824568E-3</v>
      </c>
      <c r="D306">
        <f ca="1">'ETF variations'!D306/'ETF price'!E307</f>
        <v>-9.9582172701950331E-3</v>
      </c>
      <c r="E306">
        <f ca="1">'ETF variations'!E306/'ETF price'!F307</f>
        <v>-2.1322420848589319E-2</v>
      </c>
      <c r="F306">
        <f ca="1">'ETF variations'!F306/'ETF price'!G307</f>
        <v>-1.1423908608731177E-2</v>
      </c>
      <c r="G306">
        <f ca="1">'ETF variations'!G306/'ETF price'!H307</f>
        <v>-2.1712907117008552E-2</v>
      </c>
      <c r="H306">
        <f ca="1">'ETF variations'!H306/'ETF price'!I307</f>
        <v>-1.5109997651295755E-2</v>
      </c>
      <c r="I306">
        <f ca="1">'ETF variations'!I306/'ETF price'!J307</f>
        <v>-1.6143383754925651E-2</v>
      </c>
      <c r="J306">
        <f ca="1">'ETF variations'!J306/'ETF price'!K307</f>
        <v>-2.142857142857145E-2</v>
      </c>
      <c r="K306">
        <f ca="1">'ETF variations'!K306/'ETF price'!L307</f>
        <v>-3.8016311496974486E-2</v>
      </c>
      <c r="L306">
        <f ca="1">'ETF variations'!L306/'ETF price'!M307</f>
        <v>-3.1260070899129952E-2</v>
      </c>
      <c r="M306">
        <f ca="1">'ETF variations'!M306/'ETF price'!N307</f>
        <v>-1.6482610845557934E-2</v>
      </c>
      <c r="N306">
        <f ca="1">'ETF variations'!N306/'ETF price'!O307</f>
        <v>-2.953240360951595E-2</v>
      </c>
      <c r="O306">
        <f ca="1">'ETF variations'!O306/'ETF price'!P307</f>
        <v>-2.1271302400796041E-2</v>
      </c>
      <c r="P306">
        <f ca="1">'ETF variations'!P306/'ETF price'!Q307</f>
        <v>-2.1741067450770719E-2</v>
      </c>
      <c r="Q306">
        <f ca="1">'ETF variations'!Q306/'ETF price'!R307</f>
        <v>-1.7769765645119694E-2</v>
      </c>
      <c r="R306">
        <f ca="1">'ETF variations'!R306/'ETF price'!S307</f>
        <v>-2.1645021645021672E-2</v>
      </c>
      <c r="S306">
        <f ca="1">'ETF variations'!S306/'ETF price'!T307</f>
        <v>2.625820568927734E-3</v>
      </c>
      <c r="T306">
        <f ca="1">'ETF variations'!T306/'ETF price'!U307</f>
        <v>6.2061081169361848E-3</v>
      </c>
      <c r="U306">
        <f ca="1">'ETF variations'!U306/'ETF price'!V307</f>
        <v>-2.1463282937365057E-2</v>
      </c>
      <c r="V306">
        <f ca="1">'ETF variations'!V306/'ETF price'!W307</f>
        <v>-2.3153942428035104E-2</v>
      </c>
      <c r="W306">
        <f ca="1">'ETF variations'!W306/'ETF price'!X307</f>
        <v>-2.887809864554057E-2</v>
      </c>
      <c r="X306">
        <f ca="1">'ETF variations'!X306/'ETF price'!Y307</f>
        <v>-5.1606108478146236E-2</v>
      </c>
      <c r="Y306">
        <f ca="1">'ETF variations'!Y306/'ETF price'!Z307</f>
        <v>-2.6677899466442091E-2</v>
      </c>
      <c r="Z306">
        <f ca="1">'ETF variations'!Z306/'ETF price'!AA307</f>
        <v>-3.6514522821576773E-2</v>
      </c>
      <c r="AA306">
        <f ca="1">'ETF variations'!AA306/'ETF price'!AB307</f>
        <v>-5.6869980464510472E-2</v>
      </c>
      <c r="AB306">
        <f ca="1">'ETF variations'!AB306/'ETF price'!AC307</f>
        <v>-3.294214535721715E-3</v>
      </c>
      <c r="AC306">
        <f ca="1">'ETF variations'!AC306/'ETF price'!AD307</f>
        <v>-5.4905490549054858E-2</v>
      </c>
      <c r="AD306">
        <f ca="1">'ETF variations'!AD306/'ETF price'!AE307</f>
        <v>-5.6863871338311223E-2</v>
      </c>
      <c r="AE306">
        <f ca="1">'ETF variations'!AE306/'ETF price'!AF307</f>
        <v>7.1748878923766884E-2</v>
      </c>
      <c r="AF306">
        <f ca="1">'ETF variations'!AF306/'ETF price'!AG307</f>
        <v>-6.610841780520052E-2</v>
      </c>
    </row>
    <row r="307" spans="1:32" x14ac:dyDescent="0.2">
      <c r="A307">
        <f ca="1">'ETF variations'!A307/'ETF price'!B308</f>
        <v>1.6265270506108289E-2</v>
      </c>
      <c r="B307">
        <f ca="1">'ETF variations'!B307/'ETF price'!C308</f>
        <v>1.412059753571041E-2</v>
      </c>
      <c r="C307">
        <f ca="1">'ETF variations'!C307/'ETF price'!D308</f>
        <v>-1.5657967795669036E-2</v>
      </c>
      <c r="D307">
        <f ca="1">'ETF variations'!D307/'ETF price'!E308</f>
        <v>2.468875290145614E-2</v>
      </c>
      <c r="E307">
        <f ca="1">'ETF variations'!E307/'ETF price'!F308</f>
        <v>1.36443661971832E-2</v>
      </c>
      <c r="F307">
        <f ca="1">'ETF variations'!F307/'ETF price'!G308</f>
        <v>9.0796533223276455E-3</v>
      </c>
      <c r="G307">
        <f ca="1">'ETF variations'!G307/'ETF price'!H308</f>
        <v>6.9872585285656276E-3</v>
      </c>
      <c r="H307">
        <f ca="1">'ETF variations'!H307/'ETF price'!I308</f>
        <v>-1.9077901430842202E-3</v>
      </c>
      <c r="I307">
        <f ca="1">'ETF variations'!I307/'ETF price'!J308</f>
        <v>-1.6795865633074348E-3</v>
      </c>
      <c r="J307">
        <f ca="1">'ETF variations'!J307/'ETF price'!K308</f>
        <v>8.5158150851581283E-3</v>
      </c>
      <c r="K307">
        <f ca="1">'ETF variations'!K307/'ETF price'!L308</f>
        <v>8.0678244222617736E-3</v>
      </c>
      <c r="L307">
        <f ca="1">'ETF variations'!L307/'ETF price'!M308</f>
        <v>8.3166999334664017E-3</v>
      </c>
      <c r="M307">
        <f ca="1">'ETF variations'!M307/'ETF price'!N308</f>
        <v>-1.675884028825229E-3</v>
      </c>
      <c r="N307">
        <f ca="1">'ETF variations'!N307/'ETF price'!O308</f>
        <v>0</v>
      </c>
      <c r="O307">
        <f ca="1">'ETF variations'!O307/'ETF price'!P308</f>
        <v>-1.3853584138281689E-2</v>
      </c>
      <c r="P307">
        <f ca="1">'ETF variations'!P307/'ETF price'!Q308</f>
        <v>-1.411786137170973E-2</v>
      </c>
      <c r="Q307">
        <f ca="1">'ETF variations'!Q307/'ETF price'!R308</f>
        <v>-1.1798636601993105E-3</v>
      </c>
      <c r="R307">
        <f ca="1">'ETF variations'!R307/'ETF price'!S308</f>
        <v>3.4191472244569933E-3</v>
      </c>
      <c r="S307">
        <f ca="1">'ETF variations'!S307/'ETF price'!T308</f>
        <v>-2.6189436927105507E-3</v>
      </c>
      <c r="T307">
        <f ca="1">'ETF variations'!T307/'ETF price'!U308</f>
        <v>-1.0063301412108382E-2</v>
      </c>
      <c r="U307">
        <f ca="1">'ETF variations'!U307/'ETF price'!V308</f>
        <v>1.5036556766450593E-2</v>
      </c>
      <c r="V307">
        <f ca="1">'ETF variations'!V307/'ETF price'!W308</f>
        <v>-6.7264573991030526E-3</v>
      </c>
      <c r="W307">
        <f ca="1">'ETF variations'!W307/'ETF price'!X308</f>
        <v>-1.0394736842105345E-2</v>
      </c>
      <c r="X307">
        <f ca="1">'ETF variations'!X307/'ETF price'!Y308</f>
        <v>-2.4986118822876335E-2</v>
      </c>
      <c r="Y307">
        <f ca="1">'ETF variations'!Y307/'ETF price'!Z308</f>
        <v>-1.5724177726485707E-2</v>
      </c>
      <c r="Z307">
        <f ca="1">'ETF variations'!Z307/'ETF price'!AA308</f>
        <v>-6.0292850990525653E-3</v>
      </c>
      <c r="AA307">
        <f ca="1">'ETF variations'!AA307/'ETF price'!AB308</f>
        <v>-2.7848101265822801E-2</v>
      </c>
      <c r="AB307">
        <f ca="1">'ETF variations'!AB307/'ETF price'!AC308</f>
        <v>1.590580458582944E-2</v>
      </c>
      <c r="AC307">
        <f ca="1">'ETF variations'!AC307/'ETF price'!AD308</f>
        <v>6.857142857142863E-2</v>
      </c>
      <c r="AD307">
        <f ca="1">'ETF variations'!AD307/'ETF price'!AE308</f>
        <v>7.0645554202192234E-2</v>
      </c>
      <c r="AE307">
        <f ca="1">'ETF variations'!AE307/'ETF price'!AF308</f>
        <v>-7.5313807531380811E-2</v>
      </c>
      <c r="AF307">
        <f ca="1">'ETF variations'!AF307/'ETF price'!AG308</f>
        <v>1.4157621519583568E-3</v>
      </c>
    </row>
    <row r="308" spans="1:32" x14ac:dyDescent="0.2">
      <c r="A308">
        <f ca="1">'ETF variations'!A308/'ETF price'!B309</f>
        <v>2.610248660530261E-3</v>
      </c>
      <c r="B308">
        <f ca="1">'ETF variations'!B308/'ETF price'!C309</f>
        <v>-2.6880275254009437E-4</v>
      </c>
      <c r="C308">
        <f ca="1">'ETF variations'!C308/'ETF price'!D309</f>
        <v>1.9291516245487295E-2</v>
      </c>
      <c r="D308">
        <f ca="1">'ETF variations'!D308/'ETF price'!E309</f>
        <v>-1.7366831411312473E-2</v>
      </c>
      <c r="E308">
        <f ca="1">'ETF variations'!E308/'ETF price'!F309</f>
        <v>-1.9539730785932134E-3</v>
      </c>
      <c r="F308">
        <f ca="1">'ETF variations'!F308/'ETF price'!G309</f>
        <v>-3.6809815950920189E-3</v>
      </c>
      <c r="G308">
        <f ca="1">'ETF variations'!G308/'ETF price'!H309</f>
        <v>-1.2244897959184137E-3</v>
      </c>
      <c r="H308">
        <f ca="1">'ETF variations'!H308/'ETF price'!I309</f>
        <v>1.3857916533927962E-2</v>
      </c>
      <c r="I308">
        <f ca="1">'ETF variations'!I308/'ETF price'!J309</f>
        <v>8.9297269315387305E-3</v>
      </c>
      <c r="J308">
        <f ca="1">'ETF variations'!J308/'ETF price'!K309</f>
        <v>1.2223562525130762E-2</v>
      </c>
      <c r="K308">
        <f ca="1">'ETF variations'!K308/'ETF price'!L309</f>
        <v>6.375474769397706E-3</v>
      </c>
      <c r="L308">
        <f ca="1">'ETF variations'!L308/'ETF price'!M309</f>
        <v>6.2685582316067733E-3</v>
      </c>
      <c r="M308">
        <f ca="1">'ETF variations'!M308/'ETF price'!N309</f>
        <v>1.2925969447708631E-2</v>
      </c>
      <c r="N308">
        <f ca="1">'ETF variations'!N308/'ETF price'!O309</f>
        <v>8.4530853761622688E-3</v>
      </c>
      <c r="O308">
        <f ca="1">'ETF variations'!O308/'ETF price'!P309</f>
        <v>3.8664776388709519E-3</v>
      </c>
      <c r="P308">
        <f ca="1">'ETF variations'!P308/'ETF price'!Q309</f>
        <v>-6.374722838137452E-3</v>
      </c>
      <c r="Q308">
        <f ca="1">'ETF variations'!Q308/'ETF price'!R309</f>
        <v>8.1375508596929335E-3</v>
      </c>
      <c r="R308">
        <f ca="1">'ETF variations'!R308/'ETF price'!S309</f>
        <v>7.6167568651032786E-3</v>
      </c>
      <c r="S308">
        <f ca="1">'ETF variations'!S308/'ETF price'!T309</f>
        <v>4.8140043763675901E-3</v>
      </c>
      <c r="T308">
        <f ca="1">'ETF variations'!T308/'ETF price'!U309</f>
        <v>-4.9188391539598517E-4</v>
      </c>
      <c r="U308">
        <f ca="1">'ETF variations'!U308/'ETF price'!V309</f>
        <v>-8.1543897798313988E-3</v>
      </c>
      <c r="V308">
        <f ca="1">'ETF variations'!V308/'ETF price'!W309</f>
        <v>-6.4495324089013626E-4</v>
      </c>
      <c r="W308">
        <f ca="1">'ETF variations'!W308/'ETF price'!X309</f>
        <v>-3.456987102778765E-3</v>
      </c>
      <c r="X308">
        <f ca="1">'ETF variations'!X308/'ETF price'!Y309</f>
        <v>2.2494305239179932E-2</v>
      </c>
      <c r="Y308">
        <f ca="1">'ETF variations'!Y308/'ETF price'!Z309</f>
        <v>2.1984464311885017E-3</v>
      </c>
      <c r="Z308">
        <f ca="1">'ETF variations'!Z308/'ETF price'!AA309</f>
        <v>2.5707683419988463E-2</v>
      </c>
      <c r="AA308">
        <f ca="1">'ETF variations'!AA308/'ETF price'!AB309</f>
        <v>3.0303030303030328E-2</v>
      </c>
      <c r="AB308">
        <f ca="1">'ETF variations'!AB308/'ETF price'!AC309</f>
        <v>1.6063440422936136E-2</v>
      </c>
      <c r="AC308">
        <f ca="1">'ETF variations'!AC308/'ETF price'!AD309</f>
        <v>-2.4064171122994773E-2</v>
      </c>
      <c r="AD308">
        <f ca="1">'ETF variations'!AD308/'ETF price'!AE309</f>
        <v>-2.3890784982935051E-2</v>
      </c>
      <c r="AE308">
        <f ca="1">'ETF variations'!AE308/'ETF price'!AF309</f>
        <v>3.6199095022624465E-2</v>
      </c>
      <c r="AF308">
        <f ca="1">'ETF variations'!AF308/'ETF price'!AG309</f>
        <v>-3.9585296889726666E-2</v>
      </c>
    </row>
    <row r="309" spans="1:32" x14ac:dyDescent="0.2">
      <c r="A309">
        <f ca="1">'ETF variations'!A309/'ETF price'!B310</f>
        <v>-7.7418470813921305E-3</v>
      </c>
      <c r="B309">
        <f ca="1">'ETF variations'!B309/'ETF price'!C310</f>
        <v>-6.2647881264789223E-3</v>
      </c>
      <c r="C309">
        <f ca="1">'ETF variations'!C309/'ETF price'!D310</f>
        <v>9.9612617598229744E-3</v>
      </c>
      <c r="D309">
        <f ca="1">'ETF variations'!D309/'ETF price'!E310</f>
        <v>-1.1735941320293446E-2</v>
      </c>
      <c r="E309">
        <f ca="1">'ETF variations'!E309/'ETF price'!F310</f>
        <v>6.3084620404611517E-3</v>
      </c>
      <c r="F309">
        <f ca="1">'ETF variations'!F309/'ETF price'!G310</f>
        <v>4.9261083743842773E-3</v>
      </c>
      <c r="G309">
        <f ca="1">'ETF variations'!G309/'ETF price'!H310</f>
        <v>5.3126277073969174E-3</v>
      </c>
      <c r="H309">
        <f ca="1">'ETF variations'!H309/'ETF price'!I310</f>
        <v>4.0848389630793094E-3</v>
      </c>
      <c r="I309">
        <f ca="1">'ETF variations'!I309/'ETF price'!J310</f>
        <v>5.1735932957072345E-3</v>
      </c>
      <c r="J309">
        <f ca="1">'ETF variations'!J309/'ETF price'!K310</f>
        <v>1.2711527766743195E-3</v>
      </c>
      <c r="K309">
        <f ca="1">'ETF variations'!K309/'ETF price'!L310</f>
        <v>1.0243968189783058E-2</v>
      </c>
      <c r="L309">
        <f ca="1">'ETF variations'!L309/'ETF price'!M310</f>
        <v>9.6721311475410389E-3</v>
      </c>
      <c r="M309">
        <f ca="1">'ETF variations'!M309/'ETF price'!N310</f>
        <v>4.3089161418627441E-3</v>
      </c>
      <c r="N309">
        <f ca="1">'ETF variations'!N309/'ETF price'!O310</f>
        <v>1.6764459346185728E-3</v>
      </c>
      <c r="O309">
        <f ca="1">'ETF variations'!O309/'ETF price'!P310</f>
        <v>2.1312106817306414E-2</v>
      </c>
      <c r="P309">
        <f ca="1">'ETF variations'!P309/'ETF price'!Q310</f>
        <v>2.2501162250116242E-2</v>
      </c>
      <c r="Q309">
        <f ca="1">'ETF variations'!Q309/'ETF price'!R310</f>
        <v>7.4209087358415981E-3</v>
      </c>
      <c r="R309">
        <f ca="1">'ETF variations'!R309/'ETF price'!S310</f>
        <v>1.4123731848020562E-2</v>
      </c>
      <c r="S309">
        <f ca="1">'ETF variations'!S309/'ETF price'!T310</f>
        <v>1.8728222996515668E-2</v>
      </c>
      <c r="T309">
        <f ca="1">'ETF variations'!T309/'ETF price'!U310</f>
        <v>5.2329396325459396E-2</v>
      </c>
      <c r="U309">
        <f ca="1">'ETF variations'!U309/'ETF price'!V310</f>
        <v>-8.2214305289123415E-4</v>
      </c>
      <c r="V309">
        <f ca="1">'ETF variations'!V309/'ETF price'!W310</f>
        <v>1.3875443691513497E-2</v>
      </c>
      <c r="W309">
        <f ca="1">'ETF variations'!W309/'ETF price'!X310</f>
        <v>1.5743829219479553E-2</v>
      </c>
      <c r="X309">
        <f ca="1">'ETF variations'!X309/'ETF price'!Y310</f>
        <v>2.1999443052074807E-2</v>
      </c>
      <c r="Y309">
        <f ca="1">'ETF variations'!Y309/'ETF price'!Z310</f>
        <v>1.6525299795261916E-2</v>
      </c>
      <c r="Z309">
        <f ca="1">'ETF variations'!Z309/'ETF price'!AA310</f>
        <v>-3.3793297662629528E-3</v>
      </c>
      <c r="AA309">
        <f ca="1">'ETF variations'!AA309/'ETF price'!AB310</f>
        <v>8.7316176470587179E-3</v>
      </c>
      <c r="AB309">
        <f ca="1">'ETF variations'!AB309/'ETF price'!AC310</f>
        <v>-4.8028817290374625E-3</v>
      </c>
      <c r="AC309">
        <f ca="1">'ETF variations'!AC309/'ETF price'!AD310</f>
        <v>-3.1963470319634674E-2</v>
      </c>
      <c r="AD309">
        <f ca="1">'ETF variations'!AD309/'ETF price'!AE310</f>
        <v>-3.2634032634032556E-2</v>
      </c>
      <c r="AE309">
        <f ca="1">'ETF variations'!AE309/'ETF price'!AF310</f>
        <v>-2.6200873362445438E-2</v>
      </c>
      <c r="AF309">
        <f ca="1">'ETF variations'!AF309/'ETF price'!AG310</f>
        <v>-3.3856722276741795E-2</v>
      </c>
    </row>
    <row r="310" spans="1:32" x14ac:dyDescent="0.2">
      <c r="A310">
        <f ca="1">'ETF variations'!A310/'ETF price'!B311</f>
        <v>-4.695159842574099E-3</v>
      </c>
      <c r="B310">
        <f ca="1">'ETF variations'!B310/'ETF price'!C311</f>
        <v>-4.3020644497956525E-3</v>
      </c>
      <c r="C310">
        <f ca="1">'ETF variations'!C310/'ETF price'!D311</f>
        <v>1.7095890410958929E-2</v>
      </c>
      <c r="D310">
        <f ca="1">'ETF variations'!D310/'ETF price'!E311</f>
        <v>-7.4927546476284889E-3</v>
      </c>
      <c r="E310">
        <f ca="1">'ETF variations'!E310/'ETF price'!F311</f>
        <v>-2.8102031993081597E-3</v>
      </c>
      <c r="F310">
        <f ca="1">'ETF variations'!F310/'ETF price'!G311</f>
        <v>-4.9019607843137662E-3</v>
      </c>
      <c r="G310">
        <f ca="1">'ETF variations'!G310/'ETF price'!H311</f>
        <v>-8.1300813008142788E-4</v>
      </c>
      <c r="H310">
        <f ca="1">'ETF variations'!H310/'ETF price'!I311</f>
        <v>-6.0240963855421378E-3</v>
      </c>
      <c r="I310">
        <f ca="1">'ETF variations'!I310/'ETF price'!J311</f>
        <v>-5.8275554043132607E-3</v>
      </c>
      <c r="J310">
        <f ca="1">'ETF variations'!J310/'ETF price'!K311</f>
        <v>2.3803856224709305E-4</v>
      </c>
      <c r="K310">
        <f ca="1">'ETF variations'!K310/'ETF price'!L311</f>
        <v>-6.6711140760507001E-3</v>
      </c>
      <c r="L310">
        <f ca="1">'ETF variations'!L310/'ETF price'!M311</f>
        <v>-3.2472804026628158E-3</v>
      </c>
      <c r="M310">
        <f ca="1">'ETF variations'!M310/'ETF price'!N311</f>
        <v>-5.4455445544554174E-3</v>
      </c>
      <c r="N310">
        <f ca="1">'ETF variations'!N310/'ETF price'!O311</f>
        <v>-1.8410041841004091E-2</v>
      </c>
      <c r="O310">
        <f ca="1">'ETF variations'!O310/'ETF price'!P311</f>
        <v>1.5461973601508536E-2</v>
      </c>
      <c r="P310">
        <f ca="1">'ETF variations'!P310/'ETF price'!Q311</f>
        <v>1.5276893698281412E-2</v>
      </c>
      <c r="Q310">
        <f ca="1">'ETF variations'!Q310/'ETF price'!R311</f>
        <v>4.781597311966976E-3</v>
      </c>
      <c r="R310">
        <f ca="1">'ETF variations'!R310/'ETF price'!S311</f>
        <v>1.1180855237347987E-2</v>
      </c>
      <c r="S310">
        <f ca="1">'ETF variations'!S310/'ETF price'!T311</f>
        <v>4.7028644719965557E-3</v>
      </c>
      <c r="T310">
        <f ca="1">'ETF variations'!T310/'ETF price'!U311</f>
        <v>6.2353858144971385E-3</v>
      </c>
      <c r="U310">
        <f ca="1">'ETF variations'!U310/'ETF price'!V311</f>
        <v>-4.9369171695008152E-3</v>
      </c>
      <c r="V310">
        <f ca="1">'ETF variations'!V310/'ETF price'!W311</f>
        <v>-3.1826861871424452E-4</v>
      </c>
      <c r="W310">
        <f ca="1">'ETF variations'!W310/'ETF price'!X311</f>
        <v>5.2541704978334761E-4</v>
      </c>
      <c r="X310">
        <f ca="1">'ETF variations'!X310/'ETF price'!Y311</f>
        <v>-5.4495912806548023E-4</v>
      </c>
      <c r="Y310">
        <f ca="1">'ETF variations'!Y310/'ETF price'!Z311</f>
        <v>8.6318515321519285E-4</v>
      </c>
      <c r="Z310">
        <f ca="1">'ETF variations'!Z310/'ETF price'!AA311</f>
        <v>-3.3907883582932311E-3</v>
      </c>
      <c r="AA310">
        <f ca="1">'ETF variations'!AA310/'ETF price'!AB311</f>
        <v>-9.1116173120726993E-4</v>
      </c>
      <c r="AB310">
        <f ca="1">'ETF variations'!AB310/'ETF price'!AC311</f>
        <v>1.1864065956163352E-2</v>
      </c>
      <c r="AC310">
        <f ca="1">'ETF variations'!AC310/'ETF price'!AD311</f>
        <v>1.7924528301886747E-2</v>
      </c>
      <c r="AD310">
        <f ca="1">'ETF variations'!AD310/'ETF price'!AE311</f>
        <v>1.6867469879517927E-2</v>
      </c>
      <c r="AE310">
        <f ca="1">'ETF variations'!AE310/'ETF price'!AF311</f>
        <v>-4.4843049327354299E-2</v>
      </c>
      <c r="AF310">
        <f ca="1">'ETF variations'!AF310/'ETF price'!AG311</f>
        <v>-3.0472320975115422E-3</v>
      </c>
    </row>
    <row r="311" spans="1:32" x14ac:dyDescent="0.2">
      <c r="A311">
        <f ca="1">'ETF variations'!A311/'ETF price'!B312</f>
        <v>2.0950398890044963E-2</v>
      </c>
      <c r="B311">
        <f ca="1">'ETF variations'!B311/'ETF price'!C312</f>
        <v>2.0434782608695603E-2</v>
      </c>
      <c r="C311">
        <f ca="1">'ETF variations'!C311/'ETF price'!D312</f>
        <v>-4.309880400819551E-4</v>
      </c>
      <c r="D311">
        <f ca="1">'ETF variations'!D311/'ETF price'!E312</f>
        <v>3.2120219357595549E-2</v>
      </c>
      <c r="E311">
        <f ca="1">'ETF variations'!E311/'ETF price'!F312</f>
        <v>8.0208107522219251E-3</v>
      </c>
      <c r="F311">
        <f ca="1">'ETF variations'!F311/'ETF price'!G312</f>
        <v>1.9293924466338212E-2</v>
      </c>
      <c r="G311">
        <f ca="1">'ETF variations'!G311/'ETF price'!H312</f>
        <v>1.5052888527257976E-2</v>
      </c>
      <c r="H311">
        <f ca="1">'ETF variations'!H311/'ETF price'!I312</f>
        <v>2.7548209366391858E-3</v>
      </c>
      <c r="I311">
        <f ca="1">'ETF variations'!I311/'ETF price'!J312</f>
        <v>4.1074790347424613E-3</v>
      </c>
      <c r="J311">
        <f ca="1">'ETF variations'!J311/'ETF price'!K312</f>
        <v>1.4040932889100396E-2</v>
      </c>
      <c r="K311">
        <f ca="1">'ETF variations'!K311/'ETF price'!L312</f>
        <v>2.5117528542645942E-2</v>
      </c>
      <c r="L311">
        <f ca="1">'ETF variations'!L311/'ETF price'!M312</f>
        <v>1.3357224303632518E-2</v>
      </c>
      <c r="M311">
        <f ca="1">'ETF variations'!M311/'ETF price'!N312</f>
        <v>3.9820806371328168E-3</v>
      </c>
      <c r="N311">
        <f ca="1">'ETF variations'!N311/'ETF price'!O312</f>
        <v>2.3231031543051922E-2</v>
      </c>
      <c r="O311">
        <f ca="1">'ETF variations'!O311/'ETF price'!P312</f>
        <v>1.3864818024263488E-2</v>
      </c>
      <c r="P311">
        <f ca="1">'ETF variations'!P311/'ETF price'!Q312</f>
        <v>1.442006269592476E-2</v>
      </c>
      <c r="Q311">
        <f ca="1">'ETF variations'!Q311/'ETF price'!R312</f>
        <v>1.3890675241157535E-2</v>
      </c>
      <c r="R311">
        <f ca="1">'ETF variations'!R311/'ETF price'!S312</f>
        <v>9.6993210475266739E-3</v>
      </c>
      <c r="S311">
        <f ca="1">'ETF variations'!S311/'ETF price'!T312</f>
        <v>-6.3829787234041951E-3</v>
      </c>
      <c r="T311">
        <f ca="1">'ETF variations'!T311/'ETF price'!U312</f>
        <v>-6.1967467079781799E-3</v>
      </c>
      <c r="U311">
        <f ca="1">'ETF variations'!U311/'ETF price'!V312</f>
        <v>2.2601984564498353E-2</v>
      </c>
      <c r="V311">
        <f ca="1">'ETF variations'!V311/'ETF price'!W312</f>
        <v>1.4645017510347051E-2</v>
      </c>
      <c r="W311">
        <f ca="1">'ETF variations'!W311/'ETF price'!X312</f>
        <v>1.4703951687015946E-2</v>
      </c>
      <c r="X311">
        <f ca="1">'ETF variations'!X311/'ETF price'!Y312</f>
        <v>1.4721919302071951E-2</v>
      </c>
      <c r="Y311">
        <f ca="1">'ETF variations'!Y311/'ETF price'!Z312</f>
        <v>1.4805232140290373E-2</v>
      </c>
      <c r="Z311">
        <f ca="1">'ETF variations'!Z311/'ETF price'!AA312</f>
        <v>2.3816274454210272E-2</v>
      </c>
      <c r="AA311">
        <f ca="1">'ETF variations'!AA311/'ETF price'!AB312</f>
        <v>1.0715914272685792E-2</v>
      </c>
      <c r="AB311">
        <f ca="1">'ETF variations'!AB311/'ETF price'!AC312</f>
        <v>-5.9618441971385409E-4</v>
      </c>
      <c r="AC311">
        <f ca="1">'ETF variations'!AC311/'ETF price'!AD312</f>
        <v>3.6144578313253066E-2</v>
      </c>
      <c r="AD311">
        <f ca="1">'ETF variations'!AD311/'ETF price'!AE312</f>
        <v>3.613744075829381E-2</v>
      </c>
      <c r="AE311">
        <f ca="1">'ETF variations'!AE311/'ETF price'!AF312</f>
        <v>9.3896713615023563E-3</v>
      </c>
      <c r="AF311">
        <f ca="1">'ETF variations'!AF311/'ETF price'!AG312</f>
        <v>7.6413652572592972E-2</v>
      </c>
    </row>
    <row r="312" spans="1:32" x14ac:dyDescent="0.2">
      <c r="A312">
        <f ca="1">'ETF variations'!A312/'ETF price'!B313</f>
        <v>1.1619215872800218E-2</v>
      </c>
      <c r="B312">
        <f ca="1">'ETF variations'!B312/'ETF price'!C313</f>
        <v>1.0092671495526258E-2</v>
      </c>
      <c r="C312">
        <f ca="1">'ETF variations'!C312/'ETF price'!D313</f>
        <v>-4.6351191117817462E-3</v>
      </c>
      <c r="D312">
        <f ca="1">'ETF variations'!D312/'ETF price'!E313</f>
        <v>1.6491857576594087E-2</v>
      </c>
      <c r="E312">
        <f ca="1">'ETF variations'!E312/'ETF price'!F313</f>
        <v>5.1612903225806877E-3</v>
      </c>
      <c r="F312">
        <f ca="1">'ETF variations'!F312/'ETF price'!G313</f>
        <v>8.0547724526783271E-3</v>
      </c>
      <c r="G312">
        <f ca="1">'ETF variations'!G312/'ETF price'!H313</f>
        <v>4.4088176352705183E-3</v>
      </c>
      <c r="H312">
        <f ca="1">'ETF variations'!H312/'ETF price'!I313</f>
        <v>5.4160125588696836E-3</v>
      </c>
      <c r="I312">
        <f ca="1">'ETF variations'!I312/'ETF price'!J313</f>
        <v>4.3463439577295969E-3</v>
      </c>
      <c r="J312">
        <f ca="1">'ETF variations'!J312/'ETF price'!K313</f>
        <v>-4.6937338652897941E-3</v>
      </c>
      <c r="K312">
        <f ca="1">'ETF variations'!K312/'ETF price'!L313</f>
        <v>-2.1619496855345803E-2</v>
      </c>
      <c r="L312">
        <f ca="1">'ETF variations'!L312/'ETF price'!M313</f>
        <v>-6.2690885709693065E-3</v>
      </c>
      <c r="M312">
        <f ca="1">'ETF variations'!M312/'ETF price'!N313</f>
        <v>4.2968104445547037E-3</v>
      </c>
      <c r="N312">
        <f ca="1">'ETF variations'!N312/'ETF price'!O313</f>
        <v>-6.873568006665243E-3</v>
      </c>
      <c r="O312">
        <f ca="1">'ETF variations'!O312/'ETF price'!P313</f>
        <v>4.3956043956043887E-3</v>
      </c>
      <c r="P312">
        <f ca="1">'ETF variations'!P312/'ETF price'!Q313</f>
        <v>2.6487727352992861E-3</v>
      </c>
      <c r="Q312">
        <f ca="1">'ETF variations'!Q312/'ETF price'!R313</f>
        <v>6.8501839401243977E-3</v>
      </c>
      <c r="R312">
        <f ca="1">'ETF variations'!R312/'ETF price'!S313</f>
        <v>7.1085494716619513E-3</v>
      </c>
      <c r="S312">
        <f ca="1">'ETF variations'!S312/'ETF price'!T313</f>
        <v>7.2805139186294708E-3</v>
      </c>
      <c r="T312">
        <f ca="1">'ETF variations'!T312/'ETF price'!U313</f>
        <v>1.8238503507404323E-2</v>
      </c>
      <c r="U312">
        <f ca="1">'ETF variations'!U312/'ETF price'!V313</f>
        <v>2.0889487870619908E-2</v>
      </c>
      <c r="V312">
        <f ca="1">'ETF variations'!V312/'ETF price'!W313</f>
        <v>-2.196422968308763E-3</v>
      </c>
      <c r="W312">
        <f ca="1">'ETF variations'!W312/'ETF price'!X313</f>
        <v>-3.6227196273774243E-3</v>
      </c>
      <c r="X312">
        <f ca="1">'ETF variations'!X312/'ETF price'!Y313</f>
        <v>-1.5045674368619083E-2</v>
      </c>
      <c r="Y312">
        <f ca="1">'ETF variations'!Y312/'ETF price'!Z313</f>
        <v>-2.832861189801539E-3</v>
      </c>
      <c r="Z312">
        <f ca="1">'ETF variations'!Z312/'ETF price'!AA313</f>
        <v>1.3015785101080002E-2</v>
      </c>
      <c r="AA312">
        <f ca="1">'ETF variations'!AA312/'ETF price'!AB313</f>
        <v>-2.0302278366794463E-2</v>
      </c>
      <c r="AB312">
        <f ca="1">'ETF variations'!AB312/'ETF price'!AC313</f>
        <v>-1.2925034798170582E-2</v>
      </c>
      <c r="AC312">
        <f ca="1">'ETF variations'!AC312/'ETF price'!AD313</f>
        <v>-1.5205724508050083E-2</v>
      </c>
      <c r="AD312">
        <f ca="1">'ETF variations'!AD312/'ETF price'!AE313</f>
        <v>-1.4865637507146829E-2</v>
      </c>
      <c r="AE312">
        <f ca="1">'ETF variations'!AE312/'ETF price'!AF313</f>
        <v>6.5116279069767496E-2</v>
      </c>
      <c r="AF312">
        <f ca="1">'ETF variations'!AF312/'ETF price'!AG313</f>
        <v>6.1523899668718676E-3</v>
      </c>
    </row>
    <row r="313" spans="1:32" x14ac:dyDescent="0.2">
      <c r="A313">
        <f ca="1">'ETF variations'!A313/'ETF price'!B314</f>
        <v>1.4306824288017165E-2</v>
      </c>
      <c r="B313">
        <f ca="1">'ETF variations'!B313/'ETF price'!C314</f>
        <v>1.6240014763649852E-2</v>
      </c>
      <c r="C313">
        <f ca="1">'ETF variations'!C313/'ETF price'!D314</f>
        <v>-1.2453974442278597E-2</v>
      </c>
      <c r="D313">
        <f ca="1">'ETF variations'!D313/'ETF price'!E314</f>
        <v>6.177448917249315E-3</v>
      </c>
      <c r="E313">
        <f ca="1">'ETF variations'!E313/'ETF price'!F314</f>
        <v>2.3106546854942196E-2</v>
      </c>
      <c r="F313">
        <f ca="1">'ETF variations'!F313/'ETF price'!G314</f>
        <v>1.8777467039552492E-2</v>
      </c>
      <c r="G313">
        <f ca="1">'ETF variations'!G313/'ETF price'!H314</f>
        <v>1.755786113328018E-2</v>
      </c>
      <c r="H313">
        <f ca="1">'ETF variations'!H313/'ETF price'!I314</f>
        <v>1.069560465297841E-2</v>
      </c>
      <c r="I313">
        <f ca="1">'ETF variations'!I313/'ETF price'!J314</f>
        <v>1.1709800593975476E-2</v>
      </c>
      <c r="J313">
        <f ca="1">'ETF variations'!J313/'ETF price'!K314</f>
        <v>1.5169378291283444E-2</v>
      </c>
      <c r="K313">
        <f ca="1">'ETF variations'!K313/'ETF price'!L314</f>
        <v>2.0624079282174797E-2</v>
      </c>
      <c r="L313">
        <f ca="1">'ETF variations'!L313/'ETF price'!M314</f>
        <v>1.536719508249762E-2</v>
      </c>
      <c r="M313">
        <f ca="1">'ETF variations'!M313/'ETF price'!N314</f>
        <v>1.1518841533651403E-2</v>
      </c>
      <c r="N313">
        <f ca="1">'ETF variations'!N313/'ETF price'!O314</f>
        <v>3.35570469798658E-2</v>
      </c>
      <c r="O313">
        <f ca="1">'ETF variations'!O313/'ETF price'!P314</f>
        <v>6.9292487235593624E-3</v>
      </c>
      <c r="P313">
        <f ca="1">'ETF variations'!P313/'ETF price'!Q314</f>
        <v>5.8999647763297086E-3</v>
      </c>
      <c r="Q313">
        <f ca="1">'ETF variations'!Q313/'ETF price'!R314</f>
        <v>1.6252992314476401E-2</v>
      </c>
      <c r="R313">
        <f ca="1">'ETF variations'!R313/'ETF price'!S314</f>
        <v>1.4116749332315812E-2</v>
      </c>
      <c r="S313">
        <f ca="1">'ETF variations'!S313/'ETF price'!T314</f>
        <v>9.3537414965985909E-3</v>
      </c>
      <c r="T313">
        <f ca="1">'ETF variations'!T313/'ETF price'!U314</f>
        <v>1.7146356399265227E-2</v>
      </c>
      <c r="U313">
        <f ca="1">'ETF variations'!U313/'ETF price'!V314</f>
        <v>2.4818481848184758E-2</v>
      </c>
      <c r="V313">
        <f ca="1">'ETF variations'!V313/'ETF price'!W314</f>
        <v>1.1006289308176034E-2</v>
      </c>
      <c r="W313">
        <f ca="1">'ETF variations'!W313/'ETF price'!X314</f>
        <v>1.142708739124783E-2</v>
      </c>
      <c r="X313">
        <f ca="1">'ETF variations'!X313/'ETF price'!Y314</f>
        <v>1.1183851609383627E-2</v>
      </c>
      <c r="Y313">
        <f ca="1">'ETF variations'!Y313/'ETF price'!Z314</f>
        <v>1.0511363636363564E-2</v>
      </c>
      <c r="Z313">
        <f ca="1">'ETF variations'!Z313/'ETF price'!AA314</f>
        <v>2.1869874248223189E-2</v>
      </c>
      <c r="AA313">
        <f ca="1">'ETF variations'!AA313/'ETF price'!AB314</f>
        <v>9.9009900990098942E-3</v>
      </c>
      <c r="AB313">
        <f ca="1">'ETF variations'!AB313/'ETF price'!AC314</f>
        <v>-4.4319097502014274E-3</v>
      </c>
      <c r="AC313">
        <f ca="1">'ETF variations'!AC313/'ETF price'!AD314</f>
        <v>1.6348773841961827E-2</v>
      </c>
      <c r="AD313">
        <f ca="1">'ETF variations'!AD313/'ETF price'!AE314</f>
        <v>1.6831108531630827E-2</v>
      </c>
      <c r="AE313">
        <f ca="1">'ETF variations'!AE313/'ETF price'!AF314</f>
        <v>1.746724890829696E-2</v>
      </c>
      <c r="AF313">
        <f ca="1">'ETF variations'!AF313/'ETF price'!AG314</f>
        <v>4.6566321730950065E-2</v>
      </c>
    </row>
    <row r="314" spans="1:32" x14ac:dyDescent="0.2">
      <c r="A314">
        <f ca="1">'ETF variations'!A314/'ETF price'!B315</f>
        <v>-1.5892987219388165E-3</v>
      </c>
      <c r="B314">
        <f ca="1">'ETF variations'!B314/'ETF price'!C315</f>
        <v>-1.3230601603238844E-3</v>
      </c>
      <c r="C314">
        <f ca="1">'ETF variations'!C314/'ETF price'!D315</f>
        <v>8.9922140585591333E-3</v>
      </c>
      <c r="D314">
        <f ca="1">'ETF variations'!D314/'ETF price'!E315</f>
        <v>-8.6358116313587988E-3</v>
      </c>
      <c r="E314">
        <f ca="1">'ETF variations'!E314/'ETF price'!F315</f>
        <v>-2.7185278126307518E-3</v>
      </c>
      <c r="F314">
        <f ca="1">'ETF variations'!F314/'ETF price'!G315</f>
        <v>-1.5686274509803587E-3</v>
      </c>
      <c r="G314">
        <f ca="1">'ETF variations'!G314/'ETF price'!H315</f>
        <v>-5.882352941176415E-3</v>
      </c>
      <c r="H314">
        <f ca="1">'ETF variations'!H314/'ETF price'!I315</f>
        <v>1.1200370770894396E-2</v>
      </c>
      <c r="I314">
        <f ca="1">'ETF variations'!I314/'ETF price'!J315</f>
        <v>9.7290950264194969E-3</v>
      </c>
      <c r="J314">
        <f ca="1">'ETF variations'!J314/'ETF price'!K315</f>
        <v>4.7228244038403037E-3</v>
      </c>
      <c r="K314">
        <f ca="1">'ETF variations'!K314/'ETF price'!L315</f>
        <v>1.1153391943314639E-2</v>
      </c>
      <c r="L314">
        <f ca="1">'ETF variations'!L314/'ETF price'!M315</f>
        <v>2.0710530508203833E-3</v>
      </c>
      <c r="M314">
        <f ca="1">'ETF variations'!M314/'ETF price'!N315</f>
        <v>9.1101350252155901E-3</v>
      </c>
      <c r="N314">
        <f ca="1">'ETF variations'!N314/'ETF price'!O315</f>
        <v>-2.8409090909091023E-3</v>
      </c>
      <c r="O314">
        <f ca="1">'ETF variations'!O314/'ETF price'!P315</f>
        <v>4.5273451647953641E-2</v>
      </c>
      <c r="P314">
        <f ca="1">'ETF variations'!P314/'ETF price'!Q315</f>
        <v>4.7710758995010094E-2</v>
      </c>
      <c r="Q314">
        <f ca="1">'ETF variations'!Q314/'ETF price'!R315</f>
        <v>6.3228365980660195E-3</v>
      </c>
      <c r="R314">
        <f ca="1">'ETF variations'!R314/'ETF price'!S315</f>
        <v>6.0195635816403369E-3</v>
      </c>
      <c r="S314">
        <f ca="1">'ETF variations'!S314/'ETF price'!T315</f>
        <v>1.6427969671440633E-2</v>
      </c>
      <c r="T314">
        <f ca="1">'ETF variations'!T314/'ETF price'!U315</f>
        <v>5.7645996387718217E-2</v>
      </c>
      <c r="U314">
        <f ca="1">'ETF variations'!U314/'ETF price'!V315</f>
        <v>-1.6359654772639395E-2</v>
      </c>
      <c r="V314">
        <f ca="1">'ETF variations'!V314/'ETF price'!W315</f>
        <v>1.8662519440125125E-3</v>
      </c>
      <c r="W314">
        <f ca="1">'ETF variations'!W314/'ETF price'!X315</f>
        <v>-1.7974065990499495E-3</v>
      </c>
      <c r="X314">
        <f ca="1">'ETF variations'!X314/'ETF price'!Y315</f>
        <v>-8.3625573239817178E-3</v>
      </c>
      <c r="Y314">
        <f ca="1">'ETF variations'!Y314/'ETF price'!Z315</f>
        <v>7.0283947146467754E-4</v>
      </c>
      <c r="Z314">
        <f ca="1">'ETF variations'!Z314/'ETF price'!AA315</f>
        <v>-9.3632958801498495E-3</v>
      </c>
      <c r="AA314">
        <f ca="1">'ETF variations'!AA314/'ETF price'!AB315</f>
        <v>-1.0487916096671246E-2</v>
      </c>
      <c r="AB314">
        <f ca="1">'ETF variations'!AB314/'ETF price'!AC315</f>
        <v>6.0704168352895859E-4</v>
      </c>
      <c r="AC314">
        <f ca="1">'ETF variations'!AC314/'ETF price'!AD315</f>
        <v>-1.6085790884718475E-2</v>
      </c>
      <c r="AD314">
        <f ca="1">'ETF variations'!AD314/'ETF price'!AE315</f>
        <v>-4.3378995433789841E-2</v>
      </c>
      <c r="AE314">
        <f ca="1">'ETF variations'!AE314/'ETF price'!AF315</f>
        <v>1.7167381974248941E-2</v>
      </c>
      <c r="AF314">
        <f ca="1">'ETF variations'!AF314/'ETF price'!AG315</f>
        <v>-1.9325842696629202E-2</v>
      </c>
    </row>
    <row r="315" spans="1:32" x14ac:dyDescent="0.2">
      <c r="A315">
        <f ca="1">'ETF variations'!A315/'ETF price'!B316</f>
        <v>-5.5050739537044003E-3</v>
      </c>
      <c r="B315">
        <f ca="1">'ETF variations'!B315/'ETF price'!C316</f>
        <v>-6.3383208645053975E-3</v>
      </c>
      <c r="C315">
        <f ca="1">'ETF variations'!C315/'ETF price'!D316</f>
        <v>-1.521573741984573E-3</v>
      </c>
      <c r="D315">
        <f ca="1">'ETF variations'!D315/'ETF price'!E316</f>
        <v>-1.8647066829998702E-2</v>
      </c>
      <c r="E315">
        <f ca="1">'ETF variations'!E315/'ETF price'!F316</f>
        <v>-1.4678129586915556E-3</v>
      </c>
      <c r="F315">
        <f ca="1">'ETF variations'!F315/'ETF price'!G316</f>
        <v>-1.5318146111547547E-2</v>
      </c>
      <c r="G315">
        <f ca="1">'ETF variations'!G315/'ETF price'!H316</f>
        <v>-9.4674556213018533E-3</v>
      </c>
      <c r="H315">
        <f ca="1">'ETF variations'!H315/'ETF price'!I316</f>
        <v>1.5277671682843353E-4</v>
      </c>
      <c r="I315">
        <f ca="1">'ETF variations'!I315/'ETF price'!J316</f>
        <v>-5.8144364149852472E-4</v>
      </c>
      <c r="J315">
        <f ca="1">'ETF variations'!J315/'ETF price'!K316</f>
        <v>-7.0124065654619443E-3</v>
      </c>
      <c r="K315">
        <f ca="1">'ETF variations'!K315/'ETF price'!L316</f>
        <v>-1.9335582662860226E-2</v>
      </c>
      <c r="L315">
        <f ca="1">'ETF variations'!L315/'ETF price'!M316</f>
        <v>-4.9284578696342637E-3</v>
      </c>
      <c r="M315">
        <f ca="1">'ETF variations'!M315/'ETF price'!N316</f>
        <v>3.2242463324191553E-4</v>
      </c>
      <c r="N315">
        <f ca="1">'ETF variations'!N315/'ETF price'!O316</f>
        <v>-1.0582010582010646E-2</v>
      </c>
      <c r="O315">
        <f ca="1">'ETF variations'!O315/'ETF price'!P316</f>
        <v>-1.8133518133518055E-2</v>
      </c>
      <c r="P315">
        <f ca="1">'ETF variations'!P315/'ETF price'!Q316</f>
        <v>-1.9552139037433181E-2</v>
      </c>
      <c r="Q315">
        <f ca="1">'ETF variations'!Q315/'ETF price'!R316</f>
        <v>-1.4414192435628947E-2</v>
      </c>
      <c r="R315">
        <f ca="1">'ETF variations'!R315/'ETF price'!S316</f>
        <v>-2.5243081525803936E-2</v>
      </c>
      <c r="S315">
        <f ca="1">'ETF variations'!S315/'ETF price'!T316</f>
        <v>-1.2432656444259257E-3</v>
      </c>
      <c r="T315">
        <f ca="1">'ETF variations'!T315/'ETF price'!U316</f>
        <v>0</v>
      </c>
      <c r="U315">
        <f ca="1">'ETF variations'!U315/'ETF price'!V316</f>
        <v>-6.9408067050812094E-3</v>
      </c>
      <c r="V315">
        <f ca="1">'ETF variations'!V315/'ETF price'!W316</f>
        <v>-9.3138776777398537E-3</v>
      </c>
      <c r="W315">
        <f ca="1">'ETF variations'!W315/'ETF price'!X316</f>
        <v>-1.2218649517684924E-2</v>
      </c>
      <c r="X315">
        <f ca="1">'ETF variations'!X315/'ETF price'!Y316</f>
        <v>-1.9858541893362266E-2</v>
      </c>
      <c r="Y315">
        <f ca="1">'ETF variations'!Y315/'ETF price'!Z316</f>
        <v>-1.236128669756982E-2</v>
      </c>
      <c r="Z315">
        <f ca="1">'ETF variations'!Z315/'ETF price'!AA316</f>
        <v>2.7005130974879854E-4</v>
      </c>
      <c r="AA315">
        <f ca="1">'ETF variations'!AA315/'ETF price'!AB316</f>
        <v>-2.2119815668202786E-2</v>
      </c>
      <c r="AB315">
        <f ca="1">'ETF variations'!AB315/'ETF price'!AC316</f>
        <v>5.0556117290192111E-3</v>
      </c>
      <c r="AC315">
        <f ca="1">'ETF variations'!AC315/'ETF price'!AD316</f>
        <v>3.6330608537693846E-3</v>
      </c>
      <c r="AD315">
        <f ca="1">'ETF variations'!AD315/'ETF price'!AE316</f>
        <v>4.1766109785200912E-3</v>
      </c>
      <c r="AE315">
        <f ca="1">'ETF variations'!AE315/'ETF price'!AF316</f>
        <v>-8.4388185654008518E-3</v>
      </c>
      <c r="AF315">
        <f ca="1">'ETF variations'!AF315/'ETF price'!AG316</f>
        <v>-8.7076076993584453E-3</v>
      </c>
    </row>
    <row r="316" spans="1:32" x14ac:dyDescent="0.2">
      <c r="A316">
        <f ca="1">'ETF variations'!A316/'ETF price'!B317</f>
        <v>-1.1404561824729945E-2</v>
      </c>
      <c r="B316">
        <f ca="1">'ETF variations'!B316/'ETF price'!C317</f>
        <v>-1.2025515005751245E-2</v>
      </c>
      <c r="C316">
        <f ca="1">'ETF variations'!C316/'ETF price'!D317</f>
        <v>-8.9256558180037804E-3</v>
      </c>
      <c r="D316">
        <f ca="1">'ETF variations'!D316/'ETF price'!E317</f>
        <v>-1.7337031900138699E-2</v>
      </c>
      <c r="E316">
        <f ca="1">'ETF variations'!E316/'ETF price'!F317</f>
        <v>-1.5119697606047856E-2</v>
      </c>
      <c r="F316">
        <f ca="1">'ETF variations'!F316/'ETF price'!G317</f>
        <v>-1.9146390107698461E-2</v>
      </c>
      <c r="G316">
        <f ca="1">'ETF variations'!G316/'ETF price'!H317</f>
        <v>-1.1549183592194312E-2</v>
      </c>
      <c r="H316">
        <f ca="1">'ETF variations'!H316/'ETF price'!I317</f>
        <v>1.7261131902543272E-2</v>
      </c>
      <c r="I316">
        <f ca="1">'ETF variations'!I316/'ETF price'!J317</f>
        <v>1.5458776595744796E-2</v>
      </c>
      <c r="J316">
        <f ca="1">'ETF variations'!J316/'ETF price'!K317</f>
        <v>5.0442340524598575E-3</v>
      </c>
      <c r="K316">
        <f ca="1">'ETF variations'!K316/'ETF price'!L317</f>
        <v>-2.5142252216487724E-3</v>
      </c>
      <c r="L316">
        <f ca="1">'ETF variations'!L316/'ETF price'!M317</f>
        <v>9.5861958779356812E-3</v>
      </c>
      <c r="M316">
        <f ca="1">'ETF variations'!M316/'ETF price'!N317</f>
        <v>1.4987912973408537E-2</v>
      </c>
      <c r="N316">
        <f ca="1">'ETF variations'!N316/'ETF price'!O317</f>
        <v>-7.8157136980665457E-3</v>
      </c>
      <c r="O316">
        <f ca="1">'ETF variations'!O316/'ETF price'!P317</f>
        <v>1.5057052111516304E-2</v>
      </c>
      <c r="P316">
        <f ca="1">'ETF variations'!P316/'ETF price'!Q317</f>
        <v>1.3635588886995008E-2</v>
      </c>
      <c r="Q316">
        <f ca="1">'ETF variations'!Q316/'ETF price'!R317</f>
        <v>-2.2500000000000853E-3</v>
      </c>
      <c r="R316">
        <f ca="1">'ETF variations'!R316/'ETF price'!S317</f>
        <v>-1.1509687320161163E-2</v>
      </c>
      <c r="S316">
        <f ca="1">'ETF variations'!S316/'ETF price'!T317</f>
        <v>3.7344398340248899E-3</v>
      </c>
      <c r="T316">
        <f ca="1">'ETF variations'!T316/'ETF price'!U317</f>
        <v>-4.2692471894124288E-4</v>
      </c>
      <c r="U316">
        <f ca="1">'ETF variations'!U316/'ETF price'!V317</f>
        <v>-2.8221020704206786E-2</v>
      </c>
      <c r="V316">
        <f ca="1">'ETF variations'!V316/'ETF price'!W317</f>
        <v>-1.2535255405828627E-3</v>
      </c>
      <c r="W316">
        <f ca="1">'ETF variations'!W316/'ETF price'!X317</f>
        <v>-1.1718750000000444E-3</v>
      </c>
      <c r="X316">
        <f ca="1">'ETF variations'!X316/'ETF price'!Y317</f>
        <v>-6.3835692478491253E-3</v>
      </c>
      <c r="Y316">
        <f ca="1">'ETF variations'!Y316/'ETF price'!Z317</f>
        <v>-5.6890911676868515E-4</v>
      </c>
      <c r="Z316">
        <f ca="1">'ETF variations'!Z316/'ETF price'!AA317</f>
        <v>-5.1295896328293128E-3</v>
      </c>
      <c r="AA316">
        <f ca="1">'ETF variations'!AA316/'ETF price'!AB317</f>
        <v>-1.0131950989632417E-2</v>
      </c>
      <c r="AB316">
        <f ca="1">'ETF variations'!AB316/'ETF price'!AC317</f>
        <v>1.1066398390341995E-2</v>
      </c>
      <c r="AC316">
        <f ca="1">'ETF variations'!AC316/'ETF price'!AD317</f>
        <v>0</v>
      </c>
      <c r="AD316">
        <f ca="1">'ETF variations'!AD316/'ETF price'!AE317</f>
        <v>5.9417706476539301E-4</v>
      </c>
      <c r="AE316">
        <f ca="1">'ETF variations'!AE316/'ETF price'!AF317</f>
        <v>1.7021276595744695E-2</v>
      </c>
      <c r="AF316">
        <f ca="1">'ETF variations'!AF316/'ETF price'!AG317</f>
        <v>-3.5598705501618103E-2</v>
      </c>
    </row>
    <row r="317" spans="1:32" x14ac:dyDescent="0.2">
      <c r="A317">
        <f ca="1">'ETF variations'!A317/'ETF price'!B318</f>
        <v>5.6668690548472202E-3</v>
      </c>
      <c r="B317">
        <f ca="1">'ETF variations'!B317/'ETF price'!C318</f>
        <v>5.1862828111769142E-3</v>
      </c>
      <c r="C317">
        <f ca="1">'ETF variations'!C317/'ETF price'!D318</f>
        <v>-6.0406370126303921E-3</v>
      </c>
      <c r="D317">
        <f ca="1">'ETF variations'!D317/'ETF price'!E318</f>
        <v>-5.1517290049399424E-3</v>
      </c>
      <c r="E317">
        <f ca="1">'ETF variations'!E317/'ETF price'!F318</f>
        <v>5.756929637526719E-3</v>
      </c>
      <c r="F317">
        <f ca="1">'ETF variations'!F317/'ETF price'!G318</f>
        <v>-3.6600244001626621E-3</v>
      </c>
      <c r="G317">
        <f ca="1">'ETF variations'!G317/'ETF price'!H318</f>
        <v>5.2377115229653107E-3</v>
      </c>
      <c r="H317">
        <f ca="1">'ETF variations'!H317/'ETF price'!I318</f>
        <v>2.4776634882499623E-3</v>
      </c>
      <c r="I317">
        <f ca="1">'ETF variations'!I317/'ETF price'!J318</f>
        <v>2.9873956457684963E-3</v>
      </c>
      <c r="J317">
        <f ca="1">'ETF variations'!J317/'ETF price'!K318</f>
        <v>1.1890973669987032E-2</v>
      </c>
      <c r="K317">
        <f ca="1">'ETF variations'!K317/'ETF price'!L318</f>
        <v>1.9766516317325674E-2</v>
      </c>
      <c r="L317">
        <f ca="1">'ETF variations'!L317/'ETF price'!M318</f>
        <v>1.4401012818483884E-2</v>
      </c>
      <c r="M317">
        <f ca="1">'ETF variations'!M317/'ETF price'!N318</f>
        <v>3.6519530009527469E-3</v>
      </c>
      <c r="N317">
        <f ca="1">'ETF variations'!N317/'ETF price'!O318</f>
        <v>1.4303482587064629E-2</v>
      </c>
      <c r="O317">
        <f ca="1">'ETF variations'!O317/'ETF price'!P318</f>
        <v>-1.5181365163981947E-2</v>
      </c>
      <c r="P317">
        <f ca="1">'ETF variations'!P317/'ETF price'!Q318</f>
        <v>-1.4797376828653026E-2</v>
      </c>
      <c r="Q317">
        <f ca="1">'ETF variations'!Q317/'ETF price'!R318</f>
        <v>-2.3803558005512119E-3</v>
      </c>
      <c r="R317">
        <f ca="1">'ETF variations'!R317/'ETF price'!S318</f>
        <v>-3.299049097613074E-3</v>
      </c>
      <c r="S317">
        <f ca="1">'ETF variations'!S317/'ETF price'!T318</f>
        <v>-2.8937577511368448E-3</v>
      </c>
      <c r="T317">
        <f ca="1">'ETF variations'!T317/'ETF price'!U318</f>
        <v>2.8473804100242361E-4</v>
      </c>
      <c r="U317">
        <f ca="1">'ETF variations'!U317/'ETF price'!V318</f>
        <v>-1.3570362328661835E-4</v>
      </c>
      <c r="V317">
        <f ca="1">'ETF variations'!V317/'ETF price'!W318</f>
        <v>3.7652965171006414E-3</v>
      </c>
      <c r="W317">
        <f ca="1">'ETF variations'!W317/'ETF price'!X318</f>
        <v>4.4322774084213715E-3</v>
      </c>
      <c r="X317">
        <f ca="1">'ETF variations'!X317/'ETF price'!Y318</f>
        <v>1.1452513966480551E-2</v>
      </c>
      <c r="Y317">
        <f ca="1">'ETF variations'!Y317/'ETF price'!Z318</f>
        <v>5.2654048669418608E-3</v>
      </c>
      <c r="Z317">
        <f ca="1">'ETF variations'!Z317/'ETF price'!AA318</f>
        <v>6.7842605156037987E-3</v>
      </c>
      <c r="AA317">
        <f ca="1">'ETF variations'!AA317/'ETF price'!AB318</f>
        <v>1.4758390859319319E-2</v>
      </c>
      <c r="AB317">
        <f ca="1">'ETF variations'!AB317/'ETF price'!AC318</f>
        <v>-3.5820895522388004E-3</v>
      </c>
      <c r="AC317">
        <f ca="1">'ETF variations'!AC317/'ETF price'!AD318</f>
        <v>-8.1447963800904844E-3</v>
      </c>
      <c r="AD317">
        <f ca="1">'ETF variations'!AD317/'ETF price'!AE318</f>
        <v>-8.9073634204274686E-3</v>
      </c>
      <c r="AE317">
        <f ca="1">'ETF variations'!AE317/'ETF price'!AF318</f>
        <v>-4.1841004184100451E-2</v>
      </c>
      <c r="AF317">
        <f ca="1">'ETF variations'!AF317/'ETF price'!AG318</f>
        <v>1.3422818791946364E-2</v>
      </c>
    </row>
    <row r="318" spans="1:32" x14ac:dyDescent="0.2">
      <c r="A318">
        <f ca="1">'ETF variations'!A318/'ETF price'!B319</f>
        <v>-5.3666062923448104E-4</v>
      </c>
      <c r="B318">
        <f ca="1">'ETF variations'!B318/'ETF price'!C319</f>
        <v>-5.7913025165834062E-4</v>
      </c>
      <c r="C318">
        <f ca="1">'ETF variations'!C318/'ETF price'!D319</f>
        <v>1.9889502762430906E-2</v>
      </c>
      <c r="D318">
        <f ca="1">'ETF variations'!D318/'ETF price'!E319</f>
        <v>1.7663332623962611E-2</v>
      </c>
      <c r="E318">
        <f ca="1">'ETF variations'!E318/'ETF price'!F319</f>
        <v>2.1199915200334981E-4</v>
      </c>
      <c r="F318">
        <f ca="1">'ETF variations'!F318/'ETF price'!G319</f>
        <v>7.7551020408163788E-3</v>
      </c>
      <c r="G318">
        <f ca="1">'ETF variations'!G318/'ETF price'!H319</f>
        <v>8.0160320641282281E-3</v>
      </c>
      <c r="H318">
        <f ca="1">'ETF variations'!H318/'ETF price'!I319</f>
        <v>-6.7405632115041499E-4</v>
      </c>
      <c r="I318">
        <f ca="1">'ETF variations'!I318/'ETF price'!J319</f>
        <v>-2.8560936798724217E-4</v>
      </c>
      <c r="J318">
        <f ca="1">'ETF variations'!J318/'ETF price'!K319</f>
        <v>-5.2651659671880784E-3</v>
      </c>
      <c r="K318">
        <f ca="1">'ETF variations'!K318/'ETF price'!L319</f>
        <v>-9.366462859372952E-3</v>
      </c>
      <c r="L318">
        <f ca="1">'ETF variations'!L318/'ETF price'!M319</f>
        <v>-9.8283931357253593E-3</v>
      </c>
      <c r="M318">
        <f ca="1">'ETF variations'!M318/'ETF price'!N319</f>
        <v>-1.5820281601009351E-4</v>
      </c>
      <c r="N318">
        <f ca="1">'ETF variations'!N318/'ETF price'!O319</f>
        <v>-7.9705702023298713E-3</v>
      </c>
      <c r="O318">
        <f ca="1">'ETF variations'!O318/'ETF price'!P319</f>
        <v>8.0018827959519017E-3</v>
      </c>
      <c r="P318">
        <f ca="1">'ETF variations'!P318/'ETF price'!Q319</f>
        <v>7.5951527564429621E-3</v>
      </c>
      <c r="Q318">
        <f ca="1">'ETF variations'!Q318/'ETF price'!R319</f>
        <v>4.7720708275776676E-3</v>
      </c>
      <c r="R318">
        <f ca="1">'ETF variations'!R318/'ETF price'!S319</f>
        <v>7.9828660436137792E-3</v>
      </c>
      <c r="S318">
        <f ca="1">'ETF variations'!S318/'ETF price'!T319</f>
        <v>0</v>
      </c>
      <c r="T318">
        <f ca="1">'ETF variations'!T318/'ETF price'!U319</f>
        <v>-7.1164247082265864E-3</v>
      </c>
      <c r="U318">
        <f ca="1">'ETF variations'!U318/'ETF price'!V319</f>
        <v>2.0494028230184456E-2</v>
      </c>
      <c r="V318">
        <f ca="1">'ETF variations'!V318/'ETF price'!W319</f>
        <v>2.188183807439945E-3</v>
      </c>
      <c r="W318">
        <f ca="1">'ETF variations'!W318/'ETF price'!X319</f>
        <v>4.0233614536015873E-3</v>
      </c>
      <c r="X318">
        <f ca="1">'ETF variations'!X318/'ETF price'!Y319</f>
        <v>6.9041701187517257E-3</v>
      </c>
      <c r="Y318">
        <f ca="1">'ETF variations'!Y318/'ETF price'!Z319</f>
        <v>3.6806342015855763E-3</v>
      </c>
      <c r="Z318">
        <f ca="1">'ETF variations'!Z318/'ETF price'!AA319</f>
        <v>5.1212938005390221E-3</v>
      </c>
      <c r="AA318">
        <f ca="1">'ETF variations'!AA318/'ETF price'!AB319</f>
        <v>5.1606849636406018E-3</v>
      </c>
      <c r="AB318">
        <f ca="1">'ETF variations'!AB318/'ETF price'!AC319</f>
        <v>1.0784901138406215E-2</v>
      </c>
      <c r="AC318">
        <f ca="1">'ETF variations'!AC318/'ETF price'!AD319</f>
        <v>4.4708029197080147E-2</v>
      </c>
      <c r="AD318">
        <f ca="1">'ETF variations'!AD318/'ETF price'!AE319</f>
        <v>4.6734571599760188E-2</v>
      </c>
      <c r="AE318">
        <f ca="1">'ETF variations'!AE318/'ETF price'!AF319</f>
        <v>0.13100436681222699</v>
      </c>
      <c r="AF318">
        <f ca="1">'ETF variations'!AF318/'ETF price'!AG319</f>
        <v>7.3793755912961154E-2</v>
      </c>
    </row>
    <row r="319" spans="1:32" x14ac:dyDescent="0.2">
      <c r="A319">
        <f ca="1">'ETF variations'!A319/'ETF price'!B320</f>
        <v>-9.3966037989127171E-3</v>
      </c>
      <c r="B319">
        <f ca="1">'ETF variations'!B319/'ETF price'!C320</f>
        <v>-7.4276984670495969E-3</v>
      </c>
      <c r="C319">
        <f ca="1">'ETF variations'!C319/'ETF price'!D320</f>
        <v>-2.9252437703141498E-3</v>
      </c>
      <c r="D319">
        <f ca="1">'ETF variations'!D319/'ETF price'!E320</f>
        <v>-5.2279381012128815E-3</v>
      </c>
      <c r="E319">
        <f ca="1">'ETF variations'!E319/'ETF price'!F320</f>
        <v>2.5434506146671779E-3</v>
      </c>
      <c r="F319">
        <f ca="1">'ETF variations'!F319/'ETF price'!G320</f>
        <v>1.6200891049007349E-3</v>
      </c>
      <c r="G319">
        <f ca="1">'ETF variations'!G319/'ETF price'!H320</f>
        <v>4.7713717693837372E-3</v>
      </c>
      <c r="H319">
        <f ca="1">'ETF variations'!H319/'ETF price'!I320</f>
        <v>3.3725548976990829E-3</v>
      </c>
      <c r="I319">
        <f ca="1">'ETF variations'!I319/'ETF price'!J320</f>
        <v>3.8364215166108795E-3</v>
      </c>
      <c r="J319">
        <f ca="1">'ETF variations'!J319/'ETF price'!K320</f>
        <v>2.684872660325209E-3</v>
      </c>
      <c r="K319">
        <f ca="1">'ETF variations'!K319/'ETF price'!L320</f>
        <v>9.5863427445829243E-3</v>
      </c>
      <c r="L319">
        <f ca="1">'ETF variations'!L319/'ETF price'!M320</f>
        <v>3.7813140066173308E-3</v>
      </c>
      <c r="M319">
        <f ca="1">'ETF variations'!M319/'ETF price'!N320</f>
        <v>3.7974683544302985E-3</v>
      </c>
      <c r="N319">
        <f ca="1">'ETF variations'!N319/'ETF price'!O320</f>
        <v>3.9142974866089352E-3</v>
      </c>
      <c r="O319">
        <f ca="1">'ETF variations'!O319/'ETF price'!P320</f>
        <v>9.455988792902199E-3</v>
      </c>
      <c r="P319">
        <f ca="1">'ETF variations'!P319/'ETF price'!Q320</f>
        <v>9.0624205979504321E-3</v>
      </c>
      <c r="Q319">
        <f ca="1">'ETF variations'!Q319/'ETF price'!R320</f>
        <v>7.7490313710784943E-3</v>
      </c>
      <c r="R319">
        <f ca="1">'ETF variations'!R319/'ETF price'!S320</f>
        <v>1.4680316785783232E-2</v>
      </c>
      <c r="S319">
        <f ca="1">'ETF variations'!S319/'ETF price'!T320</f>
        <v>5.3897180762851986E-3</v>
      </c>
      <c r="T319">
        <f ca="1">'ETF variations'!T319/'ETF price'!U320</f>
        <v>1.8778669724770471E-2</v>
      </c>
      <c r="U319">
        <f ca="1">'ETF variations'!U319/'ETF price'!V320</f>
        <v>7.0488096821385978E-3</v>
      </c>
      <c r="V319">
        <f ca="1">'ETF variations'!V319/'ETF price'!W320</f>
        <v>8.7336244541485059E-3</v>
      </c>
      <c r="W319">
        <f ca="1">'ETF variations'!W319/'ETF price'!X320</f>
        <v>8.7900723888315255E-3</v>
      </c>
      <c r="X319">
        <f ca="1">'ETF variations'!X319/'ETF price'!Y320</f>
        <v>7.1311025781678004E-3</v>
      </c>
      <c r="Y319">
        <f ca="1">'ETF variations'!Y319/'ETF price'!Z320</f>
        <v>8.0394922425951077E-3</v>
      </c>
      <c r="Z319">
        <f ca="1">'ETF variations'!Z319/'ETF price'!AA320</f>
        <v>4.8270313757039348E-3</v>
      </c>
      <c r="AA319">
        <f ca="1">'ETF variations'!AA319/'ETF price'!AB320</f>
        <v>2.8004667444573497E-3</v>
      </c>
      <c r="AB319">
        <f ca="1">'ETF variations'!AB319/'ETF price'!AC320</f>
        <v>1.4028848053744337E-2</v>
      </c>
      <c r="AC319">
        <f ca="1">'ETF variations'!AC319/'ETF price'!AD320</f>
        <v>3.1441048034934603E-2</v>
      </c>
      <c r="AD319">
        <f ca="1">'ETF variations'!AD319/'ETF price'!AE320</f>
        <v>3.0910131654264608E-2</v>
      </c>
      <c r="AE319">
        <f ca="1">'ETF variations'!AE319/'ETF price'!AF320</f>
        <v>4.6332046332046378E-2</v>
      </c>
      <c r="AF319">
        <f ca="1">'ETF variations'!AF319/'ETF price'!AG320</f>
        <v>7.7092511013215861E-2</v>
      </c>
    </row>
    <row r="320" spans="1:32" x14ac:dyDescent="0.2">
      <c r="A320">
        <f ca="1">'ETF variations'!A320/'ETF price'!B321</f>
        <v>-5.6914425096551485E-3</v>
      </c>
      <c r="B320">
        <f ca="1">'ETF variations'!B320/'ETF price'!C321</f>
        <v>-5.9972402080458315E-3</v>
      </c>
      <c r="C320">
        <f ca="1">'ETF variations'!C320/'ETF price'!D321</f>
        <v>3.2598065848094248E-4</v>
      </c>
      <c r="D320">
        <f ca="1">'ETF variations'!D320/'ETF price'!E321</f>
        <v>-1.8288837502627803E-2</v>
      </c>
      <c r="E320">
        <f ca="1">'ETF variations'!E320/'ETF price'!F321</f>
        <v>3.8054968287526371E-3</v>
      </c>
      <c r="F320">
        <f ca="1">'ETF variations'!F320/'ETF price'!G321</f>
        <v>-3.6393044884755299E-3</v>
      </c>
      <c r="G320">
        <f ca="1">'ETF variations'!G320/'ETF price'!H321</f>
        <v>-9.497427779976194E-3</v>
      </c>
      <c r="H320">
        <f ca="1">'ETF variations'!H320/'ETF price'!I321</f>
        <v>2.9877502240806725E-4</v>
      </c>
      <c r="I320">
        <f ca="1">'ETF variations'!I320/'ETF price'!J321</f>
        <v>-6.5051227841924123E-4</v>
      </c>
      <c r="J320">
        <f ca="1">'ETF variations'!J320/'ETF price'!K321</f>
        <v>-1.1475786091347691E-3</v>
      </c>
      <c r="K320">
        <f ca="1">'ETF variations'!K320/'ETF price'!L321</f>
        <v>-1.0796045785639937E-2</v>
      </c>
      <c r="L320">
        <f ca="1">'ETF variations'!L320/'ETF price'!M321</f>
        <v>-3.7670695338251764E-3</v>
      </c>
      <c r="M320">
        <f ca="1">'ETF variations'!M320/'ETF price'!N321</f>
        <v>-1.5762925598990277E-3</v>
      </c>
      <c r="N320">
        <f ca="1">'ETF variations'!N320/'ETF price'!O321</f>
        <v>-1.02606197414318E-3</v>
      </c>
      <c r="O320">
        <f ca="1">'ETF variations'!O320/'ETF price'!P321</f>
        <v>6.9388227130799435E-4</v>
      </c>
      <c r="P320">
        <f ca="1">'ETF variations'!P320/'ETF price'!Q321</f>
        <v>8.3934866543605141E-5</v>
      </c>
      <c r="Q320">
        <f ca="1">'ETF variations'!Q320/'ETF price'!R321</f>
        <v>7.4413989830090881E-4</v>
      </c>
      <c r="R320">
        <f ca="1">'ETF variations'!R320/'ETF price'!S321</f>
        <v>-7.6146963639824585E-3</v>
      </c>
      <c r="S320">
        <f ca="1">'ETF variations'!S320/'ETF price'!T321</f>
        <v>7.8350515463918059E-3</v>
      </c>
      <c r="T320">
        <f ca="1">'ETF variations'!T320/'ETF price'!U321</f>
        <v>1.9136063036443138E-2</v>
      </c>
      <c r="U320">
        <f ca="1">'ETF variations'!U320/'ETF price'!V321</f>
        <v>-1.426307448494451E-2</v>
      </c>
      <c r="V320">
        <f ca="1">'ETF variations'!V320/'ETF price'!W321</f>
        <v>-2.1645021645021732E-3</v>
      </c>
      <c r="W320">
        <f ca="1">'ETF variations'!W320/'ETF price'!X321</f>
        <v>-2.3065094823168479E-3</v>
      </c>
      <c r="X320">
        <f ca="1">'ETF variations'!X320/'ETF price'!Y321</f>
        <v>-8.9869281045751176E-3</v>
      </c>
      <c r="Y320">
        <f ca="1">'ETF variations'!Y320/'ETF price'!Z321</f>
        <v>-2.7983769413734462E-4</v>
      </c>
      <c r="Z320">
        <f ca="1">'ETF variations'!Z320/'ETF price'!AA321</f>
        <v>-2.9356818788363872E-3</v>
      </c>
      <c r="AA320">
        <f ca="1">'ETF variations'!AA320/'ETF price'!AB321</f>
        <v>-1.0937863625785405E-2</v>
      </c>
      <c r="AB320">
        <f ca="1">'ETF variations'!AB320/'ETF price'!AC321</f>
        <v>1.1691348402182413E-2</v>
      </c>
      <c r="AC320">
        <f ca="1">'ETF variations'!AC320/'ETF price'!AD321</f>
        <v>-1.185436071126169E-2</v>
      </c>
      <c r="AD320">
        <f ca="1">'ETF variations'!AD320/'ETF price'!AE321</f>
        <v>-1.2215435868961821E-2</v>
      </c>
      <c r="AE320">
        <f ca="1">'ETF variations'!AE320/'ETF price'!AF321</f>
        <v>-1.1070110701106939E-2</v>
      </c>
      <c r="AF320">
        <f ca="1">'ETF variations'!AF320/'ETF price'!AG321</f>
        <v>-2.2085889570552113E-2</v>
      </c>
    </row>
    <row r="321" spans="1:32" x14ac:dyDescent="0.2">
      <c r="A321">
        <f ca="1">'ETF variations'!A321/'ETF price'!B322</f>
        <v>1.860306643952293E-2</v>
      </c>
      <c r="B321">
        <f ca="1">'ETF variations'!B321/'ETF price'!C322</f>
        <v>1.9355010945592398E-2</v>
      </c>
      <c r="C321">
        <f ca="1">'ETF variations'!C321/'ETF price'!D322</f>
        <v>9.776232891592811E-4</v>
      </c>
      <c r="D321">
        <f ca="1">'ETF variations'!D321/'ETF price'!E322</f>
        <v>8.208422555317672E-3</v>
      </c>
      <c r="E321">
        <f ca="1">'ETF variations'!E321/'ETF price'!F322</f>
        <v>1.3479359730412819E-2</v>
      </c>
      <c r="F321">
        <f ca="1">'ETF variations'!F321/'ETF price'!G322</f>
        <v>1.6639610389610395E-2</v>
      </c>
      <c r="G321">
        <f ca="1">'ETF variations'!G321/'ETF price'!H322</f>
        <v>1.078705553335995E-2</v>
      </c>
      <c r="H321">
        <f ca="1">'ETF variations'!H321/'ETF price'!I322</f>
        <v>1.2992831541218707E-2</v>
      </c>
      <c r="I321">
        <f ca="1">'ETF variations'!I321/'ETF price'!J322</f>
        <v>1.4239218877135883E-2</v>
      </c>
      <c r="J321">
        <f ca="1">'ETF variations'!J321/'ETF price'!K322</f>
        <v>2.313112745098047E-2</v>
      </c>
      <c r="K321">
        <f ca="1">'ETF variations'!K321/'ETF price'!L322</f>
        <v>4.4444444444444571E-2</v>
      </c>
      <c r="L321">
        <f ca="1">'ETF variations'!L321/'ETF price'!M322</f>
        <v>2.0009453285016483E-2</v>
      </c>
      <c r="M321">
        <f ca="1">'ETF variations'!M321/'ETF price'!N322</f>
        <v>1.45247868645406E-2</v>
      </c>
      <c r="N321">
        <f ca="1">'ETF variations'!N321/'ETF price'!O322</f>
        <v>4.1906327033689385E-2</v>
      </c>
      <c r="O321">
        <f ca="1">'ETF variations'!O321/'ETF price'!P322</f>
        <v>6.2406101929965568E-3</v>
      </c>
      <c r="P321">
        <f ca="1">'ETF variations'!P321/'ETF price'!Q322</f>
        <v>6.2106588334032301E-3</v>
      </c>
      <c r="Q321">
        <f ca="1">'ETF variations'!Q321/'ETF price'!R322</f>
        <v>1.0286280827859689E-2</v>
      </c>
      <c r="R321">
        <f ca="1">'ETF variations'!R321/'ETF price'!S322</f>
        <v>2.1676577786303382E-2</v>
      </c>
      <c r="S321">
        <f ca="1">'ETF variations'!S321/'ETF price'!T322</f>
        <v>0</v>
      </c>
      <c r="T321">
        <f ca="1">'ETF variations'!T321/'ETF price'!U322</f>
        <v>-8.6980532928345941E-3</v>
      </c>
      <c r="U321">
        <f ca="1">'ETF variations'!U321/'ETF price'!V322</f>
        <v>3.1484458735262517E-2</v>
      </c>
      <c r="V321">
        <f ca="1">'ETF variations'!V321/'ETF price'!W322</f>
        <v>8.9866749302757714E-3</v>
      </c>
      <c r="W321">
        <f ca="1">'ETF variations'!W321/'ETF price'!X322</f>
        <v>5.9080400719238859E-3</v>
      </c>
      <c r="X321">
        <f ca="1">'ETF variations'!X321/'ETF price'!Y322</f>
        <v>1.4014839241549821E-2</v>
      </c>
      <c r="Y321">
        <f ca="1">'ETF variations'!Y321/'ETF price'!Z322</f>
        <v>5.7382785164450181E-3</v>
      </c>
      <c r="Z321">
        <f ca="1">'ETF variations'!Z321/'ETF price'!AA322</f>
        <v>-3.2119914346894389E-3</v>
      </c>
      <c r="AA321">
        <f ca="1">'ETF variations'!AA321/'ETF price'!AB322</f>
        <v>1.529411764705879E-2</v>
      </c>
      <c r="AB321">
        <f ca="1">'ETF variations'!AB321/'ETF price'!AC322</f>
        <v>3.6594761171031918E-3</v>
      </c>
      <c r="AC321">
        <f ca="1">'ETF variations'!AC321/'ETF price'!AD322</f>
        <v>2.0565552699228811E-2</v>
      </c>
      <c r="AD321">
        <f ca="1">'ETF variations'!AD321/'ETF price'!AE322</f>
        <v>2.0798201236649862E-2</v>
      </c>
      <c r="AE321">
        <f ca="1">'ETF variations'!AE321/'ETF price'!AF322</f>
        <v>8.2089552238805874E-2</v>
      </c>
      <c r="AF321">
        <f ca="1">'ETF variations'!AF321/'ETF price'!AG322</f>
        <v>8.9084065244667457E-2</v>
      </c>
    </row>
    <row r="322" spans="1:32" x14ac:dyDescent="0.2">
      <c r="A322">
        <f ca="1">'ETF variations'!A322/'ETF price'!B323</f>
        <v>-5.5525822852554464E-3</v>
      </c>
      <c r="B322">
        <f ca="1">'ETF variations'!B322/'ETF price'!C323</f>
        <v>-3.8236911714636872E-3</v>
      </c>
      <c r="C322">
        <f ca="1">'ETF variations'!C322/'ETF price'!D323</f>
        <v>-2.1703743895822337E-3</v>
      </c>
      <c r="D322">
        <f ca="1">'ETF variations'!D322/'ETF price'!E323</f>
        <v>-1.5575221238937973E-3</v>
      </c>
      <c r="E322">
        <f ca="1">'ETF variations'!E322/'ETF price'!F323</f>
        <v>-6.0266001662510216E-3</v>
      </c>
      <c r="F322">
        <f ca="1">'ETF variations'!F322/'ETF price'!G323</f>
        <v>-6.3872255489022013E-3</v>
      </c>
      <c r="G322">
        <f ca="1">'ETF variations'!G322/'ETF price'!H323</f>
        <v>-5.5335968379446867E-3</v>
      </c>
      <c r="H322">
        <f ca="1">'ETF variations'!H322/'ETF price'!I323</f>
        <v>-8.0347928645142525E-3</v>
      </c>
      <c r="I322">
        <f ca="1">'ETF variations'!I322/'ETF price'!J323</f>
        <v>-8.5840352988368011E-3</v>
      </c>
      <c r="J322">
        <f ca="1">'ETF variations'!J322/'ETF price'!K323</f>
        <v>-8.6090732145531184E-3</v>
      </c>
      <c r="K322">
        <f ca="1">'ETF variations'!K322/'ETF price'!L323</f>
        <v>-1.5611230013848785E-2</v>
      </c>
      <c r="L322">
        <f ca="1">'ETF variations'!L322/'ETF price'!M323</f>
        <v>-2.0080321285140521E-2</v>
      </c>
      <c r="M322">
        <f ca="1">'ETF variations'!M322/'ETF price'!N323</f>
        <v>-8.2477435418613163E-3</v>
      </c>
      <c r="N322">
        <f ca="1">'ETF variations'!N322/'ETF price'!O323</f>
        <v>-1.1829652996845455E-2</v>
      </c>
      <c r="O322">
        <f ca="1">'ETF variations'!O322/'ETF price'!P323</f>
        <v>1.8376019294821502E-3</v>
      </c>
      <c r="P322">
        <f ca="1">'ETF variations'!P322/'ETF price'!Q323</f>
        <v>8.3409792309612407E-4</v>
      </c>
      <c r="Q322">
        <f ca="1">'ETF variations'!Q322/'ETF price'!R323</f>
        <v>-7.2374877330715071E-3</v>
      </c>
      <c r="R322">
        <f ca="1">'ETF variations'!R322/'ETF price'!S323</f>
        <v>-1.5959444235824287E-2</v>
      </c>
      <c r="S322">
        <f ca="1">'ETF variations'!S322/'ETF price'!T323</f>
        <v>1.2274959083468733E-3</v>
      </c>
      <c r="T322">
        <f ca="1">'ETF variations'!T322/'ETF price'!U323</f>
        <v>4.0389972144847667E-3</v>
      </c>
      <c r="U322">
        <f ca="1">'ETF variations'!U322/'ETF price'!V323</f>
        <v>-8.5725418885569116E-3</v>
      </c>
      <c r="V322">
        <f ca="1">'ETF variations'!V322/'ETF price'!W323</f>
        <v>9.8280098280098364E-3</v>
      </c>
      <c r="W322">
        <f ca="1">'ETF variations'!W322/'ETF price'!X323</f>
        <v>8.42696629213497E-3</v>
      </c>
      <c r="X322">
        <f ca="1">'ETF variations'!X322/'ETF price'!Y323</f>
        <v>-1.111111111111102E-2</v>
      </c>
      <c r="Y322">
        <f ca="1">'ETF variations'!Y322/'ETF price'!Z323</f>
        <v>9.4628444197050778E-3</v>
      </c>
      <c r="Z322">
        <f ca="1">'ETF variations'!Z322/'ETF price'!AA323</f>
        <v>-1.7185821697099906E-2</v>
      </c>
      <c r="AA322">
        <f ca="1">'ETF variations'!AA322/'ETF price'!AB323</f>
        <v>-1.946697566628033E-2</v>
      </c>
      <c r="AB322">
        <f ca="1">'ETF variations'!AB322/'ETF price'!AC323</f>
        <v>5.3732488965649809E-3</v>
      </c>
      <c r="AC322">
        <f ca="1">'ETF variations'!AC322/'ETF price'!AD323</f>
        <v>-1.679261125104918E-3</v>
      </c>
      <c r="AD322">
        <f ca="1">'ETF variations'!AD322/'ETF price'!AE323</f>
        <v>-2.7533039647577484E-3</v>
      </c>
      <c r="AE322">
        <f ca="1">'ETF variations'!AE322/'ETF price'!AF323</f>
        <v>0</v>
      </c>
      <c r="AF322">
        <f ca="1">'ETF variations'!AF322/'ETF price'!AG323</f>
        <v>6.5284178187404651E-3</v>
      </c>
    </row>
    <row r="323" spans="1:32" x14ac:dyDescent="0.2">
      <c r="A323">
        <f ca="1">'ETF variations'!A323/'ETF price'!B324</f>
        <v>3.6326942482340532E-3</v>
      </c>
      <c r="B323">
        <f ca="1">'ETF variations'!B323/'ETF price'!C324</f>
        <v>3.6280463758971409E-3</v>
      </c>
      <c r="C323">
        <f ca="1">'ETF variations'!C323/'ETF price'!D324</f>
        <v>-5.3289831430126059E-3</v>
      </c>
      <c r="D323">
        <f ca="1">'ETF variations'!D323/'ETF price'!E324</f>
        <v>0</v>
      </c>
      <c r="E323">
        <f ca="1">'ETF variations'!E323/'ETF price'!F324</f>
        <v>5.4359188793645227E-3</v>
      </c>
      <c r="F323">
        <f ca="1">'ETF variations'!F323/'ETF price'!G324</f>
        <v>3.615910004017672E-3</v>
      </c>
      <c r="G323">
        <f ca="1">'ETF variations'!G323/'ETF price'!H324</f>
        <v>8.3465818759936739E-3</v>
      </c>
      <c r="H323">
        <f ca="1">'ETF variations'!H323/'ETF price'!I324</f>
        <v>-8.1741844393241599E-4</v>
      </c>
      <c r="I323">
        <f ca="1">'ETF variations'!I323/'ETF price'!J324</f>
        <v>1.4160867454280398E-3</v>
      </c>
      <c r="J323">
        <f ca="1">'ETF variations'!J323/'ETF price'!K324</f>
        <v>8.6083213773313176E-3</v>
      </c>
      <c r="K323">
        <f ca="1">'ETF variations'!K323/'ETF price'!L324</f>
        <v>4.6553267681289173E-2</v>
      </c>
      <c r="L323">
        <f ca="1">'ETF variations'!L323/'ETF price'!M324</f>
        <v>1.3240857503152639E-2</v>
      </c>
      <c r="M323">
        <f ca="1">'ETF variations'!M323/'ETF price'!N324</f>
        <v>1.5691197238349511E-3</v>
      </c>
      <c r="N323">
        <f ca="1">'ETF variations'!N323/'ETF price'!O324</f>
        <v>1.0375099760574684E-2</v>
      </c>
      <c r="O323">
        <f ca="1">'ETF variations'!O323/'ETF price'!P324</f>
        <v>-1.1807864266880673E-2</v>
      </c>
      <c r="P323">
        <f ca="1">'ETF variations'!P323/'ETF price'!Q324</f>
        <v>-1.1667638969914089E-2</v>
      </c>
      <c r="Q323">
        <f ca="1">'ETF variations'!Q323/'ETF price'!R324</f>
        <v>5.8074879525515733E-3</v>
      </c>
      <c r="R323">
        <f ca="1">'ETF variations'!R323/'ETF price'!S324</f>
        <v>5.9149017363099082E-3</v>
      </c>
      <c r="S323">
        <f ca="1">'ETF variations'!S323/'ETF price'!T324</f>
        <v>-4.0866366979974613E-3</v>
      </c>
      <c r="T323">
        <f ca="1">'ETF variations'!T323/'ETF price'!U324</f>
        <v>-1.7339436815092243E-2</v>
      </c>
      <c r="U323">
        <f ca="1">'ETF variations'!U323/'ETF price'!V324</f>
        <v>2.6595047818682053E-2</v>
      </c>
      <c r="V323">
        <f ca="1">'ETF variations'!V323/'ETF price'!W324</f>
        <v>1.1557177615571637E-2</v>
      </c>
      <c r="W323">
        <f ca="1">'ETF variations'!W323/'ETF price'!X324</f>
        <v>1.4434033932641182E-2</v>
      </c>
      <c r="X323">
        <f ca="1">'ETF variations'!X323/'ETF price'!Y324</f>
        <v>2.2745957796656571E-2</v>
      </c>
      <c r="Y323">
        <f ca="1">'ETF variations'!Y323/'ETF price'!Z324</f>
        <v>1.337193272677142E-2</v>
      </c>
      <c r="Z323">
        <f ca="1">'ETF variations'!Z323/'ETF price'!AA324</f>
        <v>2.2677595628415252E-2</v>
      </c>
      <c r="AA323">
        <f ca="1">'ETF variations'!AA323/'ETF price'!AB324</f>
        <v>2.9780193807610444E-2</v>
      </c>
      <c r="AB323">
        <f ca="1">'ETF variations'!AB323/'ETF price'!AC324</f>
        <v>-6.2989120061080033E-3</v>
      </c>
      <c r="AC323">
        <f ca="1">'ETF variations'!AC323/'ETF price'!AD324</f>
        <v>-3.1959629941127062E-2</v>
      </c>
      <c r="AD323">
        <f ca="1">'ETF variations'!AD323/'ETF price'!AE324</f>
        <v>-3.0922142462727707E-2</v>
      </c>
      <c r="AE323">
        <f ca="1">'ETF variations'!AE323/'ETF price'!AF324</f>
        <v>-2.0689655172413814E-2</v>
      </c>
      <c r="AF323">
        <f ca="1">'ETF variations'!AF323/'ETF price'!AG324</f>
        <v>-1.7169019458222023E-2</v>
      </c>
    </row>
    <row r="324" spans="1:32" x14ac:dyDescent="0.2">
      <c r="A324">
        <f ca="1">'ETF variations'!A324/'ETF price'!B325</f>
        <v>3.0833165761780814E-3</v>
      </c>
      <c r="B324">
        <f ca="1">'ETF variations'!B324/'ETF price'!C325</f>
        <v>2.8290766208251055E-3</v>
      </c>
      <c r="C324">
        <f ca="1">'ETF variations'!C324/'ETF price'!D325</f>
        <v>-3.4987972884320271E-3</v>
      </c>
      <c r="D324">
        <f ca="1">'ETF variations'!D324/'ETF price'!E325</f>
        <v>4.3253208537189624E-3</v>
      </c>
      <c r="E324">
        <f ca="1">'ETF variations'!E324/'ETF price'!F325</f>
        <v>-2.2873778332294973E-3</v>
      </c>
      <c r="F324">
        <f ca="1">'ETF variations'!F324/'ETF price'!G325</f>
        <v>4.8038430744596072E-3</v>
      </c>
      <c r="G324">
        <f ca="1">'ETF variations'!G324/'ETF price'!H325</f>
        <v>-1.9708316909736187E-3</v>
      </c>
      <c r="H324">
        <f ca="1">'ETF variations'!H324/'ETF price'!I325</f>
        <v>-6.8421835490109764E-3</v>
      </c>
      <c r="I324">
        <f ca="1">'ETF variations'!I324/'ETF price'!J325</f>
        <v>-6.1411660134943306E-3</v>
      </c>
      <c r="J324">
        <f ca="1">'ETF variations'!J324/'ETF price'!K325</f>
        <v>-6.8129070899153746E-3</v>
      </c>
      <c r="K324">
        <f ca="1">'ETF variations'!K324/'ETF price'!L325</f>
        <v>-6.1102285225467434E-3</v>
      </c>
      <c r="L324">
        <f ca="1">'ETF variations'!L324/'ETF price'!M325</f>
        <v>-1.0578718108276286E-2</v>
      </c>
      <c r="M324">
        <f ca="1">'ETF variations'!M324/'ETF price'!N325</f>
        <v>-6.8933103556321129E-3</v>
      </c>
      <c r="N324">
        <f ca="1">'ETF variations'!N324/'ETF price'!O325</f>
        <v>-1.3625592417061566E-2</v>
      </c>
      <c r="O324">
        <f ca="1">'ETF variations'!O324/'ETF price'!P325</f>
        <v>3.9443155452436587E-3</v>
      </c>
      <c r="P324">
        <f ca="1">'ETF variations'!P324/'ETF price'!Q325</f>
        <v>2.6140484020575282E-3</v>
      </c>
      <c r="Q324">
        <f ca="1">'ETF variations'!Q324/'ETF price'!R325</f>
        <v>4.1769041769040439E-3</v>
      </c>
      <c r="R324">
        <f ca="1">'ETF variations'!R324/'ETF price'!S325</f>
        <v>6.0698027314112345E-3</v>
      </c>
      <c r="S324">
        <f ca="1">'ETF variations'!S324/'ETF price'!T325</f>
        <v>2.0517029134181661E-3</v>
      </c>
      <c r="T324">
        <f ca="1">'ETF variations'!T324/'ETF price'!U325</f>
        <v>-1.5527950310558925E-3</v>
      </c>
      <c r="U324">
        <f ca="1">'ETF variations'!U324/'ETF price'!V325</f>
        <v>5.1046452271575108E-4</v>
      </c>
      <c r="V324">
        <f ca="1">'ETF variations'!V324/'ETF price'!W325</f>
        <v>3.0066145520144748E-3</v>
      </c>
      <c r="W324">
        <f ca="1">'ETF variations'!W324/'ETF price'!X325</f>
        <v>2.8706939590612802E-3</v>
      </c>
      <c r="X324">
        <f ca="1">'ETF variations'!X324/'ETF price'!Y325</f>
        <v>-1.3397642015005359E-2</v>
      </c>
      <c r="Y324">
        <f ca="1">'ETF variations'!Y324/'ETF price'!Z325</f>
        <v>5.0333287988027524E-3</v>
      </c>
      <c r="Z324">
        <f ca="1">'ETF variations'!Z324/'ETF price'!AA325</f>
        <v>-1.6029922522041752E-3</v>
      </c>
      <c r="AA324">
        <f ca="1">'ETF variations'!AA324/'ETF price'!AB325</f>
        <v>-2.157447785173279E-2</v>
      </c>
      <c r="AB324">
        <f ca="1">'ETF variations'!AB324/'ETF price'!AC325</f>
        <v>-4.8021513638109867E-3</v>
      </c>
      <c r="AC324">
        <f ca="1">'ETF variations'!AC324/'ETF price'!AD325</f>
        <v>2.7801911381407498E-2</v>
      </c>
      <c r="AD324">
        <f ca="1">'ETF variations'!AD324/'ETF price'!AE325</f>
        <v>2.6780626780626714E-2</v>
      </c>
      <c r="AE324">
        <f ca="1">'ETF variations'!AE324/'ETF price'!AF325</f>
        <v>2.1126760563380302E-2</v>
      </c>
      <c r="AF324">
        <f ca="1">'ETF variations'!AF324/'ETF price'!AG325</f>
        <v>1.6304347826086883E-2</v>
      </c>
    </row>
    <row r="325" spans="1:32" x14ac:dyDescent="0.2">
      <c r="A325">
        <f ca="1">'ETF variations'!A325/'ETF price'!B326</f>
        <v>-2.873371199465465E-3</v>
      </c>
      <c r="B325">
        <f ca="1">'ETF variations'!B325/'ETF price'!C326</f>
        <v>-2.0897003892067271E-3</v>
      </c>
      <c r="C325">
        <f ca="1">'ETF variations'!C325/'ETF price'!D326</f>
        <v>-3.9499670836076299E-3</v>
      </c>
      <c r="D325">
        <f ca="1">'ETF variations'!D325/'ETF price'!E326</f>
        <v>-1.0943236373905558E-2</v>
      </c>
      <c r="E325">
        <f ca="1">'ETF variations'!E325/'ETF price'!F326</f>
        <v>-1.4589412255106207E-2</v>
      </c>
      <c r="F325">
        <f ca="1">'ETF variations'!F325/'ETF price'!G326</f>
        <v>7.9681274900396707E-4</v>
      </c>
      <c r="G325">
        <f ca="1">'ETF variations'!G325/'ETF price'!H326</f>
        <v>-5.9241706161136881E-3</v>
      </c>
      <c r="H325">
        <f ca="1">'ETF variations'!H325/'ETF price'!I326</f>
        <v>3.0702411262542805E-3</v>
      </c>
      <c r="I325">
        <f ca="1">'ETF variations'!I325/'ETF price'!J326</f>
        <v>3.2115126631163545E-3</v>
      </c>
      <c r="J325">
        <f ca="1">'ETF variations'!J325/'ETF price'!K326</f>
        <v>4.2213176541534923E-3</v>
      </c>
      <c r="K325">
        <f ca="1">'ETF variations'!K325/'ETF price'!L326</f>
        <v>1.2541497602360703E-2</v>
      </c>
      <c r="L325">
        <f ca="1">'ETF variations'!L325/'ETF price'!M326</f>
        <v>7.8616352201253388E-4</v>
      </c>
      <c r="M325">
        <f ca="1">'ETF variations'!M325/'ETF price'!N326</f>
        <v>3.4705789556712234E-3</v>
      </c>
      <c r="N325">
        <f ca="1">'ETF variations'!N325/'ETF price'!O326</f>
        <v>1.3813813813813768E-2</v>
      </c>
      <c r="O325">
        <f ca="1">'ETF variations'!O325/'ETF price'!P326</f>
        <v>-3.4666050381327866E-3</v>
      </c>
      <c r="P325">
        <f ca="1">'ETF variations'!P325/'ETF price'!Q326</f>
        <v>-3.7005887300253313E-3</v>
      </c>
      <c r="Q325">
        <f ca="1">'ETF variations'!Q325/'ETF price'!R326</f>
        <v>-2.8137998531929261E-3</v>
      </c>
      <c r="R325">
        <f ca="1">'ETF variations'!R325/'ETF price'!S326</f>
        <v>-1.3574660633484142E-2</v>
      </c>
      <c r="S325">
        <f ca="1">'ETF variations'!S325/'ETF price'!T326</f>
        <v>-1.3923013923014062E-2</v>
      </c>
      <c r="T325">
        <f ca="1">'ETF variations'!T325/'ETF price'!U326</f>
        <v>-2.0217729393468213E-2</v>
      </c>
      <c r="U325">
        <f ca="1">'ETF variations'!U325/'ETF price'!V326</f>
        <v>-7.9081632653061791E-3</v>
      </c>
      <c r="V325">
        <f ca="1">'ETF variations'!V325/'ETF price'!W326</f>
        <v>2.3980815347721313E-3</v>
      </c>
      <c r="W325">
        <f ca="1">'ETF variations'!W325/'ETF price'!X326</f>
        <v>7.2184194150592728E-3</v>
      </c>
      <c r="X325">
        <f ca="1">'ETF variations'!X325/'ETF price'!Y326</f>
        <v>3.0689842476914791E-2</v>
      </c>
      <c r="Y325">
        <f ca="1">'ETF variations'!Y325/'ETF price'!Z326</f>
        <v>5.4141851651327245E-3</v>
      </c>
      <c r="Z325">
        <f ca="1">'ETF variations'!Z325/'ETF price'!AA326</f>
        <v>5.8870751940060468E-3</v>
      </c>
      <c r="AA325">
        <f ca="1">'ETF variations'!AA325/'ETF price'!AB326</f>
        <v>3.9408866995073885E-2</v>
      </c>
      <c r="AB325">
        <f ca="1">'ETF variations'!AB325/'ETF price'!AC326</f>
        <v>-4.6323103647944791E-3</v>
      </c>
      <c r="AC325">
        <f ca="1">'ETF variations'!AC325/'ETF price'!AD326</f>
        <v>-3.4657650042265439E-2</v>
      </c>
      <c r="AD325">
        <f ca="1">'ETF variations'!AD325/'ETF price'!AE326</f>
        <v>-3.4406215316315263E-2</v>
      </c>
      <c r="AE325">
        <f ca="1">'ETF variations'!AE325/'ETF price'!AF326</f>
        <v>-7.5862068965517157E-2</v>
      </c>
      <c r="AF325">
        <f ca="1">'ETF variations'!AF325/'ETF price'!AG326</f>
        <v>-5.8059587471352161E-2</v>
      </c>
    </row>
    <row r="326" spans="1:32" x14ac:dyDescent="0.2">
      <c r="A326">
        <f ca="1">'ETF variations'!A326/'ETF price'!B327</f>
        <v>-6.5674842514407573E-3</v>
      </c>
      <c r="B326">
        <f ca="1">'ETF variations'!B326/'ETF price'!C327</f>
        <v>-7.1722116064182198E-3</v>
      </c>
      <c r="C326">
        <f ca="1">'ETF variations'!C326/'ETF price'!D327</f>
        <v>-2.3132848645075945E-2</v>
      </c>
      <c r="D326">
        <f ca="1">'ETF variations'!D326/'ETF price'!E327</f>
        <v>-9.2797487329570596E-4</v>
      </c>
      <c r="E326">
        <f ca="1">'ETF variations'!E326/'ETF price'!F327</f>
        <v>-7.1912013536379734E-3</v>
      </c>
      <c r="F326">
        <f ca="1">'ETF variations'!F326/'ETF price'!G327</f>
        <v>-4.7770700636943072E-3</v>
      </c>
      <c r="G326">
        <f ca="1">'ETF variations'!G326/'ETF price'!H327</f>
        <v>-5.5621771950735222E-3</v>
      </c>
      <c r="H326">
        <f ca="1">'ETF variations'!H326/'ETF price'!I327</f>
        <v>-4.1060097051137216E-3</v>
      </c>
      <c r="I326">
        <f ca="1">'ETF variations'!I326/'ETF price'!J327</f>
        <v>-4.6600210713996504E-3</v>
      </c>
      <c r="J326">
        <f ca="1">'ETF variations'!J326/'ETF price'!K327</f>
        <v>-9.6081669419006248E-3</v>
      </c>
      <c r="K326">
        <f ca="1">'ETF variations'!K326/'ETF price'!L327</f>
        <v>-2.1007893139040557E-2</v>
      </c>
      <c r="L326">
        <f ca="1">'ETF variations'!L326/'ETF price'!M327</f>
        <v>-9.5836606441476735E-3</v>
      </c>
      <c r="M326">
        <f ca="1">'ETF variations'!M326/'ETF price'!N327</f>
        <v>-3.9301996541424309E-3</v>
      </c>
      <c r="N326">
        <f ca="1">'ETF variations'!N326/'ETF price'!O327</f>
        <v>-2.1327014218009446E-2</v>
      </c>
      <c r="O326">
        <f ca="1">'ETF variations'!O326/'ETF price'!P327</f>
        <v>-8.8126159554729935E-3</v>
      </c>
      <c r="P326">
        <f ca="1">'ETF variations'!P326/'ETF price'!Q327</f>
        <v>-9.6235016039169386E-3</v>
      </c>
      <c r="Q326">
        <f ca="1">'ETF variations'!Q326/'ETF price'!R327</f>
        <v>-1.1041589988958827E-3</v>
      </c>
      <c r="R326">
        <f ca="1">'ETF variations'!R326/'ETF price'!S327</f>
        <v>-1.5290519877675787E-2</v>
      </c>
      <c r="S326">
        <f ca="1">'ETF variations'!S326/'ETF price'!T327</f>
        <v>-8.7209302325580284E-3</v>
      </c>
      <c r="T326">
        <f ca="1">'ETF variations'!T326/'ETF price'!U327</f>
        <v>-2.4531024531024574E-2</v>
      </c>
      <c r="U326">
        <f ca="1">'ETF variations'!U326/'ETF price'!V327</f>
        <v>-1.9285163281049843E-3</v>
      </c>
      <c r="V326">
        <f ca="1">'ETF variations'!V326/'ETF price'!W327</f>
        <v>-2.9904306220093998E-3</v>
      </c>
      <c r="W326">
        <f ca="1">'ETF variations'!W326/'ETF price'!X327</f>
        <v>-6.3017422463858283E-3</v>
      </c>
      <c r="X326">
        <f ca="1">'ETF variations'!X326/'ETF price'!Y327</f>
        <v>-1.6600790513834059E-2</v>
      </c>
      <c r="Y326">
        <f ca="1">'ETF variations'!Y326/'ETF price'!Z327</f>
        <v>-5.9235325794291561E-3</v>
      </c>
      <c r="Z326">
        <f ca="1">'ETF variations'!Z326/'ETF price'!AA327</f>
        <v>-1.1971268954509253E-2</v>
      </c>
      <c r="AA326">
        <f ca="1">'ETF variations'!AA326/'ETF price'!AB327</f>
        <v>-1.8731663281426437E-2</v>
      </c>
      <c r="AB326">
        <f ca="1">'ETF variations'!AB326/'ETF price'!AC327</f>
        <v>-2.3657165018421539E-2</v>
      </c>
      <c r="AC326">
        <f ca="1">'ETF variations'!AC326/'ETF price'!AD327</f>
        <v>-4.0280210157618131E-2</v>
      </c>
      <c r="AD326">
        <f ca="1">'ETF variations'!AD326/'ETF price'!AE327</f>
        <v>-4.0804597701149276E-2</v>
      </c>
      <c r="AE326">
        <f ca="1">'ETF variations'!AE326/'ETF price'!AF327</f>
        <v>-4.4776119402985114E-2</v>
      </c>
      <c r="AF326">
        <f ca="1">'ETF variations'!AF326/'ETF price'!AG327</f>
        <v>-6.8126520681265193E-2</v>
      </c>
    </row>
    <row r="327" spans="1:32" x14ac:dyDescent="0.2">
      <c r="A327">
        <f ca="1">'ETF variations'!A327/'ETF price'!B328</f>
        <v>-3.2379924446844181E-3</v>
      </c>
      <c r="B327">
        <f ca="1">'ETF variations'!B327/'ETF price'!C328</f>
        <v>-2.9528856547760408E-3</v>
      </c>
      <c r="C327">
        <f ca="1">'ETF variations'!C327/'ETF price'!D328</f>
        <v>1.4433919711321457E-2</v>
      </c>
      <c r="D327">
        <f ca="1">'ETF variations'!D327/'ETF price'!E328</f>
        <v>-7.2877965132895836E-3</v>
      </c>
      <c r="E327">
        <f ca="1">'ETF variations'!E327/'ETF price'!F328</f>
        <v>4.686834256497633E-3</v>
      </c>
      <c r="F327">
        <f ca="1">'ETF variations'!F327/'ETF price'!G328</f>
        <v>7.9999999999999724E-3</v>
      </c>
      <c r="G327">
        <f ca="1">'ETF variations'!G327/'ETF price'!H328</f>
        <v>3.9952057530954897E-4</v>
      </c>
      <c r="H327">
        <f ca="1">'ETF variations'!H327/'ETF price'!I328</f>
        <v>6.7466266866567136E-3</v>
      </c>
      <c r="I327">
        <f ca="1">'ETF variations'!I327/'ETF price'!J328</f>
        <v>7.8166347758824896E-3</v>
      </c>
      <c r="J327">
        <f ca="1">'ETF variations'!J327/'ETF price'!K328</f>
        <v>1.1520388055176673E-2</v>
      </c>
      <c r="K327">
        <f ca="1">'ETF variations'!K327/'ETF price'!L328</f>
        <v>2.0466385512279726E-2</v>
      </c>
      <c r="L327">
        <f ca="1">'ETF variations'!L327/'ETF price'!M328</f>
        <v>1.0628172588832514E-2</v>
      </c>
      <c r="M327">
        <f ca="1">'ETF variations'!M327/'ETF price'!N328</f>
        <v>7.2601010101010239E-3</v>
      </c>
      <c r="N327">
        <f ca="1">'ETF variations'!N327/'ETF price'!O328</f>
        <v>1.2913640032284112E-2</v>
      </c>
      <c r="O327">
        <f ca="1">'ETF variations'!O327/'ETF price'!P328</f>
        <v>-5.8493214787084698E-3</v>
      </c>
      <c r="P327">
        <f ca="1">'ETF variations'!P327/'ETF price'!Q328</f>
        <v>-5.9665871121717413E-3</v>
      </c>
      <c r="Q327">
        <f ca="1">'ETF variations'!Q327/'ETF price'!R328</f>
        <v>-8.8430361090640983E-3</v>
      </c>
      <c r="R327">
        <f ca="1">'ETF variations'!R327/'ETF price'!S328</f>
        <v>-2.5815217391304452E-2</v>
      </c>
      <c r="S327">
        <f ca="1">'ETF variations'!S327/'ETF price'!T328</f>
        <v>-2.0946795140343822E-3</v>
      </c>
      <c r="T327">
        <f ca="1">'ETF variations'!T327/'ETF price'!U328</f>
        <v>9.0236686390532464E-3</v>
      </c>
      <c r="U327">
        <f ca="1">'ETF variations'!U327/'ETF price'!V328</f>
        <v>1.1593456138091385E-3</v>
      </c>
      <c r="V327">
        <f ca="1">'ETF variations'!V327/'ETF price'!W328</f>
        <v>-3.5992801439713416E-3</v>
      </c>
      <c r="W327">
        <f ca="1">'ETF variations'!W327/'ETF price'!X328</f>
        <v>-5.9686645113156429E-3</v>
      </c>
      <c r="X327">
        <f ca="1">'ETF variations'!X327/'ETF price'!Y328</f>
        <v>-1.2057877813504899E-2</v>
      </c>
      <c r="Y327">
        <f ca="1">'ETF variations'!Y327/'ETF price'!Z328</f>
        <v>-5.9588299024918431E-3</v>
      </c>
      <c r="Z327">
        <f ca="1">'ETF variations'!Z327/'ETF price'!AA328</f>
        <v>1.0770059235325564E-3</v>
      </c>
      <c r="AA327">
        <f ca="1">'ETF variations'!AA327/'ETF price'!AB328</f>
        <v>-1.2649494020239125E-2</v>
      </c>
      <c r="AB327">
        <f ca="1">'ETF variations'!AB327/'ETF price'!AC328</f>
        <v>-8.9374379344588448E-3</v>
      </c>
      <c r="AC327">
        <f ca="1">'ETF variations'!AC327/'ETF price'!AD328</f>
        <v>-2.8284671532846757E-2</v>
      </c>
      <c r="AD327">
        <f ca="1">'ETF variations'!AD327/'ETF price'!AE328</f>
        <v>-2.8160575194727526E-2</v>
      </c>
      <c r="AE327">
        <f ca="1">'ETF variations'!AE327/'ETF price'!AF328</f>
        <v>-1.5625000000000014E-2</v>
      </c>
      <c r="AF327">
        <f ca="1">'ETF variations'!AF327/'ETF price'!AG328</f>
        <v>-1.3054830287206297E-2</v>
      </c>
    </row>
    <row r="328" spans="1:32" x14ac:dyDescent="0.2">
      <c r="A328">
        <f ca="1">'ETF variations'!A328/'ETF price'!B329</f>
        <v>-4.3990254466701227E-3</v>
      </c>
      <c r="B328">
        <f ca="1">'ETF variations'!B328/'ETF price'!C329</f>
        <v>-4.3366739826005323E-3</v>
      </c>
      <c r="C328">
        <f ca="1">'ETF variations'!C328/'ETF price'!D329</f>
        <v>2.6122721209426509E-2</v>
      </c>
      <c r="D328">
        <f ca="1">'ETF variations'!D328/'ETF price'!E329</f>
        <v>-4.5343313660572582E-3</v>
      </c>
      <c r="E328">
        <f ca="1">'ETF variations'!E328/'ETF price'!F329</f>
        <v>-9.3299406276505046E-3</v>
      </c>
      <c r="F328">
        <f ca="1">'ETF variations'!F328/'ETF price'!G329</f>
        <v>-3.5714285714285657E-3</v>
      </c>
      <c r="G328">
        <f ca="1">'ETF variations'!G328/'ETF price'!H329</f>
        <v>-2.7955271565495324E-3</v>
      </c>
      <c r="H328">
        <f ca="1">'ETF variations'!H328/'ETF price'!I329</f>
        <v>5.5845122859270284E-3</v>
      </c>
      <c r="I328">
        <f ca="1">'ETF variations'!I328/'ETF price'!J329</f>
        <v>4.4839426378508792E-3</v>
      </c>
      <c r="J328">
        <f ca="1">'ETF variations'!J328/'ETF price'!K329</f>
        <v>-3.0720815225535486E-3</v>
      </c>
      <c r="K328">
        <f ca="1">'ETF variations'!K328/'ETF price'!L329</f>
        <v>-1.2762854017260206E-2</v>
      </c>
      <c r="L328">
        <f ca="1">'ETF variations'!L328/'ETF price'!M329</f>
        <v>-1.067336367917124E-2</v>
      </c>
      <c r="M328">
        <f ca="1">'ETF variations'!M328/'ETF price'!N329</f>
        <v>4.7007207771859018E-3</v>
      </c>
      <c r="N328">
        <f ca="1">'ETF variations'!N328/'ETF price'!O329</f>
        <v>-7.370517928286943E-3</v>
      </c>
      <c r="O328">
        <f ca="1">'ETF variations'!O328/'ETF price'!P329</f>
        <v>1.529771710990818E-2</v>
      </c>
      <c r="P328">
        <f ca="1">'ETF variations'!P328/'ETF price'!Q329</f>
        <v>1.5949236837592175E-2</v>
      </c>
      <c r="Q328">
        <f ca="1">'ETF variations'!Q328/'ETF price'!R329</f>
        <v>6.8153655514249954E-3</v>
      </c>
      <c r="R328">
        <f ca="1">'ETF variations'!R328/'ETF price'!S329</f>
        <v>9.364415222155786E-3</v>
      </c>
      <c r="S328">
        <f ca="1">'ETF variations'!S328/'ETF price'!T329</f>
        <v>7.9764903442485838E-3</v>
      </c>
      <c r="T328">
        <f ca="1">'ETF variations'!T328/'ETF price'!U329</f>
        <v>1.5247031227092894E-2</v>
      </c>
      <c r="U328">
        <f ca="1">'ETF variations'!U328/'ETF price'!V329</f>
        <v>-5.1466803911466856E-4</v>
      </c>
      <c r="V328">
        <f ca="1">'ETF variations'!V328/'ETF price'!W329</f>
        <v>-2.4081878386513636E-3</v>
      </c>
      <c r="W328">
        <f ca="1">'ETF variations'!W328/'ETF price'!X329</f>
        <v>-2.3767825869401766E-3</v>
      </c>
      <c r="X328">
        <f ca="1">'ETF variations'!X328/'ETF price'!Y329</f>
        <v>-4.6107946840248061E-3</v>
      </c>
      <c r="Y328">
        <f ca="1">'ETF variations'!Y328/'ETF price'!Z329</f>
        <v>-2.0435967302453091E-3</v>
      </c>
      <c r="Z328">
        <f ca="1">'ETF variations'!Z328/'ETF price'!AA329</f>
        <v>-2.6896180742334969E-3</v>
      </c>
      <c r="AA328">
        <f ca="1">'ETF variations'!AA328/'ETF price'!AB329</f>
        <v>-5.1246214768227083E-3</v>
      </c>
      <c r="AB328">
        <f ca="1">'ETF variations'!AB328/'ETF price'!AC329</f>
        <v>1.5230460921843648E-2</v>
      </c>
      <c r="AC328">
        <f ca="1">'ETF variations'!AC328/'ETF price'!AD329</f>
        <v>4.6948356807510732E-3</v>
      </c>
      <c r="AD328">
        <f ca="1">'ETF variations'!AD328/'ETF price'!AE329</f>
        <v>3.6991368680642589E-3</v>
      </c>
      <c r="AE328">
        <f ca="1">'ETF variations'!AE328/'ETF price'!AF329</f>
        <v>1.5873015873015886E-2</v>
      </c>
      <c r="AF328">
        <f ca="1">'ETF variations'!AF328/'ETF price'!AG329</f>
        <v>-1.8959435626102281E-2</v>
      </c>
    </row>
    <row r="329" spans="1:32" x14ac:dyDescent="0.2">
      <c r="A329">
        <f ca="1">'ETF variations'!A329/'ETF price'!B330</f>
        <v>-2.1344572088913157E-2</v>
      </c>
      <c r="B329">
        <f ca="1">'ETF variations'!B329/'ETF price'!C330</f>
        <v>-2.159190502748784E-2</v>
      </c>
      <c r="C329">
        <f ca="1">'ETF variations'!C329/'ETF price'!D330</f>
        <v>7.9081356299426277E-3</v>
      </c>
      <c r="D329">
        <f ca="1">'ETF variations'!D329/'ETF price'!E330</f>
        <v>-3.3547827344371443E-2</v>
      </c>
      <c r="E329">
        <f ca="1">'ETF variations'!E329/'ETF price'!F330</f>
        <v>-3.5102739726027413E-2</v>
      </c>
      <c r="F329">
        <f ca="1">'ETF variations'!F329/'ETF price'!G330</f>
        <v>-1.9514137793707625E-2</v>
      </c>
      <c r="G329">
        <f ca="1">'ETF variations'!G329/'ETF price'!H330</f>
        <v>-2.3227873448137697E-2</v>
      </c>
      <c r="H329">
        <f ca="1">'ETF variations'!H329/'ETF price'!I330</f>
        <v>-1.0662717512032563E-2</v>
      </c>
      <c r="I329">
        <f ca="1">'ETF variations'!I329/'ETF price'!J330</f>
        <v>-1.2104882168422709E-2</v>
      </c>
      <c r="J329">
        <f ca="1">'ETF variations'!J329/'ETF price'!K330</f>
        <v>-1.9165727170236836E-2</v>
      </c>
      <c r="K329">
        <f ca="1">'ETF variations'!K329/'ETF price'!L330</f>
        <v>-1.4897808421570964E-2</v>
      </c>
      <c r="L329">
        <f ca="1">'ETF variations'!L329/'ETF price'!M330</f>
        <v>-1.7134697762969987E-2</v>
      </c>
      <c r="M329">
        <f ca="1">'ETF variations'!M329/'ETF price'!N330</f>
        <v>-1.1696818465377528E-2</v>
      </c>
      <c r="N329">
        <f ca="1">'ETF variations'!N329/'ETF price'!O330</f>
        <v>-3.0102347983142687E-2</v>
      </c>
      <c r="O329">
        <f ca="1">'ETF variations'!O329/'ETF price'!P330</f>
        <v>-1.8776077885952765E-2</v>
      </c>
      <c r="P329">
        <f ca="1">'ETF variations'!P329/'ETF price'!Q330</f>
        <v>-2.1100607697501689E-2</v>
      </c>
      <c r="Q329">
        <f ca="1">'ETF variations'!Q329/'ETF price'!R330</f>
        <v>-2.1661538461538524E-2</v>
      </c>
      <c r="R329">
        <f ca="1">'ETF variations'!R329/'ETF price'!S330</f>
        <v>-2.9806553493880738E-2</v>
      </c>
      <c r="S329">
        <f ca="1">'ETF variations'!S329/'ETF price'!T330</f>
        <v>-1.4160766347355263E-2</v>
      </c>
      <c r="T329">
        <f ca="1">'ETF variations'!T329/'ETF price'!U330</f>
        <v>-2.353790613718405E-2</v>
      </c>
      <c r="U329">
        <f ca="1">'ETF variations'!U329/'ETF price'!V330</f>
        <v>-2.6519052523172014E-2</v>
      </c>
      <c r="V329">
        <f ca="1">'ETF variations'!V329/'ETF price'!W330</f>
        <v>-1.7199758599879308E-2</v>
      </c>
      <c r="W329">
        <f ca="1">'ETF variations'!W329/'ETF price'!X330</f>
        <v>-2.0188087774294664E-2</v>
      </c>
      <c r="X329">
        <f ca="1">'ETF variations'!X329/'ETF price'!Y330</f>
        <v>-3.6784741144414206E-2</v>
      </c>
      <c r="Y329">
        <f ca="1">'ETF variations'!Y329/'ETF price'!Z330</f>
        <v>-1.8566552901023884E-2</v>
      </c>
      <c r="Z329">
        <f ca="1">'ETF variations'!Z329/'ETF price'!AA330</f>
        <v>-9.1693635382954775E-3</v>
      </c>
      <c r="AA329">
        <f ca="1">'ETF variations'!AA329/'ETF price'!AB330</f>
        <v>-4.2144696792320399E-2</v>
      </c>
      <c r="AB329">
        <f ca="1">'ETF variations'!AB329/'ETF price'!AC330</f>
        <v>1.3817607579944786E-2</v>
      </c>
      <c r="AC329">
        <f ca="1">'ETF variations'!AC329/'ETF price'!AD330</f>
        <v>6.5420560747663824E-3</v>
      </c>
      <c r="AD329">
        <f ca="1">'ETF variations'!AD329/'ETF price'!AE330</f>
        <v>8.5995085995086342E-3</v>
      </c>
      <c r="AE329">
        <f ca="1">'ETF variations'!AE329/'ETF price'!AF330</f>
        <v>2.3437500000000021E-2</v>
      </c>
      <c r="AF329">
        <f ca="1">'ETF variations'!AF329/'ETF price'!AG330</f>
        <v>-1.1235955056179775E-2</v>
      </c>
    </row>
    <row r="330" spans="1:32" x14ac:dyDescent="0.2">
      <c r="A330">
        <f ca="1">'ETF variations'!A330/'ETF price'!B331</f>
        <v>1.4864207821073937E-2</v>
      </c>
      <c r="B330">
        <f ca="1">'ETF variations'!B330/'ETF price'!C331</f>
        <v>1.3300760043431146E-2</v>
      </c>
      <c r="C330">
        <f ca="1">'ETF variations'!C330/'ETF price'!D331</f>
        <v>1.3972484952708023E-3</v>
      </c>
      <c r="D330">
        <f ca="1">'ETF variations'!D330/'ETF price'!E331</f>
        <v>5.3115882396948307E-3</v>
      </c>
      <c r="E330">
        <f ca="1">'ETF variations'!E330/'ETF price'!F331</f>
        <v>-2.8837622005322863E-3</v>
      </c>
      <c r="F330">
        <f ca="1">'ETF variations'!F330/'ETF price'!G331</f>
        <v>-3.6555645816409364E-3</v>
      </c>
      <c r="G330">
        <f ca="1">'ETF variations'!G330/'ETF price'!H331</f>
        <v>-5.7400574005740286E-3</v>
      </c>
      <c r="H330">
        <f ca="1">'ETF variations'!H330/'ETF price'!I331</f>
        <v>-1.4220492478107968E-2</v>
      </c>
      <c r="I330">
        <f ca="1">'ETF variations'!I330/'ETF price'!J331</f>
        <v>-1.3026663952778413E-2</v>
      </c>
      <c r="J330">
        <f ca="1">'ETF variations'!J330/'ETF price'!K331</f>
        <v>-1.3486590038314107E-2</v>
      </c>
      <c r="K330">
        <f ca="1">'ETF variations'!K330/'ETF price'!L331</f>
        <v>-8.2489688788902737E-3</v>
      </c>
      <c r="L330">
        <f ca="1">'ETF variations'!L330/'ETF price'!M331</f>
        <v>-1.1299435028248633E-2</v>
      </c>
      <c r="M330">
        <f ca="1">'ETF variations'!M330/'ETF price'!N331</f>
        <v>-1.3255483667350423E-2</v>
      </c>
      <c r="N330">
        <f ca="1">'ETF variations'!N330/'ETF price'!O331</f>
        <v>-7.6557003931305078E-3</v>
      </c>
      <c r="O330">
        <f ca="1">'ETF variations'!O330/'ETF price'!P331</f>
        <v>-1.334750767776985E-2</v>
      </c>
      <c r="P330">
        <f ca="1">'ETF variations'!P330/'ETF price'!Q331</f>
        <v>-1.3105707880669169E-2</v>
      </c>
      <c r="Q330">
        <f ca="1">'ETF variations'!Q330/'ETF price'!R331</f>
        <v>-1.1825386841112062E-2</v>
      </c>
      <c r="R330">
        <f ca="1">'ETF variations'!R330/'ETF price'!S331</f>
        <v>-1.1393692777212517E-2</v>
      </c>
      <c r="S330">
        <f ca="1">'ETF variations'!S330/'ETF price'!T331</f>
        <v>-1.5209125475285296E-2</v>
      </c>
      <c r="T330">
        <f ca="1">'ETF variations'!T330/'ETF price'!U331</f>
        <v>-3.3422064477965176E-2</v>
      </c>
      <c r="U330">
        <f ca="1">'ETF variations'!U330/'ETF price'!V331</f>
        <v>-5.5144141761438795E-2</v>
      </c>
      <c r="V330">
        <f ca="1">'ETF variations'!V330/'ETF price'!W331</f>
        <v>-9.5179613140927936E-3</v>
      </c>
      <c r="W330">
        <f ca="1">'ETF variations'!W330/'ETF price'!X331</f>
        <v>-1.0110058868697289E-2</v>
      </c>
      <c r="X330">
        <f ca="1">'ETF variations'!X330/'ETF price'!Y331</f>
        <v>4.2432814710042033E-3</v>
      </c>
      <c r="Y330">
        <f ca="1">'ETF variations'!Y330/'ETF price'!Z331</f>
        <v>-1.0849909584086815E-2</v>
      </c>
      <c r="Z330">
        <f ca="1">'ETF variations'!Z330/'ETF price'!AA331</f>
        <v>-8.165487207403491E-3</v>
      </c>
      <c r="AA330">
        <f ca="1">'ETF variations'!AA330/'ETF price'!AB331</f>
        <v>6.1109753116597417E-3</v>
      </c>
      <c r="AB330">
        <f ca="1">'ETF variations'!AB330/'ETF price'!AC331</f>
        <v>-5.0623052959501173E-3</v>
      </c>
      <c r="AC330">
        <f ca="1">'ETF variations'!AC330/'ETF price'!AD331</f>
        <v>9.2850510677808407E-3</v>
      </c>
      <c r="AD330">
        <f ca="1">'ETF variations'!AD330/'ETF price'!AE331</f>
        <v>1.0962241169305706E-2</v>
      </c>
      <c r="AE330">
        <f ca="1">'ETF variations'!AE330/'ETF price'!AF331</f>
        <v>1.1450381679389238E-2</v>
      </c>
      <c r="AF330">
        <f ca="1">'ETF variations'!AF330/'ETF price'!AG331</f>
        <v>2.8181818181818228E-2</v>
      </c>
    </row>
    <row r="331" spans="1:32" x14ac:dyDescent="0.2">
      <c r="A331">
        <f ca="1">'ETF variations'!A331/'ETF price'!B332</f>
        <v>2.1216891383204393E-2</v>
      </c>
      <c r="B331">
        <f ca="1">'ETF variations'!B331/'ETF price'!C332</f>
        <v>1.8939190999196338E-2</v>
      </c>
      <c r="C331">
        <f ca="1">'ETF variations'!C331/'ETF price'!D332</f>
        <v>-1.051840721262213E-2</v>
      </c>
      <c r="D331">
        <f ca="1">'ETF variations'!D331/'ETF price'!E332</f>
        <v>4.2417026343205327E-3</v>
      </c>
      <c r="E331">
        <f ca="1">'ETF variations'!E331/'ETF price'!F332</f>
        <v>1.245828698553938E-2</v>
      </c>
      <c r="F331">
        <f ca="1">'ETF variations'!F331/'ETF price'!G332</f>
        <v>1.9160211985324044E-2</v>
      </c>
      <c r="G331">
        <f ca="1">'ETF variations'!G331/'ETF price'!H332</f>
        <v>1.4845360824742245E-2</v>
      </c>
      <c r="H331">
        <f ca="1">'ETF variations'!H331/'ETF price'!I332</f>
        <v>5.2387821729557183E-3</v>
      </c>
      <c r="I331">
        <f ca="1">'ETF variations'!I331/'ETF price'!J332</f>
        <v>4.4545267065374825E-3</v>
      </c>
      <c r="J331">
        <f ca="1">'ETF variations'!J331/'ETF price'!K332</f>
        <v>3.5730930557711627E-3</v>
      </c>
      <c r="K331">
        <f ca="1">'ETF variations'!K331/'ETF price'!L332</f>
        <v>-6.9313169502205063E-3</v>
      </c>
      <c r="L331">
        <f ca="1">'ETF variations'!L331/'ETF price'!M332</f>
        <v>6.530612244897936E-3</v>
      </c>
      <c r="M331">
        <f ca="1">'ETF variations'!M331/'ETF price'!N332</f>
        <v>4.3179273948504076E-3</v>
      </c>
      <c r="N331">
        <f ca="1">'ETF variations'!N331/'ETF price'!O332</f>
        <v>4.3786488740617359E-3</v>
      </c>
      <c r="O331">
        <f ca="1">'ETF variations'!O331/'ETF price'!P332</f>
        <v>3.5915240033520552E-3</v>
      </c>
      <c r="P331">
        <f ca="1">'ETF variations'!P331/'ETF price'!Q332</f>
        <v>5.3293727066223958E-3</v>
      </c>
      <c r="Q331">
        <f ca="1">'ETF variations'!Q331/'ETF price'!R332</f>
        <v>1.3621896880967632E-2</v>
      </c>
      <c r="R331">
        <f ca="1">'ETF variations'!R331/'ETF price'!S332</f>
        <v>1.8522329697468583E-2</v>
      </c>
      <c r="S331">
        <f ca="1">'ETF variations'!S331/'ETF price'!T332</f>
        <v>1.2870012870013357E-3</v>
      </c>
      <c r="T331">
        <f ca="1">'ETF variations'!T331/'ETF price'!U332</f>
        <v>6.8849449204406799E-3</v>
      </c>
      <c r="U331">
        <f ca="1">'ETF variations'!U331/'ETF price'!V332</f>
        <v>1.8194541637508707E-2</v>
      </c>
      <c r="V331">
        <f ca="1">'ETF variations'!V331/'ETF price'!W332</f>
        <v>1.6119032858028615E-2</v>
      </c>
      <c r="W331">
        <f ca="1">'ETF variations'!W331/'ETF price'!X332</f>
        <v>1.6936005171299319E-2</v>
      </c>
      <c r="X331">
        <f ca="1">'ETF variations'!X331/'ETF price'!Y332</f>
        <v>1.8028169014084522E-2</v>
      </c>
      <c r="Y331">
        <f ca="1">'ETF variations'!Y331/'ETF price'!Z332</f>
        <v>1.7015890873294807E-2</v>
      </c>
      <c r="Z331">
        <f ca="1">'ETF variations'!Z331/'ETF price'!AA332</f>
        <v>2.4149286498353531E-2</v>
      </c>
      <c r="AA331">
        <f ca="1">'ETF variations'!AA331/'ETF price'!AB332</f>
        <v>1.8707482993197355E-2</v>
      </c>
      <c r="AB331">
        <f ca="1">'ETF variations'!AB331/'ETF price'!AC332</f>
        <v>-2.6810176125244705E-2</v>
      </c>
      <c r="AC331">
        <f ca="1">'ETF variations'!AC331/'ETF price'!AD332</f>
        <v>6.7157313707451746E-2</v>
      </c>
      <c r="AD331">
        <f ca="1">'ETF variations'!AD331/'ETF price'!AE332</f>
        <v>6.6265060240963722E-2</v>
      </c>
      <c r="AE331">
        <f ca="1">'ETF variations'!AE331/'ETF price'!AF332</f>
        <v>-1.886792452830182E-2</v>
      </c>
      <c r="AF331">
        <f ca="1">'ETF variations'!AF331/'ETF price'!AG332</f>
        <v>3.8461538461538346E-2</v>
      </c>
    </row>
    <row r="332" spans="1:32" x14ac:dyDescent="0.2">
      <c r="A332">
        <f ca="1">'ETF variations'!A332/'ETF price'!B333</f>
        <v>1.0857181154078174E-2</v>
      </c>
      <c r="B332">
        <f ca="1">'ETF variations'!B332/'ETF price'!C333</f>
        <v>1.0489786260746139E-2</v>
      </c>
      <c r="C332">
        <f ca="1">'ETF variations'!C332/'ETF price'!D333</f>
        <v>-7.8099576960624674E-3</v>
      </c>
      <c r="D332">
        <f ca="1">'ETF variations'!D332/'ETF price'!E333</f>
        <v>1.8006669136717356E-2</v>
      </c>
      <c r="E332">
        <f ca="1">'ETF variations'!E332/'ETF price'!F333</f>
        <v>-1.3183915622940044E-2</v>
      </c>
      <c r="F332">
        <f ca="1">'ETF variations'!F332/'ETF price'!G333</f>
        <v>-3.5999999999999943E-3</v>
      </c>
      <c r="G332">
        <f ca="1">'ETF variations'!G332/'ETF price'!H333</f>
        <v>9.3457943925233829E-3</v>
      </c>
      <c r="H332">
        <f ca="1">'ETF variations'!H332/'ETF price'!I333</f>
        <v>8.5347432024168845E-3</v>
      </c>
      <c r="I332">
        <f ca="1">'ETF variations'!I332/'ETF price'!J333</f>
        <v>9.074857307107987E-3</v>
      </c>
      <c r="J332">
        <f ca="1">'ETF variations'!J332/'ETF price'!K333</f>
        <v>1.0139318885448934E-2</v>
      </c>
      <c r="K332">
        <f ca="1">'ETF variations'!K332/'ETF price'!L333</f>
        <v>1.7766497461929008E-2</v>
      </c>
      <c r="L332">
        <f ca="1">'ETF variations'!L332/'ETF price'!M333</f>
        <v>1.5409570154095747E-2</v>
      </c>
      <c r="M332">
        <f ca="1">'ETF variations'!M332/'ETF price'!N333</f>
        <v>8.7579617834395579E-3</v>
      </c>
      <c r="N332">
        <f ca="1">'ETF variations'!N332/'ETF price'!O333</f>
        <v>1.8061033838488633E-2</v>
      </c>
      <c r="O332">
        <f ca="1">'ETF variations'!O332/'ETF price'!P333</f>
        <v>1.5507574853870896E-2</v>
      </c>
      <c r="P332">
        <f ca="1">'ETF variations'!P332/'ETF price'!Q333</f>
        <v>1.6250977665768704E-2</v>
      </c>
      <c r="Q332">
        <f ca="1">'ETF variations'!Q332/'ETF price'!R333</f>
        <v>1.1680482290881594E-2</v>
      </c>
      <c r="R332">
        <f ca="1">'ETF variations'!R332/'ETF price'!S333</f>
        <v>-1.8185492018590302E-3</v>
      </c>
      <c r="S332">
        <f ca="1">'ETF variations'!S332/'ETF price'!T333</f>
        <v>9.4258783204798149E-3</v>
      </c>
      <c r="T332">
        <f ca="1">'ETF variations'!T332/'ETF price'!U333</f>
        <v>2.56799878437927E-2</v>
      </c>
      <c r="U332">
        <f ca="1">'ETF variations'!U332/'ETF price'!V333</f>
        <v>-1.0446735395189075E-2</v>
      </c>
      <c r="V332">
        <f ca="1">'ETF variations'!V332/'ETF price'!W333</f>
        <v>1.1897498474679699E-2</v>
      </c>
      <c r="W332">
        <f ca="1">'ETF variations'!W332/'ETF price'!X333</f>
        <v>1.169590643274856E-2</v>
      </c>
      <c r="X332">
        <f ca="1">'ETF variations'!X332/'ETF price'!Y333</f>
        <v>1.3558384061981239E-2</v>
      </c>
      <c r="Y332">
        <f ca="1">'ETF variations'!Y332/'ETF price'!Z333</f>
        <v>1.1753318584070915E-2</v>
      </c>
      <c r="Z332">
        <f ca="1">'ETF variations'!Z332/'ETF price'!AA333</f>
        <v>1.1521972132904601E-2</v>
      </c>
      <c r="AA332">
        <f ca="1">'ETF variations'!AA332/'ETF price'!AB333</f>
        <v>1.740996899594555E-2</v>
      </c>
      <c r="AB332">
        <f ca="1">'ETF variations'!AB332/'ETF price'!AC333</f>
        <v>-1.3472752865473449E-2</v>
      </c>
      <c r="AC332">
        <f ca="1">'ETF variations'!AC332/'ETF price'!AD333</f>
        <v>-1.551724137931032E-2</v>
      </c>
      <c r="AD332">
        <f ca="1">'ETF variations'!AD332/'ETF price'!AE333</f>
        <v>-1.6384180790960403E-2</v>
      </c>
      <c r="AE332">
        <f ca="1">'ETF variations'!AE332/'ETF price'!AF333</f>
        <v>-4.9999999999999954E-2</v>
      </c>
      <c r="AF332">
        <f ca="1">'ETF variations'!AF332/'ETF price'!AG333</f>
        <v>-2.9799914857384733E-3</v>
      </c>
    </row>
    <row r="333" spans="1:32" x14ac:dyDescent="0.2">
      <c r="A333">
        <f ca="1">'ETF variations'!A333/'ETF price'!B334</f>
        <v>5.9669826957485235E-4</v>
      </c>
      <c r="B333">
        <f ca="1">'ETF variations'!B333/'ETF price'!C334</f>
        <v>1.0406910188364483E-3</v>
      </c>
      <c r="C333">
        <f ca="1">'ETF variations'!C333/'ETF price'!D334</f>
        <v>-4.3730184760031234E-3</v>
      </c>
      <c r="D333">
        <f ca="1">'ETF variations'!D333/'ETF price'!E334</f>
        <v>9.0260591061290512E-3</v>
      </c>
      <c r="E333">
        <f ca="1">'ETF variations'!E333/'ETF price'!F334</f>
        <v>-6.4573591627699661E-3</v>
      </c>
      <c r="F333">
        <f ca="1">'ETF variations'!F333/'ETF price'!G334</f>
        <v>8.4303492573264086E-3</v>
      </c>
      <c r="G333">
        <f ca="1">'ETF variations'!G333/'ETF price'!H334</f>
        <v>2.8180354267310906E-3</v>
      </c>
      <c r="H333">
        <f ca="1">'ETF variations'!H333/'ETF price'!I334</f>
        <v>5.1673781172769991E-3</v>
      </c>
      <c r="I333">
        <f ca="1">'ETF variations'!I333/'ETF price'!J334</f>
        <v>6.3074794498249485E-3</v>
      </c>
      <c r="J333">
        <f ca="1">'ETF variations'!J333/'ETF price'!K334</f>
        <v>7.8921155467014115E-3</v>
      </c>
      <c r="K333">
        <f ca="1">'ETF variations'!K333/'ETF price'!L334</f>
        <v>2.3316708229426313E-2</v>
      </c>
      <c r="L333">
        <f ca="1">'ETF variations'!L333/'ETF price'!M334</f>
        <v>1.1980830670926517E-2</v>
      </c>
      <c r="M333">
        <f ca="1">'ETF variations'!M333/'ETF price'!N334</f>
        <v>6.3141278610891645E-3</v>
      </c>
      <c r="N333">
        <f ca="1">'ETF variations'!N333/'ETF price'!O334</f>
        <v>9.787928221859787E-3</v>
      </c>
      <c r="O333">
        <f ca="1">'ETF variations'!O333/'ETF price'!P334</f>
        <v>-1.1276870668389449E-2</v>
      </c>
      <c r="P333">
        <f ca="1">'ETF variations'!P333/'ETF price'!Q334</f>
        <v>-1.1202325979134618E-2</v>
      </c>
      <c r="Q333">
        <f ca="1">'ETF variations'!Q333/'ETF price'!R334</f>
        <v>-4.9658597144620789E-4</v>
      </c>
      <c r="R333">
        <f ca="1">'ETF variations'!R333/'ETF price'!S334</f>
        <v>-1.1943319838056606E-2</v>
      </c>
      <c r="S333">
        <f ca="1">'ETF variations'!S333/'ETF price'!T334</f>
        <v>-8.4889643463497162E-3</v>
      </c>
      <c r="T333">
        <f ca="1">'ETF variations'!T333/'ETF price'!U334</f>
        <v>-1.4074074074074116E-2</v>
      </c>
      <c r="U333">
        <f ca="1">'ETF variations'!U333/'ETF price'!V334</f>
        <v>-1.1946103625503536E-2</v>
      </c>
      <c r="V333">
        <f ca="1">'ETF variations'!V333/'ETF price'!W334</f>
        <v>-2.7132951462165633E-3</v>
      </c>
      <c r="W333">
        <f ca="1">'ETF variations'!W333/'ETF price'!X334</f>
        <v>-3.7697914048755612E-3</v>
      </c>
      <c r="X333">
        <f ca="1">'ETF variations'!X333/'ETF price'!Y334</f>
        <v>-2.2113022113022174E-2</v>
      </c>
      <c r="Y333">
        <f ca="1">'ETF variations'!Y333/'ETF price'!Z334</f>
        <v>-2.7333606669400416E-3</v>
      </c>
      <c r="Z333">
        <f ca="1">'ETF variations'!Z333/'ETF price'!AA334</f>
        <v>-9.2715231788079843E-3</v>
      </c>
      <c r="AA333">
        <f ca="1">'ETF variations'!AA333/'ETF price'!AB334</f>
        <v>-2.8129395218002715E-2</v>
      </c>
      <c r="AB333">
        <f ca="1">'ETF variations'!AB333/'ETF price'!AC334</f>
        <v>-1.8548715858132971E-2</v>
      </c>
      <c r="AC333">
        <f ca="1">'ETF variations'!AC333/'ETF price'!AD334</f>
        <v>-5.4290718038528828E-2</v>
      </c>
      <c r="AD333">
        <f ca="1">'ETF variations'!AD333/'ETF price'!AE334</f>
        <v>-7.6392877656519351E-2</v>
      </c>
      <c r="AE333">
        <f ca="1">'ETF variations'!AE333/'ETF price'!AF334</f>
        <v>3.6437246963562694E-2</v>
      </c>
      <c r="AF333">
        <f ca="1">'ETF variations'!AF333/'ETF price'!AG334</f>
        <v>-5.6362083689154574E-2</v>
      </c>
    </row>
    <row r="334" spans="1:32" x14ac:dyDescent="0.2">
      <c r="A334">
        <f ca="1">'ETF variations'!A334/'ETF price'!B335</f>
        <v>-9.3426981182083008E-3</v>
      </c>
      <c r="B334">
        <f ca="1">'ETF variations'!B334/'ETF price'!C335</f>
        <v>-1.1201788127664005E-2</v>
      </c>
      <c r="C334">
        <f ca="1">'ETF variations'!C334/'ETF price'!D335</f>
        <v>2.2400351378060901E-2</v>
      </c>
      <c r="D334">
        <f ca="1">'ETF variations'!D334/'ETF price'!E335</f>
        <v>-7.1418265762516883E-3</v>
      </c>
      <c r="E334">
        <f ca="1">'ETF variations'!E334/'ETF price'!F335</f>
        <v>-2.398027790228598E-2</v>
      </c>
      <c r="F334">
        <f ca="1">'ETF variations'!F334/'ETF price'!G335</f>
        <v>-1.3535031847133751E-2</v>
      </c>
      <c r="G334">
        <f ca="1">'ETF variations'!G334/'ETF price'!H335</f>
        <v>-1.3649136892814126E-2</v>
      </c>
      <c r="H334">
        <f ca="1">'ETF variations'!H334/'ETF price'!I335</f>
        <v>-4.3212635970795148E-3</v>
      </c>
      <c r="I334">
        <f ca="1">'ETF variations'!I334/'ETF price'!J335</f>
        <v>-6.9149581463058742E-3</v>
      </c>
      <c r="J334">
        <f ca="1">'ETF variations'!J334/'ETF price'!K335</f>
        <v>-1.3151892960316177E-2</v>
      </c>
      <c r="K334">
        <f ca="1">'ETF variations'!K334/'ETF price'!L335</f>
        <v>-2.851224564396234E-2</v>
      </c>
      <c r="L334">
        <f ca="1">'ETF variations'!L334/'ETF price'!M335</f>
        <v>-1.7837411207576995E-2</v>
      </c>
      <c r="M334">
        <f ca="1">'ETF variations'!M334/'ETF price'!N335</f>
        <v>-6.9019607843136899E-3</v>
      </c>
      <c r="N334">
        <f ca="1">'ETF variations'!N334/'ETF price'!O335</f>
        <v>-2.2617124394184257E-2</v>
      </c>
      <c r="O334">
        <f ca="1">'ETF variations'!O334/'ETF price'!P335</f>
        <v>-4.3483426398954458E-2</v>
      </c>
      <c r="P334">
        <f ca="1">'ETF variations'!P334/'ETF price'!Q335</f>
        <v>-4.2895442359249275E-2</v>
      </c>
      <c r="Q334">
        <f ca="1">'ETF variations'!Q334/'ETF price'!R335</f>
        <v>-9.6882374860265946E-3</v>
      </c>
      <c r="R334">
        <f ca="1">'ETF variations'!R334/'ETF price'!S335</f>
        <v>-2.2536365498873065E-3</v>
      </c>
      <c r="S334">
        <f ca="1">'ETF variations'!S334/'ETF price'!T335</f>
        <v>-2.2688356164383611E-2</v>
      </c>
      <c r="T334">
        <f ca="1">'ETF variations'!T334/'ETF price'!U335</f>
        <v>-5.2592036063110442E-2</v>
      </c>
      <c r="U334">
        <f ca="1">'ETF variations'!U334/'ETF price'!V335</f>
        <v>-3.2616336285674022E-2</v>
      </c>
      <c r="V334">
        <f ca="1">'ETF variations'!V334/'ETF price'!W335</f>
        <v>-2.2672309552599759E-2</v>
      </c>
      <c r="W334">
        <f ca="1">'ETF variations'!W334/'ETF price'!X335</f>
        <v>-2.648839556004029E-2</v>
      </c>
      <c r="X334">
        <f ca="1">'ETF variations'!X334/'ETF price'!Y335</f>
        <v>-5.1926298157453921E-2</v>
      </c>
      <c r="Y334">
        <f ca="1">'ETF variations'!Y334/'ETF price'!Z335</f>
        <v>-2.453062902562686E-2</v>
      </c>
      <c r="Z334">
        <f ca="1">'ETF variations'!Z334/'ETF price'!AA335</f>
        <v>-1.7112299465240656E-2</v>
      </c>
      <c r="AA334">
        <f ca="1">'ETF variations'!AA334/'ETF price'!AB335</f>
        <v>-6.271104679208879E-2</v>
      </c>
      <c r="AB334">
        <f ca="1">'ETF variations'!AB334/'ETF price'!AC335</f>
        <v>2.9075804776739326E-2</v>
      </c>
      <c r="AC334">
        <f ca="1">'ETF variations'!AC334/'ETF price'!AD335</f>
        <v>3.3333333333333277E-2</v>
      </c>
      <c r="AD334">
        <f ca="1">'ETF variations'!AD334/'ETF price'!AE335</f>
        <v>3.4825870646766316E-2</v>
      </c>
      <c r="AE334">
        <f ca="1">'ETF variations'!AE334/'ETF price'!AF335</f>
        <v>0</v>
      </c>
      <c r="AF334">
        <f ca="1">'ETF variations'!AF334/'ETF price'!AG335</f>
        <v>3.2579185520361938E-2</v>
      </c>
    </row>
    <row r="335" spans="1:32" x14ac:dyDescent="0.2">
      <c r="A335">
        <f ca="1">'ETF variations'!A335/'ETF price'!B336</f>
        <v>-8.4275299311082266E-3</v>
      </c>
      <c r="B335">
        <f ca="1">'ETF variations'!B335/'ETF price'!C336</f>
        <v>-7.0705743198843417E-3</v>
      </c>
      <c r="C335">
        <f ca="1">'ETF variations'!C335/'ETF price'!D336</f>
        <v>3.7589947374073065E-3</v>
      </c>
      <c r="D335">
        <f ca="1">'ETF variations'!D335/'ETF price'!E336</f>
        <v>-1.1480055220518667E-2</v>
      </c>
      <c r="E335">
        <f ca="1">'ETF variations'!E335/'ETF price'!F336</f>
        <v>1.3777267508611314E-3</v>
      </c>
      <c r="F335">
        <f ca="1">'ETF variations'!F335/'ETF price'!G336</f>
        <v>3.2284100080709559E-3</v>
      </c>
      <c r="G335">
        <f ca="1">'ETF variations'!G335/'ETF price'!H336</f>
        <v>-4.0700040700047062E-4</v>
      </c>
      <c r="H335">
        <f ca="1">'ETF variations'!H335/'ETF price'!I336</f>
        <v>-1.3469021251120803E-3</v>
      </c>
      <c r="I335">
        <f ca="1">'ETF variations'!I335/'ETF price'!J336</f>
        <v>1.1808779216548255E-3</v>
      </c>
      <c r="J335">
        <f ca="1">'ETF variations'!J335/'ETF price'!K336</f>
        <v>6.7021030737231691E-3</v>
      </c>
      <c r="K335">
        <f ca="1">'ETF variations'!K335/'ETF price'!L336</f>
        <v>4.364730967013658E-2</v>
      </c>
      <c r="L335">
        <f ca="1">'ETF variations'!L335/'ETF price'!M336</f>
        <v>3.857280617164931E-3</v>
      </c>
      <c r="M335">
        <f ca="1">'ETF variations'!M335/'ETF price'!N336</f>
        <v>1.4215763702416096E-3</v>
      </c>
      <c r="N335">
        <f ca="1">'ETF variations'!N335/'ETF price'!O336</f>
        <v>2.7272727272727278E-2</v>
      </c>
      <c r="O335">
        <f ca="1">'ETF variations'!O335/'ETF price'!P336</f>
        <v>-1.887964228046218E-2</v>
      </c>
      <c r="P335">
        <f ca="1">'ETF variations'!P335/'ETF price'!Q336</f>
        <v>-1.9517484413120057E-2</v>
      </c>
      <c r="Q335">
        <f ca="1">'ETF variations'!Q335/'ETF price'!R336</f>
        <v>-1.1037250721184116E-2</v>
      </c>
      <c r="R335">
        <f ca="1">'ETF variations'!R335/'ETF price'!S336</f>
        <v>-1.0266940451745379E-2</v>
      </c>
      <c r="S335">
        <f ca="1">'ETF variations'!S335/'ETF price'!T336</f>
        <v>-1.2702584318878631E-2</v>
      </c>
      <c r="T335">
        <f ca="1">'ETF variations'!T335/'ETF price'!U336</f>
        <v>-4.3457573354480493E-2</v>
      </c>
      <c r="U335">
        <f ca="1">'ETF variations'!U335/'ETF price'!V336</f>
        <v>-1.4532771399507125E-3</v>
      </c>
      <c r="V335">
        <f ca="1">'ETF variations'!V335/'ETF price'!W336</f>
        <v>-1.1444478812248606E-2</v>
      </c>
      <c r="W335">
        <f ca="1">'ETF variations'!W335/'ETF price'!X336</f>
        <v>-1.3086291785436707E-2</v>
      </c>
      <c r="X335">
        <f ca="1">'ETF variations'!X335/'ETF price'!Y336</f>
        <v>-1.6195524146054307E-2</v>
      </c>
      <c r="Y335">
        <f ca="1">'ETF variations'!Y335/'ETF price'!Z336</f>
        <v>-1.3767912334925596E-2</v>
      </c>
      <c r="Z335">
        <f ca="1">'ETF variations'!Z335/'ETF price'!AA336</f>
        <v>-6.2568008705113408E-3</v>
      </c>
      <c r="AA335">
        <f ca="1">'ETF variations'!AA335/'ETF price'!AB336</f>
        <v>-1.8013381369017058E-2</v>
      </c>
      <c r="AB335">
        <f ca="1">'ETF variations'!AB335/'ETF price'!AC336</f>
        <v>-1.009081735620528E-3</v>
      </c>
      <c r="AC335">
        <f ca="1">'ETF variations'!AC335/'ETF price'!AD336</f>
        <v>-1.4336917562724026E-2</v>
      </c>
      <c r="AD335">
        <f ca="1">'ETF variations'!AD335/'ETF price'!AE336</f>
        <v>-1.5625000000000094E-2</v>
      </c>
      <c r="AE335">
        <f ca="1">'ETF variations'!AE335/'ETF price'!AF336</f>
        <v>-3.9062500000000902E-3</v>
      </c>
      <c r="AF335">
        <f ca="1">'ETF variations'!AF335/'ETF price'!AG336</f>
        <v>-2.1034180543383015E-2</v>
      </c>
    </row>
    <row r="336" spans="1:32" x14ac:dyDescent="0.2">
      <c r="A336">
        <f ca="1">'ETF variations'!A336/'ETF price'!B337</f>
        <v>-4.7892074198988737E-3</v>
      </c>
      <c r="B336">
        <f ca="1">'ETF variations'!B336/'ETF price'!C337</f>
        <v>-4.0501905972045024E-3</v>
      </c>
      <c r="C336">
        <f ca="1">'ETF variations'!C336/'ETF price'!D337</f>
        <v>-6.3128611170553094E-3</v>
      </c>
      <c r="D336">
        <f ca="1">'ETF variations'!D336/'ETF price'!E337</f>
        <v>-5.5861815509005456E-3</v>
      </c>
      <c r="E336">
        <f ca="1">'ETF variations'!E336/'ETF price'!F337</f>
        <v>-5.2740197202475782E-3</v>
      </c>
      <c r="F336">
        <f ca="1">'ETF variations'!F336/'ETF price'!G337</f>
        <v>2.4135156878520624E-3</v>
      </c>
      <c r="G336">
        <f ca="1">'ETF variations'!G336/'ETF price'!H337</f>
        <v>-9.7719869706839758E-3</v>
      </c>
      <c r="H336">
        <f ca="1">'ETF variations'!H336/'ETF price'!I337</f>
        <v>-7.9424546680653546E-3</v>
      </c>
      <c r="I336">
        <f ca="1">'ETF variations'!I336/'ETF price'!J337</f>
        <v>-7.442957660552375E-3</v>
      </c>
      <c r="J336">
        <f ca="1">'ETF variations'!J336/'ETF price'!K337</f>
        <v>-2.9078665442301456E-3</v>
      </c>
      <c r="K336">
        <f ca="1">'ETF variations'!K336/'ETF price'!L337</f>
        <v>9.2536954692946788E-3</v>
      </c>
      <c r="L336">
        <f ca="1">'ETF variations'!L336/'ETF price'!M337</f>
        <v>-2.5616394492475776E-3</v>
      </c>
      <c r="M336">
        <f ca="1">'ETF variations'!M336/'ETF price'!N337</f>
        <v>-7.2555205047318749E-3</v>
      </c>
      <c r="N336">
        <f ca="1">'ETF variations'!N336/'ETF price'!O337</f>
        <v>2.1118262268704831E-2</v>
      </c>
      <c r="O336">
        <f ca="1">'ETF variations'!O336/'ETF price'!P337</f>
        <v>-1.1140650715280358E-2</v>
      </c>
      <c r="P336">
        <f ca="1">'ETF variations'!P336/'ETF price'!Q337</f>
        <v>-1.0045157128375296E-2</v>
      </c>
      <c r="Q336">
        <f ca="1">'ETF variations'!Q336/'ETF price'!R337</f>
        <v>-6.4679771718451611E-3</v>
      </c>
      <c r="R336">
        <f ca="1">'ETF variations'!R336/'ETF price'!S337</f>
        <v>-1.9917012448132796E-2</v>
      </c>
      <c r="S336">
        <f ca="1">'ETF variations'!S336/'ETF price'!T337</f>
        <v>3.9929015084294523E-3</v>
      </c>
      <c r="T336">
        <f ca="1">'ETF variations'!T336/'ETF price'!U337</f>
        <v>6.4665892886751871E-3</v>
      </c>
      <c r="U336">
        <f ca="1">'ETF variations'!U336/'ETF price'!V337</f>
        <v>-6.4037258041041737E-3</v>
      </c>
      <c r="V336">
        <f ca="1">'ETF variations'!V336/'ETF price'!W337</f>
        <v>-1.2828535669586989E-2</v>
      </c>
      <c r="W336">
        <f ca="1">'ETF variations'!W336/'ETF price'!X337</f>
        <v>-1.9955363003807222E-2</v>
      </c>
      <c r="X336">
        <f ca="1">'ETF variations'!X336/'ETF price'!Y337</f>
        <v>-4.5196049087099614E-2</v>
      </c>
      <c r="Y336">
        <f ca="1">'ETF variations'!Y336/'ETF price'!Z337</f>
        <v>-1.8376068376068463E-2</v>
      </c>
      <c r="Z336">
        <f ca="1">'ETF variations'!Z336/'ETF price'!AA337</f>
        <v>9.3074185600874985E-3</v>
      </c>
      <c r="AA336">
        <f ca="1">'ETF variations'!AA336/'ETF price'!AB337</f>
        <v>-5.4507337526205409E-2</v>
      </c>
      <c r="AB336">
        <f ca="1">'ETF variations'!AB336/'ETF price'!AC337</f>
        <v>-1.4141414141414198E-3</v>
      </c>
      <c r="AC336">
        <f ca="1">'ETF variations'!AC336/'ETF price'!AD337</f>
        <v>2.1818181818181837E-2</v>
      </c>
      <c r="AD336">
        <f ca="1">'ETF variations'!AD336/'ETF price'!AE337</f>
        <v>2.1978021978021945E-2</v>
      </c>
      <c r="AE336">
        <f ca="1">'ETF variations'!AE336/'ETF price'!AF337</f>
        <v>-1.1764705882352865E-2</v>
      </c>
      <c r="AF336">
        <f ca="1">'ETF variations'!AF336/'ETF price'!AG337</f>
        <v>2.1933751119068864E-2</v>
      </c>
    </row>
    <row r="337" spans="1:32" x14ac:dyDescent="0.2">
      <c r="A337">
        <f ca="1">'ETF variations'!A337/'ETF price'!B338</f>
        <v>2.5077944964077656E-2</v>
      </c>
      <c r="B337">
        <f ca="1">'ETF variations'!B337/'ETF price'!C338</f>
        <v>2.6446588522977935E-2</v>
      </c>
      <c r="C337">
        <f ca="1">'ETF variations'!C337/'ETF price'!D338</f>
        <v>1.518251319048128E-2</v>
      </c>
      <c r="D337">
        <f ca="1">'ETF variations'!D337/'ETF price'!E338</f>
        <v>2.2248503215315393E-2</v>
      </c>
      <c r="E337">
        <f ca="1">'ETF variations'!E337/'ETF price'!F338</f>
        <v>2.4665744582757037E-2</v>
      </c>
      <c r="F337">
        <f ca="1">'ETF variations'!F337/'ETF price'!G338</f>
        <v>1.5248796147672512E-2</v>
      </c>
      <c r="G337">
        <f ca="1">'ETF variations'!G337/'ETF price'!H338</f>
        <v>1.5213815789473725E-2</v>
      </c>
      <c r="H337">
        <f ca="1">'ETF variations'!H337/'ETF price'!I338</f>
        <v>8.9879154078549676E-3</v>
      </c>
      <c r="I337">
        <f ca="1">'ETF variations'!I337/'ETF price'!J338</f>
        <v>1.049008359285364E-2</v>
      </c>
      <c r="J337">
        <f ca="1">'ETF variations'!J337/'ETF price'!K338</f>
        <v>1.243284727551785E-2</v>
      </c>
      <c r="K337">
        <f ca="1">'ETF variations'!K337/'ETF price'!L338</f>
        <v>1.6670635865682203E-2</v>
      </c>
      <c r="L337">
        <f ca="1">'ETF variations'!L337/'ETF price'!M338</f>
        <v>1.4446227929374089E-2</v>
      </c>
      <c r="M337">
        <f ca="1">'ETF variations'!M337/'ETF price'!N338</f>
        <v>9.6917699396250317E-3</v>
      </c>
      <c r="N337">
        <f ca="1">'ETF variations'!N337/'ETF price'!O338</f>
        <v>1.4772503446917469E-2</v>
      </c>
      <c r="O337">
        <f ca="1">'ETF variations'!O337/'ETF price'!P338</f>
        <v>2.7141211112533665E-2</v>
      </c>
      <c r="P337">
        <f ca="1">'ETF variations'!P337/'ETF price'!Q338</f>
        <v>2.8113945261589984E-2</v>
      </c>
      <c r="Q337">
        <f ca="1">'ETF variations'!Q337/'ETF price'!R338</f>
        <v>1.6849629818738741E-2</v>
      </c>
      <c r="R337">
        <f ca="1">'ETF variations'!R337/'ETF price'!S338</f>
        <v>2.6037256562235326E-2</v>
      </c>
      <c r="S337">
        <f ca="1">'ETF variations'!S337/'ETF price'!T338</f>
        <v>2.2536456031816244E-2</v>
      </c>
      <c r="T337">
        <f ca="1">'ETF variations'!T337/'ETF price'!U338</f>
        <v>3.8385502471169654E-2</v>
      </c>
      <c r="U337">
        <f ca="1">'ETF variations'!U337/'ETF price'!V338</f>
        <v>2.8416581221620007E-2</v>
      </c>
      <c r="V337">
        <f ca="1">'ETF variations'!V337/'ETF price'!W338</f>
        <v>2.4722662440570444E-2</v>
      </c>
      <c r="W337">
        <f ca="1">'ETF variations'!W337/'ETF price'!X338</f>
        <v>2.7461486939048856E-2</v>
      </c>
      <c r="X337">
        <f ca="1">'ETF variations'!X337/'ETF price'!Y338</f>
        <v>5.4858934169278999E-2</v>
      </c>
      <c r="Y337">
        <f ca="1">'ETF variations'!Y337/'ETF price'!Z338</f>
        <v>2.5830793789000162E-2</v>
      </c>
      <c r="Z337">
        <f ca="1">'ETF variations'!Z337/'ETF price'!AA338</f>
        <v>1.5459723352318967E-2</v>
      </c>
      <c r="AA337">
        <f ca="1">'ETF variations'!AA337/'ETF price'!AB338</f>
        <v>6.2915742793791668E-2</v>
      </c>
      <c r="AB337">
        <f ca="1">'ETF variations'!AB337/'ETF price'!AC338</f>
        <v>-3.6415132510621024E-3</v>
      </c>
      <c r="AC337">
        <f ca="1">'ETF variations'!AC337/'ETF price'!AD338</f>
        <v>2.5800711743772166E-2</v>
      </c>
      <c r="AD337">
        <f ca="1">'ETF variations'!AD337/'ETF price'!AE338</f>
        <v>2.6881720430107701E-2</v>
      </c>
      <c r="AE337">
        <f ca="1">'ETF variations'!AE337/'ETF price'!AF338</f>
        <v>-7.936507936507943E-3</v>
      </c>
      <c r="AF337">
        <f ca="1">'ETF variations'!AF337/'ETF price'!AG338</f>
        <v>4.6430135786246274E-2</v>
      </c>
    </row>
    <row r="338" spans="1:32" x14ac:dyDescent="0.2">
      <c r="A338">
        <f ca="1">'ETF variations'!A338/'ETF price'!B339</f>
        <v>-5.289605924359462E-4</v>
      </c>
      <c r="B338">
        <f ca="1">'ETF variations'!B338/'ETF price'!C339</f>
        <v>1.0616810813609409E-3</v>
      </c>
      <c r="C338">
        <f ca="1">'ETF variations'!C338/'ETF price'!D339</f>
        <v>8.4853627492573495E-4</v>
      </c>
      <c r="D338">
        <f ca="1">'ETF variations'!D338/'ETF price'!E339</f>
        <v>4.1937816341285905E-3</v>
      </c>
      <c r="E338">
        <f ca="1">'ETF variations'!E338/'ETF price'!F339</f>
        <v>1.8672665916760367E-2</v>
      </c>
      <c r="F338">
        <f ca="1">'ETF variations'!F338/'ETF price'!G339</f>
        <v>7.9051383399207794E-4</v>
      </c>
      <c r="G338">
        <f ca="1">'ETF variations'!G338/'ETF price'!H339</f>
        <v>8.1004455245036746E-4</v>
      </c>
      <c r="H338">
        <f ca="1">'ETF variations'!H338/'ETF price'!I339</f>
        <v>-2.1708211692491358E-3</v>
      </c>
      <c r="I338">
        <f ca="1">'ETF variations'!I338/'ETF price'!J339</f>
        <v>-3.0413625304136255E-3</v>
      </c>
      <c r="J338">
        <f ca="1">'ETF variations'!J338/'ETF price'!K339</f>
        <v>-8.1109763493025563E-3</v>
      </c>
      <c r="K338">
        <f ca="1">'ETF variations'!K338/'ETF price'!L339</f>
        <v>-4.4506910283438218E-3</v>
      </c>
      <c r="L338">
        <f ca="1">'ETF variations'!L338/'ETF price'!M339</f>
        <v>-1.5189873417721532E-2</v>
      </c>
      <c r="M338">
        <f ca="1">'ETF variations'!M338/'ETF price'!N339</f>
        <v>-2.5177025963807492E-3</v>
      </c>
      <c r="N338">
        <f ca="1">'ETF variations'!N338/'ETF price'!O339</f>
        <v>-1.1645962732919282E-2</v>
      </c>
      <c r="O338">
        <f ca="1">'ETF variations'!O338/'ETF price'!P339</f>
        <v>0</v>
      </c>
      <c r="P338">
        <f ca="1">'ETF variations'!P338/'ETF price'!Q339</f>
        <v>6.3382832307141783E-4</v>
      </c>
      <c r="Q338">
        <f ca="1">'ETF variations'!Q338/'ETF price'!R339</f>
        <v>-3.2638714536780181E-3</v>
      </c>
      <c r="R338">
        <f ca="1">'ETF variations'!R338/'ETF price'!S339</f>
        <v>6.1893955023726898E-3</v>
      </c>
      <c r="S338">
        <f ca="1">'ETF variations'!S338/'ETF price'!T339</f>
        <v>4.753673292999111E-3</v>
      </c>
      <c r="T338">
        <f ca="1">'ETF variations'!T338/'ETF price'!U339</f>
        <v>1.9514516896715912E-2</v>
      </c>
      <c r="U338">
        <f ca="1">'ETF variations'!U338/'ETF price'!V339</f>
        <v>-3.7031761857283995E-3</v>
      </c>
      <c r="V338">
        <f ca="1">'ETF variations'!V338/'ETF price'!W339</f>
        <v>1.5465511908445489E-3</v>
      </c>
      <c r="W338">
        <f ca="1">'ETF variations'!W338/'ETF price'!X339</f>
        <v>-2.607561929595309E-4</v>
      </c>
      <c r="X338">
        <f ca="1">'ETF variations'!X338/'ETF price'!Y339</f>
        <v>-1.1292719167904768E-2</v>
      </c>
      <c r="Y338">
        <f ca="1">'ETF variations'!Y338/'ETF price'!Z339</f>
        <v>1.5560899702928199E-3</v>
      </c>
      <c r="Z338">
        <f ca="1">'ETF variations'!Z338/'ETF price'!AA339</f>
        <v>-6.944444444444392E-3</v>
      </c>
      <c r="AA338">
        <f ca="1">'ETF variations'!AA338/'ETF price'!AB339</f>
        <v>-2.0078226857887956E-2</v>
      </c>
      <c r="AB338">
        <f ca="1">'ETF variations'!AB338/'ETF price'!AC339</f>
        <v>-3.248730964466936E-3</v>
      </c>
      <c r="AC338">
        <f ca="1">'ETF variations'!AC338/'ETF price'!AD339</f>
        <v>-7.8924544666088475E-2</v>
      </c>
      <c r="AD338">
        <f ca="1">'ETF variations'!AD338/'ETF price'!AE339</f>
        <v>-8.0279232111692883E-2</v>
      </c>
      <c r="AE338">
        <f ca="1">'ETF variations'!AE338/'ETF price'!AF339</f>
        <v>1.1999999999999922E-2</v>
      </c>
      <c r="AF338">
        <f ca="1">'ETF variations'!AF338/'ETF price'!AG339</f>
        <v>-3.8928421933863526E-2</v>
      </c>
    </row>
    <row r="339" spans="1:32" x14ac:dyDescent="0.2">
      <c r="A339">
        <f ca="1">'ETF variations'!A339/'ETF price'!B340</f>
        <v>-7.6739878274675617E-3</v>
      </c>
      <c r="B339">
        <f ca="1">'ETF variations'!B339/'ETF price'!C340</f>
        <v>-7.2686825836157229E-3</v>
      </c>
      <c r="C339">
        <f ca="1">'ETF variations'!C339/'ETF price'!D340</f>
        <v>-2.1195421788893901E-3</v>
      </c>
      <c r="D339">
        <f ca="1">'ETF variations'!D339/'ETF price'!E340</f>
        <v>-1.6993087557603582E-2</v>
      </c>
      <c r="E339">
        <f ca="1">'ETF variations'!E339/'ETF price'!F340</f>
        <v>-2.2084805653705853E-4</v>
      </c>
      <c r="F339">
        <f ca="1">'ETF variations'!F339/'ETF price'!G340</f>
        <v>-1.5797788309636315E-3</v>
      </c>
      <c r="G339">
        <f ca="1">'ETF variations'!G339/'ETF price'!H340</f>
        <v>-6.8798057466613396E-3</v>
      </c>
      <c r="H339">
        <f ca="1">'ETF variations'!H339/'ETF price'!I340</f>
        <v>-6.6766691672919334E-3</v>
      </c>
      <c r="I339">
        <f ca="1">'ETF variations'!I339/'ETF price'!J340</f>
        <v>-5.7352043929224999E-3</v>
      </c>
      <c r="J339">
        <f ca="1">'ETF variations'!J339/'ETF price'!K340</f>
        <v>-1.9105846388995033E-3</v>
      </c>
      <c r="K339">
        <f ca="1">'ETF variations'!K339/'ETF price'!L340</f>
        <v>1.0705882352941136E-2</v>
      </c>
      <c r="L339">
        <f ca="1">'ETF variations'!L339/'ETF price'!M340</f>
        <v>4.0167095115681232E-3</v>
      </c>
      <c r="M339">
        <f ca="1">'ETF variations'!M339/'ETF price'!N340</f>
        <v>-4.8903612557186036E-3</v>
      </c>
      <c r="N339">
        <f ca="1">'ETF variations'!N339/'ETF price'!O340</f>
        <v>7.8554595443831789E-4</v>
      </c>
      <c r="O339">
        <f ca="1">'ETF variations'!O339/'ETF price'!P340</f>
        <v>3.7392496572355893E-4</v>
      </c>
      <c r="P339">
        <f ca="1">'ETF variations'!P339/'ETF price'!Q340</f>
        <v>4.5244774228574028E-4</v>
      </c>
      <c r="Q339">
        <f ca="1">'ETF variations'!Q339/'ETF price'!R340</f>
        <v>-9.0680100755667365E-3</v>
      </c>
      <c r="R339">
        <f ca="1">'ETF variations'!R339/'ETF price'!S340</f>
        <v>2.2554849292597792E-3</v>
      </c>
      <c r="S339">
        <f ca="1">'ETF variations'!S339/'ETF price'!T340</f>
        <v>3.0107526881720552E-3</v>
      </c>
      <c r="T339">
        <f ca="1">'ETF variations'!T339/'ETF price'!U340</f>
        <v>9.4926859632741886E-3</v>
      </c>
      <c r="U339">
        <f ca="1">'ETF variations'!U339/'ETF price'!V340</f>
        <v>-1.0007147962830634E-2</v>
      </c>
      <c r="V339">
        <f ca="1">'ETF variations'!V339/'ETF price'!W340</f>
        <v>-3.7059913526869838E-3</v>
      </c>
      <c r="W339">
        <f ca="1">'ETF variations'!W339/'ETF price'!X340</f>
        <v>-2.0865936358895514E-3</v>
      </c>
      <c r="X339">
        <f ca="1">'ETF variations'!X339/'ETF price'!Y340</f>
        <v>-5.4102795311090982E-3</v>
      </c>
      <c r="Y339">
        <f ca="1">'ETF variations'!Y339/'ETF price'!Z340</f>
        <v>-1.5536723163841728E-3</v>
      </c>
      <c r="Z339">
        <f ca="1">'ETF variations'!Z339/'ETF price'!AA340</f>
        <v>-3.2275416890800816E-3</v>
      </c>
      <c r="AA339">
        <f ca="1">'ETF variations'!AA339/'ETF price'!AB340</f>
        <v>-4.2575838211813891E-3</v>
      </c>
      <c r="AB339">
        <f ca="1">'ETF variations'!AB339/'ETF price'!AC340</f>
        <v>-3.6667345691588269E-3</v>
      </c>
      <c r="AC339">
        <f ca="1">'ETF variations'!AC339/'ETF price'!AD340</f>
        <v>1.2241054613936044E-2</v>
      </c>
      <c r="AD339">
        <f ca="1">'ETF variations'!AD339/'ETF price'!AE340</f>
        <v>1.2650221378874197E-2</v>
      </c>
      <c r="AE339">
        <f ca="1">'ETF variations'!AE339/'ETF price'!AF340</f>
        <v>3.1620553359683827E-2</v>
      </c>
      <c r="AF339">
        <f ca="1">'ETF variations'!AF339/'ETF price'!AG340</f>
        <v>1.350174216027869E-2</v>
      </c>
    </row>
    <row r="340" spans="1:32" x14ac:dyDescent="0.2">
      <c r="A340">
        <f ca="1">'ETF variations'!A340/'ETF price'!B341</f>
        <v>1.2200000000000084E-2</v>
      </c>
      <c r="B340">
        <f ca="1">'ETF variations'!B340/'ETF price'!C341</f>
        <v>1.0891656678305297E-2</v>
      </c>
      <c r="C340">
        <f ca="1">'ETF variations'!C340/'ETF price'!D341</f>
        <v>8.9209855564996113E-3</v>
      </c>
      <c r="D340">
        <f ca="1">'ETF variations'!D340/'ETF price'!E341</f>
        <v>1.0181658365074614E-2</v>
      </c>
      <c r="E340">
        <f ca="1">'ETF variations'!E340/'ETF price'!F341</f>
        <v>1.899712834106471E-2</v>
      </c>
      <c r="F340">
        <f ca="1">'ETF variations'!F340/'ETF price'!G341</f>
        <v>1.1471518987341738E-2</v>
      </c>
      <c r="G340">
        <f ca="1">'ETF variations'!G340/'ETF price'!H341</f>
        <v>8.1499592502035751E-4</v>
      </c>
      <c r="H340">
        <f ca="1">'ETF variations'!H340/'ETF price'!I341</f>
        <v>2.7943508798429465E-3</v>
      </c>
      <c r="I340">
        <f ca="1">'ETF variations'!I340/'ETF price'!J341</f>
        <v>3.6818851251841176E-3</v>
      </c>
      <c r="J340">
        <f ca="1">'ETF variations'!J340/'ETF price'!K341</f>
        <v>3.2924961715161318E-3</v>
      </c>
      <c r="K340">
        <f ca="1">'ETF variations'!K340/'ETF price'!L341</f>
        <v>1.5946921196601148E-2</v>
      </c>
      <c r="L340">
        <f ca="1">'ETF variations'!L340/'ETF price'!M341</f>
        <v>4.6407425188029943E-3</v>
      </c>
      <c r="M340">
        <f ca="1">'ETF variations'!M340/'ETF price'!N341</f>
        <v>3.1705770450222394E-3</v>
      </c>
      <c r="N340">
        <f ca="1">'ETF variations'!N340/'ETF price'!O341</f>
        <v>8.6342229199371616E-3</v>
      </c>
      <c r="O340">
        <f ca="1">'ETF variations'!O340/'ETF price'!P341</f>
        <v>-1.1338151009220169E-2</v>
      </c>
      <c r="P340">
        <f ca="1">'ETF variations'!P340/'ETF price'!Q341</f>
        <v>-9.6780028943560716E-3</v>
      </c>
      <c r="Q340">
        <f ca="1">'ETF variations'!Q340/'ETF price'!R341</f>
        <v>6.3548551093031464E-4</v>
      </c>
      <c r="R340">
        <f ca="1">'ETF variations'!R340/'ETF price'!S341</f>
        <v>-3.2733224222586681E-3</v>
      </c>
      <c r="S340">
        <f ca="1">'ETF variations'!S340/'ETF price'!T341</f>
        <v>-3.0017152658662213E-3</v>
      </c>
      <c r="T340">
        <f ca="1">'ETF variations'!T340/'ETF price'!U341</f>
        <v>-7.399414213041528E-3</v>
      </c>
      <c r="U340">
        <f ca="1">'ETF variations'!U340/'ETF price'!V341</f>
        <v>9.241877256317697E-3</v>
      </c>
      <c r="V340">
        <f ca="1">'ETF variations'!V340/'ETF price'!W341</f>
        <v>-5.5796652200867866E-3</v>
      </c>
      <c r="W340">
        <f ca="1">'ETF variations'!W340/'ETF price'!X341</f>
        <v>-3.1364349189753646E-3</v>
      </c>
      <c r="X340">
        <f ca="1">'ETF variations'!X340/'ETF price'!Y341</f>
        <v>-7.2529465095195512E-3</v>
      </c>
      <c r="Y340">
        <f ca="1">'ETF variations'!Y340/'ETF price'!Z341</f>
        <v>-2.8292544914415457E-3</v>
      </c>
      <c r="Z340">
        <f ca="1">'ETF variations'!Z340/'ETF price'!AA341</f>
        <v>9.4441446303290422E-3</v>
      </c>
      <c r="AA340">
        <f ca="1">'ETF variations'!AA340/'ETF price'!AB341</f>
        <v>-9.620523784072672E-3</v>
      </c>
      <c r="AB340">
        <f ca="1">'ETF variations'!AB340/'ETF price'!AC341</f>
        <v>1.1449601308525912E-2</v>
      </c>
      <c r="AC340">
        <f ca="1">'ETF variations'!AC340/'ETF price'!AD341</f>
        <v>9.3023255813951509E-4</v>
      </c>
      <c r="AD340">
        <f ca="1">'ETF variations'!AD340/'ETF price'!AE341</f>
        <v>0</v>
      </c>
      <c r="AE340">
        <f ca="1">'ETF variations'!AE340/'ETF price'!AF341</f>
        <v>-6.5134099616858218E-2</v>
      </c>
      <c r="AF340">
        <f ca="1">'ETF variations'!AF340/'ETF price'!AG341</f>
        <v>3.4808766652342019E-2</v>
      </c>
    </row>
    <row r="341" spans="1:32" x14ac:dyDescent="0.2">
      <c r="A341">
        <f ca="1">'ETF variations'!A341/'ETF price'!B342</f>
        <v>-4.4786932753738181E-3</v>
      </c>
      <c r="B341">
        <f ca="1">'ETF variations'!B341/'ETF price'!C342</f>
        <v>-4.2272399216413716E-3</v>
      </c>
      <c r="C341">
        <f ca="1">'ETF variations'!C341/'ETF price'!D342</f>
        <v>2.736842105263212E-3</v>
      </c>
      <c r="D341">
        <f ca="1">'ETF variations'!D341/'ETF price'!E342</f>
        <v>-6.5259952142702176E-3</v>
      </c>
      <c r="E341">
        <f ca="1">'ETF variations'!E341/'ETF price'!F342</f>
        <v>-4.7691307175375232E-3</v>
      </c>
      <c r="F341">
        <f ca="1">'ETF variations'!F341/'ETF price'!G342</f>
        <v>-3.5197497066875188E-3</v>
      </c>
      <c r="G341">
        <f ca="1">'ETF variations'!G341/'ETF price'!H342</f>
        <v>1.2214983713355512E-3</v>
      </c>
      <c r="H341">
        <f ca="1">'ETF variations'!H341/'ETF price'!I342</f>
        <v>-3.0878144298839929E-3</v>
      </c>
      <c r="I341">
        <f ca="1">'ETF variations'!I341/'ETF price'!J342</f>
        <v>-3.6683785766691355E-3</v>
      </c>
      <c r="J341">
        <f ca="1">'ETF variations'!J341/'ETF price'!K342</f>
        <v>-4.5791040219796556E-3</v>
      </c>
      <c r="K341">
        <f ca="1">'ETF variations'!K341/'ETF price'!L342</f>
        <v>-1.455087076076989E-2</v>
      </c>
      <c r="L341">
        <f ca="1">'ETF variations'!L341/'ETF price'!M342</f>
        <v>-1.1150047785919128E-2</v>
      </c>
      <c r="M341">
        <f ca="1">'ETF variations'!M341/'ETF price'!N342</f>
        <v>-3.9506953223767379E-3</v>
      </c>
      <c r="N341">
        <f ca="1">'ETF variations'!N341/'ETF price'!O342</f>
        <v>-8.9494163424124681E-3</v>
      </c>
      <c r="O341">
        <f ca="1">'ETF variations'!O341/'ETF price'!P342</f>
        <v>-1.1972274732198975E-2</v>
      </c>
      <c r="P341">
        <f ca="1">'ETF variations'!P341/'ETF price'!Q342</f>
        <v>-1.3243218558772387E-2</v>
      </c>
      <c r="Q341">
        <f ca="1">'ETF variations'!Q341/'ETF price'!R342</f>
        <v>-9.780261653753463E-3</v>
      </c>
      <c r="R341">
        <f ca="1">'ETF variations'!R341/'ETF price'!S342</f>
        <v>-2.8119868637109965E-2</v>
      </c>
      <c r="S341">
        <f ca="1">'ETF variations'!S341/'ETF price'!T342</f>
        <v>-1.7204301075268755E-2</v>
      </c>
      <c r="T341">
        <f ca="1">'ETF variations'!T341/'ETF price'!U342</f>
        <v>-1.7704612517471664E-2</v>
      </c>
      <c r="U341">
        <f ca="1">'ETF variations'!U341/'ETF price'!V342</f>
        <v>-1.1446558878236985E-3</v>
      </c>
      <c r="V341">
        <f ca="1">'ETF variations'!V341/'ETF price'!W342</f>
        <v>-1.5586034912717318E-3</v>
      </c>
      <c r="W341">
        <f ca="1">'ETF variations'!W341/'ETF price'!X342</f>
        <v>-4.1950707918197092E-3</v>
      </c>
      <c r="X341">
        <f ca="1">'ETF variations'!X341/'ETF price'!Y342</f>
        <v>-1.5525114155251081E-2</v>
      </c>
      <c r="Y341">
        <f ca="1">'ETF variations'!Y341/'ETF price'!Z342</f>
        <v>-2.9791459781528412E-3</v>
      </c>
      <c r="Z341">
        <f ca="1">'ETF variations'!Z341/'ETF price'!AA342</f>
        <v>-1.0425020048115304E-2</v>
      </c>
      <c r="AA341">
        <f ca="1">'ETF variations'!AA341/'ETF price'!AB342</f>
        <v>-2.4824608742579645E-2</v>
      </c>
      <c r="AB341">
        <f ca="1">'ETF variations'!AB341/'ETF price'!AC342</f>
        <v>-1.1319991914291536E-2</v>
      </c>
      <c r="AC341">
        <f ca="1">'ETF variations'!AC341/'ETF price'!AD342</f>
        <v>-3.2527881040892159E-2</v>
      </c>
      <c r="AD341">
        <f ca="1">'ETF variations'!AD341/'ETF price'!AE342</f>
        <v>-3.1230480949406728E-2</v>
      </c>
      <c r="AE341">
        <f ca="1">'ETF variations'!AE341/'ETF price'!AF342</f>
        <v>1.2295081967213217E-2</v>
      </c>
      <c r="AF341">
        <f ca="1">'ETF variations'!AF341/'ETF price'!AG342</f>
        <v>-7.0182724252491599E-2</v>
      </c>
    </row>
    <row r="342" spans="1:32" x14ac:dyDescent="0.2">
      <c r="A342">
        <f ca="1">'ETF variations'!A342/'ETF price'!B343</f>
        <v>-1.3231888852134771E-3</v>
      </c>
      <c r="B342">
        <f ca="1">'ETF variations'!B342/'ETF price'!C343</f>
        <v>-1.9931662870158982E-3</v>
      </c>
      <c r="C342">
        <f ca="1">'ETF variations'!C342/'ETF price'!D343</f>
        <v>1.4801595633004372E-2</v>
      </c>
      <c r="D342">
        <f ca="1">'ETF variations'!D342/'ETF price'!E343</f>
        <v>-9.488358513976751E-4</v>
      </c>
      <c r="E342">
        <f ca="1">'ETF variations'!E342/'ETF price'!F343</f>
        <v>-4.574166848181088E-3</v>
      </c>
      <c r="F342">
        <f ca="1">'ETF variations'!F342/'ETF price'!G343</f>
        <v>-4.7095761381476054E-3</v>
      </c>
      <c r="G342">
        <f ca="1">'ETF variations'!G342/'ETF price'!H343</f>
        <v>2.4400162667750597E-3</v>
      </c>
      <c r="H342">
        <f ca="1">'ETF variations'!H342/'ETF price'!I343</f>
        <v>-1.359824733701041E-3</v>
      </c>
      <c r="I342">
        <f ca="1">'ETF variations'!I342/'ETF price'!J343</f>
        <v>-2.4954999181802701E-3</v>
      </c>
      <c r="J342">
        <f ca="1">'ETF variations'!J342/'ETF price'!K343</f>
        <v>-1.9167369470213906E-3</v>
      </c>
      <c r="K342">
        <f ca="1">'ETF variations'!K342/'ETF price'!L343</f>
        <v>-6.7434019300081187E-3</v>
      </c>
      <c r="L342">
        <f ca="1">'ETF variations'!L342/'ETF price'!M343</f>
        <v>-1.417525773195869E-2</v>
      </c>
      <c r="M342">
        <f ca="1">'ETF variations'!M342/'ETF price'!N343</f>
        <v>-1.9038553069967404E-3</v>
      </c>
      <c r="N342">
        <f ca="1">'ETF variations'!N342/'ETF price'!O343</f>
        <v>-1.0993325480957895E-2</v>
      </c>
      <c r="O342">
        <f ca="1">'ETF variations'!O342/'ETF price'!P343</f>
        <v>1.5306122448978357E-3</v>
      </c>
      <c r="P342">
        <f ca="1">'ETF variations'!P342/'ETF price'!Q343</f>
        <v>2.313957793409848E-3</v>
      </c>
      <c r="Q342">
        <f ca="1">'ETF variations'!Q342/'ETF price'!R343</f>
        <v>1.7957927142124241E-3</v>
      </c>
      <c r="R342">
        <f ca="1">'ETF variations'!R342/'ETF price'!S343</f>
        <v>-2.7455121436114585E-3</v>
      </c>
      <c r="S342">
        <f ca="1">'ETF variations'!S342/'ETF price'!T343</f>
        <v>-7.8774617067833563E-3</v>
      </c>
      <c r="T342">
        <f ca="1">'ETF variations'!T342/'ETF price'!U343</f>
        <v>-1.8656126482213434E-2</v>
      </c>
      <c r="U342">
        <f ca="1">'ETF variations'!U342/'ETF price'!V343</f>
        <v>3.0511388053287427E-2</v>
      </c>
      <c r="V342">
        <f ca="1">'ETF variations'!V342/'ETF price'!W343</f>
        <v>-4.0586949734624589E-3</v>
      </c>
      <c r="W342">
        <f ca="1">'ETF variations'!W342/'ETF price'!X343</f>
        <v>-3.027909426013557E-3</v>
      </c>
      <c r="X342">
        <f ca="1">'ETF variations'!X342/'ETF price'!Y343</f>
        <v>0</v>
      </c>
      <c r="Y342">
        <f ca="1">'ETF variations'!Y342/'ETF price'!Z343</f>
        <v>-3.9840637450199367E-3</v>
      </c>
      <c r="Z342">
        <f ca="1">'ETF variations'!Z342/'ETF price'!AA343</f>
        <v>1.8908698001080572E-3</v>
      </c>
      <c r="AA342">
        <f ca="1">'ETF variations'!AA342/'ETF price'!AB343</f>
        <v>6.3641394576645508E-3</v>
      </c>
      <c r="AB342">
        <f ca="1">'ETF variations'!AB342/'ETF price'!AC343</f>
        <v>2.8215088938867362E-2</v>
      </c>
      <c r="AC342">
        <f ca="1">'ETF variations'!AC342/'ETF price'!AD343</f>
        <v>-1.5369836695485124E-2</v>
      </c>
      <c r="AD342">
        <f ca="1">'ETF variations'!AD342/'ETF price'!AE343</f>
        <v>-1.4184397163120609E-2</v>
      </c>
      <c r="AE342">
        <f ca="1">'ETF variations'!AE342/'ETF price'!AF343</f>
        <v>2.4291497975708343E-2</v>
      </c>
      <c r="AF342">
        <f ca="1">'ETF variations'!AF342/'ETF price'!AG343</f>
        <v>-2.8137561411344304E-2</v>
      </c>
    </row>
    <row r="343" spans="1:32" x14ac:dyDescent="0.2">
      <c r="A343">
        <f ca="1">'ETF variations'!A343/'ETF price'!B344</f>
        <v>8.2808877111626381E-3</v>
      </c>
      <c r="B343">
        <f ca="1">'ETF variations'!B343/'ETF price'!C344</f>
        <v>8.4295162754506551E-3</v>
      </c>
      <c r="C343">
        <f ca="1">'ETF variations'!C343/'ETF price'!D344</f>
        <v>2.1206165304644638E-2</v>
      </c>
      <c r="D343">
        <f ca="1">'ETF variations'!D343/'ETF price'!E344</f>
        <v>2.7177089421390993E-2</v>
      </c>
      <c r="E343">
        <f ca="1">'ETF variations'!E343/'ETF price'!F344</f>
        <v>1.3785557986870797E-2</v>
      </c>
      <c r="F343">
        <f ca="1">'ETF variations'!F343/'ETF price'!G344</f>
        <v>1.4589905362776065E-2</v>
      </c>
      <c r="G343">
        <f ca="1">'ETF variations'!G343/'ETF price'!H344</f>
        <v>1.3793103448275857E-2</v>
      </c>
      <c r="H343">
        <f ca="1">'ETF variations'!H343/'ETF price'!I344</f>
        <v>-1.7399198123911777E-3</v>
      </c>
      <c r="I343">
        <f ca="1">'ETF variations'!I343/'ETF price'!J344</f>
        <v>9.4328015420575711E-4</v>
      </c>
      <c r="J343">
        <f ca="1">'ETF variations'!J343/'ETF price'!K344</f>
        <v>1.198340758949149E-2</v>
      </c>
      <c r="K343">
        <f ca="1">'ETF variations'!K343/'ETF price'!L344</f>
        <v>2.4815638534472554E-2</v>
      </c>
      <c r="L343">
        <f ca="1">'ETF variations'!L343/'ETF price'!M344</f>
        <v>3.3333333333333319E-2</v>
      </c>
      <c r="M343">
        <f ca="1">'ETF variations'!M343/'ETF price'!N344</f>
        <v>7.9478620251159226E-4</v>
      </c>
      <c r="N343">
        <f ca="1">'ETF variations'!N343/'ETF price'!O344</f>
        <v>3.7713378324732004E-2</v>
      </c>
      <c r="O343">
        <f ca="1">'ETF variations'!O343/'ETF price'!P344</f>
        <v>5.0942435048396042E-3</v>
      </c>
      <c r="P343">
        <f ca="1">'ETF variations'!P343/'ETF price'!Q344</f>
        <v>6.9258472619817156E-3</v>
      </c>
      <c r="Q343">
        <f ca="1">'ETF variations'!Q343/'ETF price'!R344</f>
        <v>8.4507042253522523E-3</v>
      </c>
      <c r="R343">
        <f ca="1">'ETF variations'!R343/'ETF price'!S344</f>
        <v>1.3130029648454141E-2</v>
      </c>
      <c r="S343">
        <f ca="1">'ETF variations'!S343/'ETF price'!T344</f>
        <v>1.1468901632112836E-2</v>
      </c>
      <c r="T343">
        <f ca="1">'ETF variations'!T343/'ETF price'!U344</f>
        <v>1.4821975189302427E-2</v>
      </c>
      <c r="U343">
        <f ca="1">'ETF variations'!U343/'ETF price'!V344</f>
        <v>1.0425354462051711E-2</v>
      </c>
      <c r="V343">
        <f ca="1">'ETF variations'!V343/'ETF price'!W344</f>
        <v>8.1504702194356744E-3</v>
      </c>
      <c r="W343">
        <f ca="1">'ETF variations'!W343/'ETF price'!X344</f>
        <v>1.0035652977683756E-2</v>
      </c>
      <c r="X343">
        <f ca="1">'ETF variations'!X343/'ETF price'!Y344</f>
        <v>2.8447742733456849E-2</v>
      </c>
      <c r="Y343">
        <f ca="1">'ETF variations'!Y343/'ETF price'!Z344</f>
        <v>9.4285714285713799E-3</v>
      </c>
      <c r="Z343">
        <f ca="1">'ETF variations'!Z343/'ETF price'!AA344</f>
        <v>-1.8873011593421483E-3</v>
      </c>
      <c r="AA343">
        <f ca="1">'ETF variations'!AA343/'ETF price'!AB344</f>
        <v>3.1619466593346322E-2</v>
      </c>
      <c r="AB343">
        <f ca="1">'ETF variations'!AB343/'ETF price'!AC344</f>
        <v>6.3630940544839986E-3</v>
      </c>
      <c r="AC343">
        <f ca="1">'ETF variations'!AC343/'ETF price'!AD344</f>
        <v>3.9024390243902474E-2</v>
      </c>
      <c r="AD343">
        <f ca="1">'ETF variations'!AD343/'ETF price'!AE344</f>
        <v>3.7279267495094852E-2</v>
      </c>
      <c r="AE343">
        <f ca="1">'ETF variations'!AE343/'ETF price'!AF344</f>
        <v>1.1857707509881523E-2</v>
      </c>
      <c r="AF343">
        <f ca="1">'ETF variations'!AF343/'ETF price'!AG344</f>
        <v>6.8014705882352797E-2</v>
      </c>
    </row>
    <row r="344" spans="1:32" x14ac:dyDescent="0.2">
      <c r="A344">
        <f ca="1">'ETF variations'!A344/'ETF price'!B345</f>
        <v>1.051248357424606E-3</v>
      </c>
      <c r="B344">
        <f ca="1">'ETF variations'!B344/'ETF price'!C345</f>
        <v>-6.6872427983536754E-4</v>
      </c>
      <c r="C344">
        <f ca="1">'ETF variations'!C344/'ETF price'!D345</f>
        <v>-1.6207455429497223E-3</v>
      </c>
      <c r="D344">
        <f ca="1">'ETF variations'!D344/'ETF price'!E345</f>
        <v>-1.9203413940254753E-3</v>
      </c>
      <c r="E344">
        <f ca="1">'ETF variations'!E344/'ETF price'!F345</f>
        <v>-8.4178717893373754E-3</v>
      </c>
      <c r="F344">
        <f ca="1">'ETF variations'!F344/'ETF price'!G345</f>
        <v>-3.1092110376992558E-3</v>
      </c>
      <c r="G344">
        <f ca="1">'ETF variations'!G344/'ETF price'!H345</f>
        <v>-1.5606242496998681E-2</v>
      </c>
      <c r="H344">
        <f ca="1">'ETF variations'!H344/'ETF price'!I345</f>
        <v>-8.3358593513185378E-3</v>
      </c>
      <c r="I344">
        <f ca="1">'ETF variations'!I344/'ETF price'!J345</f>
        <v>-1.1021879865606809E-2</v>
      </c>
      <c r="J344">
        <f ca="1">'ETF variations'!J344/'ETF price'!K345</f>
        <v>-2.0494914224988742E-2</v>
      </c>
      <c r="K344">
        <f ca="1">'ETF variations'!K344/'ETF price'!L345</f>
        <v>-2.8783552255853752E-2</v>
      </c>
      <c r="L344">
        <f ca="1">'ETF variations'!L344/'ETF price'!M345</f>
        <v>-2.2612270714737502E-2</v>
      </c>
      <c r="M344">
        <f ca="1">'ETF variations'!M344/'ETF price'!N345</f>
        <v>-1.1435832274459956E-2</v>
      </c>
      <c r="N344">
        <f ca="1">'ETF variations'!N344/'ETF price'!O345</f>
        <v>-3.0604437643458327E-2</v>
      </c>
      <c r="O344">
        <f ca="1">'ETF variations'!O344/'ETF price'!P345</f>
        <v>-2.4581855043081573E-2</v>
      </c>
      <c r="P344">
        <f ca="1">'ETF variations'!P344/'ETF price'!Q345</f>
        <v>-2.5586940572267115E-2</v>
      </c>
      <c r="Q344">
        <f ca="1">'ETF variations'!Q344/'ETF price'!R345</f>
        <v>-1.650584052818704E-2</v>
      </c>
      <c r="R344">
        <f ca="1">'ETF variations'!R344/'ETF price'!S345</f>
        <v>-2.8010033444816122E-2</v>
      </c>
      <c r="S344">
        <f ca="1">'ETF variations'!S344/'ETF price'!T345</f>
        <v>-1.0902747492368078E-2</v>
      </c>
      <c r="T344">
        <f ca="1">'ETF variations'!T344/'ETF price'!U345</f>
        <v>-7.1439911096999971E-3</v>
      </c>
      <c r="U344">
        <f ca="1">'ETF variations'!U344/'ETF price'!V345</f>
        <v>-2.3386985830238037E-2</v>
      </c>
      <c r="V344">
        <f ca="1">'ETF variations'!V344/'ETF price'!W345</f>
        <v>-9.3283582089551363E-3</v>
      </c>
      <c r="W344">
        <f ca="1">'ETF variations'!W344/'ETF price'!X345</f>
        <v>-1.0458883514184824E-2</v>
      </c>
      <c r="X344">
        <f ca="1">'ETF variations'!X344/'ETF price'!Y345</f>
        <v>-1.5333734215273544E-2</v>
      </c>
      <c r="Y344">
        <f ca="1">'ETF variations'!Y344/'ETF price'!Z345</f>
        <v>-1.1038777243136162E-2</v>
      </c>
      <c r="Z344">
        <f ca="1">'ETF variations'!Z344/'ETF price'!AA345</f>
        <v>-2.6742301458671042E-2</v>
      </c>
      <c r="AA344">
        <f ca="1">'ETF variations'!AA344/'ETF price'!AB345</f>
        <v>-1.4925373134328417E-2</v>
      </c>
      <c r="AB344">
        <f ca="1">'ETF variations'!AB344/'ETF price'!AC345</f>
        <v>-5.532503457814684E-3</v>
      </c>
      <c r="AC344">
        <f ca="1">'ETF variations'!AC344/'ETF price'!AD345</f>
        <v>-1.9718309859155007E-2</v>
      </c>
      <c r="AD344">
        <f ca="1">'ETF variations'!AD344/'ETF price'!AE345</f>
        <v>-1.8284993694829707E-2</v>
      </c>
      <c r="AE344">
        <f ca="1">'ETF variations'!AE344/'ETF price'!AF345</f>
        <v>4.6875000000000042E-2</v>
      </c>
      <c r="AF344">
        <f ca="1">'ETF variations'!AF344/'ETF price'!AG345</f>
        <v>1.0757314974182445E-2</v>
      </c>
    </row>
    <row r="345" spans="1:32" x14ac:dyDescent="0.2">
      <c r="A345">
        <f ca="1">'ETF variations'!A345/'ETF price'!B346</f>
        <v>1.3323707009713656E-2</v>
      </c>
      <c r="B345">
        <f ca="1">'ETF variations'!B345/'ETF price'!C346</f>
        <v>1.4644566839964991E-2</v>
      </c>
      <c r="C345">
        <f ca="1">'ETF variations'!C345/'ETF price'!D346</f>
        <v>5.073051948051948E-3</v>
      </c>
      <c r="D345">
        <f ca="1">'ETF variations'!D345/'ETF price'!E346</f>
        <v>2.4727428204945476E-2</v>
      </c>
      <c r="E345">
        <f ca="1">'ETF variations'!E345/'ETF price'!F346</f>
        <v>1.1536787113626495E-2</v>
      </c>
      <c r="F345">
        <f ca="1">'ETF variations'!F345/'ETF price'!G346</f>
        <v>9.7465886939571162E-3</v>
      </c>
      <c r="G345">
        <f ca="1">'ETF variations'!G345/'ETF price'!H346</f>
        <v>1.2195121951219396E-2</v>
      </c>
      <c r="H345">
        <f ca="1">'ETF variations'!H345/'ETF price'!I346</f>
        <v>1.2226807274950066E-3</v>
      </c>
      <c r="I345">
        <f ca="1">'ETF variations'!I345/'ETF price'!J346</f>
        <v>2.0300783030202971E-3</v>
      </c>
      <c r="J345">
        <f ca="1">'ETF variations'!J345/'ETF price'!K346</f>
        <v>2.2473651580906732E-3</v>
      </c>
      <c r="K345">
        <f ca="1">'ETF variations'!K345/'ETF price'!L346</f>
        <v>8.3499941197223773E-3</v>
      </c>
      <c r="L345">
        <f ca="1">'ETF variations'!L345/'ETF price'!M346</f>
        <v>2.9121501375181961E-3</v>
      </c>
      <c r="M345">
        <f ca="1">'ETF variations'!M345/'ETF price'!N346</f>
        <v>1.928020565552658E-3</v>
      </c>
      <c r="N345">
        <f ca="1">'ETF variations'!N345/'ETF price'!O346</f>
        <v>7.1033938437253244E-3</v>
      </c>
      <c r="O345">
        <f ca="1">'ETF variations'!O345/'ETF price'!P346</f>
        <v>1.9225772928033121E-2</v>
      </c>
      <c r="P345">
        <f ca="1">'ETF variations'!P345/'ETF price'!Q346</f>
        <v>1.9952941176470632E-2</v>
      </c>
      <c r="Q345">
        <f ca="1">'ETF variations'!Q345/'ETF price'!R346</f>
        <v>6.5840433772270225E-3</v>
      </c>
      <c r="R345">
        <f ca="1">'ETF variations'!R345/'ETF price'!S346</f>
        <v>1.8064516129032333E-2</v>
      </c>
      <c r="S345">
        <f ca="1">'ETF variations'!S345/'ETF price'!T346</f>
        <v>1.1904761904761887E-2</v>
      </c>
      <c r="T345">
        <f ca="1">'ETF variations'!T345/'ETF price'!U346</f>
        <v>3.2938919091781184E-2</v>
      </c>
      <c r="U345">
        <f ca="1">'ETF variations'!U345/'ETF price'!V346</f>
        <v>9.437949006902405E-3</v>
      </c>
      <c r="V345">
        <f ca="1">'ETF variations'!V345/'ETF price'!W346</f>
        <v>2.0087884494664175E-2</v>
      </c>
      <c r="W345">
        <f ca="1">'ETF variations'!W345/'ETF price'!X346</f>
        <v>2.5498744880433438E-2</v>
      </c>
      <c r="X345">
        <f ca="1">'ETF variations'!X345/'ETF price'!Y346</f>
        <v>6.1984732824427513E-2</v>
      </c>
      <c r="Y345">
        <f ca="1">'ETF variations'!Y345/'ETF price'!Z346</f>
        <v>2.3182598740698408E-2</v>
      </c>
      <c r="Z345">
        <f ca="1">'ETF variations'!Z345/'ETF price'!AA346</f>
        <v>1.3044684984734911E-2</v>
      </c>
      <c r="AA345">
        <f ca="1">'ETF variations'!AA345/'ETF price'!AB346</f>
        <v>7.3593073593073557E-2</v>
      </c>
      <c r="AB345">
        <f ca="1">'ETF variations'!AB345/'ETF price'!AC346</f>
        <v>4.9672163719451622E-3</v>
      </c>
      <c r="AC345">
        <f ca="1">'ETF variations'!AC345/'ETF price'!AD346</f>
        <v>1.8199233716475218E-2</v>
      </c>
      <c r="AD345">
        <f ca="1">'ETF variations'!AD345/'ETF price'!AE346</f>
        <v>1.79833012202954E-2</v>
      </c>
      <c r="AE345">
        <f ca="1">'ETF variations'!AE345/'ETF price'!AF346</f>
        <v>-1.119402985074636E-2</v>
      </c>
      <c r="AF345">
        <f ca="1">'ETF variations'!AF345/'ETF price'!AG346</f>
        <v>5.5342699020859976E-2</v>
      </c>
    </row>
    <row r="346" spans="1:32" x14ac:dyDescent="0.2">
      <c r="A346">
        <f ca="1">'ETF variations'!A346/'ETF price'!B347</f>
        <v>2.0467646868320651E-2</v>
      </c>
      <c r="B346">
        <f ca="1">'ETF variations'!B346/'ETF price'!C347</f>
        <v>1.9633209040407905E-2</v>
      </c>
      <c r="C346">
        <f ca="1">'ETF variations'!C346/'ETF price'!D347</f>
        <v>-1.4536644457904277E-2</v>
      </c>
      <c r="D346">
        <f ca="1">'ETF variations'!D346/'ETF price'!E347</f>
        <v>3.157162726008339E-2</v>
      </c>
      <c r="E346">
        <f ca="1">'ETF variations'!E346/'ETF price'!F347</f>
        <v>1.5493867010974799E-2</v>
      </c>
      <c r="F346">
        <f ca="1">'ETF variations'!F346/'ETF price'!G347</f>
        <v>2.0463320463320507E-2</v>
      </c>
      <c r="G346">
        <f ca="1">'ETF variations'!G346/'ETF price'!H347</f>
        <v>7.6305220883534659E-3</v>
      </c>
      <c r="H346">
        <f ca="1">'ETF variations'!H346/'ETF price'!I347</f>
        <v>-2.4423752098917842E-3</v>
      </c>
      <c r="I346">
        <f ca="1">'ETF variations'!I346/'ETF price'!J347</f>
        <v>-1.8192342677583152E-3</v>
      </c>
      <c r="J346">
        <f ca="1">'ETF variations'!J346/'ETF price'!K347</f>
        <v>-2.7835768963118657E-3</v>
      </c>
      <c r="K346">
        <f ca="1">'ETF variations'!K346/'ETF price'!L347</f>
        <v>-1.1779799393515174E-2</v>
      </c>
      <c r="L346">
        <f ca="1">'ETF variations'!L346/'ETF price'!M347</f>
        <v>-5.9687046297790701E-3</v>
      </c>
      <c r="M346">
        <f ca="1">'ETF variations'!M346/'ETF price'!N347</f>
        <v>-2.4053880692751538E-3</v>
      </c>
      <c r="N346">
        <f ca="1">'ETF variations'!N346/'ETF price'!O347</f>
        <v>-4.8981191222570537E-3</v>
      </c>
      <c r="O346">
        <f ca="1">'ETF variations'!O346/'ETF price'!P347</f>
        <v>7.2648483303595131E-3</v>
      </c>
      <c r="P346">
        <f ca="1">'ETF variations'!P346/'ETF price'!Q347</f>
        <v>7.8434991233735738E-3</v>
      </c>
      <c r="Q346">
        <f ca="1">'ETF variations'!Q346/'ETF price'!R347</f>
        <v>5.8997050147493648E-3</v>
      </c>
      <c r="R346">
        <f ca="1">'ETF variations'!R346/'ETF price'!S347</f>
        <v>-1.6899028305873553E-3</v>
      </c>
      <c r="S346">
        <f ca="1">'ETF variations'!S346/'ETF price'!T347</f>
        <v>-9.1503267973856578E-3</v>
      </c>
      <c r="T346">
        <f ca="1">'ETF variations'!T346/'ETF price'!U347</f>
        <v>-8.6687306501546154E-3</v>
      </c>
      <c r="U346">
        <f ca="1">'ETF variations'!U346/'ETF price'!V347</f>
        <v>-1.241975997767235E-2</v>
      </c>
      <c r="V346">
        <f ca="1">'ETF variations'!V346/'ETF price'!W347</f>
        <v>7.384615384615446E-3</v>
      </c>
      <c r="W346">
        <f ca="1">'ETF variations'!W346/'ETF price'!X347</f>
        <v>6.4416387528987368E-3</v>
      </c>
      <c r="X346">
        <f ca="1">'ETF variations'!X346/'ETF price'!Y347</f>
        <v>6.6129959746980124E-3</v>
      </c>
      <c r="Y346">
        <f ca="1">'ETF variations'!Y346/'ETF price'!Z347</f>
        <v>6.433566433566346E-3</v>
      </c>
      <c r="Z346">
        <f ca="1">'ETF variations'!Z346/'ETF price'!AA347</f>
        <v>-6.3013698630136131E-3</v>
      </c>
      <c r="AA346">
        <f ca="1">'ETF variations'!AA346/'ETF price'!AB347</f>
        <v>6.0483870967742437E-3</v>
      </c>
      <c r="AB346">
        <f ca="1">'ETF variations'!AB346/'ETF price'!AC347</f>
        <v>-9.6876235666270242E-3</v>
      </c>
      <c r="AC346">
        <f ca="1">'ETF variations'!AC346/'ETF price'!AD347</f>
        <v>-2.4459078080903248E-2</v>
      </c>
      <c r="AD346">
        <f ca="1">'ETF variations'!AD346/'ETF price'!AE347</f>
        <v>-2.460567823343841E-2</v>
      </c>
      <c r="AE346">
        <f ca="1">'ETF variations'!AE346/'ETF price'!AF347</f>
        <v>0</v>
      </c>
      <c r="AF346">
        <f ca="1">'ETF variations'!AF346/'ETF price'!AG347</f>
        <v>-1.6538926986688188E-2</v>
      </c>
    </row>
    <row r="347" spans="1:32" x14ac:dyDescent="0.2">
      <c r="A347">
        <f ca="1">'ETF variations'!A347/'ETF price'!B348</f>
        <v>-4.4430339574751885E-4</v>
      </c>
      <c r="B347">
        <f ca="1">'ETF variations'!B347/'ETF price'!C348</f>
        <v>-1.8160559245715305E-3</v>
      </c>
      <c r="C347">
        <f ca="1">'ETF variations'!C347/'ETF price'!D348</f>
        <v>-5.8389674247081268E-3</v>
      </c>
      <c r="D347">
        <f ca="1">'ETF variations'!D347/'ETF price'!E348</f>
        <v>-5.1233652420115336E-3</v>
      </c>
      <c r="E347">
        <f ca="1">'ETF variations'!E347/'ETF price'!F348</f>
        <v>3.3905488450943779E-3</v>
      </c>
      <c r="F347">
        <f ca="1">'ETF variations'!F347/'ETF price'!G348</f>
        <v>5.6753688989783797E-3</v>
      </c>
      <c r="G347">
        <f ca="1">'ETF variations'!G347/'ETF price'!H348</f>
        <v>-4.3842168194499574E-3</v>
      </c>
      <c r="H347">
        <f ca="1">'ETF variations'!H347/'ETF price'!I348</f>
        <v>4.6671767406274954E-3</v>
      </c>
      <c r="I347">
        <f ca="1">'ETF variations'!I347/'ETF price'!J348</f>
        <v>3.935050948554457E-3</v>
      </c>
      <c r="J347">
        <f ca="1">'ETF variations'!J347/'ETF price'!K348</f>
        <v>8.6066527099326485E-3</v>
      </c>
      <c r="K347">
        <f ca="1">'ETF variations'!K347/'ETF price'!L348</f>
        <v>7.5534049333176034E-3</v>
      </c>
      <c r="L347">
        <f ca="1">'ETF variations'!L347/'ETF price'!M348</f>
        <v>1.5417072379097741E-2</v>
      </c>
      <c r="M347">
        <f ca="1">'ETF variations'!M347/'ETF price'!N348</f>
        <v>4.500884102234386E-3</v>
      </c>
      <c r="N347">
        <f ca="1">'ETF variations'!N347/'ETF price'!O348</f>
        <v>2.9533372711163337E-3</v>
      </c>
      <c r="O347">
        <f ca="1">'ETF variations'!O347/'ETF price'!P348</f>
        <v>7.7185878780209978E-3</v>
      </c>
      <c r="P347">
        <f ca="1">'ETF variations'!P347/'ETF price'!Q348</f>
        <v>6.9584325215162526E-3</v>
      </c>
      <c r="Q347">
        <f ca="1">'ETF variations'!Q347/'ETF price'!R348</f>
        <v>2.5500446257808061E-3</v>
      </c>
      <c r="R347">
        <f ca="1">'ETF variations'!R347/'ETF price'!S348</f>
        <v>-5.9246720270842391E-3</v>
      </c>
      <c r="S347">
        <f ca="1">'ETF variations'!S347/'ETF price'!T348</f>
        <v>-1.3192612137202105E-3</v>
      </c>
      <c r="T347">
        <f ca="1">'ETF variations'!T347/'ETF price'!U348</f>
        <v>-2.186133666458583E-3</v>
      </c>
      <c r="U347">
        <f ca="1">'ETF variations'!U347/'ETF price'!V348</f>
        <v>-9.3259855871131361E-3</v>
      </c>
      <c r="V347">
        <f ca="1">'ETF variations'!V347/'ETF price'!W348</f>
        <v>-4.276114844227262E-3</v>
      </c>
      <c r="W347">
        <f ca="1">'ETF variations'!W347/'ETF price'!X348</f>
        <v>-4.6082949308755682E-3</v>
      </c>
      <c r="X347">
        <f ca="1">'ETF variations'!X347/'ETF price'!Y348</f>
        <v>-1.6281062553556137E-2</v>
      </c>
      <c r="Y347">
        <f ca="1">'ETF variations'!Y347/'ETF price'!Z348</f>
        <v>-3.7520844913840473E-3</v>
      </c>
      <c r="Z347">
        <f ca="1">'ETF variations'!Z347/'ETF price'!AA348</f>
        <v>-1.6542597187759103E-3</v>
      </c>
      <c r="AA347">
        <f ca="1">'ETF variations'!AA347/'ETF price'!AB348</f>
        <v>-1.778557114228459E-2</v>
      </c>
      <c r="AB347">
        <f ca="1">'ETF variations'!AB347/'ETF price'!AC348</f>
        <v>-1.2976642044320336E-2</v>
      </c>
      <c r="AC347">
        <f ca="1">'ETF variations'!AC347/'ETF price'!AD348</f>
        <v>3.8572806171649882E-3</v>
      </c>
      <c r="AD347">
        <f ca="1">'ETF variations'!AD347/'ETF price'!AE348</f>
        <v>4.5278137128071478E-3</v>
      </c>
      <c r="AE347">
        <f ca="1">'ETF variations'!AE347/'ETF price'!AF348</f>
        <v>4.9056603773584867E-2</v>
      </c>
      <c r="AF347">
        <f ca="1">'ETF variations'!AF347/'ETF price'!AG348</f>
        <v>-2.8712059064807337E-3</v>
      </c>
    </row>
    <row r="348" spans="1:32" x14ac:dyDescent="0.2">
      <c r="A348">
        <f ca="1">'ETF variations'!A348/'ETF price'!B349</f>
        <v>1.9050038100076924E-3</v>
      </c>
      <c r="B348">
        <f ca="1">'ETF variations'!B348/'ETF price'!C349</f>
        <v>2.5670421692751788E-3</v>
      </c>
      <c r="C348">
        <f ca="1">'ETF variations'!C348/'ETF price'!D349</f>
        <v>3.5239567233384873E-2</v>
      </c>
      <c r="D348">
        <f ca="1">'ETF variations'!D348/'ETF price'!E349</f>
        <v>3.4557528120340891E-3</v>
      </c>
      <c r="E348">
        <f ca="1">'ETF variations'!E348/'ETF price'!F349</f>
        <v>1.1404435058078123E-2</v>
      </c>
      <c r="F348">
        <f ca="1">'ETF variations'!F348/'ETF price'!G349</f>
        <v>9.7817908201655972E-3</v>
      </c>
      <c r="G348">
        <f ca="1">'ETF variations'!G348/'ETF price'!H349</f>
        <v>7.6060848678943666E-3</v>
      </c>
      <c r="H348">
        <f ca="1">'ETF variations'!H348/'ETF price'!I349</f>
        <v>9.9002360825523918E-4</v>
      </c>
      <c r="I348">
        <f ca="1">'ETF variations'!I348/'ETF price'!J349</f>
        <v>2.5580723686925138E-3</v>
      </c>
      <c r="J348">
        <f ca="1">'ETF variations'!J348/'ETF price'!K349</f>
        <v>8.2257072570725183E-3</v>
      </c>
      <c r="K348">
        <f ca="1">'ETF variations'!K348/'ETF price'!L349</f>
        <v>2.4598805200890174E-2</v>
      </c>
      <c r="L348">
        <f ca="1">'ETF variations'!L348/'ETF price'!M349</f>
        <v>1.3584785040754378E-2</v>
      </c>
      <c r="M348">
        <f ca="1">'ETF variations'!M348/'ETF price'!N349</f>
        <v>3.2005120819330411E-3</v>
      </c>
      <c r="N348">
        <f ca="1">'ETF variations'!N348/'ETF price'!O349</f>
        <v>2.0808794660384811E-2</v>
      </c>
      <c r="O348">
        <f ca="1">'ETF variations'!O348/'ETF price'!P349</f>
        <v>-4.1436464088397571E-3</v>
      </c>
      <c r="P348">
        <f ca="1">'ETF variations'!P348/'ETF price'!Q349</f>
        <v>-2.727768685215597E-4</v>
      </c>
      <c r="Q348">
        <f ca="1">'ETF variations'!Q348/'ETF price'!R349</f>
        <v>-5.2142947984229505E-3</v>
      </c>
      <c r="R348">
        <f ca="1">'ETF variations'!R348/'ETF price'!S349</f>
        <v>8.3014048531290033E-3</v>
      </c>
      <c r="S348">
        <f ca="1">'ETF variations'!S348/'ETF price'!T349</f>
        <v>8.8066930867457391E-4</v>
      </c>
      <c r="T348">
        <f ca="1">'ETF variations'!T348/'ETF price'!U349</f>
        <v>1.5649452269167466E-4</v>
      </c>
      <c r="U348">
        <f ca="1">'ETF variations'!U348/'ETF price'!V349</f>
        <v>1.7543859649122865E-2</v>
      </c>
      <c r="V348">
        <f ca="1">'ETF variations'!V348/'ETF price'!W349</f>
        <v>1.840490797545864E-3</v>
      </c>
      <c r="W348">
        <f ca="1">'ETF variations'!W348/'ETF price'!X349</f>
        <v>5.9156378600822238E-3</v>
      </c>
      <c r="X348">
        <f ca="1">'ETF variations'!X348/'ETF price'!Y349</f>
        <v>2.3519163763066269E-2</v>
      </c>
      <c r="Y348">
        <f ca="1">'ETF variations'!Y348/'ETF price'!Z349</f>
        <v>4.6031524619890964E-3</v>
      </c>
      <c r="Z348">
        <f ca="1">'ETF variations'!Z348/'ETF price'!AA349</f>
        <v>6.6280033140017122E-3</v>
      </c>
      <c r="AA348">
        <f ca="1">'ETF variations'!AA348/'ETF price'!AB349</f>
        <v>3.1879622545269062E-2</v>
      </c>
      <c r="AB348">
        <f ca="1">'ETF variations'!AB348/'ETF price'!AC349</f>
        <v>4.2475728155339978E-3</v>
      </c>
      <c r="AC348">
        <f ca="1">'ETF variations'!AC348/'ETF price'!AD349</f>
        <v>9.6061479346779889E-4</v>
      </c>
      <c r="AD348">
        <f ca="1">'ETF variations'!AD348/'ETF price'!AE349</f>
        <v>0</v>
      </c>
      <c r="AE348">
        <f ca="1">'ETF variations'!AE348/'ETF price'!AF349</f>
        <v>-2.8776978417266053E-2</v>
      </c>
      <c r="AF348">
        <f ca="1">'ETF variations'!AF348/'ETF price'!AG349</f>
        <v>3.3730974907445511E-2</v>
      </c>
    </row>
    <row r="349" spans="1:32" x14ac:dyDescent="0.2">
      <c r="A349">
        <f ca="1">'ETF variations'!A349/'ETF price'!B350</f>
        <v>-1.4767397642286807E-2</v>
      </c>
      <c r="B349">
        <f ca="1">'ETF variations'!B349/'ETF price'!C350</f>
        <v>-1.5238521391105465E-2</v>
      </c>
      <c r="C349">
        <f ca="1">'ETF variations'!C349/'ETF price'!D350</f>
        <v>2.7769483427888986E-2</v>
      </c>
      <c r="D349">
        <f ca="1">'ETF variations'!D349/'ETF price'!E350</f>
        <v>-1.2357350259977124E-2</v>
      </c>
      <c r="E349">
        <f ca="1">'ETF variations'!E349/'ETF price'!F350</f>
        <v>-1.4825642096471097E-2</v>
      </c>
      <c r="F349">
        <f ca="1">'ETF variations'!F349/'ETF price'!G350</f>
        <v>-2.3099850968703466E-2</v>
      </c>
      <c r="G349">
        <f ca="1">'ETF variations'!G349/'ETF price'!H350</f>
        <v>-1.4302741358760546E-2</v>
      </c>
      <c r="H349">
        <f ca="1">'ETF variations'!H349/'ETF price'!I350</f>
        <v>-1.0955569080949466E-2</v>
      </c>
      <c r="I349">
        <f ca="1">'ETF variations'!I349/'ETF price'!J350</f>
        <v>-1.1152722334252472E-2</v>
      </c>
      <c r="J349">
        <f ca="1">'ETF variations'!J349/'ETF price'!K350</f>
        <v>-3.0499428135716386E-4</v>
      </c>
      <c r="K349">
        <f ca="1">'ETF variations'!K349/'ETF price'!L350</f>
        <v>2.2864982279634184E-4</v>
      </c>
      <c r="L349">
        <f ca="1">'ETF variations'!L349/'ETF price'!M350</f>
        <v>0</v>
      </c>
      <c r="M349">
        <f ca="1">'ETF variations'!M349/'ETF price'!N350</f>
        <v>-1.1963630563088213E-2</v>
      </c>
      <c r="N349">
        <f ca="1">'ETF variations'!N349/'ETF price'!O350</f>
        <v>3.846153846153901E-3</v>
      </c>
      <c r="O349">
        <f ca="1">'ETF variations'!O349/'ETF price'!P350</f>
        <v>1.071743790190385E-2</v>
      </c>
      <c r="P349">
        <f ca="1">'ETF variations'!P349/'ETF price'!Q350</f>
        <v>9.6407457935425399E-3</v>
      </c>
      <c r="Q349">
        <f ca="1">'ETF variations'!Q349/'ETF price'!R350</f>
        <v>-1.546918946560974E-2</v>
      </c>
      <c r="R349">
        <f ca="1">'ETF variations'!R349/'ETF price'!S350</f>
        <v>-6.3331222292589652E-3</v>
      </c>
      <c r="S349">
        <f ca="1">'ETF variations'!S349/'ETF price'!T350</f>
        <v>3.9595248570171515E-3</v>
      </c>
      <c r="T349">
        <f ca="1">'ETF variations'!T349/'ETF price'!U350</f>
        <v>1.502112345485852E-2</v>
      </c>
      <c r="U349">
        <f ca="1">'ETF variations'!U349/'ETF price'!V350</f>
        <v>-2.8034763106252148E-3</v>
      </c>
      <c r="V349">
        <f ca="1">'ETF variations'!V349/'ETF price'!W350</f>
        <v>-1.1635027556644075E-2</v>
      </c>
      <c r="W349">
        <f ca="1">'ETF variations'!W349/'ETF price'!X350</f>
        <v>-7.28713883917148E-3</v>
      </c>
      <c r="X349">
        <f ca="1">'ETF variations'!X349/'ETF price'!Y350</f>
        <v>6.5248226950353726E-3</v>
      </c>
      <c r="Y349">
        <f ca="1">'ETF variations'!Y349/'ETF price'!Z350</f>
        <v>-9.0252707581226256E-3</v>
      </c>
      <c r="Z349">
        <f ca="1">'ETF variations'!Z349/'ETF price'!AA350</f>
        <v>-1.2345679012345756E-2</v>
      </c>
      <c r="AA349">
        <f ca="1">'ETF variations'!AA349/'ETF price'!AB350</f>
        <v>9.8863074641620998E-3</v>
      </c>
      <c r="AB349">
        <f ca="1">'ETF variations'!AB349/'ETF price'!AC350</f>
        <v>1.0876132930513578E-2</v>
      </c>
      <c r="AC349">
        <f ca="1">'ETF variations'!AC349/'ETF price'!AD350</f>
        <v>1.1516314779270559E-2</v>
      </c>
      <c r="AD349">
        <f ca="1">'ETF variations'!AD349/'ETF price'!AE350</f>
        <v>1.2234385061172009E-2</v>
      </c>
      <c r="AE349">
        <f ca="1">'ETF variations'!AE349/'ETF price'!AF350</f>
        <v>-3.7037037037037888E-3</v>
      </c>
      <c r="AF349">
        <f ca="1">'ETF variations'!AF349/'ETF price'!AG350</f>
        <v>-2.5069637883008318E-2</v>
      </c>
    </row>
    <row r="350" spans="1:32" x14ac:dyDescent="0.2">
      <c r="A350">
        <f ca="1">'ETF variations'!A350/'ETF price'!B351</f>
        <v>-7.3335477645544321E-3</v>
      </c>
      <c r="B350">
        <f ca="1">'ETF variations'!B350/'ETF price'!C351</f>
        <v>-6.184682183066564E-3</v>
      </c>
      <c r="C350">
        <f ca="1">'ETF variations'!C350/'ETF price'!D351</f>
        <v>5.0358318806894824E-3</v>
      </c>
      <c r="D350">
        <f ca="1">'ETF variations'!D350/'ETF price'!E351</f>
        <v>-1.7913305073157422E-2</v>
      </c>
      <c r="E350">
        <f ca="1">'ETF variations'!E350/'ETF price'!F351</f>
        <v>5.2988554472233997E-3</v>
      </c>
      <c r="F350">
        <f ca="1">'ETF variations'!F350/'ETF price'!G351</f>
        <v>-3.0511060259343363E-3</v>
      </c>
      <c r="G350">
        <f ca="1">'ETF variations'!G350/'ETF price'!H351</f>
        <v>-1.209189842805309E-2</v>
      </c>
      <c r="H350">
        <f ca="1">'ETF variations'!H350/'ETF price'!I351</f>
        <v>-6.8461538461537415E-3</v>
      </c>
      <c r="I350">
        <f ca="1">'ETF variations'!I350/'ETF price'!J351</f>
        <v>-7.4496420842350263E-3</v>
      </c>
      <c r="J350">
        <f ca="1">'ETF variations'!J350/'ETF price'!K351</f>
        <v>-1.3957745404622166E-2</v>
      </c>
      <c r="K350">
        <f ca="1">'ETF variations'!K350/'ETF price'!L351</f>
        <v>-1.9430792090524503E-2</v>
      </c>
      <c r="L350">
        <f ca="1">'ETF variations'!L350/'ETF price'!M351</f>
        <v>-2.0655944497004135E-2</v>
      </c>
      <c r="M350">
        <f ca="1">'ETF variations'!M350/'ETF price'!N351</f>
        <v>-7.4265418146593617E-3</v>
      </c>
      <c r="N350">
        <f ca="1">'ETF variations'!N350/'ETF price'!O351</f>
        <v>-3.1417624521072808E-2</v>
      </c>
      <c r="O350">
        <f ca="1">'ETF variations'!O350/'ETF price'!P351</f>
        <v>4.366267465069967E-3</v>
      </c>
      <c r="P350">
        <f ca="1">'ETF variations'!P350/'ETF price'!Q351</f>
        <v>3.9636068822628389E-3</v>
      </c>
      <c r="Q350">
        <f ca="1">'ETF variations'!Q350/'ETF price'!R351</f>
        <v>-1.1427087391248014E-2</v>
      </c>
      <c r="R350">
        <f ca="1">'ETF variations'!R350/'ETF price'!S351</f>
        <v>-2.4644147015083995E-2</v>
      </c>
      <c r="S350">
        <f ca="1">'ETF variations'!S350/'ETF price'!T351</f>
        <v>4.3821209465372523E-4</v>
      </c>
      <c r="T350">
        <f ca="1">'ETF variations'!T350/'ETF price'!U351</f>
        <v>1.2178202558963959E-2</v>
      </c>
      <c r="U350">
        <f ca="1">'ETF variations'!U350/'ETF price'!V351</f>
        <v>-4.4981726173742957E-3</v>
      </c>
      <c r="V350">
        <f ca="1">'ETF variations'!V350/'ETF price'!W351</f>
        <v>-1.301115241635693E-2</v>
      </c>
      <c r="W350">
        <f ca="1">'ETF variations'!W350/'ETF price'!X351</f>
        <v>-1.3650998068255019E-2</v>
      </c>
      <c r="X350">
        <f ca="1">'ETF variations'!X350/'ETF price'!Y351</f>
        <v>-1.7474633596392262E-2</v>
      </c>
      <c r="Y350">
        <f ca="1">'ETF variations'!Y350/'ETF price'!Z351</f>
        <v>-1.2610340479193016E-2</v>
      </c>
      <c r="Z350">
        <f ca="1">'ETF variations'!Z350/'ETF price'!AA351</f>
        <v>-2.1944444444444419E-2</v>
      </c>
      <c r="AA350">
        <f ca="1">'ETF variations'!AA350/'ETF price'!AB351</f>
        <v>-1.7865883504649949E-2</v>
      </c>
      <c r="AB350">
        <f ca="1">'ETF variations'!AB350/'ETF price'!AC351</f>
        <v>-9.9621438533566771E-4</v>
      </c>
      <c r="AC350">
        <f ca="1">'ETF variations'!AC350/'ETF price'!AD351</f>
        <v>-3.6053130929791177E-2</v>
      </c>
      <c r="AD350">
        <f ca="1">'ETF variations'!AD350/'ETF price'!AE351</f>
        <v>-3.6259541984732843E-2</v>
      </c>
      <c r="AE350">
        <f ca="1">'ETF variations'!AE350/'ETF price'!AF351</f>
        <v>-3.7174721189590287E-3</v>
      </c>
      <c r="AF350">
        <f ca="1">'ETF variations'!AF350/'ETF price'!AG351</f>
        <v>-4.4897959183673236E-3</v>
      </c>
    </row>
    <row r="351" spans="1:32" x14ac:dyDescent="0.2">
      <c r="A351">
        <f ca="1">'ETF variations'!A351/'ETF price'!B352</f>
        <v>3.8364331540405597E-2</v>
      </c>
      <c r="B351">
        <f ca="1">'ETF variations'!B351/'ETF price'!C352</f>
        <v>3.5611775762655853E-2</v>
      </c>
      <c r="C351">
        <f ca="1">'ETF variations'!C351/'ETF price'!D352</f>
        <v>-6.6486798997879909E-3</v>
      </c>
      <c r="D351">
        <f ca="1">'ETF variations'!D351/'ETF price'!E352</f>
        <v>6.6624895572264156E-2</v>
      </c>
      <c r="E351">
        <f ca="1">'ETF variations'!E351/'ETF price'!F352</f>
        <v>3.1625553447185025E-3</v>
      </c>
      <c r="F351">
        <f ca="1">'ETF variations'!F351/'ETF price'!G352</f>
        <v>3.0221882172915038E-2</v>
      </c>
      <c r="G351">
        <f ca="1">'ETF variations'!G351/'ETF price'!H352</f>
        <v>1.6319869441044123E-3</v>
      </c>
      <c r="H351">
        <f ca="1">'ETF variations'!H351/'ETF price'!I352</f>
        <v>-1.0223840136317925E-2</v>
      </c>
      <c r="I351">
        <f ca="1">'ETF variations'!I351/'ETF price'!J352</f>
        <v>-1.1111577005325194E-2</v>
      </c>
      <c r="J351">
        <f ca="1">'ETF variations'!J351/'ETF price'!K352</f>
        <v>-1.8873762376237606E-2</v>
      </c>
      <c r="K351">
        <f ca="1">'ETF variations'!K351/'ETF price'!L352</f>
        <v>-2.6110269262151872E-2</v>
      </c>
      <c r="L351">
        <f ca="1">'ETF variations'!L351/'ETF price'!M352</f>
        <v>-1.9964578972790244E-2</v>
      </c>
      <c r="M351">
        <f ca="1">'ETF variations'!M351/'ETF price'!N352</f>
        <v>-1.0897852960312209E-2</v>
      </c>
      <c r="N351">
        <f ca="1">'ETF variations'!N351/'ETF price'!O352</f>
        <v>-2.5316455696202552E-2</v>
      </c>
      <c r="O351">
        <f ca="1">'ETF variations'!O351/'ETF price'!P352</f>
        <v>-1.7761768724382149E-2</v>
      </c>
      <c r="P351">
        <f ca="1">'ETF variations'!P351/'ETF price'!Q352</f>
        <v>-1.8932256617317178E-2</v>
      </c>
      <c r="Q351">
        <f ca="1">'ETF variations'!Q351/'ETF price'!R352</f>
        <v>-3.5465650860369898E-3</v>
      </c>
      <c r="R351">
        <f ca="1">'ETF variations'!R351/'ETF price'!S352</f>
        <v>-8.0592463515573396E-3</v>
      </c>
      <c r="S351">
        <f ca="1">'ETF variations'!S351/'ETF price'!T352</f>
        <v>-1.5768725361366601E-2</v>
      </c>
      <c r="T351">
        <f ca="1">'ETF variations'!T351/'ETF price'!U352</f>
        <v>-2.391105696009737E-2</v>
      </c>
      <c r="U351">
        <f ca="1">'ETF variations'!U351/'ETF price'!V352</f>
        <v>-2.8240609997174336E-3</v>
      </c>
      <c r="V351">
        <f ca="1">'ETF variations'!V351/'ETF price'!W352</f>
        <v>-3.1387319522906501E-4</v>
      </c>
      <c r="W351">
        <f ca="1">'ETF variations'!W351/'ETF price'!X352</f>
        <v>5.2226139182650526E-4</v>
      </c>
      <c r="X351">
        <f ca="1">'ETF variations'!X351/'ETF price'!Y352</f>
        <v>-6.5978198508318091E-3</v>
      </c>
      <c r="Y351">
        <f ca="1">'ETF variations'!Y351/'ETF price'!Z352</f>
        <v>8.5142613878249295E-4</v>
      </c>
      <c r="Z351">
        <f ca="1">'ETF variations'!Z351/'ETF price'!AA352</f>
        <v>2.2720817949445694E-3</v>
      </c>
      <c r="AA351">
        <f ca="1">'ETF variations'!AA351/'ETF price'!AB352</f>
        <v>-8.2232743583355444E-3</v>
      </c>
      <c r="AB351">
        <f ca="1">'ETF variations'!AB351/'ETF price'!AC352</f>
        <v>-1.1567610690067776E-2</v>
      </c>
      <c r="AC351">
        <f ca="1">'ETF variations'!AC351/'ETF price'!AD352</f>
        <v>7.8740157480315029E-3</v>
      </c>
      <c r="AD351">
        <f ca="1">'ETF variations'!AD351/'ETF price'!AE352</f>
        <v>5.9405940594059311E-3</v>
      </c>
      <c r="AE351">
        <f ca="1">'ETF variations'!AE351/'ETF price'!AF352</f>
        <v>1.865671641791038E-2</v>
      </c>
      <c r="AF351">
        <f ca="1">'ETF variations'!AF351/'ETF price'!AG352</f>
        <v>-9.8400984009840917E-3</v>
      </c>
    </row>
    <row r="352" spans="1:32" x14ac:dyDescent="0.2">
      <c r="A352">
        <f ca="1">'ETF variations'!A352/'ETF price'!B353</f>
        <v>2.8396679772826634E-2</v>
      </c>
      <c r="B352">
        <f ca="1">'ETF variations'!B352/'ETF price'!C353</f>
        <v>2.6538470972014408E-2</v>
      </c>
      <c r="C352">
        <f ca="1">'ETF variations'!C352/'ETF price'!D353</f>
        <v>1.0670288097778584E-2</v>
      </c>
      <c r="D352">
        <f ca="1">'ETF variations'!D352/'ETF price'!E353</f>
        <v>6.5335160890281255E-2</v>
      </c>
      <c r="E352">
        <f ca="1">'ETF variations'!E352/'ETF price'!F353</f>
        <v>2.1437578814628062E-2</v>
      </c>
      <c r="F352">
        <f ca="1">'ETF variations'!F352/'ETF price'!G353</f>
        <v>1.7081321945785401E-2</v>
      </c>
      <c r="G352">
        <f ca="1">'ETF variations'!G352/'ETF price'!H353</f>
        <v>1.0183299389002037E-2</v>
      </c>
      <c r="H352">
        <f ca="1">'ETF variations'!H352/'ETF price'!I353</f>
        <v>-2.0345879959308638E-3</v>
      </c>
      <c r="I352">
        <f ca="1">'ETF variations'!I352/'ETF price'!J353</f>
        <v>-5.5122116689278937E-4</v>
      </c>
      <c r="J352">
        <f ca="1">'ETF variations'!J352/'ETF price'!K353</f>
        <v>1.9709870703248185E-3</v>
      </c>
      <c r="K352">
        <f ca="1">'ETF variations'!K352/'ETF price'!L353</f>
        <v>9.0963494913226233E-3</v>
      </c>
      <c r="L352">
        <f ca="1">'ETF variations'!L352/'ETF price'!M353</f>
        <v>-1.4785608674223148E-3</v>
      </c>
      <c r="M352">
        <f ca="1">'ETF variations'!M352/'ETF price'!N353</f>
        <v>-4.9333991119883468E-4</v>
      </c>
      <c r="N352">
        <f ca="1">'ETF variations'!N352/'ETF price'!O353</f>
        <v>4.8701298701299108E-3</v>
      </c>
      <c r="O352">
        <f ca="1">'ETF variations'!O352/'ETF price'!P353</f>
        <v>-3.9200809307031147E-3</v>
      </c>
      <c r="P352">
        <f ca="1">'ETF variations'!P352/'ETF price'!Q353</f>
        <v>-4.2070605450887869E-3</v>
      </c>
      <c r="Q352">
        <f ca="1">'ETF variations'!Q352/'ETF price'!R353</f>
        <v>5.0092275243869685E-3</v>
      </c>
      <c r="R352">
        <f ca="1">'ETF variations'!R352/'ETF price'!S353</f>
        <v>1.7566974088712845E-3</v>
      </c>
      <c r="S352">
        <f ca="1">'ETF variations'!S352/'ETF price'!T353</f>
        <v>1.6021361815754316E-2</v>
      </c>
      <c r="T352">
        <f ca="1">'ETF variations'!T352/'ETF price'!U353</f>
        <v>1.1078171321578931E-2</v>
      </c>
      <c r="U352">
        <f ca="1">'ETF variations'!U352/'ETF price'!V353</f>
        <v>2.1240441801188255E-3</v>
      </c>
      <c r="V352">
        <f ca="1">'ETF variations'!V352/'ETF price'!W353</f>
        <v>8.1632653061223855E-3</v>
      </c>
      <c r="W352">
        <f ca="1">'ETF variations'!W352/'ETF price'!X353</f>
        <v>7.8298316586194513E-3</v>
      </c>
      <c r="X352">
        <f ca="1">'ETF variations'!X352/'ETF price'!Y353</f>
        <v>1.0973144672249363E-2</v>
      </c>
      <c r="Y352">
        <f ca="1">'ETF variations'!Y352/'ETF price'!Z353</f>
        <v>6.522047355735059E-3</v>
      </c>
      <c r="Z352">
        <f ca="1">'ETF variations'!Z352/'ETF price'!AA353</f>
        <v>1.1618022102578739E-2</v>
      </c>
      <c r="AA352">
        <f ca="1">'ETF variations'!AA352/'ETF price'!AB353</f>
        <v>1.2311557788944775E-2</v>
      </c>
      <c r="AB352">
        <f ca="1">'ETF variations'!AB352/'ETF price'!AC353</f>
        <v>1.3115415657788509E-2</v>
      </c>
      <c r="AC352">
        <f ca="1">'ETF variations'!AC352/'ETF price'!AD353</f>
        <v>1.2695312499999903E-2</v>
      </c>
      <c r="AD352">
        <f ca="1">'ETF variations'!AD352/'ETF price'!AE353</f>
        <v>1.3123359580052446E-2</v>
      </c>
      <c r="AE352">
        <f ca="1">'ETF variations'!AE352/'ETF price'!AF353</f>
        <v>0</v>
      </c>
      <c r="AF352">
        <f ca="1">'ETF variations'!AF352/'ETF price'!AG353</f>
        <v>-1.0766045548654162E-2</v>
      </c>
    </row>
    <row r="353" spans="1:32" x14ac:dyDescent="0.2">
      <c r="A353">
        <f ca="1">'ETF variations'!A353/'ETF price'!B354</f>
        <v>5.3404539385847518E-3</v>
      </c>
      <c r="B353">
        <f ca="1">'ETF variations'!B353/'ETF price'!C354</f>
        <v>5.2325998136335617E-3</v>
      </c>
      <c r="C353">
        <f ca="1">'ETF variations'!C353/'ETF price'!D354</f>
        <v>6.4305595546597727E-3</v>
      </c>
      <c r="D353">
        <f ca="1">'ETF variations'!D353/'ETF price'!E354</f>
        <v>-7.9647102070821865E-4</v>
      </c>
      <c r="E353">
        <f ca="1">'ETF variations'!E353/'ETF price'!F354</f>
        <v>9.6707818930040924E-3</v>
      </c>
      <c r="F353">
        <f ca="1">'ETF variations'!F353/'ETF price'!G354</f>
        <v>1.4238773274917873E-2</v>
      </c>
      <c r="G353">
        <f ca="1">'ETF variations'!G353/'ETF price'!H354</f>
        <v>0</v>
      </c>
      <c r="H353">
        <f ca="1">'ETF variations'!H353/'ETF price'!I354</f>
        <v>-6.1946208735200051E-3</v>
      </c>
      <c r="I353">
        <f ca="1">'ETF variations'!I353/'ETF price'!J354</f>
        <v>-6.7880022061006925E-3</v>
      </c>
      <c r="J353">
        <f ca="1">'ETF variations'!J353/'ETF price'!K354</f>
        <v>-7.2389645133370184E-3</v>
      </c>
      <c r="K353">
        <f ca="1">'ETF variations'!K353/'ETF price'!L354</f>
        <v>-1.3877357371604811E-2</v>
      </c>
      <c r="L353">
        <f ca="1">'ETF variations'!L353/'ETF price'!M354</f>
        <v>-9.2135570911484419E-3</v>
      </c>
      <c r="M353">
        <f ca="1">'ETF variations'!M353/'ETF price'!N354</f>
        <v>-7.4037512339585852E-3</v>
      </c>
      <c r="N353">
        <f ca="1">'ETF variations'!N353/'ETF price'!O354</f>
        <v>-1.4539579967689942E-2</v>
      </c>
      <c r="O353">
        <f ca="1">'ETF variations'!O353/'ETF price'!P354</f>
        <v>-1.0283102704075184E-2</v>
      </c>
      <c r="P353">
        <f ca="1">'ETF variations'!P353/'ETF price'!Q354</f>
        <v>-9.9191770756796322E-3</v>
      </c>
      <c r="Q353">
        <f ca="1">'ETF variations'!Q353/'ETF price'!R354</f>
        <v>-5.3777544596012149E-3</v>
      </c>
      <c r="R353">
        <f ca="1">'ETF variations'!R353/'ETF price'!S354</f>
        <v>-1.7974572555896545E-2</v>
      </c>
      <c r="S353">
        <f ca="1">'ETF variations'!S353/'ETF price'!T354</f>
        <v>-2.3215067893122981E-2</v>
      </c>
      <c r="T353">
        <f ca="1">'ETF variations'!T353/'ETF price'!U354</f>
        <v>-3.8580246913580252E-2</v>
      </c>
      <c r="U353">
        <f ca="1">'ETF variations'!U353/'ETF price'!V354</f>
        <v>5.6521124770391774E-4</v>
      </c>
      <c r="V353">
        <f ca="1">'ETF variations'!V353/'ETF price'!W354</f>
        <v>-3.1142946122697014E-4</v>
      </c>
      <c r="W353">
        <f ca="1">'ETF variations'!W353/'ETF price'!X354</f>
        <v>3.3665673960894846E-3</v>
      </c>
      <c r="X353">
        <f ca="1">'ETF variations'!X353/'ETF price'!Y354</f>
        <v>1.1425307055126864E-3</v>
      </c>
      <c r="Y353">
        <f ca="1">'ETF variations'!Y353/'ETF price'!Z354</f>
        <v>3.0990280321171837E-3</v>
      </c>
      <c r="Z353">
        <f ca="1">'ETF variations'!Z353/'ETF price'!AA354</f>
        <v>3.0812324929971827E-3</v>
      </c>
      <c r="AA353">
        <f ca="1">'ETF variations'!AA353/'ETF price'!AB354</f>
        <v>-1.985604368329568E-3</v>
      </c>
      <c r="AB353">
        <f ca="1">'ETF variations'!AB353/'ETF price'!AC354</f>
        <v>2.429794861581356E-2</v>
      </c>
      <c r="AC353">
        <f ca="1">'ETF variations'!AC353/'ETF price'!AD354</f>
        <v>4.3394406943105215E-2</v>
      </c>
      <c r="AD353">
        <f ca="1">'ETF variations'!AD353/'ETF price'!AE354</f>
        <v>4.4041450777202173E-2</v>
      </c>
      <c r="AE353">
        <f ca="1">'ETF variations'!AE353/'ETF price'!AF354</f>
        <v>1.0989010989010917E-2</v>
      </c>
      <c r="AF353">
        <f ca="1">'ETF variations'!AF353/'ETF price'!AG354</f>
        <v>7.1578066136458798E-2</v>
      </c>
    </row>
    <row r="354" spans="1:32" x14ac:dyDescent="0.2">
      <c r="A354">
        <f ca="1">'ETF variations'!A354/'ETF price'!B355</f>
        <v>-8.3303151032234433E-3</v>
      </c>
      <c r="B354">
        <f ca="1">'ETF variations'!B354/'ETF price'!C355</f>
        <v>-9.1272104962921465E-3</v>
      </c>
      <c r="C354">
        <f ca="1">'ETF variations'!C354/'ETF price'!D355</f>
        <v>-2.8609574670989618E-3</v>
      </c>
      <c r="D354">
        <f ca="1">'ETF variations'!D354/'ETF price'!E355</f>
        <v>-2.5691336072107412E-2</v>
      </c>
      <c r="E354">
        <f ca="1">'ETF variations'!E354/'ETF price'!F355</f>
        <v>7.336458121051547E-3</v>
      </c>
      <c r="F354">
        <f ca="1">'ETF variations'!F354/'ETF price'!G355</f>
        <v>-1.7998560115190784E-2</v>
      </c>
      <c r="G354">
        <f ca="1">'ETF variations'!G354/'ETF price'!H355</f>
        <v>-6.854838709677488E-3</v>
      </c>
      <c r="H354">
        <f ca="1">'ETF variations'!H354/'ETF price'!I355</f>
        <v>8.6002840460786129E-3</v>
      </c>
      <c r="I354">
        <f ca="1">'ETF variations'!I354/'ETF price'!J355</f>
        <v>7.475118534022468E-3</v>
      </c>
      <c r="J354">
        <f ca="1">'ETF variations'!J354/'ETF price'!K355</f>
        <v>8.7183958151699635E-4</v>
      </c>
      <c r="K354">
        <f ca="1">'ETF variations'!K354/'ETF price'!L355</f>
        <v>9.3817656964156979E-3</v>
      </c>
      <c r="L354">
        <f ca="1">'ETF variations'!L354/'ETF price'!M355</f>
        <v>1.3284623048820706E-3</v>
      </c>
      <c r="M354">
        <f ca="1">'ETF variations'!M354/'ETF price'!N355</f>
        <v>7.9562406762805245E-3</v>
      </c>
      <c r="N354">
        <f ca="1">'ETF variations'!N354/'ETF price'!O355</f>
        <v>1.6393442622951928E-3</v>
      </c>
      <c r="O354">
        <f ca="1">'ETF variations'!O354/'ETF price'!P355</f>
        <v>-1.7573114417649954E-2</v>
      </c>
      <c r="P354">
        <f ca="1">'ETF variations'!P354/'ETF price'!Q355</f>
        <v>-1.790352504638212E-2</v>
      </c>
      <c r="Q354">
        <f ca="1">'ETF variations'!Q354/'ETF price'!R355</f>
        <v>-1.0681788210470821E-2</v>
      </c>
      <c r="R354">
        <f ca="1">'ETF variations'!R354/'ETF price'!S355</f>
        <v>-6.2499999999998668E-3</v>
      </c>
      <c r="S354">
        <f ca="1">'ETF variations'!S354/'ETF price'!T355</f>
        <v>-1.1210762331838564E-2</v>
      </c>
      <c r="T354">
        <f ca="1">'ETF variations'!T354/'ETF price'!U355</f>
        <v>-2.6805778491171665E-2</v>
      </c>
      <c r="U354">
        <f ca="1">'ETF variations'!U354/'ETF price'!V355</f>
        <v>-1.1721508261544954E-2</v>
      </c>
      <c r="V354">
        <f ca="1">'ETF variations'!V354/'ETF price'!W355</f>
        <v>-1.0591900311526474E-2</v>
      </c>
      <c r="W354">
        <f ca="1">'ETF variations'!W354/'ETF price'!X355</f>
        <v>-1.3550135501354978E-2</v>
      </c>
      <c r="X354">
        <f ca="1">'ETF variations'!X354/'ETF price'!Y355</f>
        <v>-2.7960057061340856E-2</v>
      </c>
      <c r="Y354">
        <f ca="1">'ETF variations'!Y354/'ETF price'!Z355</f>
        <v>-1.4183401207695422E-2</v>
      </c>
      <c r="Z354">
        <f ca="1">'ETF variations'!Z354/'ETF price'!AA355</f>
        <v>6.4227869310247657E-3</v>
      </c>
      <c r="AA354">
        <f ca="1">'ETF variations'!AA354/'ETF price'!AB355</f>
        <v>-3.0838099975130612E-2</v>
      </c>
      <c r="AB354">
        <f ca="1">'ETF variations'!AB354/'ETF price'!AC355</f>
        <v>-7.9720007777561077E-3</v>
      </c>
      <c r="AC354">
        <f ca="1">'ETF variations'!AC354/'ETF price'!AD355</f>
        <v>-3.5120147874306909E-2</v>
      </c>
      <c r="AD354">
        <f ca="1">'ETF variations'!AD354/'ETF price'!AE355</f>
        <v>-3.7220843672456663E-2</v>
      </c>
      <c r="AE354">
        <f ca="1">'ETF variations'!AE354/'ETF price'!AF355</f>
        <v>1.0869565217391396E-2</v>
      </c>
      <c r="AF354">
        <f ca="1">'ETF variations'!AF354/'ETF price'!AG355</f>
        <v>3.9062499999992228E-4</v>
      </c>
    </row>
    <row r="355" spans="1:32" x14ac:dyDescent="0.2">
      <c r="A355">
        <f ca="1">'ETF variations'!A355/'ETF price'!B356</f>
        <v>1.016557097638171E-2</v>
      </c>
      <c r="B355">
        <f ca="1">'ETF variations'!B355/'ETF price'!C356</f>
        <v>1.031471886394169E-2</v>
      </c>
      <c r="C355">
        <f ca="1">'ETF variations'!C355/'ETF price'!D356</f>
        <v>1.7214996174444587E-3</v>
      </c>
      <c r="D355">
        <f ca="1">'ETF variations'!D355/'ETF price'!E356</f>
        <v>1.7180616740088042E-2</v>
      </c>
      <c r="E355">
        <f ca="1">'ETF variations'!E355/'ETF price'!F356</f>
        <v>-7.2830265021242048E-3</v>
      </c>
      <c r="F355">
        <f ca="1">'ETF variations'!F355/'ETF price'!G356</f>
        <v>1.9794721407624602E-2</v>
      </c>
      <c r="G355">
        <f ca="1">'ETF variations'!G355/'ETF price'!H356</f>
        <v>1.0556232237109281E-2</v>
      </c>
      <c r="H355">
        <f ca="1">'ETF variations'!H355/'ETF price'!I356</f>
        <v>6.5712274114056888E-3</v>
      </c>
      <c r="I355">
        <f ca="1">'ETF variations'!I355/'ETF price'!J356</f>
        <v>8.1404222844059498E-3</v>
      </c>
      <c r="J355">
        <f ca="1">'ETF variations'!J355/'ETF price'!K356</f>
        <v>3.8802660753879861E-3</v>
      </c>
      <c r="K355">
        <f ca="1">'ETF variations'!K355/'ETF price'!L356</f>
        <v>1.3822688274547147E-2</v>
      </c>
      <c r="L355">
        <f ca="1">'ETF variations'!L355/'ETF price'!M356</f>
        <v>1.0281923714759611E-2</v>
      </c>
      <c r="M355">
        <f ca="1">'ETF variations'!M355/'ETF price'!N356</f>
        <v>8.8801184015786742E-3</v>
      </c>
      <c r="N355">
        <f ca="1">'ETF variations'!N355/'ETF price'!O356</f>
        <v>1.4729950900163642E-2</v>
      </c>
      <c r="O355">
        <f ca="1">'ETF variations'!O355/'ETF price'!P356</f>
        <v>1.2403708055882005E-2</v>
      </c>
      <c r="P355">
        <f ca="1">'ETF variations'!P355/'ETF price'!Q356</f>
        <v>1.3979408708793706E-2</v>
      </c>
      <c r="Q355">
        <f ca="1">'ETF variations'!Q355/'ETF price'!R356</f>
        <v>1.3329778725673154E-2</v>
      </c>
      <c r="R355">
        <f ca="1">'ETF variations'!R355/'ETF price'!S356</f>
        <v>2.3809523809523701E-2</v>
      </c>
      <c r="S355">
        <f ca="1">'ETF variations'!S355/'ETF price'!T356</f>
        <v>1.6326530612244872E-2</v>
      </c>
      <c r="T355">
        <f ca="1">'ETF variations'!T355/'ETF price'!U356</f>
        <v>3.1667491340920249E-2</v>
      </c>
      <c r="U355">
        <f ca="1">'ETF variations'!U355/'ETF price'!V356</f>
        <v>2.143469562732209E-2</v>
      </c>
      <c r="V355">
        <f ca="1">'ETF variations'!V355/'ETF price'!W356</f>
        <v>1.0705289672544076E-2</v>
      </c>
      <c r="W355">
        <f ca="1">'ETF variations'!W355/'ETF price'!X356</f>
        <v>1.2428048142333894E-2</v>
      </c>
      <c r="X355">
        <f ca="1">'ETF variations'!X355/'ETF price'!Y356</f>
        <v>2.0839448194892893E-2</v>
      </c>
      <c r="Y355">
        <f ca="1">'ETF variations'!Y355/'ETF price'!Z356</f>
        <v>1.0256410256410239E-2</v>
      </c>
      <c r="Z355">
        <f ca="1">'ETF variations'!Z355/'ETF price'!AA356</f>
        <v>2.7746947835732551E-4</v>
      </c>
      <c r="AA355">
        <f ca="1">'ETF variations'!AA355/'ETF price'!AB356</f>
        <v>2.027200410572233E-2</v>
      </c>
      <c r="AB355">
        <f ca="1">'ETF variations'!AB355/'ETF price'!AC356</f>
        <v>1.5680125441003473E-2</v>
      </c>
      <c r="AC355">
        <f ca="1">'ETF variations'!AC355/'ETF price'!AD356</f>
        <v>-5.7471264367814868E-3</v>
      </c>
      <c r="AD355">
        <f ca="1">'ETF variations'!AD355/'ETF price'!AE356</f>
        <v>-3.2216494845360828E-2</v>
      </c>
      <c r="AE355">
        <f ca="1">'ETF variations'!AE355/'ETF price'!AF356</f>
        <v>2.1505376344086041E-2</v>
      </c>
      <c r="AF355">
        <f ca="1">'ETF variations'!AF355/'ETF price'!AG356</f>
        <v>2.1475985942991046E-2</v>
      </c>
    </row>
    <row r="356" spans="1:32" x14ac:dyDescent="0.2">
      <c r="A356">
        <f ca="1">'ETF variations'!A356/'ETF price'!B357</f>
        <v>5.7246158481471356E-3</v>
      </c>
      <c r="B356">
        <f ca="1">'ETF variations'!B356/'ETF price'!C357</f>
        <v>6.9329027969039746E-3</v>
      </c>
      <c r="C356">
        <f ca="1">'ETF variations'!C356/'ETF price'!D357</f>
        <v>-2.1004391827381983E-2</v>
      </c>
      <c r="D356">
        <f ca="1">'ETF variations'!D356/'ETF price'!E357</f>
        <v>-2.351048691455766E-3</v>
      </c>
      <c r="E356">
        <f ca="1">'ETF variations'!E356/'ETF price'!F357</f>
        <v>4.0758100672509236E-3</v>
      </c>
      <c r="F356">
        <f ca="1">'ETF variations'!F356/'ETF price'!G357</f>
        <v>1.4378145219266664E-2</v>
      </c>
      <c r="G356">
        <f ca="1">'ETF variations'!G356/'ETF price'!H357</f>
        <v>2.1293692245881925E-2</v>
      </c>
      <c r="H356">
        <f ca="1">'ETF variations'!H356/'ETF price'!I357</f>
        <v>1.2823501981813989E-2</v>
      </c>
      <c r="I356">
        <f ca="1">'ETF variations'!I356/'ETF price'!J357</f>
        <v>1.4130709058793781E-2</v>
      </c>
      <c r="J356">
        <f ca="1">'ETF variations'!J356/'ETF price'!K357</f>
        <v>1.7433146643527599E-2</v>
      </c>
      <c r="K356">
        <f ca="1">'ETF variations'!K356/'ETF price'!L357</f>
        <v>1.5867418899859057E-2</v>
      </c>
      <c r="L356">
        <f ca="1">'ETF variations'!L356/'ETF price'!M357</f>
        <v>1.8713066316480641E-2</v>
      </c>
      <c r="M356">
        <f ca="1">'ETF variations'!M356/'ETF price'!N357</f>
        <v>1.3039934800325951E-2</v>
      </c>
      <c r="N356">
        <f ca="1">'ETF variations'!N356/'ETF price'!O357</f>
        <v>3.0645161290322499E-2</v>
      </c>
      <c r="O356">
        <f ca="1">'ETF variations'!O356/'ETF price'!P357</f>
        <v>3.0435904049522816E-2</v>
      </c>
      <c r="P356">
        <f ca="1">'ETF variations'!P356/'ETF price'!Q357</f>
        <v>3.120633442012118E-2</v>
      </c>
      <c r="Q356">
        <f ca="1">'ETF variations'!Q356/'ETF price'!R357</f>
        <v>3.3543804262036271E-2</v>
      </c>
      <c r="R356">
        <f ca="1">'ETF variations'!R356/'ETF price'!S357</f>
        <v>4.2562527424309014E-2</v>
      </c>
      <c r="S356">
        <f ca="1">'ETF variations'!S356/'ETF price'!T357</f>
        <v>1.2940651494868324E-2</v>
      </c>
      <c r="T356">
        <f ca="1">'ETF variations'!T356/'ETF price'!U357</f>
        <v>2.5579536370903416E-2</v>
      </c>
      <c r="U356">
        <f ca="1">'ETF variations'!U356/'ETF price'!V357</f>
        <v>8.2540570789030373E-3</v>
      </c>
      <c r="V356">
        <f ca="1">'ETF variations'!V356/'ETF price'!W357</f>
        <v>2.1806853582554384E-2</v>
      </c>
      <c r="W356">
        <f ca="1">'ETF variations'!W356/'ETF price'!X357</f>
        <v>2.4550975578240156E-2</v>
      </c>
      <c r="X356">
        <f ca="1">'ETF variations'!X356/'ETF price'!Y357</f>
        <v>5.1466359976998249E-2</v>
      </c>
      <c r="Y356">
        <f ca="1">'ETF variations'!Y356/'ETF price'!Z357</f>
        <v>2.50987027636774E-2</v>
      </c>
      <c r="Z356">
        <f ca="1">'ETF variations'!Z356/'ETF price'!AA357</f>
        <v>2.1081830790568797E-2</v>
      </c>
      <c r="AA356">
        <f ca="1">'ETF variations'!AA356/'ETF price'!AB357</f>
        <v>6.1619718309859232E-2</v>
      </c>
      <c r="AB356">
        <f ca="1">'ETF variations'!AB356/'ETF price'!AC357</f>
        <v>-3.8595137012742431E-4</v>
      </c>
      <c r="AC356">
        <f ca="1">'ETF variations'!AC356/'ETF price'!AD357</f>
        <v>1.8304431599229239E-2</v>
      </c>
      <c r="AD356">
        <f ca="1">'ETF variations'!AD356/'ETF price'!AE357</f>
        <v>1.7976031957390119E-2</v>
      </c>
      <c r="AE356">
        <f ca="1">'ETF variations'!AE356/'ETF price'!AF357</f>
        <v>-2.8070175438596516E-2</v>
      </c>
      <c r="AF356">
        <f ca="1">'ETF variations'!AF356/'ETF price'!AG357</f>
        <v>-4.5871559633027907E-3</v>
      </c>
    </row>
    <row r="357" spans="1:32" x14ac:dyDescent="0.2">
      <c r="A357">
        <f ca="1">'ETF variations'!A357/'ETF price'!B358</f>
        <v>-5.751947273816704E-3</v>
      </c>
      <c r="B357">
        <f ca="1">'ETF variations'!B357/'ETF price'!C358</f>
        <v>-5.3525112001887257E-3</v>
      </c>
      <c r="C357">
        <f ca="1">'ETF variations'!C357/'ETF price'!D358</f>
        <v>9.9473376243416813E-3</v>
      </c>
      <c r="D357">
        <f ca="1">'ETF variations'!D357/'ETF price'!E358</f>
        <v>-1.5441860465116336E-2</v>
      </c>
      <c r="E357">
        <f ca="1">'ETF variations'!E357/'ETF price'!F358</f>
        <v>-1.0148163182464838E-3</v>
      </c>
      <c r="F357">
        <f ca="1">'ETF variations'!F357/'ETF price'!G358</f>
        <v>7.7958894401134807E-3</v>
      </c>
      <c r="G357">
        <f ca="1">'ETF variations'!G357/'ETF price'!H358</f>
        <v>-3.5405192761606375E-3</v>
      </c>
      <c r="H357">
        <f ca="1">'ETF variations'!H357/'ETF price'!I358</f>
        <v>3.6065070595457252E-3</v>
      </c>
      <c r="I357">
        <f ca="1">'ETF variations'!I357/'ETF price'!J358</f>
        <v>2.6125901965664091E-3</v>
      </c>
      <c r="J357">
        <f ca="1">'ETF variations'!J357/'ETF price'!K358</f>
        <v>3.799038610637379E-3</v>
      </c>
      <c r="K357">
        <f ca="1">'ETF variations'!K357/'ETF price'!L358</f>
        <v>3.2396158741176315E-3</v>
      </c>
      <c r="L357">
        <f ca="1">'ETF variations'!L357/'ETF price'!M358</f>
        <v>-3.0615533354818696E-3</v>
      </c>
      <c r="M357">
        <f ca="1">'ETF variations'!M357/'ETF price'!N358</f>
        <v>3.3789219629927732E-3</v>
      </c>
      <c r="N357">
        <f ca="1">'ETF variations'!N357/'ETF price'!O358</f>
        <v>-7.8247261345852619E-3</v>
      </c>
      <c r="O357">
        <f ca="1">'ETF variations'!O357/'ETF price'!P358</f>
        <v>-6.6332916145181615E-3</v>
      </c>
      <c r="P357">
        <f ca="1">'ETF variations'!P357/'ETF price'!Q358</f>
        <v>-7.1364046973803634E-3</v>
      </c>
      <c r="Q357">
        <f ca="1">'ETF variations'!Q357/'ETF price'!R358</f>
        <v>-7.636502481861788E-4</v>
      </c>
      <c r="R357">
        <f ca="1">'ETF variations'!R357/'ETF price'!S358</f>
        <v>-8.4175084175085371E-3</v>
      </c>
      <c r="S357">
        <f ca="1">'ETF variations'!S357/'ETF price'!T358</f>
        <v>-2.6431718061673448E-3</v>
      </c>
      <c r="T357">
        <f ca="1">'ETF variations'!T357/'ETF price'!U358</f>
        <v>-1.8706157443492523E-3</v>
      </c>
      <c r="U357">
        <f ca="1">'ETF variations'!U357/'ETF price'!V358</f>
        <v>-3.6076037186067839E-3</v>
      </c>
      <c r="V357">
        <f ca="1">'ETF variations'!V357/'ETF price'!W358</f>
        <v>-5.1829268292681282E-3</v>
      </c>
      <c r="W357">
        <f ca="1">'ETF variations'!W357/'ETF price'!X358</f>
        <v>-7.1888006053727749E-3</v>
      </c>
      <c r="X357">
        <f ca="1">'ETF variations'!X357/'ETF price'!Y358</f>
        <v>-2.1875854525567326E-2</v>
      </c>
      <c r="Y357">
        <f ca="1">'ETF variations'!Y357/'ETF price'!Z358</f>
        <v>-6.0522696011003812E-3</v>
      </c>
      <c r="Z357">
        <f ca="1">'ETF variations'!Z357/'ETF price'!AA358</f>
        <v>-4.6183102417821703E-3</v>
      </c>
      <c r="AA357">
        <f ca="1">'ETF variations'!AA357/'ETF price'!AB358</f>
        <v>-2.5823264629234857E-2</v>
      </c>
      <c r="AB357">
        <f ca="1">'ETF variations'!AB357/'ETF price'!AC358</f>
        <v>-9.6525096525091041E-4</v>
      </c>
      <c r="AC357">
        <f ca="1">'ETF variations'!AC357/'ETF price'!AD358</f>
        <v>-6.5279091769157943E-2</v>
      </c>
      <c r="AD357">
        <f ca="1">'ETF variations'!AD357/'ETF price'!AE358</f>
        <v>-6.3440156965336753E-2</v>
      </c>
      <c r="AE357">
        <f ca="1">'ETF variations'!AE357/'ETF price'!AF358</f>
        <v>-4.6931407942238226E-2</v>
      </c>
      <c r="AF357">
        <f ca="1">'ETF variations'!AF357/'ETF price'!AG358</f>
        <v>-5.9139784946236527E-2</v>
      </c>
    </row>
    <row r="358" spans="1:32" x14ac:dyDescent="0.2">
      <c r="A358">
        <f ca="1">'ETF variations'!A358/'ETF price'!B359</f>
        <v>-2.4105098228270486E-4</v>
      </c>
      <c r="B358">
        <f ca="1">'ETF variations'!B358/'ETF price'!C359</f>
        <v>1.6594362657942504E-3</v>
      </c>
      <c r="C358">
        <f ca="1">'ETF variations'!C358/'ETF price'!D359</f>
        <v>4.6349942062572803E-3</v>
      </c>
      <c r="D358">
        <f ca="1">'ETF variations'!D358/'ETF price'!E359</f>
        <v>1.2030738221214391E-2</v>
      </c>
      <c r="E358">
        <f ca="1">'ETF variations'!E358/'ETF price'!F359</f>
        <v>3.4538805363673649E-3</v>
      </c>
      <c r="F358">
        <f ca="1">'ETF variations'!F358/'ETF price'!G359</f>
        <v>8.4388185654007894E-3</v>
      </c>
      <c r="G358">
        <f ca="1">'ETF variations'!G358/'ETF price'!H359</f>
        <v>5.9218318199763973E-3</v>
      </c>
      <c r="H358">
        <f ca="1">'ETF variations'!H358/'ETF price'!I359</f>
        <v>-8.3339704870403208E-3</v>
      </c>
      <c r="I358">
        <f ca="1">'ETF variations'!I358/'ETF price'!J359</f>
        <v>-6.1628820780080616E-3</v>
      </c>
      <c r="J358">
        <f ca="1">'ETF variations'!J358/'ETF price'!K359</f>
        <v>-3.0122808372594913E-3</v>
      </c>
      <c r="K358">
        <f ca="1">'ETF variations'!K358/'ETF price'!L359</f>
        <v>1.6261100219121333E-2</v>
      </c>
      <c r="L358">
        <f ca="1">'ETF variations'!L358/'ETF price'!M359</f>
        <v>7.2733150153548223E-3</v>
      </c>
      <c r="M358">
        <f ca="1">'ETF variations'!M358/'ETF price'!N359</f>
        <v>-5.7729313662604146E-3</v>
      </c>
      <c r="N358">
        <f ca="1">'ETF variations'!N358/'ETF price'!O359</f>
        <v>1.49842271293375E-2</v>
      </c>
      <c r="O358">
        <f ca="1">'ETF variations'!O358/'ETF price'!P359</f>
        <v>8.0635000629961009E-3</v>
      </c>
      <c r="P358">
        <f ca="1">'ETF variations'!P358/'ETF price'!Q359</f>
        <v>7.915567282321942E-3</v>
      </c>
      <c r="Q358">
        <f ca="1">'ETF variations'!Q358/'ETF price'!R359</f>
        <v>6.3686154629983439E-3</v>
      </c>
      <c r="R358">
        <f ca="1">'ETF variations'!R358/'ETF price'!S359</f>
        <v>2.3769100169779386E-2</v>
      </c>
      <c r="S358">
        <f ca="1">'ETF variations'!S358/'ETF price'!T359</f>
        <v>1.325088339222665E-3</v>
      </c>
      <c r="T358">
        <f ca="1">'ETF variations'!T358/'ETF price'!U359</f>
        <v>-3.7482430110885832E-3</v>
      </c>
      <c r="U358">
        <f ca="1">'ETF variations'!U358/'ETF price'!V359</f>
        <v>-7.9376131458015232E-3</v>
      </c>
      <c r="V358">
        <f ca="1">'ETF variations'!V358/'ETF price'!W359</f>
        <v>1.2565124118908874E-2</v>
      </c>
      <c r="W358">
        <f ca="1">'ETF variations'!W358/'ETF price'!X359</f>
        <v>1.4862804878048802E-2</v>
      </c>
      <c r="X358">
        <f ca="1">'ETF variations'!X358/'ETF price'!Y359</f>
        <v>4.3611965334078698E-2</v>
      </c>
      <c r="Y358">
        <f ca="1">'ETF variations'!Y358/'ETF price'!Z359</f>
        <v>1.3562136728480344E-2</v>
      </c>
      <c r="Z358">
        <f ca="1">'ETF variations'!Z358/'ETF price'!AA359</f>
        <v>6.0043668122270431E-3</v>
      </c>
      <c r="AA358">
        <f ca="1">'ETF variations'!AA358/'ETF price'!AB359</f>
        <v>4.9610894941634225E-2</v>
      </c>
      <c r="AB358">
        <f ca="1">'ETF variations'!AB358/'ETF price'!AC359</f>
        <v>3.8647342995175126E-4</v>
      </c>
      <c r="AC358">
        <f ca="1">'ETF variations'!AC358/'ETF price'!AD359</f>
        <v>6.4777327935222548E-2</v>
      </c>
      <c r="AD358">
        <f ca="1">'ETF variations'!AD358/'ETF price'!AE359</f>
        <v>6.1452513966480375E-2</v>
      </c>
      <c r="AE358">
        <f ca="1">'ETF variations'!AE358/'ETF price'!AF359</f>
        <v>7.575757575757582E-3</v>
      </c>
      <c r="AF358">
        <f ca="1">'ETF variations'!AF358/'ETF price'!AG359</f>
        <v>1.2244897959183702E-2</v>
      </c>
    </row>
    <row r="359" spans="1:32" x14ac:dyDescent="0.2">
      <c r="A359">
        <f ca="1">'ETF variations'!A359/'ETF price'!B360</f>
        <v>-1.4948764315853033E-2</v>
      </c>
      <c r="B359">
        <f ca="1">'ETF variations'!B359/'ETF price'!C360</f>
        <v>-1.4886516933708764E-2</v>
      </c>
      <c r="C359">
        <f ca="1">'ETF variations'!C359/'ETF price'!D360</f>
        <v>2.1145713187235567E-2</v>
      </c>
      <c r="D359">
        <f ca="1">'ETF variations'!D359/'ETF price'!E360</f>
        <v>-2.8007717682205059E-3</v>
      </c>
      <c r="E359">
        <f ca="1">'ETF variations'!E359/'ETF price'!F360</f>
        <v>-1.7209961530674254E-2</v>
      </c>
      <c r="F359">
        <f ca="1">'ETF variations'!F359/'ETF price'!G360</f>
        <v>-2.3709902370990226E-2</v>
      </c>
      <c r="G359">
        <f ca="1">'ETF variations'!G359/'ETF price'!H360</f>
        <v>-1.1773940345369363E-3</v>
      </c>
      <c r="H359">
        <f ca="1">'ETF variations'!H359/'ETF price'!I360</f>
        <v>-3.9321511179644638E-3</v>
      </c>
      <c r="I359">
        <f ca="1">'ETF variations'!I359/'ETF price'!J360</f>
        <v>-3.4543033128017833E-3</v>
      </c>
      <c r="J359">
        <f ca="1">'ETF variations'!J359/'ETF price'!K360</f>
        <v>-1.9367833901456459E-3</v>
      </c>
      <c r="K359">
        <f ca="1">'ETF variations'!K359/'ETF price'!L360</f>
        <v>1.0213345438037811E-3</v>
      </c>
      <c r="L359">
        <f ca="1">'ETF variations'!L359/'ETF price'!M360</f>
        <v>4.1720154043645378E-3</v>
      </c>
      <c r="M359">
        <f ca="1">'ETF variations'!M359/'ETF price'!N360</f>
        <v>-3.3870967741935622E-3</v>
      </c>
      <c r="N359">
        <f ca="1">'ETF variations'!N359/'ETF price'!O360</f>
        <v>-7.7700077700076052E-4</v>
      </c>
      <c r="O359">
        <f ca="1">'ETF variations'!O359/'ETF price'!P360</f>
        <v>2.6496687914010626E-2</v>
      </c>
      <c r="P359">
        <f ca="1">'ETF variations'!P359/'ETF price'!Q360</f>
        <v>2.8344466510200401E-2</v>
      </c>
      <c r="Q359">
        <f ca="1">'ETF variations'!Q359/'ETF price'!R360</f>
        <v>1.1897228198962127E-2</v>
      </c>
      <c r="R359">
        <f ca="1">'ETF variations'!R359/'ETF price'!S360</f>
        <v>1.2852404643449366E-2</v>
      </c>
      <c r="S359">
        <f ca="1">'ETF variations'!S359/'ETF price'!T360</f>
        <v>3.9700044111160059E-3</v>
      </c>
      <c r="T359">
        <f ca="1">'ETF variations'!T359/'ETF price'!U360</f>
        <v>1.4422323248157934E-2</v>
      </c>
      <c r="U359">
        <f ca="1">'ETF variations'!U359/'ETF price'!V360</f>
        <v>-3.0881527231892037E-3</v>
      </c>
      <c r="V359">
        <f ca="1">'ETF variations'!V359/'ETF price'!W360</f>
        <v>3.9346246973366392E-3</v>
      </c>
      <c r="W359">
        <f ca="1">'ETF variations'!W359/'ETF price'!X360</f>
        <v>6.634121917636765E-3</v>
      </c>
      <c r="X359">
        <f ca="1">'ETF variations'!X359/'ETF price'!Y360</f>
        <v>2.4109295472810037E-2</v>
      </c>
      <c r="Y359">
        <f ca="1">'ETF variations'!Y359/'ETF price'!Z360</f>
        <v>4.778809393774011E-3</v>
      </c>
      <c r="Z359">
        <f ca="1">'ETF variations'!Z359/'ETF price'!AA360</f>
        <v>1.8448182311448718E-2</v>
      </c>
      <c r="AA359">
        <f ca="1">'ETF variations'!AA359/'ETF price'!AB360</f>
        <v>3.313253012048209E-2</v>
      </c>
      <c r="AB359">
        <f ca="1">'ETF variations'!AB359/'ETF price'!AC360</f>
        <v>-5.7948618891251946E-4</v>
      </c>
      <c r="AC359">
        <f ca="1">'ETF variations'!AC359/'ETF price'!AD360</f>
        <v>-2.4714828897338385E-2</v>
      </c>
      <c r="AD359">
        <f ca="1">'ETF variations'!AD359/'ETF price'!AE360</f>
        <v>-2.3684210526315752E-2</v>
      </c>
      <c r="AE359">
        <f ca="1">'ETF variations'!AE359/'ETF price'!AF360</f>
        <v>-3.0075187969924838E-2</v>
      </c>
      <c r="AF359">
        <f ca="1">'ETF variations'!AF359/'ETF price'!AG360</f>
        <v>-3.1048387096774176E-2</v>
      </c>
    </row>
    <row r="360" spans="1:32" x14ac:dyDescent="0.2">
      <c r="A360">
        <f ca="1">'ETF variations'!A360/'ETF price'!B361</f>
        <v>1.0830987639211909E-2</v>
      </c>
      <c r="B360">
        <f ca="1">'ETF variations'!B360/'ETF price'!C361</f>
        <v>1.0066307899288866E-2</v>
      </c>
      <c r="C360">
        <f ca="1">'ETF variations'!C360/'ETF price'!D361</f>
        <v>6.9653614457832183E-3</v>
      </c>
      <c r="D360">
        <f ca="1">'ETF variations'!D360/'ETF price'!E361</f>
        <v>1.0235925602296934E-2</v>
      </c>
      <c r="E360">
        <f ca="1">'ETF variations'!E360/'ETF price'!F361</f>
        <v>8.0346106304079231E-3</v>
      </c>
      <c r="F360">
        <f ca="1">'ETF variations'!F360/'ETF price'!G361</f>
        <v>7.5000000000000301E-3</v>
      </c>
      <c r="G360">
        <f ca="1">'ETF variations'!G360/'ETF price'!H361</f>
        <v>1.5717092337917151E-3</v>
      </c>
      <c r="H360">
        <f ca="1">'ETF variations'!H360/'ETF price'!I361</f>
        <v>6.4246458704235046E-3</v>
      </c>
      <c r="I360">
        <f ca="1">'ETF variations'!I360/'ETF price'!J361</f>
        <v>5.262058884944746E-3</v>
      </c>
      <c r="J360">
        <f ca="1">'ETF variations'!J360/'ETF price'!K361</f>
        <v>1.5524334394161966E-3</v>
      </c>
      <c r="K360">
        <f ca="1">'ETF variations'!K360/'ETF price'!L361</f>
        <v>-1.0202924838452465E-3</v>
      </c>
      <c r="L360">
        <f ca="1">'ETF variations'!L360/'ETF price'!M361</f>
        <v>5.4330457015021316E-3</v>
      </c>
      <c r="M360">
        <f ca="1">'ETF variations'!M360/'ETF price'!N361</f>
        <v>5.6643469817122746E-3</v>
      </c>
      <c r="N360">
        <f ca="1">'ETF variations'!N360/'ETF price'!O361</f>
        <v>-8.5536547433903137E-3</v>
      </c>
      <c r="O360">
        <f ca="1">'ETF variations'!O360/'ETF price'!P361</f>
        <v>-4.2615365883354964E-3</v>
      </c>
      <c r="P360">
        <f ca="1">'ETF variations'!P360/'ETF price'!Q361</f>
        <v>-3.9501404494382275E-3</v>
      </c>
      <c r="Q360">
        <f ca="1">'ETF variations'!Q360/'ETF price'!R361</f>
        <v>-3.6272670419012663E-3</v>
      </c>
      <c r="R360">
        <f ca="1">'ETF variations'!R360/'ETF price'!S361</f>
        <v>-1.6373311502250981E-3</v>
      </c>
      <c r="S360">
        <f ca="1">'ETF variations'!S360/'ETF price'!T361</f>
        <v>1.7574692442881873E-3</v>
      </c>
      <c r="T360">
        <f ca="1">'ETF variations'!T360/'ETF price'!U361</f>
        <v>-1.931695255756441E-2</v>
      </c>
      <c r="U360">
        <f ca="1">'ETF variations'!U360/'ETF price'!V361</f>
        <v>-2.8161081385525608E-3</v>
      </c>
      <c r="V360">
        <f ca="1">'ETF variations'!V360/'ETF price'!W361</f>
        <v>-9.0443171540552109E-4</v>
      </c>
      <c r="W360">
        <f ca="1">'ETF variations'!W360/'ETF price'!X361</f>
        <v>-1.3678189505098163E-3</v>
      </c>
      <c r="X360">
        <f ca="1">'ETF variations'!X360/'ETF price'!Y361</f>
        <v>-7.8472403871304528E-3</v>
      </c>
      <c r="Y360">
        <f ca="1">'ETF variations'!Y360/'ETF price'!Z361</f>
        <v>5.4355211305873131E-4</v>
      </c>
      <c r="Z360">
        <f ca="1">'ETF variations'!Z360/'ETF price'!AA361</f>
        <v>-6.1267980820457349E-3</v>
      </c>
      <c r="AA360">
        <f ca="1">'ETF variations'!AA360/'ETF price'!AB361</f>
        <v>-1.1886073110562931E-2</v>
      </c>
      <c r="AB360">
        <f ca="1">'ETF variations'!AB360/'ETF price'!AC361</f>
        <v>6.957866254348655E-3</v>
      </c>
      <c r="AC360">
        <f ca="1">'ETF variations'!AC360/'ETF price'!AD361</f>
        <v>1.9493177387913815E-3</v>
      </c>
      <c r="AD360">
        <f ca="1">'ETF variations'!AD360/'ETF price'!AE361</f>
        <v>3.3692722371968134E-3</v>
      </c>
      <c r="AE360">
        <f ca="1">'ETF variations'!AE360/'ETF price'!AF361</f>
        <v>1.162790697674411E-2</v>
      </c>
      <c r="AF360">
        <f ca="1">'ETF variations'!AF360/'ETF price'!AG361</f>
        <v>1.0403662089055347E-2</v>
      </c>
    </row>
    <row r="361" spans="1:32" x14ac:dyDescent="0.2">
      <c r="A361">
        <f ca="1">'ETF variations'!A361/'ETF price'!B362</f>
        <v>4.9639808705127016E-3</v>
      </c>
      <c r="B361">
        <f ca="1">'ETF variations'!B361/'ETF price'!C362</f>
        <v>4.1624051566253595E-3</v>
      </c>
      <c r="C361">
        <f ca="1">'ETF variations'!C361/'ETF price'!D362</f>
        <v>9.3475415965601043E-3</v>
      </c>
      <c r="D361">
        <f ca="1">'ETF variations'!D361/'ETF price'!E362</f>
        <v>2.6566168293585715E-3</v>
      </c>
      <c r="E361">
        <f ca="1">'ETF variations'!E361/'ETF price'!F362</f>
        <v>-4.0874718986313356E-4</v>
      </c>
      <c r="F361">
        <f ca="1">'ETF variations'!F361/'ETF price'!G362</f>
        <v>4.6082949308755405E-3</v>
      </c>
      <c r="G361">
        <f ca="1">'ETF variations'!G361/'ETF price'!H362</f>
        <v>-3.9231071008230723E-4</v>
      </c>
      <c r="H361">
        <f ca="1">'ETF variations'!H361/'ETF price'!I362</f>
        <v>3.0764497769572162E-3</v>
      </c>
      <c r="I361">
        <f ca="1">'ETF variations'!I361/'ETF price'!J362</f>
        <v>7.4778779444135426E-4</v>
      </c>
      <c r="J361">
        <f ca="1">'ETF variations'!J361/'ETF price'!K362</f>
        <v>-1.4725257692009433E-3</v>
      </c>
      <c r="K361">
        <f ca="1">'ETF variations'!K361/'ETF price'!L362</f>
        <v>-5.2201543349978206E-3</v>
      </c>
      <c r="L361">
        <f ca="1">'ETF variations'!L361/'ETF price'!M362</f>
        <v>-8.2644628099174042E-3</v>
      </c>
      <c r="M361">
        <f ca="1">'ETF variations'!M361/'ETF price'!N362</f>
        <v>1.7701963308657778E-3</v>
      </c>
      <c r="N361">
        <f ca="1">'ETF variations'!N361/'ETF price'!O362</f>
        <v>-7.0588235294117537E-3</v>
      </c>
      <c r="O361">
        <f ca="1">'ETF variations'!O361/'ETF price'!P362</f>
        <v>-5.5025678650037031E-3</v>
      </c>
      <c r="P361">
        <f ca="1">'ETF variations'!P361/'ETF price'!Q362</f>
        <v>-6.3452895038336021E-3</v>
      </c>
      <c r="Q361">
        <f ca="1">'ETF variations'!Q361/'ETF price'!R362</f>
        <v>-8.2852121516444471E-3</v>
      </c>
      <c r="R361">
        <f ca="1">'ETF variations'!R361/'ETF price'!S362</f>
        <v>-9.2250922509225664E-3</v>
      </c>
      <c r="S361">
        <f ca="1">'ETF variations'!S361/'ETF price'!T362</f>
        <v>-6.1403508771930076E-3</v>
      </c>
      <c r="T361">
        <f ca="1">'ETF variations'!T361/'ETF price'!U362</f>
        <v>-8.3517176173968036E-3</v>
      </c>
      <c r="U361">
        <f ca="1">'ETF variations'!U361/'ETF price'!V362</f>
        <v>-6.0717311493927234E-3</v>
      </c>
      <c r="V361">
        <f ca="1">'ETF variations'!V361/'ETF price'!W362</f>
        <v>3.0175015087501538E-4</v>
      </c>
      <c r="W361">
        <f ca="1">'ETF variations'!W361/'ETF price'!X362</f>
        <v>-8.7162246295613736E-4</v>
      </c>
      <c r="X361">
        <f ca="1">'ETF variations'!X361/'ETF price'!Y362</f>
        <v>-1.0018455048774124E-2</v>
      </c>
      <c r="Y361">
        <f ca="1">'ETF variations'!Y361/'ETF price'!Z362</f>
        <v>-2.7162841233187589E-4</v>
      </c>
      <c r="Z361">
        <f ca="1">'ETF variations'!Z361/'ETF price'!AA362</f>
        <v>-5.0924685071027827E-3</v>
      </c>
      <c r="AA361">
        <f ca="1">'ETF variations'!AA361/'ETF price'!AB362</f>
        <v>-1.3617793917385415E-2</v>
      </c>
      <c r="AB361">
        <f ca="1">'ETF variations'!AB361/'ETF price'!AC362</f>
        <v>-3.0710172744722397E-3</v>
      </c>
      <c r="AC361">
        <f ca="1">'ETF variations'!AC361/'ETF price'!AD362</f>
        <v>-5.8365758754862574E-3</v>
      </c>
      <c r="AD361">
        <f ca="1">'ETF variations'!AD361/'ETF price'!AE362</f>
        <v>-7.3875083948959841E-3</v>
      </c>
      <c r="AE361">
        <f ca="1">'ETF variations'!AE361/'ETF price'!AF362</f>
        <v>-1.5325670498084306E-2</v>
      </c>
      <c r="AF361">
        <f ca="1">'ETF variations'!AF361/'ETF price'!AG362</f>
        <v>-2.7594728171334501E-2</v>
      </c>
    </row>
    <row r="362" spans="1:32" x14ac:dyDescent="0.2">
      <c r="A362">
        <f ca="1">'ETF variations'!A362/'ETF price'!B363</f>
        <v>2.1745677971206637E-2</v>
      </c>
      <c r="B362">
        <f ca="1">'ETF variations'!B362/'ETF price'!C363</f>
        <v>2.0867876261310345E-2</v>
      </c>
      <c r="C362">
        <f ca="1">'ETF variations'!C362/'ETF price'!D363</f>
        <v>1.2872754213743291E-2</v>
      </c>
      <c r="D362">
        <f ca="1">'ETF variations'!D362/'ETF price'!E363</f>
        <v>3.2164643539343146E-2</v>
      </c>
      <c r="E362">
        <f ca="1">'ETF variations'!E362/'ETF price'!F363</f>
        <v>1.6152116131670544E-2</v>
      </c>
      <c r="F362">
        <f ca="1">'ETF variations'!F362/'ETF price'!G363</f>
        <v>1.6584333098094525E-2</v>
      </c>
      <c r="G362">
        <f ca="1">'ETF variations'!G362/'ETF price'!H363</f>
        <v>1.0596546310832008E-2</v>
      </c>
      <c r="H362">
        <f ca="1">'ETF variations'!H362/'ETF price'!I363</f>
        <v>3.6037417573991635E-3</v>
      </c>
      <c r="I362">
        <f ca="1">'ETF variations'!I362/'ETF price'!J363</f>
        <v>5.2721159035244731E-3</v>
      </c>
      <c r="J362">
        <f ca="1">'ETF variations'!J362/'ETF price'!K363</f>
        <v>7.9944116733933653E-3</v>
      </c>
      <c r="K362">
        <f ca="1">'ETF variations'!K362/'ETF price'!L363</f>
        <v>1.0837326032397935E-2</v>
      </c>
      <c r="L362">
        <f ca="1">'ETF variations'!L362/'ETF price'!M363</f>
        <v>1.0416666666666644E-2</v>
      </c>
      <c r="M362">
        <f ca="1">'ETF variations'!M362/'ETF price'!N363</f>
        <v>3.2128514056225356E-3</v>
      </c>
      <c r="N362">
        <f ca="1">'ETF variations'!N362/'ETF price'!O363</f>
        <v>7.5039494470774595E-3</v>
      </c>
      <c r="O362">
        <f ca="1">'ETF variations'!O362/'ETF price'!P363</f>
        <v>-9.5905569900405895E-3</v>
      </c>
      <c r="P362">
        <f ca="1">'ETF variations'!P362/'ETF price'!Q363</f>
        <v>-1.1352549889135265E-2</v>
      </c>
      <c r="Q362">
        <f ca="1">'ETF variations'!Q362/'ETF price'!R363</f>
        <v>4.5569620253164489E-3</v>
      </c>
      <c r="R362">
        <f ca="1">'ETF variations'!R362/'ETF price'!S363</f>
        <v>6.2073246430790683E-4</v>
      </c>
      <c r="S362">
        <f ca="1">'ETF variations'!S362/'ETF price'!T363</f>
        <v>-1.3680494263018478E-2</v>
      </c>
      <c r="T362">
        <f ca="1">'ETF variations'!T362/'ETF price'!U363</f>
        <v>-4.2745908151914792E-2</v>
      </c>
      <c r="U362">
        <f ca="1">'ETF variations'!U362/'ETF price'!V363</f>
        <v>1.6337547947151664E-2</v>
      </c>
      <c r="V362">
        <f ca="1">'ETF variations'!V362/'ETF price'!W363</f>
        <v>-3.0165912518847696E-4</v>
      </c>
      <c r="W362">
        <f ca="1">'ETF variations'!W362/'ETF price'!X363</f>
        <v>-8.723828514455781E-4</v>
      </c>
      <c r="X362">
        <f ca="1">'ETF variations'!X362/'ETF price'!Y363</f>
        <v>-7.7230359520638926E-3</v>
      </c>
      <c r="Y362">
        <f ca="1">'ETF variations'!Y362/'ETF price'!Z363</f>
        <v>-3.8038310012226753E-3</v>
      </c>
      <c r="Z362">
        <f ca="1">'ETF variations'!Z362/'ETF price'!AA363</f>
        <v>-5.3879310344816874E-4</v>
      </c>
      <c r="AA362">
        <f ca="1">'ETF variations'!AA362/'ETF price'!AB363</f>
        <v>-7.3630924988495232E-3</v>
      </c>
      <c r="AB362">
        <f ca="1">'ETF variations'!AB362/'ETF price'!AC363</f>
        <v>1.3284559106661625E-2</v>
      </c>
      <c r="AC362">
        <f ca="1">'ETF variations'!AC362/'ETF price'!AD363</f>
        <v>-2.3483365949119393E-2</v>
      </c>
      <c r="AD362">
        <f ca="1">'ETF variations'!AD362/'ETF price'!AE363</f>
        <v>-2.165087956698231E-2</v>
      </c>
      <c r="AE362">
        <f ca="1">'ETF variations'!AE362/'ETF price'!AF363</f>
        <v>3.8910505836576778E-3</v>
      </c>
      <c r="AF362">
        <f ca="1">'ETF variations'!AF362/'ETF price'!AG363</f>
        <v>1.0588733587462939E-2</v>
      </c>
    </row>
    <row r="363" spans="1:32" x14ac:dyDescent="0.2">
      <c r="A363">
        <f ca="1">'ETF variations'!A363/'ETF price'!B364</f>
        <v>6.0723971229807872E-3</v>
      </c>
      <c r="B363">
        <f ca="1">'ETF variations'!B363/'ETF price'!C364</f>
        <v>7.1927422910043528E-3</v>
      </c>
      <c r="C363">
        <f ca="1">'ETF variations'!C363/'ETF price'!D364</f>
        <v>-8.1375148578220775E-3</v>
      </c>
      <c r="D363">
        <f ca="1">'ETF variations'!D363/'ETF price'!E364</f>
        <v>1.3432033908423378E-2</v>
      </c>
      <c r="E363">
        <f ca="1">'ETF variations'!E363/'ETF price'!F364</f>
        <v>1.207243460764576E-2</v>
      </c>
      <c r="F363">
        <f ca="1">'ETF variations'!F363/'ETF price'!G364</f>
        <v>1.7007983339118432E-2</v>
      </c>
      <c r="G363">
        <f ca="1">'ETF variations'!G363/'ETF price'!H364</f>
        <v>1.0485436893203868E-2</v>
      </c>
      <c r="H363">
        <f ca="1">'ETF variations'!H363/'ETF price'!I364</f>
        <v>5.0424020169609982E-3</v>
      </c>
      <c r="I363">
        <f ca="1">'ETF variations'!I363/'ETF price'!J364</f>
        <v>6.3181367690783004E-3</v>
      </c>
      <c r="J363">
        <f ca="1">'ETF variations'!J363/'ETF price'!K364</f>
        <v>1.1396011396011317E-2</v>
      </c>
      <c r="K363">
        <f ca="1">'ETF variations'!K363/'ETF price'!L364</f>
        <v>1.8282360907346851E-2</v>
      </c>
      <c r="L363">
        <f ca="1">'ETF variations'!L363/'ETF price'!M364</f>
        <v>6.6613798572561734E-3</v>
      </c>
      <c r="M363">
        <f ca="1">'ETF variations'!M363/'ETF price'!N364</f>
        <v>6.0848678943153794E-3</v>
      </c>
      <c r="N363">
        <f ca="1">'ETF variations'!N363/'ETF price'!O364</f>
        <v>2.077616620932958E-2</v>
      </c>
      <c r="O363">
        <f ca="1">'ETF variations'!O363/'ETF price'!P364</f>
        <v>4.717566728740033E-3</v>
      </c>
      <c r="P363">
        <f ca="1">'ETF variations'!P363/'ETF price'!Q364</f>
        <v>5.5620346281511131E-3</v>
      </c>
      <c r="Q363">
        <f ca="1">'ETF variations'!Q363/'ETF price'!R364</f>
        <v>2.3185483870967784E-2</v>
      </c>
      <c r="R363">
        <f ca="1">'ETF variations'!R363/'ETF price'!S364</f>
        <v>2.7502067824648434E-2</v>
      </c>
      <c r="S363">
        <f ca="1">'ETF variations'!S363/'ETF price'!T364</f>
        <v>1.342281879194618E-2</v>
      </c>
      <c r="T363">
        <f ca="1">'ETF variations'!T363/'ETF price'!U364</f>
        <v>3.1540504648074341E-2</v>
      </c>
      <c r="U363">
        <f ca="1">'ETF variations'!U363/'ETF price'!V364</f>
        <v>1.0763209393346324E-2</v>
      </c>
      <c r="V363">
        <f ca="1">'ETF variations'!V363/'ETF price'!W364</f>
        <v>6.0350030175015945E-3</v>
      </c>
      <c r="W363">
        <f ca="1">'ETF variations'!W363/'ETF price'!X364</f>
        <v>7.8583011101408928E-3</v>
      </c>
      <c r="X363">
        <f ca="1">'ETF variations'!X363/'ETF price'!Y364</f>
        <v>2.0933977455716617E-2</v>
      </c>
      <c r="Y363">
        <f ca="1">'ETF variations'!Y363/'ETF price'!Z364</f>
        <v>1.1182326469385074E-2</v>
      </c>
      <c r="Z363">
        <f ca="1">'ETF variations'!Z363/'ETF price'!AA364</f>
        <v>7.2776280323449058E-3</v>
      </c>
      <c r="AA363">
        <f ca="1">'ETF variations'!AA363/'ETF price'!AB364</f>
        <v>2.3180343069077423E-2</v>
      </c>
      <c r="AB363">
        <f ca="1">'ETF variations'!AB363/'ETF price'!AC364</f>
        <v>-5.7001710051302343E-3</v>
      </c>
      <c r="AC363">
        <f ca="1">'ETF variations'!AC363/'ETF price'!AD364</f>
        <v>2.0040080160320215E-3</v>
      </c>
      <c r="AD363">
        <f ca="1">'ETF variations'!AD363/'ETF price'!AE364</f>
        <v>1.3831258644536356E-3</v>
      </c>
      <c r="AE363">
        <f ca="1">'ETF variations'!AE363/'ETF price'!AF364</f>
        <v>-2.3255813953488393E-2</v>
      </c>
      <c r="AF363">
        <f ca="1">'ETF variations'!AF363/'ETF price'!AG364</f>
        <v>2.7661357921207049E-2</v>
      </c>
    </row>
    <row r="364" spans="1:32" x14ac:dyDescent="0.2">
      <c r="A364">
        <f ca="1">'ETF variations'!A364/'ETF price'!B365</f>
        <v>1.0313507178435341E-2</v>
      </c>
      <c r="B364">
        <f ca="1">'ETF variations'!B364/'ETF price'!C365</f>
        <v>8.270174387799839E-3</v>
      </c>
      <c r="C364">
        <f ca="1">'ETF variations'!C364/'ETF price'!D365</f>
        <v>-4.8856932153392429E-3</v>
      </c>
      <c r="D364">
        <f ca="1">'ETF variations'!D364/'ETF price'!E365</f>
        <v>1.419651272384541E-2</v>
      </c>
      <c r="E364">
        <f ca="1">'ETF variations'!E364/'ETF price'!F365</f>
        <v>2.1868787276341835E-3</v>
      </c>
      <c r="F364">
        <f ca="1">'ETF variations'!F364/'ETF price'!G365</f>
        <v>4.0955631399317745E-3</v>
      </c>
      <c r="G364">
        <f ca="1">'ETF variations'!G364/'ETF price'!H365</f>
        <v>-1.1529592621061159E-3</v>
      </c>
      <c r="H364">
        <f ca="1">'ETF variations'!H364/'ETF price'!I365</f>
        <v>-1.0262257696693445E-2</v>
      </c>
      <c r="I364">
        <f ca="1">'ETF variations'!I364/'ETF price'!J365</f>
        <v>-1.0176864048586276E-2</v>
      </c>
      <c r="J364">
        <f ca="1">'ETF variations'!J364/'ETF price'!K365</f>
        <v>-7.9939094023599774E-3</v>
      </c>
      <c r="K364">
        <f ca="1">'ETF variations'!K364/'ETF price'!L365</f>
        <v>-1.4850936495622335E-2</v>
      </c>
      <c r="L364">
        <f ca="1">'ETF variations'!L364/'ETF price'!M365</f>
        <v>-1.260438002205762E-2</v>
      </c>
      <c r="M364">
        <f ca="1">'ETF variations'!M364/'ETF price'!N365</f>
        <v>-9.3904185898455571E-3</v>
      </c>
      <c r="N364">
        <f ca="1">'ETF variations'!N364/'ETF price'!O365</f>
        <v>-2.1505376344085975E-2</v>
      </c>
      <c r="O364">
        <f ca="1">'ETF variations'!O364/'ETF price'!P365</f>
        <v>-1.0255776597059341E-2</v>
      </c>
      <c r="P364">
        <f ca="1">'ETF variations'!P364/'ETF price'!Q365</f>
        <v>-9.9027567133553335E-3</v>
      </c>
      <c r="Q364">
        <f ca="1">'ETF variations'!Q364/'ETF price'!R365</f>
        <v>-4.1871921182266431E-3</v>
      </c>
      <c r="R364">
        <f ca="1">'ETF variations'!R364/'ETF price'!S365</f>
        <v>-9.6598913262225181E-3</v>
      </c>
      <c r="S364">
        <f ca="1">'ETF variations'!S364/'ETF price'!T365</f>
        <v>2.2075055187638286E-3</v>
      </c>
      <c r="T364">
        <f ca="1">'ETF variations'!T364/'ETF price'!U365</f>
        <v>-4.988735114258163E-3</v>
      </c>
      <c r="U364">
        <f ca="1">'ETF variations'!U364/'ETF price'!V365</f>
        <v>-9.5422486516387461E-3</v>
      </c>
      <c r="V364">
        <f ca="1">'ETF variations'!V364/'ETF price'!W365</f>
        <v>-3.8992201559688825E-3</v>
      </c>
      <c r="W364">
        <f ca="1">'ETF variations'!W364/'ETF price'!X365</f>
        <v>-4.0841584158415635E-3</v>
      </c>
      <c r="X364">
        <f ca="1">'ETF variations'!X364/'ETF price'!Y365</f>
        <v>-2.3659305993690816E-2</v>
      </c>
      <c r="Y364">
        <f ca="1">'ETF variations'!Y364/'ETF price'!Z365</f>
        <v>-6.0687795010115012E-3</v>
      </c>
      <c r="Z364">
        <f ca="1">'ETF variations'!Z364/'ETF price'!AA365</f>
        <v>5.3518865400054285E-3</v>
      </c>
      <c r="AA364">
        <f ca="1">'ETF variations'!AA364/'ETF price'!AB365</f>
        <v>-2.9225192569098304E-2</v>
      </c>
      <c r="AB364">
        <f ca="1">'ETF variations'!AB364/'ETF price'!AC365</f>
        <v>-8.9814637875023674E-3</v>
      </c>
      <c r="AC364">
        <f ca="1">'ETF variations'!AC364/'ETF price'!AD365</f>
        <v>0</v>
      </c>
      <c r="AD364">
        <f ca="1">'ETF variations'!AD364/'ETF price'!AE365</f>
        <v>0</v>
      </c>
      <c r="AE364">
        <f ca="1">'ETF variations'!AE364/'ETF price'!AF365</f>
        <v>0</v>
      </c>
      <c r="AF364">
        <f ca="1">'ETF variations'!AF364/'ETF price'!AG365</f>
        <v>2.8548123980424258E-3</v>
      </c>
    </row>
    <row r="365" spans="1:32" x14ac:dyDescent="0.2">
      <c r="A365">
        <f ca="1">'ETF variations'!A365/'ETF price'!B366</f>
        <v>1.2876283278232115E-2</v>
      </c>
      <c r="B365">
        <f ca="1">'ETF variations'!B365/'ETF price'!C366</f>
        <v>1.3046061049168296E-2</v>
      </c>
      <c r="C365">
        <f ca="1">'ETF variations'!C365/'ETF price'!D366</f>
        <v>-1.6489115331171849E-2</v>
      </c>
      <c r="D365">
        <f ca="1">'ETF variations'!D365/'ETF price'!E366</f>
        <v>-8.3057443224718499E-3</v>
      </c>
      <c r="E365">
        <f ca="1">'ETF variations'!E365/'ETF price'!F366</f>
        <v>1.9837333862328905E-2</v>
      </c>
      <c r="F365">
        <f ca="1">'ETF variations'!F365/'ETF price'!G366</f>
        <v>1.0197144799456055E-2</v>
      </c>
      <c r="G365">
        <f ca="1">'ETF variations'!G365/'ETF price'!H366</f>
        <v>1.0003847633705333E-2</v>
      </c>
      <c r="H365">
        <f ca="1">'ETF variations'!H365/'ETF price'!I366</f>
        <v>1.5514592933947852E-2</v>
      </c>
      <c r="I365">
        <f ca="1">'ETF variations'!I365/'ETF price'!J366</f>
        <v>1.4841839061398715E-2</v>
      </c>
      <c r="J365">
        <f ca="1">'ETF variations'!J365/'ETF price'!K366</f>
        <v>1.1588641596316123E-2</v>
      </c>
      <c r="K365">
        <f ca="1">'ETF variations'!K365/'ETF price'!L366</f>
        <v>3.3749578130273052E-3</v>
      </c>
      <c r="L365">
        <f ca="1">'ETF variations'!L365/'ETF price'!M366</f>
        <v>1.0212222754108833E-2</v>
      </c>
      <c r="M365">
        <f ca="1">'ETF variations'!M365/'ETF price'!N366</f>
        <v>1.3978149100257027E-2</v>
      </c>
      <c r="N365">
        <f ca="1">'ETF variations'!N365/'ETF price'!O366</f>
        <v>1.2558869701726856E-2</v>
      </c>
      <c r="O365">
        <f ca="1">'ETF variations'!O365/'ETF price'!P366</f>
        <v>1.0986267166042568E-2</v>
      </c>
      <c r="P365">
        <f ca="1">'ETF variations'!P365/'ETF price'!Q366</f>
        <v>1.1984141286718313E-2</v>
      </c>
      <c r="Q365">
        <f ca="1">'ETF variations'!Q365/'ETF price'!R366</f>
        <v>8.5332673757110775E-3</v>
      </c>
      <c r="R365">
        <f ca="1">'ETF variations'!R365/'ETF price'!S366</f>
        <v>1.6053647632594984E-2</v>
      </c>
      <c r="S365">
        <f ca="1">'ETF variations'!S365/'ETF price'!T366</f>
        <v>2.1145374449339227E-2</v>
      </c>
      <c r="T365">
        <f ca="1">'ETF variations'!T365/'ETF price'!U366</f>
        <v>2.555393821769365E-2</v>
      </c>
      <c r="U365">
        <f ca="1">'ETF variations'!U365/'ETF price'!V366</f>
        <v>2.2060876850041863E-2</v>
      </c>
      <c r="V365">
        <f ca="1">'ETF variations'!V365/'ETF price'!W366</f>
        <v>1.3249021379102612E-2</v>
      </c>
      <c r="W365">
        <f ca="1">'ETF variations'!W365/'ETF price'!X366</f>
        <v>1.2675531253883385E-2</v>
      </c>
      <c r="X365">
        <f ca="1">'ETF variations'!X365/'ETF price'!Y366</f>
        <v>1.7232094776521285E-2</v>
      </c>
      <c r="Y365">
        <f ca="1">'ETF variations'!Y365/'ETF price'!Z366</f>
        <v>1.4111261872455793E-2</v>
      </c>
      <c r="Z365">
        <f ca="1">'ETF variations'!Z365/'ETF price'!AA366</f>
        <v>4.2587170614851368E-3</v>
      </c>
      <c r="AA365">
        <f ca="1">'ETF variations'!AA365/'ETF price'!AB366</f>
        <v>1.9136522753792306E-2</v>
      </c>
      <c r="AB365">
        <f ca="1">'ETF variations'!AB365/'ETF price'!AC366</f>
        <v>-3.470883146934048E-3</v>
      </c>
      <c r="AC365">
        <f ca="1">'ETF variations'!AC365/'ETF price'!AD366</f>
        <v>-1.6999999999999994E-2</v>
      </c>
      <c r="AD365">
        <f ca="1">'ETF variations'!AD365/'ETF price'!AE366</f>
        <v>-1.6574585635359129E-2</v>
      </c>
      <c r="AE365">
        <f ca="1">'ETF variations'!AE365/'ETF price'!AF366</f>
        <v>1.9841269841269771E-2</v>
      </c>
      <c r="AF365">
        <f ca="1">'ETF variations'!AF365/'ETF price'!AG366</f>
        <v>-5.2867019113460355E-3</v>
      </c>
    </row>
    <row r="366" spans="1:32" x14ac:dyDescent="0.2">
      <c r="A366">
        <f ca="1">'ETF variations'!A366/'ETF price'!B367</f>
        <v>-8.246005840920792E-3</v>
      </c>
      <c r="B366">
        <f ca="1">'ETF variations'!B366/'ETF price'!C367</f>
        <v>-8.6379936399106523E-3</v>
      </c>
      <c r="C366">
        <f ca="1">'ETF variations'!C366/'ETF price'!D367</f>
        <v>1.0266553640388089E-2</v>
      </c>
      <c r="D366">
        <f ca="1">'ETF variations'!D366/'ETF price'!E367</f>
        <v>-9.1952676584281454E-3</v>
      </c>
      <c r="E366">
        <f ca="1">'ETF variations'!E366/'ETF price'!F367</f>
        <v>-6.613499319198528E-3</v>
      </c>
      <c r="F366">
        <f ca="1">'ETF variations'!F366/'ETF price'!G367</f>
        <v>-4.3741588156123489E-3</v>
      </c>
      <c r="G366">
        <f ca="1">'ETF variations'!G366/'ETF price'!H367</f>
        <v>-5.3333333333333548E-3</v>
      </c>
      <c r="H366">
        <f ca="1">'ETF variations'!H366/'ETF price'!I367</f>
        <v>-7.5631523218808836E-5</v>
      </c>
      <c r="I366">
        <f ca="1">'ETF variations'!I366/'ETF price'!J367</f>
        <v>-1.0621348911311365E-3</v>
      </c>
      <c r="J366">
        <f ca="1">'ETF variations'!J366/'ETF price'!K367</f>
        <v>-3.8692056748349207E-3</v>
      </c>
      <c r="K366">
        <f ca="1">'ETF variations'!K366/'ETF price'!L367</f>
        <v>-1.7042269312703175E-2</v>
      </c>
      <c r="L366">
        <f ca="1">'ETF variations'!L366/'ETF price'!M367</f>
        <v>-5.8442584109935957E-3</v>
      </c>
      <c r="M366">
        <f ca="1">'ETF variations'!M366/'ETF price'!N367</f>
        <v>-3.9613373474885125E-3</v>
      </c>
      <c r="N366">
        <f ca="1">'ETF variations'!N366/'ETF price'!O367</f>
        <v>-1.0852713178294617E-2</v>
      </c>
      <c r="O366">
        <f ca="1">'ETF variations'!O366/'ETF price'!P367</f>
        <v>-1.4818473697209749E-3</v>
      </c>
      <c r="P366">
        <f ca="1">'ETF variations'!P366/'ETF price'!Q367</f>
        <v>-6.232748642151846E-4</v>
      </c>
      <c r="Q366">
        <f ca="1">'ETF variations'!Q366/'ETF price'!R367</f>
        <v>2.4524831391784531E-3</v>
      </c>
      <c r="R366">
        <f ca="1">'ETF variations'!R366/'ETF price'!S367</f>
        <v>-5.7999999999999831E-3</v>
      </c>
      <c r="S366">
        <f ca="1">'ETF variations'!S366/'ETF price'!T367</f>
        <v>1.2510785159620326E-2</v>
      </c>
      <c r="T366">
        <f ca="1">'ETF variations'!T366/'ETF price'!U367</f>
        <v>1.4824160227093484E-2</v>
      </c>
      <c r="U366">
        <f ca="1">'ETF variations'!U366/'ETF price'!V367</f>
        <v>-5.6010928961748169E-3</v>
      </c>
      <c r="V366">
        <f ca="1">'ETF variations'!V366/'ETF price'!W367</f>
        <v>-2.0802377414561751E-3</v>
      </c>
      <c r="W366">
        <f ca="1">'ETF variations'!W366/'ETF price'!X367</f>
        <v>-3.5587188612098671E-3</v>
      </c>
      <c r="X366">
        <f ca="1">'ETF variations'!X366/'ETF price'!Y367</f>
        <v>-1.1116993118051924E-2</v>
      </c>
      <c r="Y366">
        <f ca="1">'ETF variations'!Y366/'ETF price'!Z367</f>
        <v>-3.8801177415037739E-3</v>
      </c>
      <c r="Z366">
        <f ca="1">'ETF variations'!Z366/'ETF price'!AA367</f>
        <v>-1.0601643254704255E-3</v>
      </c>
      <c r="AA366">
        <f ca="1">'ETF variations'!AA366/'ETF price'!AB367</f>
        <v>-1.37394092054042E-2</v>
      </c>
      <c r="AB366">
        <f ca="1">'ETF variations'!AB366/'ETF price'!AC367</f>
        <v>-1.1996904024767753E-2</v>
      </c>
      <c r="AC366">
        <f ca="1">'ETF variations'!AC366/'ETF price'!AD367</f>
        <v>3.7639877924720164E-2</v>
      </c>
      <c r="AD366">
        <f ca="1">'ETF variations'!AD366/'ETF price'!AE367</f>
        <v>3.7921348314606682E-2</v>
      </c>
      <c r="AE366">
        <f ca="1">'ETF variations'!AE366/'ETF price'!AF367</f>
        <v>2.7237354085603224E-2</v>
      </c>
      <c r="AF366">
        <f ca="1">'ETF variations'!AF366/'ETF price'!AG367</f>
        <v>3.6794766966475823E-2</v>
      </c>
    </row>
    <row r="367" spans="1:32" x14ac:dyDescent="0.2">
      <c r="A367">
        <f ca="1">'ETF variations'!A367/'ETF price'!B368</f>
        <v>-8.8342283041746121E-3</v>
      </c>
      <c r="B367">
        <f ca="1">'ETF variations'!B367/'ETF price'!C368</f>
        <v>-5.824005824005829E-3</v>
      </c>
      <c r="C367">
        <f ca="1">'ETF variations'!C367/'ETF price'!D368</f>
        <v>-9.0434458325563943E-3</v>
      </c>
      <c r="D367">
        <f ca="1">'ETF variations'!D367/'ETF price'!E368</f>
        <v>-8.0983625938403758E-3</v>
      </c>
      <c r="E367">
        <f ca="1">'ETF variations'!E367/'ETF price'!F368</f>
        <v>-1.2727628744859968E-2</v>
      </c>
      <c r="F367">
        <f ca="1">'ETF variations'!F367/'ETF price'!G368</f>
        <v>-1.0476512335248352E-2</v>
      </c>
      <c r="G367">
        <f ca="1">'ETF variations'!G367/'ETF price'!H368</f>
        <v>-1.034086556874759E-2</v>
      </c>
      <c r="H367">
        <f ca="1">'ETF variations'!H367/'ETF price'!I368</f>
        <v>-5.2189698207397144E-3</v>
      </c>
      <c r="I367">
        <f ca="1">'ETF variations'!I367/'ETF price'!J368</f>
        <v>-3.6805299963196093E-4</v>
      </c>
      <c r="J367">
        <f ca="1">'ETF variations'!J367/'ETF price'!K368</f>
        <v>-7.0068545316071271E-3</v>
      </c>
      <c r="K367">
        <f ca="1">'ETF variations'!K367/'ETF price'!L368</f>
        <v>-3.4219231207940155E-4</v>
      </c>
      <c r="L367">
        <f ca="1">'ETF variations'!L367/'ETF price'!M368</f>
        <v>-8.5795996186844477E-3</v>
      </c>
      <c r="M367">
        <f ca="1">'ETF variations'!M367/'ETF price'!N368</f>
        <v>-7.9541839007313329E-4</v>
      </c>
      <c r="N367">
        <f ca="1">'ETF variations'!N367/'ETF price'!O368</f>
        <v>-5.4858934169279222E-3</v>
      </c>
      <c r="O367">
        <f ca="1">'ETF variations'!O367/'ETF price'!P368</f>
        <v>-3.0917635419243136E-2</v>
      </c>
      <c r="P367">
        <f ca="1">'ETF variations'!P367/'ETF price'!Q368</f>
        <v>-2.1650035637918681E-2</v>
      </c>
      <c r="Q367">
        <f ca="1">'ETF variations'!Q367/'ETF price'!R368</f>
        <v>-1.834862385321101E-2</v>
      </c>
      <c r="R367">
        <f ca="1">'ETF variations'!R367/'ETF price'!S368</f>
        <v>-8.4490042245021456E-3</v>
      </c>
      <c r="S367">
        <f ca="1">'ETF variations'!S367/'ETF price'!T368</f>
        <v>-8.9475926714954121E-3</v>
      </c>
      <c r="T367">
        <f ca="1">'ETF variations'!T367/'ETF price'!U368</f>
        <v>-6.6822066822065677E-3</v>
      </c>
      <c r="U367">
        <f ca="1">'ETF variations'!U367/'ETF price'!V368</f>
        <v>-3.1460365434812558E-2</v>
      </c>
      <c r="V367">
        <f ca="1">'ETF variations'!V367/'ETF price'!W368</f>
        <v>-1.1911852293031525E-2</v>
      </c>
      <c r="W367">
        <f ca="1">'ETF variations'!W367/'ETF price'!X368</f>
        <v>-7.3891625615764593E-3</v>
      </c>
      <c r="X367">
        <f ca="1">'ETF variations'!X367/'ETF price'!Y368</f>
        <v>-1.8468950749464606E-2</v>
      </c>
      <c r="Y367">
        <f ca="1">'ETF variations'!Y367/'ETF price'!Z368</f>
        <v>-7.1188717259906128E-3</v>
      </c>
      <c r="Z367">
        <f ca="1">'ETF variations'!Z367/'ETF price'!AA368</f>
        <v>-2.0164499867338766E-2</v>
      </c>
      <c r="AA367">
        <f ca="1">'ETF variations'!AA367/'ETF price'!AB368</f>
        <v>-2.2057116322266146E-2</v>
      </c>
      <c r="AB367">
        <f ca="1">'ETF variations'!AB367/'ETF price'!AC368</f>
        <v>-4.3086564825695036E-3</v>
      </c>
      <c r="AC367">
        <f ca="1">'ETF variations'!AC367/'ETF price'!AD368</f>
        <v>6.6666666666666818E-2</v>
      </c>
      <c r="AD367">
        <f ca="1">'ETF variations'!AD367/'ETF price'!AE368</f>
        <v>6.8335588633288216E-2</v>
      </c>
      <c r="AE367">
        <f ca="1">'ETF variations'!AE367/'ETF price'!AF368</f>
        <v>8.3333333333333232E-2</v>
      </c>
      <c r="AF367">
        <f ca="1">'ETF variations'!AF367/'ETF price'!AG368</f>
        <v>8.5567823343848645E-2</v>
      </c>
    </row>
    <row r="368" spans="1:32" x14ac:dyDescent="0.2">
      <c r="A368">
        <f ca="1">'ETF variations'!A368/'ETF price'!B369</f>
        <v>-1.4796691133636212E-2</v>
      </c>
      <c r="B368">
        <f ca="1">'ETF variations'!B368/'ETF price'!C369</f>
        <v>-1.5331807780320341E-2</v>
      </c>
      <c r="C368">
        <f ca="1">'ETF variations'!C368/'ETF price'!D369</f>
        <v>-1.1101702888324459E-2</v>
      </c>
      <c r="D368">
        <f ca="1">'ETF variations'!D368/'ETF price'!E369</f>
        <v>-2.437425506555425E-2</v>
      </c>
      <c r="E368">
        <f ca="1">'ETF variations'!E368/'ETF price'!F369</f>
        <v>-1.527171757239197E-2</v>
      </c>
      <c r="F368">
        <f ca="1">'ETF variations'!F368/'ETF price'!G369</f>
        <v>-1.1612021857923493E-2</v>
      </c>
      <c r="G368">
        <f ca="1">'ETF variations'!G368/'ETF price'!H369</f>
        <v>-8.126934984520157E-3</v>
      </c>
      <c r="H368">
        <f ca="1">'ETF variations'!H368/'ETF price'!I369</f>
        <v>1.5206812652054295E-4</v>
      </c>
      <c r="I368">
        <f ca="1">'ETF variations'!I368/'ETF price'!J369</f>
        <v>-7.3637702503684681E-4</v>
      </c>
      <c r="J368">
        <f ca="1">'ETF variations'!J368/'ETF price'!K369</f>
        <v>-4.2951372909955689E-3</v>
      </c>
      <c r="K368">
        <f ca="1">'ETF variations'!K368/'ETF price'!L369</f>
        <v>-5.4769511638521678E-3</v>
      </c>
      <c r="L368">
        <f ca="1">'ETF variations'!L368/'ETF price'!M369</f>
        <v>-9.6153846153838418E-4</v>
      </c>
      <c r="M368">
        <f ca="1">'ETF variations'!M368/'ETF price'!N369</f>
        <v>-9.5526190097121907E-4</v>
      </c>
      <c r="N368">
        <f ca="1">'ETF variations'!N368/'ETF price'!O369</f>
        <v>-2.1276595744680819E-2</v>
      </c>
      <c r="O368">
        <f ca="1">'ETF variations'!O368/'ETF price'!P369</f>
        <v>7.912200102092962E-3</v>
      </c>
      <c r="P368">
        <f ca="1">'ETF variations'!P368/'ETF price'!Q369</f>
        <v>9.2887715144339862E-3</v>
      </c>
      <c r="Q368">
        <f ca="1">'ETF variations'!Q368/'ETF price'!R369</f>
        <v>3.2398753894081634E-3</v>
      </c>
      <c r="R368">
        <f ca="1">'ETF variations'!R368/'ETF price'!S369</f>
        <v>8.5209981740718543E-3</v>
      </c>
      <c r="S368">
        <f ca="1">'ETF variations'!S368/'ETF price'!T369</f>
        <v>1.4617368873602744E-2</v>
      </c>
      <c r="T368">
        <f ca="1">'ETF variations'!T368/'ETF price'!U369</f>
        <v>1.7521902377972538E-2</v>
      </c>
      <c r="U368">
        <f ca="1">'ETF variations'!U368/'ETF price'!V369</f>
        <v>-1.2198581560283681E-2</v>
      </c>
      <c r="V368">
        <f ca="1">'ETF variations'!V368/'ETF price'!W369</f>
        <v>-1.2055455093429521E-3</v>
      </c>
      <c r="W368">
        <f ca="1">'ETF variations'!W368/'ETF price'!X369</f>
        <v>-3.1017369727047149E-3</v>
      </c>
      <c r="X368">
        <f ca="1">'ETF variations'!X368/'ETF price'!Y369</f>
        <v>-1.1726206708481039E-2</v>
      </c>
      <c r="Y368">
        <f ca="1">'ETF variations'!Y368/'ETF price'!Z369</f>
        <v>-2.9761904761904608E-3</v>
      </c>
      <c r="Z368">
        <f ca="1">'ETF variations'!Z368/'ETF price'!AA369</f>
        <v>-4.3325209856484321E-3</v>
      </c>
      <c r="AA368">
        <f ca="1">'ETF variations'!AA368/'ETF price'!AB369</f>
        <v>-1.5432098765432067E-2</v>
      </c>
      <c r="AB368">
        <f ca="1">'ETF variations'!AB368/'ETF price'!AC369</f>
        <v>-5.9008654602677292E-4</v>
      </c>
      <c r="AC368">
        <f ca="1">'ETF variations'!AC368/'ETF price'!AD369</f>
        <v>6.1580882352941166E-2</v>
      </c>
      <c r="AD368">
        <f ca="1">'ETF variations'!AD368/'ETF price'!AE369</f>
        <v>7.1564281190627146E-2</v>
      </c>
      <c r="AE368">
        <f ca="1">'ETF variations'!AE368/'ETF price'!AF369</f>
        <v>1.3986013986014E-2</v>
      </c>
      <c r="AF368">
        <f ca="1">'ETF variations'!AF368/'ETF price'!AG369</f>
        <v>3.4507809662186681E-2</v>
      </c>
    </row>
    <row r="369" spans="1:32" x14ac:dyDescent="0.2">
      <c r="A369">
        <f ca="1">'ETF variations'!A369/'ETF price'!B370</f>
        <v>8.1598864711447221E-3</v>
      </c>
      <c r="B369">
        <f ca="1">'ETF variations'!B369/'ETF price'!C370</f>
        <v>8.2268184987217378E-3</v>
      </c>
      <c r="C369">
        <f ca="1">'ETF variations'!C369/'ETF price'!D370</f>
        <v>1.9313100561316725E-2</v>
      </c>
      <c r="D369">
        <f ca="1">'ETF variations'!D369/'ETF price'!E370</f>
        <v>4.6423553845213539E-3</v>
      </c>
      <c r="E369">
        <f ca="1">'ETF variations'!E369/'ETF price'!F370</f>
        <v>3.0211480362537478E-3</v>
      </c>
      <c r="F369">
        <f ca="1">'ETF variations'!F369/'ETF price'!G370</f>
        <v>-8.293020041465168E-3</v>
      </c>
      <c r="G369">
        <f ca="1">'ETF variations'!G369/'ETF price'!H370</f>
        <v>3.9016777214208206E-4</v>
      </c>
      <c r="H369">
        <f ca="1">'ETF variations'!H369/'ETF price'!I370</f>
        <v>6.8420252394709273E-3</v>
      </c>
      <c r="I369">
        <f ca="1">'ETF variations'!I369/'ETF price'!J370</f>
        <v>5.7725374600835037E-3</v>
      </c>
      <c r="J369">
        <f ca="1">'ETF variations'!J369/'ETF price'!K370</f>
        <v>2.3108920043137527E-4</v>
      </c>
      <c r="K369">
        <f ca="1">'ETF variations'!K369/'ETF price'!L370</f>
        <v>-6.5396971087654104E-3</v>
      </c>
      <c r="L369">
        <f ca="1">'ETF variations'!L369/'ETF price'!M370</f>
        <v>1.1228745588705996E-3</v>
      </c>
      <c r="M369">
        <f ca="1">'ETF variations'!M369/'ETF price'!N370</f>
        <v>5.7370517928286759E-3</v>
      </c>
      <c r="N369">
        <f ca="1">'ETF variations'!N369/'ETF price'!O370</f>
        <v>-3.6231884057970959E-3</v>
      </c>
      <c r="O369">
        <f ca="1">'ETF variations'!O369/'ETF price'!P370</f>
        <v>-1.3421119270701472E-2</v>
      </c>
      <c r="P369">
        <f ca="1">'ETF variations'!P369/'ETF price'!Q370</f>
        <v>-1.3173328521158476E-2</v>
      </c>
      <c r="Q369">
        <f ca="1">'ETF variations'!Q369/'ETF price'!R370</f>
        <v>-2.3599552850579048E-3</v>
      </c>
      <c r="R369">
        <f ca="1">'ETF variations'!R369/'ETF price'!S370</f>
        <v>-6.2361697847516046E-3</v>
      </c>
      <c r="S369">
        <f ca="1">'ETF variations'!S369/'ETF price'!T370</f>
        <v>-1.8644067796610223E-2</v>
      </c>
      <c r="T369">
        <f ca="1">'ETF variations'!T369/'ETF price'!U370</f>
        <v>-3.8745387453874583E-2</v>
      </c>
      <c r="U369">
        <f ca="1">'ETF variations'!U369/'ETF price'!V370</f>
        <v>-1.019529006318199E-2</v>
      </c>
      <c r="V369">
        <f ca="1">'ETF variations'!V369/'ETF price'!W370</f>
        <v>-7.8455039227519011E-3</v>
      </c>
      <c r="W369">
        <f ca="1">'ETF variations'!W369/'ETF price'!X370</f>
        <v>-8.0896079651523525E-3</v>
      </c>
      <c r="X369">
        <f ca="1">'ETF variations'!X369/'ETF price'!Y370</f>
        <v>-2.6766004415011004E-2</v>
      </c>
      <c r="Y369">
        <f ca="1">'ETF variations'!Y369/'ETF price'!Z370</f>
        <v>-1.1397557666214428E-2</v>
      </c>
      <c r="Z369">
        <f ca="1">'ETF variations'!Z369/'ETF price'!AA370</f>
        <v>-1.414196355724784E-2</v>
      </c>
      <c r="AA369">
        <f ca="1">'ETF variations'!AA369/'ETF price'!AB370</f>
        <v>-3.1589100554617854E-2</v>
      </c>
      <c r="AB369">
        <f ca="1">'ETF variations'!AB369/'ETF price'!AC370</f>
        <v>1.0037394213737413E-2</v>
      </c>
      <c r="AC369">
        <f ca="1">'ETF variations'!AC369/'ETF price'!AD370</f>
        <v>4.3290043290042362E-3</v>
      </c>
      <c r="AD369">
        <f ca="1">'ETF variations'!AD369/'ETF price'!AE370</f>
        <v>3.5460992907800659E-3</v>
      </c>
      <c r="AE369">
        <f ca="1">'ETF variations'!AE369/'ETF price'!AF370</f>
        <v>-6.896551724137937E-3</v>
      </c>
      <c r="AF369">
        <f ca="1">'ETF variations'!AF369/'ETF price'!AG370</f>
        <v>1.0533707865168938E-3</v>
      </c>
    </row>
    <row r="370" spans="1:32" x14ac:dyDescent="0.2">
      <c r="A370">
        <f ca="1">'ETF variations'!A370/'ETF price'!B371</f>
        <v>-1.0850439882697915E-2</v>
      </c>
      <c r="B370">
        <f ca="1">'ETF variations'!B370/'ETF price'!C371</f>
        <v>-1.1617186059376646E-2</v>
      </c>
      <c r="C370">
        <f ca="1">'ETF variations'!C370/'ETF price'!D371</f>
        <v>2.8934104909464466E-3</v>
      </c>
      <c r="D370">
        <f ca="1">'ETF variations'!D370/'ETF price'!E371</f>
        <v>-1.7632394965647266E-2</v>
      </c>
      <c r="E370">
        <f ca="1">'ETF variations'!E370/'ETF price'!F371</f>
        <v>-1.3453815261044069E-2</v>
      </c>
      <c r="F370">
        <f ca="1">'ETF variations'!F370/'ETF price'!G371</f>
        <v>-2.648083623693373E-2</v>
      </c>
      <c r="G370">
        <f ca="1">'ETF variations'!G370/'ETF price'!H371</f>
        <v>-1.2870514820592895E-2</v>
      </c>
      <c r="H370">
        <f ca="1">'ETF variations'!H370/'ETF price'!I371</f>
        <v>-3.3222591362126073E-3</v>
      </c>
      <c r="I370">
        <f ca="1">'ETF variations'!I370/'ETF price'!J371</f>
        <v>-4.6403712296983202E-3</v>
      </c>
      <c r="J370">
        <f ca="1">'ETF variations'!J370/'ETF price'!K371</f>
        <v>-1.0396611474778548E-2</v>
      </c>
      <c r="K370">
        <f ca="1">'ETF variations'!K370/'ETF price'!L371</f>
        <v>-1.6976556184316881E-2</v>
      </c>
      <c r="L370">
        <f ca="1">'ETF variations'!L370/'ETF price'!M371</f>
        <v>-1.2818458580355668E-2</v>
      </c>
      <c r="M370">
        <f ca="1">'ETF variations'!M370/'ETF price'!N371</f>
        <v>-3.9613373474885125E-3</v>
      </c>
      <c r="N370">
        <f ca="1">'ETF variations'!N370/'ETF price'!O371</f>
        <v>-1.777777777777783E-2</v>
      </c>
      <c r="O370">
        <f ca="1">'ETF variations'!O370/'ETF price'!P371</f>
        <v>-7.1868583162217952E-3</v>
      </c>
      <c r="P370">
        <f ca="1">'ETF variations'!P370/'ETF price'!Q371</f>
        <v>-8.7775441163025318E-3</v>
      </c>
      <c r="Q370">
        <f ca="1">'ETF variations'!Q370/'ETF price'!R371</f>
        <v>-8.0926294820716071E-3</v>
      </c>
      <c r="R370">
        <f ca="1">'ETF variations'!R370/'ETF price'!S371</f>
        <v>-1.4372469635627548E-2</v>
      </c>
      <c r="S370">
        <f ca="1">'ETF variations'!S370/'ETF price'!T371</f>
        <v>-1.079447322970639E-2</v>
      </c>
      <c r="T370">
        <f ca="1">'ETF variations'!T370/'ETF price'!U371</f>
        <v>-1.5994881637876107E-3</v>
      </c>
      <c r="U370">
        <f ca="1">'ETF variations'!U370/'ETF price'!V371</f>
        <v>-1.2911649499492245E-2</v>
      </c>
      <c r="V370">
        <f ca="1">'ETF variations'!V370/'ETF price'!W371</f>
        <v>-4.2579075425790928E-3</v>
      </c>
      <c r="W370">
        <f ca="1">'ETF variations'!W370/'ETF price'!X371</f>
        <v>-6.3989962358846309E-3</v>
      </c>
      <c r="X370">
        <f ca="1">'ETF variations'!X370/'ETF price'!Y371</f>
        <v>-1.3042245534448563E-2</v>
      </c>
      <c r="Y370">
        <f ca="1">'ETF variations'!Y370/'ETF price'!Z371</f>
        <v>-6.7252264617073138E-3</v>
      </c>
      <c r="Z370">
        <f ca="1">'ETF variations'!Z370/'ETF price'!AA371</f>
        <v>-1.0758620689655189E-2</v>
      </c>
      <c r="AA370">
        <f ca="1">'ETF variations'!AA370/'ETF price'!AB371</f>
        <v>-1.4442231075697171E-2</v>
      </c>
      <c r="AB370">
        <f ca="1">'ETF variations'!AB370/'ETF price'!AC371</f>
        <v>-3.8971161340614044E-4</v>
      </c>
      <c r="AC370">
        <f ca="1">'ETF variations'!AC370/'ETF price'!AD371</f>
        <v>2.5862068965517303E-2</v>
      </c>
      <c r="AD370">
        <f ca="1">'ETF variations'!AD370/'ETF price'!AE371</f>
        <v>2.5323910482921066E-2</v>
      </c>
      <c r="AE370">
        <f ca="1">'ETF variations'!AE370/'ETF price'!AF371</f>
        <v>2.4305555555555657E-2</v>
      </c>
      <c r="AF370">
        <f ca="1">'ETF variations'!AF370/'ETF price'!AG371</f>
        <v>2.3149772009821119E-2</v>
      </c>
    </row>
    <row r="371" spans="1:32" x14ac:dyDescent="0.2">
      <c r="A371">
        <f ca="1">'ETF variations'!A371/'ETF price'!B372</f>
        <v>-7.1746219982212148E-3</v>
      </c>
      <c r="B371">
        <f ca="1">'ETF variations'!B371/'ETF price'!C372</f>
        <v>-8.1156716417910869E-3</v>
      </c>
      <c r="C371">
        <f ca="1">'ETF variations'!C371/'ETF price'!D372</f>
        <v>-1.1167985109353611E-3</v>
      </c>
      <c r="D371">
        <f ca="1">'ETF variations'!D371/'ETF price'!E372</f>
        <v>3.2803119390976119E-3</v>
      </c>
      <c r="E371">
        <f ca="1">'ETF variations'!E371/'ETF price'!F372</f>
        <v>-4.0708324852432899E-3</v>
      </c>
      <c r="F371">
        <f ca="1">'ETF variations'!F371/'ETF price'!G372</f>
        <v>-6.4423765211166677E-3</v>
      </c>
      <c r="G371">
        <f ca="1">'ETF variations'!G371/'ETF price'!H372</f>
        <v>2.7657052548399957E-3</v>
      </c>
      <c r="H371">
        <f ca="1">'ETF variations'!H371/'ETF price'!I372</f>
        <v>-5.681818181818182E-3</v>
      </c>
      <c r="I371">
        <f ca="1">'ETF variations'!I371/'ETF price'!J372</f>
        <v>-6.4613748824275648E-3</v>
      </c>
      <c r="J371">
        <f ca="1">'ETF variations'!J371/'ETF price'!K372</f>
        <v>-1.1128404669260754E-2</v>
      </c>
      <c r="K371">
        <f ca="1">'ETF variations'!K371/'ETF price'!L372</f>
        <v>-2.2908834586466198E-2</v>
      </c>
      <c r="L371">
        <f ca="1">'ETF variations'!L371/'ETF price'!M372</f>
        <v>-1.2011037169290731E-2</v>
      </c>
      <c r="M371">
        <f ca="1">'ETF variations'!M371/'ETF price'!N372</f>
        <v>-7.1587655106586517E-3</v>
      </c>
      <c r="N371">
        <f ca="1">'ETF variations'!N371/'ETF price'!O372</f>
        <v>-5.3475935828876603E-3</v>
      </c>
      <c r="O371">
        <f ca="1">'ETF variations'!O371/'ETF price'!P372</f>
        <v>1.7967942088934857E-2</v>
      </c>
      <c r="P371">
        <f ca="1">'ETF variations'!P371/'ETF price'!Q372</f>
        <v>1.6511391938013157E-2</v>
      </c>
      <c r="Q371">
        <f ca="1">'ETF variations'!Q371/'ETF price'!R372</f>
        <v>1.0417974143341261E-2</v>
      </c>
      <c r="R371">
        <f ca="1">'ETF variations'!R371/'ETF price'!S372</f>
        <v>7.1883343602382717E-3</v>
      </c>
      <c r="S371">
        <f ca="1">'ETF variations'!S371/'ETF price'!T372</f>
        <v>1.309471846355353E-3</v>
      </c>
      <c r="T371">
        <f ca="1">'ETF variations'!T371/'ETF price'!U372</f>
        <v>4.966356936879128E-3</v>
      </c>
      <c r="U371">
        <f ca="1">'ETF variations'!U371/'ETF price'!V372</f>
        <v>5.4379776601997396E-3</v>
      </c>
      <c r="V371">
        <f ca="1">'ETF variations'!V371/'ETF price'!W372</f>
        <v>-2.138057422113631E-3</v>
      </c>
      <c r="W371">
        <f ca="1">'ETF variations'!W371/'ETF price'!X372</f>
        <v>-6.3139285263287233E-4</v>
      </c>
      <c r="X371">
        <f ca="1">'ETF variations'!X371/'ETF price'!Y372</f>
        <v>1.0054582016661715E-2</v>
      </c>
      <c r="Y371">
        <f ca="1">'ETF variations'!Y371/'ETF price'!Z372</f>
        <v>1.6581456404586199E-3</v>
      </c>
      <c r="Z371">
        <f ca="1">'ETF variations'!Z371/'ETF price'!AA372</f>
        <v>2.2308979364194008E-2</v>
      </c>
      <c r="AA371">
        <f ca="1">'ETF variations'!AA371/'ETF price'!AB372</f>
        <v>1.2632642748863063E-2</v>
      </c>
      <c r="AB371">
        <f ca="1">'ETF variations'!AB371/'ETF price'!AC372</f>
        <v>1.9883040935672575E-2</v>
      </c>
      <c r="AC371">
        <f ca="1">'ETF variations'!AC371/'ETF price'!AD372</f>
        <v>-2.6890756302521031E-2</v>
      </c>
      <c r="AD371">
        <f ca="1">'ETF variations'!AD371/'ETF price'!AE372</f>
        <v>-2.5272831705916213E-2</v>
      </c>
      <c r="AE371">
        <f ca="1">'ETF variations'!AE371/'ETF price'!AF372</f>
        <v>-3.7288135593220445E-2</v>
      </c>
      <c r="AF371">
        <f ca="1">'ETF variations'!AF371/'ETF price'!AG372</f>
        <v>-4.525197120329106E-2</v>
      </c>
    </row>
    <row r="372" spans="1:32" x14ac:dyDescent="0.2">
      <c r="A372">
        <f ca="1">'ETF variations'!A372/'ETF price'!B373</f>
        <v>1.9708552317248038E-2</v>
      </c>
      <c r="B372">
        <f ca="1">'ETF variations'!B372/'ETF price'!C373</f>
        <v>2.0220069594658194E-2</v>
      </c>
      <c r="C372">
        <f ca="1">'ETF variations'!C372/'ETF price'!D373</f>
        <v>1.4348271685456129E-2</v>
      </c>
      <c r="D372">
        <f ca="1">'ETF variations'!D372/'ETF price'!E373</f>
        <v>3.4916718075262164E-2</v>
      </c>
      <c r="E372">
        <f ca="1">'ETF variations'!E372/'ETF price'!F373</f>
        <v>1.7576129164111984E-2</v>
      </c>
      <c r="F372">
        <f ca="1">'ETF variations'!F372/'ETF price'!G373</f>
        <v>1.5129682997118088E-2</v>
      </c>
      <c r="G372">
        <f ca="1">'ETF variations'!G372/'ETF price'!H373</f>
        <v>1.4972419227738478E-2</v>
      </c>
      <c r="H372">
        <f ca="1">'ETF variations'!H372/'ETF price'!I373</f>
        <v>-2.2857142857143722E-3</v>
      </c>
      <c r="I372">
        <f ca="1">'ETF variations'!I372/'ETF price'!J373</f>
        <v>-1.7699115044246898E-3</v>
      </c>
      <c r="J372">
        <f ca="1">'ETF variations'!J372/'ETF price'!K373</f>
        <v>-1.2119304320453231E-2</v>
      </c>
      <c r="K372">
        <f ca="1">'ETF variations'!K372/'ETF price'!L373</f>
        <v>-3.0058915474329684E-3</v>
      </c>
      <c r="L372">
        <f ca="1">'ETF variations'!L372/'ETF price'!M373</f>
        <v>-1.6592738623295515E-2</v>
      </c>
      <c r="M372">
        <f ca="1">'ETF variations'!M372/'ETF price'!N373</f>
        <v>-1.2818458580355439E-3</v>
      </c>
      <c r="N372">
        <f ca="1">'ETF variations'!N372/'ETF price'!O373</f>
        <v>-6.6170388751033973E-3</v>
      </c>
      <c r="O372">
        <f ca="1">'ETF variations'!O372/'ETF price'!P373</f>
        <v>2.2857142857143722E-3</v>
      </c>
      <c r="P372">
        <f ca="1">'ETF variations'!P372/'ETF price'!Q373</f>
        <v>3.720508166969116E-3</v>
      </c>
      <c r="Q372">
        <f ca="1">'ETF variations'!Q372/'ETF price'!R373</f>
        <v>1.416149068322982E-2</v>
      </c>
      <c r="R372">
        <f ca="1">'ETF variations'!R372/'ETF price'!S373</f>
        <v>1.3254486133768324E-2</v>
      </c>
      <c r="S372">
        <f ca="1">'ETF variations'!S372/'ETF price'!T373</f>
        <v>-1.6129032258064557E-2</v>
      </c>
      <c r="T372">
        <f ca="1">'ETF variations'!T372/'ETF price'!U373</f>
        <v>-2.2796110314044313E-2</v>
      </c>
      <c r="U372">
        <f ca="1">'ETF variations'!U372/'ETF price'!V373</f>
        <v>1.1548019295424738E-2</v>
      </c>
      <c r="V372">
        <f ca="1">'ETF variations'!V372/'ETF price'!W373</f>
        <v>7.9583715947351696E-3</v>
      </c>
      <c r="W372">
        <f ca="1">'ETF variations'!W372/'ETF price'!X373</f>
        <v>9.350518069244312E-3</v>
      </c>
      <c r="X372">
        <f ca="1">'ETF variations'!X372/'ETF price'!Y373</f>
        <v>1.5358361774744207E-2</v>
      </c>
      <c r="Y372">
        <f ca="1">'ETF variations'!Y372/'ETF price'!Z373</f>
        <v>8.1390536625741954E-3</v>
      </c>
      <c r="Z372">
        <f ca="1">'ETF variations'!Z372/'ETF price'!AA373</f>
        <v>1.0911074740862132E-2</v>
      </c>
      <c r="AA372">
        <f ca="1">'ETF variations'!AA372/'ETF price'!AB373</f>
        <v>1.6966067864271451E-2</v>
      </c>
      <c r="AB372">
        <f ca="1">'ETF variations'!AB372/'ETF price'!AC373</f>
        <v>6.4984709480121619E-3</v>
      </c>
      <c r="AC372">
        <f ca="1">'ETF variations'!AC372/'ETF price'!AD373</f>
        <v>1.2953367875647699E-2</v>
      </c>
      <c r="AD372">
        <f ca="1">'ETF variations'!AD372/'ETF price'!AE373</f>
        <v>1.4142604596346612E-2</v>
      </c>
      <c r="AE372">
        <f ca="1">'ETF variations'!AE372/'ETF price'!AF373</f>
        <v>6.3380281690140899E-2</v>
      </c>
      <c r="AF372">
        <f ca="1">'ETF variations'!AF372/'ETF price'!AG373</f>
        <v>6.7863554757630049E-2</v>
      </c>
    </row>
    <row r="373" spans="1:32" x14ac:dyDescent="0.2">
      <c r="A373">
        <f ca="1">'ETF variations'!A373/'ETF price'!B374</f>
        <v>5.85685838116401E-4</v>
      </c>
      <c r="B373">
        <f ca="1">'ETF variations'!B373/'ETF price'!C374</f>
        <v>2.5811209439528127E-3</v>
      </c>
      <c r="C373">
        <f ca="1">'ETF variations'!C373/'ETF price'!D374</f>
        <v>-1.3777900248002726E-3</v>
      </c>
      <c r="D373">
        <f ca="1">'ETF variations'!D373/'ETF price'!E374</f>
        <v>-7.6895565092989513E-3</v>
      </c>
      <c r="E373">
        <f ca="1">'ETF variations'!E373/'ETF price'!F374</f>
        <v>1.4059048001606805E-3</v>
      </c>
      <c r="F373">
        <f ca="1">'ETF variations'!F373/'ETF price'!G374</f>
        <v>8.1618168914123646E-3</v>
      </c>
      <c r="G373">
        <f ca="1">'ETF variations'!G373/'ETF price'!H374</f>
        <v>1.9409937888197654E-3</v>
      </c>
      <c r="H373">
        <f ca="1">'ETF variations'!H373/'ETF price'!I374</f>
        <v>-3.2073310423824937E-3</v>
      </c>
      <c r="I373">
        <f ca="1">'ETF variations'!I373/'ETF price'!J374</f>
        <v>-1.9792182088075958E-3</v>
      </c>
      <c r="J373">
        <f ca="1">'ETF variations'!J373/'ETF price'!K374</f>
        <v>5.7356807137735905E-3</v>
      </c>
      <c r="K373">
        <f ca="1">'ETF variations'!K373/'ETF price'!L374</f>
        <v>1.2783405692233506E-2</v>
      </c>
      <c r="L373">
        <f ca="1">'ETF variations'!L373/'ETF price'!M374</f>
        <v>4.3434680922151353E-3</v>
      </c>
      <c r="M373">
        <f ca="1">'ETF variations'!M373/'ETF price'!N374</f>
        <v>-1.2834910957804956E-3</v>
      </c>
      <c r="N373">
        <f ca="1">'ETF variations'!N373/'ETF price'!O374</f>
        <v>1.7485428809325635E-2</v>
      </c>
      <c r="O373">
        <f ca="1">'ETF variations'!O373/'ETF price'!P374</f>
        <v>1.0135563157227887E-2</v>
      </c>
      <c r="P373">
        <f ca="1">'ETF variations'!P373/'ETF price'!Q374</f>
        <v>9.311997106952366E-3</v>
      </c>
      <c r="Q373">
        <f ca="1">'ETF variations'!Q373/'ETF price'!R374</f>
        <v>-6.8593826555610271E-3</v>
      </c>
      <c r="R373">
        <f ca="1">'ETF variations'!R373/'ETF price'!S374</f>
        <v>-3.219963775407458E-3</v>
      </c>
      <c r="S373">
        <f ca="1">'ETF variations'!S373/'ETF price'!T374</f>
        <v>-3.1014621178555731E-3</v>
      </c>
      <c r="T373">
        <f ca="1">'ETF variations'!T373/'ETF price'!U374</f>
        <v>1.99021207177815E-2</v>
      </c>
      <c r="U373">
        <f ca="1">'ETF variations'!U373/'ETF price'!V374</f>
        <v>6.213872832369835E-3</v>
      </c>
      <c r="V373">
        <f ca="1">'ETF variations'!V373/'ETF price'!W374</f>
        <v>-2.4293956878226023E-3</v>
      </c>
      <c r="W373">
        <f ca="1">'ETF variations'!W373/'ETF price'!X374</f>
        <v>-1.1266900350524437E-3</v>
      </c>
      <c r="X373">
        <f ca="1">'ETF variations'!X373/'ETF price'!Y374</f>
        <v>-3.6414565826331244E-3</v>
      </c>
      <c r="Y373">
        <f ca="1">'ETF variations'!Y373/'ETF price'!Z374</f>
        <v>-1.3683634373288767E-3</v>
      </c>
      <c r="Z373">
        <f ca="1">'ETF variations'!Z373/'ETF price'!AA374</f>
        <v>2.6983270372367596E-3</v>
      </c>
      <c r="AA373">
        <f ca="1">'ETF variations'!AA373/'ETF price'!AB374</f>
        <v>-5.3974484789008556E-3</v>
      </c>
      <c r="AB373">
        <f ca="1">'ETF variations'!AB373/'ETF price'!AC374</f>
        <v>8.3554880364604036E-3</v>
      </c>
      <c r="AC373">
        <f ca="1">'ETF variations'!AC373/'ETF price'!AD374</f>
        <v>-1.8755328218243873E-2</v>
      </c>
      <c r="AD373">
        <f ca="1">'ETF variations'!AD373/'ETF price'!AE374</f>
        <v>-1.859384079023825E-2</v>
      </c>
      <c r="AE373">
        <f ca="1">'ETF variations'!AE373/'ETF price'!AF374</f>
        <v>1.6556291390728419E-2</v>
      </c>
      <c r="AF373">
        <f ca="1">'ETF variations'!AF373/'ETF price'!AG374</f>
        <v>5.3799596503026278E-3</v>
      </c>
    </row>
    <row r="374" spans="1:32" x14ac:dyDescent="0.2">
      <c r="A374">
        <f ca="1">'ETF variations'!A374/'ETF price'!B375</f>
        <v>1.7560290330132459E-3</v>
      </c>
      <c r="B374">
        <f ca="1">'ETF variations'!B374/'ETF price'!C375</f>
        <v>5.9764619345345461E-4</v>
      </c>
      <c r="C374">
        <f ca="1">'ETF variations'!C374/'ETF price'!D375</f>
        <v>-3.1272994849154104E-3</v>
      </c>
      <c r="D374">
        <f ca="1">'ETF variations'!D374/'ETF price'!E375</f>
        <v>2.4028353457074573E-4</v>
      </c>
      <c r="E374">
        <f ca="1">'ETF variations'!E374/'ETF price'!F375</f>
        <v>5.6157240272763963E-3</v>
      </c>
      <c r="F374">
        <f ca="1">'ETF variations'!F374/'ETF price'!G375</f>
        <v>-3.871876099964781E-3</v>
      </c>
      <c r="G374">
        <f ca="1">'ETF variations'!G374/'ETF price'!H375</f>
        <v>4.6493607129020151E-3</v>
      </c>
      <c r="H374">
        <f ca="1">'ETF variations'!H374/'ETF price'!I375</f>
        <v>6.5119129701983781E-3</v>
      </c>
      <c r="I374">
        <f ca="1">'ETF variations'!I374/'ETF price'!J375</f>
        <v>2.5202445876715157E-3</v>
      </c>
      <c r="J374">
        <f ca="1">'ETF variations'!J374/'ETF price'!K375</f>
        <v>-2.3762376237623536E-3</v>
      </c>
      <c r="K374">
        <f ca="1">'ETF variations'!K374/'ETF price'!L375</f>
        <v>-1.6194331983805661E-2</v>
      </c>
      <c r="L374">
        <f ca="1">'ETF variations'!L374/'ETF price'!M375</f>
        <v>2.3286759813706016E-3</v>
      </c>
      <c r="M374">
        <f ca="1">'ETF variations'!M374/'ETF price'!N375</f>
        <v>4.9799196787148961E-3</v>
      </c>
      <c r="N374">
        <f ca="1">'ETF variations'!N374/'ETF price'!O375</f>
        <v>-1.0638297872340489E-2</v>
      </c>
      <c r="O374">
        <f ca="1">'ETF variations'!O374/'ETF price'!P375</f>
        <v>1.1538943935783289E-2</v>
      </c>
      <c r="P374">
        <f ca="1">'ETF variations'!P374/'ETF price'!Q375</f>
        <v>4.3891078466499001E-3</v>
      </c>
      <c r="Q374">
        <f ca="1">'ETF variations'!Q374/'ETF price'!R375</f>
        <v>1.2580167735569759E-2</v>
      </c>
      <c r="R374">
        <f ca="1">'ETF variations'!R374/'ETF price'!S375</f>
        <v>2.1804966686856414E-2</v>
      </c>
      <c r="S374">
        <f ca="1">'ETF variations'!S374/'ETF price'!T375</f>
        <v>4.4444444444451391E-4</v>
      </c>
      <c r="T374">
        <f ca="1">'ETF variations'!T374/'ETF price'!U375</f>
        <v>7.03774792066535E-3</v>
      </c>
      <c r="U374">
        <f ca="1">'ETF variations'!U374/'ETF price'!V375</f>
        <v>-1.0196754272583567E-2</v>
      </c>
      <c r="V374">
        <f ca="1">'ETF variations'!V374/'ETF price'!W375</f>
        <v>1.7351598173515989E-2</v>
      </c>
      <c r="W374">
        <f ca="1">'ETF variations'!W374/'ETF price'!X375</f>
        <v>1.0778293019175328E-2</v>
      </c>
      <c r="X374">
        <f ca="1">'ETF variations'!X374/'ETF price'!Y375</f>
        <v>1.771155468091095E-2</v>
      </c>
      <c r="Y374">
        <f ca="1">'ETF variations'!Y374/'ETF price'!Z375</f>
        <v>1.5483694162784261E-2</v>
      </c>
      <c r="Z374">
        <f ca="1">'ETF variations'!Z374/'ETF price'!AA375</f>
        <v>9.1496232508074121E-3</v>
      </c>
      <c r="AA374">
        <f ca="1">'ETF variations'!AA374/'ETF price'!AB375</f>
        <v>1.8746916625554957E-2</v>
      </c>
      <c r="AB374">
        <f ca="1">'ETF variations'!AB374/'ETF price'!AC375</f>
        <v>-3.9548022598870219E-3</v>
      </c>
      <c r="AC374">
        <f ca="1">'ETF variations'!AC374/'ETF price'!AD375</f>
        <v>1.563857515204168E-2</v>
      </c>
      <c r="AD374">
        <f ca="1">'ETF variations'!AD374/'ETF price'!AE375</f>
        <v>1.7761989342806435E-2</v>
      </c>
      <c r="AE374">
        <f ca="1">'ETF variations'!AE374/'ETF price'!AF375</f>
        <v>2.605863192182413E-2</v>
      </c>
      <c r="AF374">
        <f ca="1">'ETF variations'!AF374/'ETF price'!AG375</f>
        <v>1.8729096989966634E-2</v>
      </c>
    </row>
    <row r="375" spans="1:32" x14ac:dyDescent="0.2">
      <c r="A375">
        <f ca="1">'ETF variations'!A375/'ETF price'!B376</f>
        <v>1.5893420591328897E-2</v>
      </c>
      <c r="B375">
        <f ca="1">'ETF variations'!B375/'ETF price'!C376</f>
        <v>1.5759246496668995E-2</v>
      </c>
      <c r="C375">
        <f ca="1">'ETF variations'!C375/'ETF price'!D376</f>
        <v>-5.2592729285845467E-3</v>
      </c>
      <c r="D375">
        <f ca="1">'ETF variations'!D375/'ETF price'!E376</f>
        <v>1.5494564890997613E-2</v>
      </c>
      <c r="E375">
        <f ca="1">'ETF variations'!E375/'ETF price'!F376</f>
        <v>8.7754287993617418E-3</v>
      </c>
      <c r="F375">
        <f ca="1">'ETF variations'!F375/'ETF price'!G376</f>
        <v>1.5547703180211933E-2</v>
      </c>
      <c r="G375">
        <f ca="1">'ETF variations'!G375/'ETF price'!H376</f>
        <v>8.0987273428461577E-3</v>
      </c>
      <c r="H375">
        <f ca="1">'ETF variations'!H375/'ETF price'!I376</f>
        <v>1.0275536611356328E-2</v>
      </c>
      <c r="I375">
        <f ca="1">'ETF variations'!I375/'ETF price'!J376</f>
        <v>8.9429219039768703E-3</v>
      </c>
      <c r="J375">
        <f ca="1">'ETF variations'!J375/'ETF price'!K376</f>
        <v>8.0190551806271614E-3</v>
      </c>
      <c r="K375">
        <f ca="1">'ETF variations'!K375/'ETF price'!L376</f>
        <v>7.0200919874122275E-3</v>
      </c>
      <c r="L375">
        <f ca="1">'ETF variations'!L375/'ETF price'!M376</f>
        <v>1.7092598738798558E-2</v>
      </c>
      <c r="M375">
        <f ca="1">'ETF variations'!M375/'ETF price'!N376</f>
        <v>8.9514066496162899E-3</v>
      </c>
      <c r="N375">
        <f ca="1">'ETF variations'!N375/'ETF price'!O376</f>
        <v>2.4813895781637188E-3</v>
      </c>
      <c r="O375">
        <f ca="1">'ETF variations'!O375/'ETF price'!P376</f>
        <v>6.4476131432113573E-3</v>
      </c>
      <c r="P375">
        <f ca="1">'ETF variations'!P375/'ETF price'!Q376</f>
        <v>6.7778471417105609E-3</v>
      </c>
      <c r="Q375">
        <f ca="1">'ETF variations'!Q375/'ETF price'!R376</f>
        <v>9.3788063337394683E-3</v>
      </c>
      <c r="R375">
        <f ca="1">'ETF variations'!R375/'ETF price'!S376</f>
        <v>4.1493775933610123E-3</v>
      </c>
      <c r="S375">
        <f ca="1">'ETF variations'!S375/'ETF price'!T376</f>
        <v>8.440693025321978E-3</v>
      </c>
      <c r="T375">
        <f ca="1">'ETF variations'!T375/'ETF price'!U376</f>
        <v>9.371029224904643E-3</v>
      </c>
      <c r="U375">
        <f ca="1">'ETF variations'!U375/'ETF price'!V376</f>
        <v>3.6273940800928613E-2</v>
      </c>
      <c r="V375">
        <f ca="1">'ETF variations'!V375/'ETF price'!W376</f>
        <v>8.6774386594853127E-3</v>
      </c>
      <c r="W375">
        <f ca="1">'ETF variations'!W375/'ETF price'!X376</f>
        <v>7.3155610663358855E-3</v>
      </c>
      <c r="X375">
        <f ca="1">'ETF variations'!X375/'ETF price'!Y376</f>
        <v>-5.5248618784531165E-3</v>
      </c>
      <c r="Y375">
        <f ca="1">'ETF variations'!Y375/'ETF price'!Z376</f>
        <v>6.7467278369990552E-3</v>
      </c>
      <c r="Z375">
        <f ca="1">'ETF variations'!Z375/'ETF price'!AA376</f>
        <v>5.0666666666666057E-3</v>
      </c>
      <c r="AA375">
        <f ca="1">'ETF variations'!AA375/'ETF price'!AB376</f>
        <v>-1.1380145278450337E-2</v>
      </c>
      <c r="AB375">
        <f ca="1">'ETF variations'!AB375/'ETF price'!AC376</f>
        <v>-1.3045944412932458E-2</v>
      </c>
      <c r="AC375">
        <f ca="1">'ETF variations'!AC375/'ETF price'!AD376</f>
        <v>-1.1120615911034987E-2</v>
      </c>
      <c r="AD375">
        <f ca="1">'ETF variations'!AD375/'ETF price'!AE376</f>
        <v>-1.2216404886562003E-2</v>
      </c>
      <c r="AE375">
        <f ca="1">'ETF variations'!AE375/'ETF price'!AF376</f>
        <v>9.5238095238096027E-3</v>
      </c>
      <c r="AF375">
        <f ca="1">'ETF variations'!AF375/'ETF price'!AG376</f>
        <v>1.2475377544320387E-2</v>
      </c>
    </row>
    <row r="376" spans="1:32" x14ac:dyDescent="0.2">
      <c r="A376">
        <f ca="1">'ETF variations'!A376/'ETF price'!B377</f>
        <v>-2.1281490854710948E-3</v>
      </c>
      <c r="B376">
        <f ca="1">'ETF variations'!B376/'ETF price'!C377</f>
        <v>-1.696218563415958E-3</v>
      </c>
      <c r="C376">
        <f ca="1">'ETF variations'!C376/'ETF price'!D377</f>
        <v>-3.988498284018243E-3</v>
      </c>
      <c r="D376">
        <f ca="1">'ETF variations'!D376/'ETF price'!E377</f>
        <v>8.8710154355668581E-3</v>
      </c>
      <c r="E376">
        <f ca="1">'ETF variations'!E376/'ETF price'!F377</f>
        <v>-1.1862396204032259E-3</v>
      </c>
      <c r="F376">
        <f ca="1">'ETF variations'!F376/'ETF price'!G377</f>
        <v>4.5233124565067003E-3</v>
      </c>
      <c r="G376">
        <f ca="1">'ETF variations'!G376/'ETF price'!H377</f>
        <v>-3.8255547054328855E-4</v>
      </c>
      <c r="H376">
        <f ca="1">'ETF variations'!H376/'ETF price'!I377</f>
        <v>-8.2121600241091205E-3</v>
      </c>
      <c r="I376">
        <f ca="1">'ETF variations'!I376/'ETF price'!J377</f>
        <v>-7.7199575198104173E-3</v>
      </c>
      <c r="J376">
        <f ca="1">'ETF variations'!J376/'ETF price'!K377</f>
        <v>-1.1814744801511617E-3</v>
      </c>
      <c r="K376">
        <f ca="1">'ETF variations'!K376/'ETF price'!L377</f>
        <v>-3.1250000000000613E-3</v>
      </c>
      <c r="L376">
        <f ca="1">'ETF variations'!L376/'ETF price'!M377</f>
        <v>-4.7316038505465681E-3</v>
      </c>
      <c r="M376">
        <f ca="1">'ETF variations'!M376/'ETF price'!N377</f>
        <v>-6.970849176172334E-3</v>
      </c>
      <c r="N376">
        <f ca="1">'ETF variations'!N376/'ETF price'!O377</f>
        <v>-1.6501650165016151E-3</v>
      </c>
      <c r="O376">
        <f ca="1">'ETF variations'!O376/'ETF price'!P377</f>
        <v>2.3407662929653531E-3</v>
      </c>
      <c r="P376">
        <f ca="1">'ETF variations'!P376/'ETF price'!Q377</f>
        <v>3.1889449906989053E-3</v>
      </c>
      <c r="Q376">
        <f ca="1">'ETF variations'!Q376/'ETF price'!R377</f>
        <v>3.7407988415590955E-3</v>
      </c>
      <c r="R376">
        <f ca="1">'ETF variations'!R376/'ETF price'!S377</f>
        <v>1.023219205037393E-2</v>
      </c>
      <c r="S376">
        <f ca="1">'ETF variations'!S376/'ETF price'!T377</f>
        <v>0</v>
      </c>
      <c r="T376">
        <f ca="1">'ETF variations'!T376/'ETF price'!U377</f>
        <v>-2.5177025963807492E-3</v>
      </c>
      <c r="U376">
        <f ca="1">'ETF variations'!U376/'ETF price'!V377</f>
        <v>0</v>
      </c>
      <c r="V376">
        <f ca="1">'ETF variations'!V376/'ETF price'!W377</f>
        <v>5.636309700385575E-3</v>
      </c>
      <c r="W376">
        <f ca="1">'ETF variations'!W376/'ETF price'!X377</f>
        <v>7.7548005908420689E-3</v>
      </c>
      <c r="X376">
        <f ca="1">'ETF variations'!X376/'ETF price'!Y377</f>
        <v>1.9166666666666603E-2</v>
      </c>
      <c r="Y376">
        <f ca="1">'ETF variations'!Y376/'ETF price'!Z377</f>
        <v>7.1036054148237654E-3</v>
      </c>
      <c r="Z376">
        <f ca="1">'ETF variations'!Z376/'ETF price'!AA377</f>
        <v>7.9596710002654367E-3</v>
      </c>
      <c r="AA376">
        <f ca="1">'ETF variations'!AA376/'ETF price'!AB377</f>
        <v>2.3022287533676338E-2</v>
      </c>
      <c r="AB376">
        <f ca="1">'ETF variations'!AB376/'ETF price'!AC377</f>
        <v>3.8314176245209911E-3</v>
      </c>
      <c r="AC376">
        <f ca="1">'ETF variations'!AC376/'ETF price'!AD377</f>
        <v>2.4221453287197176E-2</v>
      </c>
      <c r="AD376">
        <f ca="1">'ETF variations'!AD376/'ETF price'!AE377</f>
        <v>-1.4723203769140164E-2</v>
      </c>
      <c r="AE376">
        <f ca="1">'ETF variations'!AE376/'ETF price'!AF377</f>
        <v>6.9182389937106833E-2</v>
      </c>
      <c r="AF376">
        <f ca="1">'ETF variations'!AF376/'ETF price'!AG377</f>
        <v>9.241245136186764E-2</v>
      </c>
    </row>
    <row r="377" spans="1:32" x14ac:dyDescent="0.2">
      <c r="A377">
        <f ca="1">'ETF variations'!A377/'ETF price'!B378</f>
        <v>-6.1675024497090409E-3</v>
      </c>
      <c r="B377">
        <f ca="1">'ETF variations'!B377/'ETF price'!C378</f>
        <v>-6.2073808930473004E-3</v>
      </c>
      <c r="C377">
        <f ca="1">'ETF variations'!C377/'ETF price'!D378</f>
        <v>2.0487986589681401E-3</v>
      </c>
      <c r="D377">
        <f ca="1">'ETF variations'!D377/'ETF price'!E378</f>
        <v>-2.2099771381675421E-2</v>
      </c>
      <c r="E377">
        <f ca="1">'ETF variations'!E377/'ETF price'!F378</f>
        <v>-4.9485352335708627E-3</v>
      </c>
      <c r="F377">
        <f ca="1">'ETF variations'!F377/'ETF price'!G378</f>
        <v>-1.1776931070315201E-2</v>
      </c>
      <c r="G377">
        <f ca="1">'ETF variations'!G377/'ETF price'!H378</f>
        <v>-6.1232300038270241E-3</v>
      </c>
      <c r="H377">
        <f ca="1">'ETF variations'!H377/'ETF price'!I378</f>
        <v>-5.3175326648429951E-4</v>
      </c>
      <c r="I377">
        <f ca="1">'ETF variations'!I377/'ETF price'!J378</f>
        <v>-9.0561066974024964E-4</v>
      </c>
      <c r="J377">
        <f ca="1">'ETF variations'!J377/'ETF price'!K378</f>
        <v>1.7348789527639687E-3</v>
      </c>
      <c r="K377">
        <f ca="1">'ETF variations'!K377/'ETF price'!L378</f>
        <v>8.4398360260438141E-4</v>
      </c>
      <c r="L377">
        <f ca="1">'ETF variations'!L377/'ETF price'!M378</f>
        <v>-6.393442622950829E-3</v>
      </c>
      <c r="M377">
        <f ca="1">'ETF variations'!M377/'ETF price'!N378</f>
        <v>-9.5724313975753474E-4</v>
      </c>
      <c r="N377">
        <f ca="1">'ETF variations'!N377/'ETF price'!O378</f>
        <v>-7.4380165289256086E-3</v>
      </c>
      <c r="O377">
        <f ca="1">'ETF variations'!O377/'ETF price'!P378</f>
        <v>-5.5309734513274682E-3</v>
      </c>
      <c r="P377">
        <f ca="1">'ETF variations'!P377/'ETF price'!Q378</f>
        <v>-5.0331125827813971E-3</v>
      </c>
      <c r="Q377">
        <f ca="1">'ETF variations'!Q377/'ETF price'!R378</f>
        <v>-2.4645347439288427E-2</v>
      </c>
      <c r="R377">
        <f ca="1">'ETF variations'!R377/'ETF price'!S378</f>
        <v>-1.7724970783015263E-2</v>
      </c>
      <c r="S377">
        <f ca="1">'ETF variations'!S377/'ETF price'!T378</f>
        <v>6.1674008810572939E-3</v>
      </c>
      <c r="T377">
        <f ca="1">'ETF variations'!T377/'ETF price'!U378</f>
        <v>1.9561445022874189E-2</v>
      </c>
      <c r="U377">
        <f ca="1">'ETF variations'!U377/'ETF price'!V378</f>
        <v>-2.2822738728647374E-2</v>
      </c>
      <c r="V377">
        <f ca="1">'ETF variations'!V377/'ETF price'!W378</f>
        <v>-2.0648967551622505E-3</v>
      </c>
      <c r="W377">
        <f ca="1">'ETF variations'!W377/'ETF price'!X378</f>
        <v>-4.0307805056797154E-3</v>
      </c>
      <c r="X377">
        <f ca="1">'ETF variations'!X377/'ETF price'!Y378</f>
        <v>-1.2264922322158511E-2</v>
      </c>
      <c r="Y377">
        <f ca="1">'ETF variations'!Y377/'ETF price'!Z378</f>
        <v>-6.2549906840564124E-3</v>
      </c>
      <c r="Z377">
        <f ca="1">'ETF variations'!Z377/'ETF price'!AA378</f>
        <v>5.0013161358251571E-3</v>
      </c>
      <c r="AA377">
        <f ca="1">'ETF variations'!AA377/'ETF price'!AB378</f>
        <v>-1.3167344984438693E-2</v>
      </c>
      <c r="AB377">
        <f ca="1">'ETF variations'!AB377/'ETF price'!AC378</f>
        <v>5.9160305343511884E-3</v>
      </c>
      <c r="AC377">
        <f ca="1">'ETF variations'!AC377/'ETF price'!AD378</f>
        <v>-2.2804054054054019E-2</v>
      </c>
      <c r="AD377">
        <f ca="1">'ETF variations'!AD377/'ETF price'!AE378</f>
        <v>-2.3909145248057508E-2</v>
      </c>
      <c r="AE377">
        <f ca="1">'ETF variations'!AE377/'ETF price'!AF378</f>
        <v>1.4705882352941256E-2</v>
      </c>
      <c r="AF377">
        <f ca="1">'ETF variations'!AF377/'ETF price'!AG378</f>
        <v>1.1279311368358641E-2</v>
      </c>
    </row>
    <row r="378" spans="1:32" x14ac:dyDescent="0.2">
      <c r="A378">
        <f ca="1">'ETF variations'!A378/'ETF price'!B379</f>
        <v>-2.6679039554574849E-3</v>
      </c>
      <c r="B378">
        <f ca="1">'ETF variations'!B378/'ETF price'!C379</f>
        <v>-3.8753504912576392E-3</v>
      </c>
      <c r="C378">
        <f ca="1">'ETF variations'!C378/'ETF price'!D379</f>
        <v>3.9962825278811046E-3</v>
      </c>
      <c r="D378">
        <f ca="1">'ETF variations'!D378/'ETF price'!E379</f>
        <v>-1.2588418654837516E-2</v>
      </c>
      <c r="E378">
        <f ca="1">'ETF variations'!E378/'ETF price'!F379</f>
        <v>-1.1537696439228275E-2</v>
      </c>
      <c r="F378">
        <f ca="1">'ETF variations'!F378/'ETF price'!G379</f>
        <v>-2.0329477742727017E-2</v>
      </c>
      <c r="G378">
        <f ca="1">'ETF variations'!G378/'ETF price'!H379</f>
        <v>-1.3092029264535999E-2</v>
      </c>
      <c r="H378">
        <f ca="1">'ETF variations'!H378/'ETF price'!I379</f>
        <v>-7.9805426769018993E-3</v>
      </c>
      <c r="I378">
        <f ca="1">'ETF variations'!I378/'ETF price'!J379</f>
        <v>-8.9407111367476241E-3</v>
      </c>
      <c r="J378">
        <f ca="1">'ETF variations'!J378/'ETF price'!K379</f>
        <v>-1.2438006770054305E-2</v>
      </c>
      <c r="K378">
        <f ca="1">'ETF variations'!K378/'ETF price'!L379</f>
        <v>-1.5540296349837444E-2</v>
      </c>
      <c r="L378">
        <f ca="1">'ETF variations'!L378/'ETF price'!M379</f>
        <v>-9.2393994390365004E-3</v>
      </c>
      <c r="M378">
        <f ca="1">'ETF variations'!M378/'ETF price'!N379</f>
        <v>-8.9428297668475761E-3</v>
      </c>
      <c r="N378">
        <f ca="1">'ETF variations'!N378/'ETF price'!O379</f>
        <v>-1.8318068276436356E-2</v>
      </c>
      <c r="O378">
        <f ca="1">'ETF variations'!O378/'ETF price'!P379</f>
        <v>-2.2494129279446214E-2</v>
      </c>
      <c r="P378">
        <f ca="1">'ETF variations'!P378/'ETF price'!Q379</f>
        <v>-2.3074192403265959E-2</v>
      </c>
      <c r="Q378">
        <f ca="1">'ETF variations'!Q378/'ETF price'!R379</f>
        <v>-7.2722790583013589E-3</v>
      </c>
      <c r="R378">
        <f ca="1">'ETF variations'!R378/'ETF price'!S379</f>
        <v>-1.7449930596866996E-2</v>
      </c>
      <c r="S378">
        <f ca="1">'ETF variations'!S378/'ETF price'!T379</f>
        <v>-2.1891418563923255E-3</v>
      </c>
      <c r="T378">
        <f ca="1">'ETF variations'!T378/'ETF price'!U379</f>
        <v>-2.9398112331734138E-3</v>
      </c>
      <c r="U378">
        <f ca="1">'ETF variations'!U378/'ETF price'!V379</f>
        <v>-3.4818741940106125E-2</v>
      </c>
      <c r="V378">
        <f ca="1">'ETF variations'!V378/'ETF price'!W379</f>
        <v>-8.5722731303576466E-3</v>
      </c>
      <c r="W378">
        <f ca="1">'ETF variations'!W378/'ETF price'!X379</f>
        <v>-1.0546970811871467E-2</v>
      </c>
      <c r="X378">
        <f ca="1">'ETF variations'!X378/'ETF price'!Y379</f>
        <v>-1.6004415011037675E-2</v>
      </c>
      <c r="Y378">
        <f ca="1">'ETF variations'!Y378/'ETF price'!Z379</f>
        <v>-9.1067363064149826E-3</v>
      </c>
      <c r="Z378">
        <f ca="1">'ETF variations'!Z378/'ETF price'!AA379</f>
        <v>-5.500261917234176E-3</v>
      </c>
      <c r="AA378">
        <f ca="1">'ETF variations'!AA378/'ETF price'!AB379</f>
        <v>-1.5283842794759715E-2</v>
      </c>
      <c r="AB378">
        <f ca="1">'ETF variations'!AB378/'ETF price'!AC379</f>
        <v>1.4418516410548246E-2</v>
      </c>
      <c r="AC378">
        <f ca="1">'ETF variations'!AC378/'ETF price'!AD379</f>
        <v>-6.0501296456352879E-3</v>
      </c>
      <c r="AD378">
        <f ca="1">'ETF variations'!AD378/'ETF price'!AE379</f>
        <v>-5.5113288426209351E-3</v>
      </c>
      <c r="AE378">
        <f ca="1">'ETF variations'!AE378/'ETF price'!AF379</f>
        <v>2.8985507246376192E-3</v>
      </c>
      <c r="AF378">
        <f ca="1">'ETF variations'!AF378/'ETF price'!AG379</f>
        <v>-2.0839448194892893E-2</v>
      </c>
    </row>
    <row r="379" spans="1:32" x14ac:dyDescent="0.2">
      <c r="A379">
        <f ca="1">'ETF variations'!A379/'ETF price'!B380</f>
        <v>-4.3614794138171669E-3</v>
      </c>
      <c r="B379">
        <f ca="1">'ETF variations'!B379/'ETF price'!C380</f>
        <v>-3.4098450694555896E-3</v>
      </c>
      <c r="C379">
        <f ca="1">'ETF variations'!C379/'ETF price'!D380</f>
        <v>1.2866796260298071E-2</v>
      </c>
      <c r="D379">
        <f ca="1">'ETF variations'!D379/'ETF price'!E380</f>
        <v>4.2496357455071136E-4</v>
      </c>
      <c r="E379">
        <f ca="1">'ETF variations'!E379/'ETF price'!F380</f>
        <v>-1.2074864157777254E-3</v>
      </c>
      <c r="F379">
        <f ca="1">'ETF variations'!F379/'ETF price'!G380</f>
        <v>9.3023255813954042E-3</v>
      </c>
      <c r="G379">
        <f ca="1">'ETF variations'!G379/'ETF price'!H380</f>
        <v>3.5115099492781842E-3</v>
      </c>
      <c r="H379">
        <f ca="1">'ETF variations'!H379/'ETF price'!I380</f>
        <v>-1.1645724793135229E-2</v>
      </c>
      <c r="I379">
        <f ca="1">'ETF variations'!I379/'ETF price'!J380</f>
        <v>-9.6033923671738682E-3</v>
      </c>
      <c r="J379">
        <f ca="1">'ETF variations'!J379/'ETF price'!K380</f>
        <v>-8.5292945396572926E-3</v>
      </c>
      <c r="K379">
        <f ca="1">'ETF variations'!K379/'ETF price'!L380</f>
        <v>7.3421439060208362E-4</v>
      </c>
      <c r="L379">
        <f ca="1">'ETF variations'!L379/'ETF price'!M380</f>
        <v>-5.9950041631973263E-3</v>
      </c>
      <c r="M379">
        <f ca="1">'ETF variations'!M379/'ETF price'!N380</f>
        <v>-9.9903319368353938E-3</v>
      </c>
      <c r="N379">
        <f ca="1">'ETF variations'!N379/'ETF price'!O380</f>
        <v>2.5445292620866105E-3</v>
      </c>
      <c r="O379">
        <f ca="1">'ETF variations'!O379/'ETF price'!P380</f>
        <v>2.1494499936780917E-2</v>
      </c>
      <c r="P379">
        <f ca="1">'ETF variations'!P379/'ETF price'!Q380</f>
        <v>2.2892441860465081E-2</v>
      </c>
      <c r="Q379">
        <f ca="1">'ETF variations'!Q379/'ETF price'!R380</f>
        <v>8.6913334988824014E-3</v>
      </c>
      <c r="R379">
        <f ca="1">'ETF variations'!R379/'ETF price'!S380</f>
        <v>1.9778002018163553E-2</v>
      </c>
      <c r="S379">
        <f ca="1">'ETF variations'!S379/'ETF price'!T380</f>
        <v>8.336989907854378E-3</v>
      </c>
      <c r="T379">
        <f ca="1">'ETF variations'!T379/'ETF price'!U380</f>
        <v>2.1880819366852836E-2</v>
      </c>
      <c r="U379">
        <f ca="1">'ETF variations'!U379/'ETF price'!V380</f>
        <v>1.0243467933491653E-2</v>
      </c>
      <c r="V379">
        <f ca="1">'ETF variations'!V379/'ETF price'!W380</f>
        <v>1.4907573047109202E-3</v>
      </c>
      <c r="W379">
        <f ca="1">'ETF variations'!W379/'ETF price'!X380</f>
        <v>3.7183936539414617E-3</v>
      </c>
      <c r="X379">
        <f ca="1">'ETF variations'!X379/'ETF price'!Y380</f>
        <v>1.9349411104879553E-2</v>
      </c>
      <c r="Y379">
        <f ca="1">'ETF variations'!Y379/'ETF price'!Z380</f>
        <v>5.8115961616435575E-3</v>
      </c>
      <c r="Z379">
        <f ca="1">'ETF variations'!Z379/'ETF price'!AA380</f>
        <v>-4.7405846721095529E-3</v>
      </c>
      <c r="AA379">
        <f ca="1">'ETF variations'!AA379/'ETF price'!AB380</f>
        <v>2.1680216802167907E-2</v>
      </c>
      <c r="AB379">
        <f ca="1">'ETF variations'!AB379/'ETF price'!AC380</f>
        <v>9.7250794838227624E-3</v>
      </c>
      <c r="AC379">
        <f ca="1">'ETF variations'!AC379/'ETF price'!AD380</f>
        <v>-4.3478260869565834E-3</v>
      </c>
      <c r="AD379">
        <f ca="1">'ETF variations'!AD379/'ETF price'!AE380</f>
        <v>-3.0788177339899732E-3</v>
      </c>
      <c r="AE379">
        <f ca="1">'ETF variations'!AE379/'ETF price'!AF380</f>
        <v>-1.1560693641618507E-2</v>
      </c>
      <c r="AF379">
        <f ca="1">'ETF variations'!AF379/'ETF price'!AG380</f>
        <v>5.3657074340527557E-2</v>
      </c>
    </row>
    <row r="380" spans="1:32" x14ac:dyDescent="0.2">
      <c r="A380">
        <f ca="1">'ETF variations'!A380/'ETF price'!B381</f>
        <v>2.628351147713268E-3</v>
      </c>
      <c r="B380">
        <f ca="1">'ETF variations'!B380/'ETF price'!C381</f>
        <v>4.0185542390006428E-3</v>
      </c>
      <c r="C380">
        <f ca="1">'ETF variations'!C380/'ETF price'!D381</f>
        <v>1.8004021202705164E-2</v>
      </c>
      <c r="D380">
        <f ca="1">'ETF variations'!D380/'ETF price'!E381</f>
        <v>2.0814369803993003E-2</v>
      </c>
      <c r="E380">
        <f ca="1">'ETF variations'!E380/'ETF price'!F381</f>
        <v>1.6320773725569115E-2</v>
      </c>
      <c r="F380">
        <f ca="1">'ETF variations'!F380/'ETF price'!G381</f>
        <v>1.2761432116270805E-2</v>
      </c>
      <c r="G380">
        <f ca="1">'ETF variations'!G380/'ETF price'!H381</f>
        <v>1.5163297045101111E-2</v>
      </c>
      <c r="H380">
        <f ca="1">'ETF variations'!H380/'ETF price'!I381</f>
        <v>7.9069767441861255E-3</v>
      </c>
      <c r="I380">
        <f ca="1">'ETF variations'!I380/'ETF price'!J381</f>
        <v>1.0074297947361817E-2</v>
      </c>
      <c r="J380">
        <f ca="1">'ETF variations'!J380/'ETF price'!K381</f>
        <v>1.8250522592056683E-2</v>
      </c>
      <c r="K380">
        <f ca="1">'ETF variations'!K380/'ETF price'!L381</f>
        <v>2.9958425042797783E-2</v>
      </c>
      <c r="L380">
        <f ca="1">'ETF variations'!L380/'ETF price'!M381</f>
        <v>2.0606466744848451E-2</v>
      </c>
      <c r="M380">
        <f ca="1">'ETF variations'!M380/'ETF price'!N381</f>
        <v>9.9283854166666574E-3</v>
      </c>
      <c r="N380">
        <f ca="1">'ETF variations'!N380/'ETF price'!O381</f>
        <v>3.2148900169204651E-2</v>
      </c>
      <c r="O380">
        <f ca="1">'ETF variations'!O380/'ETF price'!P381</f>
        <v>7.7979948013367426E-3</v>
      </c>
      <c r="P380">
        <f ca="1">'ETF variations'!P380/'ETF price'!Q381</f>
        <v>7.1047957371226595E-3</v>
      </c>
      <c r="Q380">
        <f ca="1">'ETF variations'!Q380/'ETF price'!R381</f>
        <v>-2.4618414574096529E-4</v>
      </c>
      <c r="R380">
        <f ca="1">'ETF variations'!R380/'ETF price'!S381</f>
        <v>1.1676231941420865E-2</v>
      </c>
      <c r="S380">
        <f ca="1">'ETF variations'!S380/'ETF price'!T381</f>
        <v>2.1758050478677417E-3</v>
      </c>
      <c r="T380">
        <f ca="1">'ETF variations'!T380/'ETF price'!U381</f>
        <v>-4.7076689445708138E-3</v>
      </c>
      <c r="U380">
        <f ca="1">'ETF variations'!U380/'ETF price'!V381</f>
        <v>1.9397501836884753E-2</v>
      </c>
      <c r="V380">
        <f ca="1">'ETF variations'!V380/'ETF price'!W381</f>
        <v>4.4656147662994515E-3</v>
      </c>
      <c r="W380">
        <f ca="1">'ETF variations'!W380/'ETF price'!X381</f>
        <v>5.4334403556433406E-3</v>
      </c>
      <c r="X380">
        <f ca="1">'ETF variations'!X380/'ETF price'!Y381</f>
        <v>7.7028885832187378E-3</v>
      </c>
      <c r="Y380">
        <f ca="1">'ETF variations'!Y380/'ETF price'!Z381</f>
        <v>3.090567051867831E-3</v>
      </c>
      <c r="Z380">
        <f ca="1">'ETF variations'!Z380/'ETF price'!AA381</f>
        <v>3.4400635088648467E-3</v>
      </c>
      <c r="AA380">
        <f ca="1">'ETF variations'!AA380/'ETF price'!AB381</f>
        <v>7.9575596816975711E-3</v>
      </c>
      <c r="AB380">
        <f ca="1">'ETF variations'!AB380/'ETF price'!AC381</f>
        <v>1.2039266530839017E-2</v>
      </c>
      <c r="AC380">
        <f ca="1">'ETF variations'!AC380/'ETF price'!AD381</f>
        <v>2.2707423580786163E-2</v>
      </c>
      <c r="AD380">
        <f ca="1">'ETF variations'!AD380/'ETF price'!AE381</f>
        <v>2.2853613341568709E-2</v>
      </c>
      <c r="AE380">
        <f ca="1">'ETF variations'!AE380/'ETF price'!AF381</f>
        <v>3.2163742690058443E-2</v>
      </c>
      <c r="AF380">
        <f ca="1">'ETF variations'!AF380/'ETF price'!AG381</f>
        <v>5.2062588904694118E-2</v>
      </c>
    </row>
    <row r="381" spans="1:32" x14ac:dyDescent="0.2">
      <c r="A381">
        <f ca="1">'ETF variations'!A381/'ETF price'!B382</f>
        <v>2.1554235115927097E-3</v>
      </c>
      <c r="B381">
        <f ca="1">'ETF variations'!B381/'ETF price'!C382</f>
        <v>3.7737575189259135E-3</v>
      </c>
      <c r="C381">
        <f ca="1">'ETF variations'!C381/'ETF price'!D382</f>
        <v>-1.7954933117874392E-3</v>
      </c>
      <c r="D381">
        <f ca="1">'ETF variations'!D381/'ETF price'!E382</f>
        <v>0</v>
      </c>
      <c r="E381">
        <f ca="1">'ETF variations'!E381/'ETF price'!F382</f>
        <v>5.7494052339412995E-3</v>
      </c>
      <c r="F381">
        <f ca="1">'ETF variations'!F381/'ETF price'!G382</f>
        <v>1.120056002800141E-2</v>
      </c>
      <c r="G381">
        <f ca="1">'ETF variations'!G381/'ETF price'!H382</f>
        <v>1.0723860589812376E-2</v>
      </c>
      <c r="H381">
        <f ca="1">'ETF variations'!H381/'ETF price'!I382</f>
        <v>2.3073373327181306E-4</v>
      </c>
      <c r="I381">
        <f ca="1">'ETF variations'!I381/'ETF price'!J382</f>
        <v>2.9090304617044086E-4</v>
      </c>
      <c r="J381">
        <f ca="1">'ETF variations'!J381/'ETF price'!K382</f>
        <v>5.5270430319773526E-4</v>
      </c>
      <c r="K381">
        <f ca="1">'ETF variations'!K381/'ETF price'!L382</f>
        <v>-4.7489018164550119E-3</v>
      </c>
      <c r="L381">
        <f ca="1">'ETF variations'!L381/'ETF price'!M382</f>
        <v>2.4622455679579542E-3</v>
      </c>
      <c r="M381">
        <f ca="1">'ETF variations'!M381/'ETF price'!N382</f>
        <v>4.8348106365835838E-4</v>
      </c>
      <c r="N381">
        <f ca="1">'ETF variations'!N381/'ETF price'!O382</f>
        <v>9.0163934426230503E-3</v>
      </c>
      <c r="O381">
        <f ca="1">'ETF variations'!O381/'ETF price'!P382</f>
        <v>2.1984770326700959E-2</v>
      </c>
      <c r="P381">
        <f ca="1">'ETF variations'!P381/'ETF price'!Q382</f>
        <v>2.2663139329805935E-2</v>
      </c>
      <c r="Q381">
        <f ca="1">'ETF variations'!Q381/'ETF price'!R382</f>
        <v>9.8497906919477619E-3</v>
      </c>
      <c r="R381">
        <f ca="1">'ETF variations'!R381/'ETF price'!S382</f>
        <v>6.6510172143975635E-3</v>
      </c>
      <c r="S381">
        <f ca="1">'ETF variations'!S381/'ETF price'!T382</f>
        <v>1.1723838471558817E-2</v>
      </c>
      <c r="T381">
        <f ca="1">'ETF variations'!T381/'ETF price'!U382</f>
        <v>2.2734208117180268E-2</v>
      </c>
      <c r="U381">
        <f ca="1">'ETF variations'!U381/'ETF price'!V382</f>
        <v>-1.4415453366015734E-4</v>
      </c>
      <c r="V381">
        <f ca="1">'ETF variations'!V381/'ETF price'!W382</f>
        <v>1.1855364552459946E-2</v>
      </c>
      <c r="W381">
        <f ca="1">'ETF variations'!W381/'ETF price'!X382</f>
        <v>1.3018914271677747E-2</v>
      </c>
      <c r="X381">
        <f ca="1">'ETF variations'!X381/'ETF price'!Y382</f>
        <v>1.3923013923013868E-2</v>
      </c>
      <c r="Y381">
        <f ca="1">'ETF variations'!Y381/'ETF price'!Z382</f>
        <v>1.2860013395847202E-2</v>
      </c>
      <c r="Z381">
        <f ca="1">'ETF variations'!Z381/'ETF price'!AA382</f>
        <v>1.1339662447257376E-2</v>
      </c>
      <c r="AA381">
        <f ca="1">'ETF variations'!AA381/'ETF price'!AB382</f>
        <v>1.3397129186602926E-2</v>
      </c>
      <c r="AB381">
        <f ca="1">'ETF variations'!AB381/'ETF price'!AC382</f>
        <v>-7.5036603221084134E-3</v>
      </c>
      <c r="AC381">
        <f ca="1">'ETF variations'!AC381/'ETF price'!AD382</f>
        <v>-9.393680614859198E-3</v>
      </c>
      <c r="AD381">
        <f ca="1">'ETF variations'!AD381/'ETF price'!AE382</f>
        <v>-9.6618357487922805E-3</v>
      </c>
      <c r="AE381">
        <f ca="1">'ETF variations'!AE381/'ETF price'!AF382</f>
        <v>6.7988668555240855E-2</v>
      </c>
      <c r="AF381">
        <f ca="1">'ETF variations'!AF381/'ETF price'!AG382</f>
        <v>2.3796646836127706E-2</v>
      </c>
    </row>
    <row r="382" spans="1:32" x14ac:dyDescent="0.2">
      <c r="A382">
        <f ca="1">'ETF variations'!A382/'ETF price'!B383</f>
        <v>1.1335232226937096E-2</v>
      </c>
      <c r="B382">
        <f ca="1">'ETF variations'!B382/'ETF price'!C383</f>
        <v>1.0458439664600874E-2</v>
      </c>
      <c r="C382">
        <f ca="1">'ETF variations'!C382/'ETF price'!D383</f>
        <v>1.1242018167101358E-2</v>
      </c>
      <c r="D382">
        <f ca="1">'ETF variations'!D382/'ETF price'!E383</f>
        <v>1.8666032576388152E-2</v>
      </c>
      <c r="E382">
        <f ca="1">'ETF variations'!E382/'ETF price'!F383</f>
        <v>-1.4192785334121799E-2</v>
      </c>
      <c r="F382">
        <f ca="1">'ETF variations'!F382/'ETF price'!G383</f>
        <v>1.2461059190031133E-2</v>
      </c>
      <c r="G382">
        <f ca="1">'ETF variations'!G382/'ETF price'!H383</f>
        <v>4.5471769609701021E-3</v>
      </c>
      <c r="H382">
        <f ca="1">'ETF variations'!H382/'ETF price'!I383</f>
        <v>-2.6912725874665335E-3</v>
      </c>
      <c r="I382">
        <f ca="1">'ETF variations'!I382/'ETF price'!J383</f>
        <v>-1.8695471541337293E-3</v>
      </c>
      <c r="J382">
        <f ca="1">'ETF variations'!J382/'ETF price'!K383</f>
        <v>9.7853535353534943E-3</v>
      </c>
      <c r="K382">
        <f ca="1">'ETF variations'!K382/'ETF price'!L383</f>
        <v>1.1332458547059559E-2</v>
      </c>
      <c r="L382">
        <f ca="1">'ETF variations'!L382/'ETF price'!M383</f>
        <v>1.0807270345505103E-2</v>
      </c>
      <c r="M382">
        <f ca="1">'ETF variations'!M382/'ETF price'!N383</f>
        <v>-2.0940721649483802E-3</v>
      </c>
      <c r="N382">
        <f ca="1">'ETF variations'!N382/'ETF price'!O383</f>
        <v>1.0966693744922809E-2</v>
      </c>
      <c r="O382">
        <f ca="1">'ETF variations'!O382/'ETF price'!P383</f>
        <v>9.2536954692946788E-3</v>
      </c>
      <c r="P382">
        <f ca="1">'ETF variations'!P382/'ETF price'!Q383</f>
        <v>8.019315340174242E-3</v>
      </c>
      <c r="Q382">
        <f ca="1">'ETF variations'!Q382/'ETF price'!R383</f>
        <v>1.3167520117044603E-2</v>
      </c>
      <c r="R382">
        <f ca="1">'ETF variations'!R382/'ETF price'!S383</f>
        <v>1.2242518460940585E-2</v>
      </c>
      <c r="S382">
        <f ca="1">'ETF variations'!S382/'ETF price'!T383</f>
        <v>7.2961373390557143E-3</v>
      </c>
      <c r="T382">
        <f ca="1">'ETF variations'!T382/'ETF price'!U383</f>
        <v>1.2531702222885325E-2</v>
      </c>
      <c r="U382">
        <f ca="1">'ETF variations'!U382/'ETF price'!V383</f>
        <v>2.8258362168396681E-2</v>
      </c>
      <c r="V382">
        <f ca="1">'ETF variations'!V382/'ETF price'!W383</f>
        <v>6.444053895723458E-3</v>
      </c>
      <c r="W382">
        <f ca="1">'ETF variations'!W382/'ETF price'!X383</f>
        <v>7.8806983511153176E-3</v>
      </c>
      <c r="X382">
        <f ca="1">'ETF variations'!X382/'ETF price'!Y383</f>
        <v>1.7770597738287468E-2</v>
      </c>
      <c r="Y382">
        <f ca="1">'ETF variations'!Y382/'ETF price'!Z383</f>
        <v>6.4806242560507196E-3</v>
      </c>
      <c r="Z382">
        <f ca="1">'ETF variations'!Z382/'ETF price'!AA383</f>
        <v>4.6936114732724823E-3</v>
      </c>
      <c r="AA382">
        <f ca="1">'ETF variations'!AA382/'ETF price'!AB383</f>
        <v>2.0066100094428739E-2</v>
      </c>
      <c r="AB382">
        <f ca="1">'ETF variations'!AB382/'ETF price'!AC383</f>
        <v>9.2199889360132774E-3</v>
      </c>
      <c r="AC382">
        <f ca="1">'ETF variations'!AC382/'ETF price'!AD383</f>
        <v>-1.0344827586206829E-2</v>
      </c>
      <c r="AD382">
        <f ca="1">'ETF variations'!AD382/'ETF price'!AE383</f>
        <v>-1.1585365853658399E-2</v>
      </c>
      <c r="AE382">
        <f ca="1">'ETF variations'!AE382/'ETF price'!AF383</f>
        <v>1.8567639257294388E-2</v>
      </c>
      <c r="AF382">
        <f ca="1">'ETF variations'!AF382/'ETF price'!AG383</f>
        <v>-1.4791336502905501E-2</v>
      </c>
    </row>
    <row r="383" spans="1:32" x14ac:dyDescent="0.2">
      <c r="A383">
        <f ca="1">'ETF variations'!A383/'ETF price'!B384</f>
        <v>1.3047476721462297E-2</v>
      </c>
      <c r="B383">
        <f ca="1">'ETF variations'!B383/'ETF price'!C384</f>
        <v>1.4905179606286685E-2</v>
      </c>
      <c r="C383">
        <f ca="1">'ETF variations'!C383/'ETF price'!D384</f>
        <v>9.2493774457488992E-3</v>
      </c>
      <c r="D383">
        <f ca="1">'ETF variations'!D383/'ETF price'!E384</f>
        <v>2.065826330532208E-2</v>
      </c>
      <c r="E383">
        <f ca="1">'ETF variations'!E383/'ETF price'!F384</f>
        <v>1.9996000799840034E-2</v>
      </c>
      <c r="F383">
        <f ca="1">'ETF variations'!F383/'ETF price'!G384</f>
        <v>2.119658119658123E-2</v>
      </c>
      <c r="G383">
        <f ca="1">'ETF variations'!G383/'ETF price'!H384</f>
        <v>1.0184835910976972E-2</v>
      </c>
      <c r="H383">
        <f ca="1">'ETF variations'!H383/'ETF price'!I384</f>
        <v>3.8550501156523804E-4</v>
      </c>
      <c r="I383">
        <f ca="1">'ETF variations'!I383/'ETF price'!J384</f>
        <v>4.9947970863685551E-4</v>
      </c>
      <c r="J383">
        <f ca="1">'ETF variations'!J383/'ETF price'!K384</f>
        <v>2.6570803376056397E-3</v>
      </c>
      <c r="K383">
        <f ca="1">'ETF variations'!K383/'ETF price'!L384</f>
        <v>-1.1795234725170359E-3</v>
      </c>
      <c r="L383">
        <f ca="1">'ETF variations'!L383/'ETF price'!M384</f>
        <v>6.1558399481613894E-3</v>
      </c>
      <c r="M383">
        <f ca="1">'ETF variations'!M383/'ETF price'!N384</f>
        <v>3.2284100080703828E-4</v>
      </c>
      <c r="N383">
        <f ca="1">'ETF variations'!N383/'ETF price'!O384</f>
        <v>2.8123744475693161E-3</v>
      </c>
      <c r="O383">
        <f ca="1">'ETF variations'!O383/'ETF price'!P384</f>
        <v>-3.8104310550131863E-3</v>
      </c>
      <c r="P383">
        <f ca="1">'ETF variations'!P383/'ETF price'!Q384</f>
        <v>-3.9349871685201709E-3</v>
      </c>
      <c r="Q383">
        <f ca="1">'ETF variations'!Q383/'ETF price'!R384</f>
        <v>7.8219013237064462E-3</v>
      </c>
      <c r="R383">
        <f ca="1">'ETF variations'!R383/'ETF price'!S384</f>
        <v>9.4067959301208457E-3</v>
      </c>
      <c r="S383">
        <f ca="1">'ETF variations'!S383/'ETF price'!T384</f>
        <v>1.406050276949305E-2</v>
      </c>
      <c r="T383">
        <f ca="1">'ETF variations'!T383/'ETF price'!U384</f>
        <v>1.7975541476351831E-2</v>
      </c>
      <c r="U383">
        <f ca="1">'ETF variations'!U383/'ETF price'!V384</f>
        <v>1.1217049915872286E-2</v>
      </c>
      <c r="V383">
        <f ca="1">'ETF variations'!V383/'ETF price'!W384</f>
        <v>3.4924330616995765E-3</v>
      </c>
      <c r="W383">
        <f ca="1">'ETF variations'!W383/'ETF price'!X384</f>
        <v>7.3379044869481469E-3</v>
      </c>
      <c r="X383">
        <f ca="1">'ETF variations'!X383/'ETF price'!Y384</f>
        <v>1.7195767195767347E-2</v>
      </c>
      <c r="Y383">
        <f ca="1">'ETF variations'!Y383/'ETF price'!Z384</f>
        <v>6.0446780551906441E-3</v>
      </c>
      <c r="Z383">
        <f ca="1">'ETF variations'!Z383/'ETF price'!AA384</f>
        <v>6.7479885803269661E-3</v>
      </c>
      <c r="AA383">
        <f ca="1">'ETF variations'!AA383/'ETF price'!AB384</f>
        <v>1.7125665355241886E-2</v>
      </c>
      <c r="AB383">
        <f ca="1">'ETF variations'!AB383/'ETF price'!AC384</f>
        <v>1.6078932943541069E-2</v>
      </c>
      <c r="AC383">
        <f ca="1">'ETF variations'!AC383/'ETF price'!AD384</f>
        <v>4.7909407665505131E-2</v>
      </c>
      <c r="AD383">
        <f ca="1">'ETF variations'!AD383/'ETF price'!AE384</f>
        <v>5.1202961135101678E-2</v>
      </c>
      <c r="AE383">
        <f ca="1">'ETF variations'!AE383/'ETF price'!AF384</f>
        <v>-1.5625000000000014E-2</v>
      </c>
      <c r="AF383">
        <f ca="1">'ETF variations'!AF383/'ETF price'!AG384</f>
        <v>0.1563002680965149</v>
      </c>
    </row>
    <row r="384" spans="1:32" x14ac:dyDescent="0.2">
      <c r="A384">
        <f ca="1">'ETF variations'!A384/'ETF price'!B385</f>
        <v>-1.4751773049644873E-3</v>
      </c>
      <c r="B384">
        <f ca="1">'ETF variations'!B384/'ETF price'!C385</f>
        <v>-3.5771418414503129E-3</v>
      </c>
      <c r="C384">
        <f ca="1">'ETF variations'!C384/'ETF price'!D385</f>
        <v>-2.6436376454000454E-3</v>
      </c>
      <c r="D384">
        <f ca="1">'ETF variations'!D384/'ETF price'!E385</f>
        <v>-1.2521440823327602E-2</v>
      </c>
      <c r="E384">
        <f ca="1">'ETF variations'!E384/'ETF price'!F385</f>
        <v>-9.2138796314447935E-3</v>
      </c>
      <c r="F384">
        <f ca="1">'ETF variations'!F384/'ETF price'!G385</f>
        <v>-1.5400066956812885E-2</v>
      </c>
      <c r="G384">
        <f ca="1">'ETF variations'!G384/'ETF price'!H385</f>
        <v>-8.9619118745333081E-3</v>
      </c>
      <c r="H384">
        <f ca="1">'ETF variations'!H384/'ETF price'!I385</f>
        <v>1.5028901734103959E-2</v>
      </c>
      <c r="I384">
        <f ca="1">'ETF variations'!I384/'ETF price'!J385</f>
        <v>1.3770437242584359E-2</v>
      </c>
      <c r="J384">
        <f ca="1">'ETF variations'!J384/'ETF price'!K385</f>
        <v>-4.6765393608731308E-4</v>
      </c>
      <c r="K384">
        <f ca="1">'ETF variations'!K384/'ETF price'!L385</f>
        <v>-3.0703826169107828E-3</v>
      </c>
      <c r="L384">
        <f ca="1">'ETF variations'!L384/'ETF price'!M385</f>
        <v>7.0842054419577799E-3</v>
      </c>
      <c r="M384">
        <f ca="1">'ETF variations'!M384/'ETF price'!N385</f>
        <v>1.3393577537518127E-2</v>
      </c>
      <c r="N384">
        <f ca="1">'ETF variations'!N384/'ETF price'!O385</f>
        <v>-1.762820512820518E-2</v>
      </c>
      <c r="O384">
        <f ca="1">'ETF variations'!O384/'ETF price'!P385</f>
        <v>-2.6416447525699185E-2</v>
      </c>
      <c r="P384">
        <f ca="1">'ETF variations'!P384/'ETF price'!Q385</f>
        <v>-2.6193747852971464E-2</v>
      </c>
      <c r="Q384">
        <f ca="1">'ETF variations'!Q384/'ETF price'!R385</f>
        <v>-5.8507462686566555E-3</v>
      </c>
      <c r="R384">
        <f ca="1">'ETF variations'!R384/'ETF price'!S385</f>
        <v>-1.9399011030810119E-2</v>
      </c>
      <c r="S384">
        <f ca="1">'ETF variations'!S384/'ETF price'!T385</f>
        <v>-6.7226890756302577E-3</v>
      </c>
      <c r="T384">
        <f ca="1">'ETF variations'!T384/'ETF price'!U385</f>
        <v>-2.3447676943117737E-2</v>
      </c>
      <c r="U384">
        <f ca="1">'ETF variations'!U384/'ETF price'!V385</f>
        <v>-1.9412090959512001E-2</v>
      </c>
      <c r="V384">
        <f ca="1">'ETF variations'!V384/'ETF price'!W385</f>
        <v>-6.6705336426913248E-3</v>
      </c>
      <c r="W384">
        <f ca="1">'ETF variations'!W384/'ETF price'!X385</f>
        <v>-7.045617387150576E-3</v>
      </c>
      <c r="X384">
        <f ca="1">'ETF variations'!X384/'ETF price'!Y385</f>
        <v>-1.9245773732119685E-2</v>
      </c>
      <c r="Y384">
        <f ca="1">'ETF variations'!Y384/'ETF price'!Z385</f>
        <v>-7.9676071055381319E-3</v>
      </c>
      <c r="Z384">
        <f ca="1">'ETF variations'!Z384/'ETF price'!AA385</f>
        <v>0</v>
      </c>
      <c r="AA384">
        <f ca="1">'ETF variations'!AA384/'ETF price'!AB385</f>
        <v>-1.86575654152446E-2</v>
      </c>
      <c r="AB384">
        <f ca="1">'ETF variations'!AB384/'ETF price'!AC385</f>
        <v>1.0070131271354114E-2</v>
      </c>
      <c r="AC384">
        <f ca="1">'ETF variations'!AC384/'ETF price'!AD385</f>
        <v>-5.1537822111388132E-2</v>
      </c>
      <c r="AD384">
        <f ca="1">'ETF variations'!AD384/'ETF price'!AE385</f>
        <v>-5.3403755868544615E-2</v>
      </c>
      <c r="AE384">
        <f ca="1">'ETF variations'!AE384/'ETF price'!AF385</f>
        <v>0.11111111111111122</v>
      </c>
      <c r="AF384">
        <f ca="1">'ETF variations'!AF384/'ETF price'!AG385</f>
        <v>-5.8428008346858407E-2</v>
      </c>
    </row>
    <row r="385" spans="1:32" x14ac:dyDescent="0.2">
      <c r="A385">
        <f ca="1">'ETF variations'!A385/'ETF price'!B386</f>
        <v>1.2784817319165861E-2</v>
      </c>
      <c r="B385">
        <f ca="1">'ETF variations'!B385/'ETF price'!C386</f>
        <v>1.3311927219211921E-2</v>
      </c>
      <c r="C385">
        <f ca="1">'ETF variations'!C385/'ETF price'!D386</f>
        <v>-2.4297579077575543E-2</v>
      </c>
      <c r="D385">
        <f ca="1">'ETF variations'!D385/'ETF price'!E386</f>
        <v>2.39129176075502E-2</v>
      </c>
      <c r="E385">
        <f ca="1">'ETF variations'!E385/'ETF price'!F386</f>
        <v>1.2267510882469281E-2</v>
      </c>
      <c r="F385">
        <f ca="1">'ETF variations'!F385/'ETF price'!G386</f>
        <v>1.2580754845290752E-2</v>
      </c>
      <c r="G385">
        <f ca="1">'ETF variations'!G385/'ETF price'!H386</f>
        <v>9.0429540316504138E-3</v>
      </c>
      <c r="H385">
        <f ca="1">'ETF variations'!H385/'ETF price'!I386</f>
        <v>-4.5558086560364038E-3</v>
      </c>
      <c r="I385">
        <f ca="1">'ETF variations'!I385/'ETF price'!J386</f>
        <v>-4.2678923177939115E-3</v>
      </c>
      <c r="J385">
        <f ca="1">'ETF variations'!J385/'ETF price'!K386</f>
        <v>7.7978789769182775E-3</v>
      </c>
      <c r="K385">
        <f ca="1">'ETF variations'!K385/'ETF price'!L386</f>
        <v>1.5873015873015914E-2</v>
      </c>
      <c r="L385">
        <f ca="1">'ETF variations'!L385/'ETF price'!M386</f>
        <v>7.6738609112710476E-3</v>
      </c>
      <c r="M385">
        <f ca="1">'ETF variations'!M385/'ETF price'!N386</f>
        <v>-3.3439490445858876E-3</v>
      </c>
      <c r="N385">
        <f ca="1">'ETF variations'!N385/'ETF price'!O386</f>
        <v>2.4469820554648743E-3</v>
      </c>
      <c r="O385">
        <f ca="1">'ETF variations'!O385/'ETF price'!P386</f>
        <v>-1.9643953345610385E-3</v>
      </c>
      <c r="P385">
        <f ca="1">'ETF variations'!P385/'ETF price'!Q386</f>
        <v>0</v>
      </c>
      <c r="Q385">
        <f ca="1">'ETF variations'!Q385/'ETF price'!R386</f>
        <v>9.6084554407876879E-4</v>
      </c>
      <c r="R385">
        <f ca="1">'ETF variations'!R385/'ETF price'!S386</f>
        <v>3.878975950349025E-3</v>
      </c>
      <c r="S385">
        <f ca="1">'ETF variations'!S385/'ETF price'!T386</f>
        <v>-8.0372250423012392E-3</v>
      </c>
      <c r="T385">
        <f ca="1">'ETF variations'!T385/'ETF price'!U386</f>
        <v>-1.3191047873128806E-2</v>
      </c>
      <c r="U385">
        <f ca="1">'ETF variations'!U385/'ETF price'!V386</f>
        <v>4.0016968325791831E-2</v>
      </c>
      <c r="V385">
        <f ca="1">'ETF variations'!V385/'ETF price'!W386</f>
        <v>9.6350364963503146E-3</v>
      </c>
      <c r="W385">
        <f ca="1">'ETF variations'!W385/'ETF price'!X386</f>
        <v>1.0342754058929638E-2</v>
      </c>
      <c r="X385">
        <f ca="1">'ETF variations'!X385/'ETF price'!Y386</f>
        <v>1.7236807212940828E-2</v>
      </c>
      <c r="Y385">
        <f ca="1">'ETF variations'!Y385/'ETF price'!Z386</f>
        <v>1.1191573403554896E-2</v>
      </c>
      <c r="Z385">
        <f ca="1">'ETF variations'!Z385/'ETF price'!AA386</f>
        <v>-8.5073472544469793E-3</v>
      </c>
      <c r="AA385">
        <f ca="1">'ETF variations'!AA385/'ETF price'!AB386</f>
        <v>1.738928819846974E-2</v>
      </c>
      <c r="AB385">
        <f ca="1">'ETF variations'!AB385/'ETF price'!AC386</f>
        <v>8.9015488695027873E-4</v>
      </c>
      <c r="AC385">
        <f ca="1">'ETF variations'!AC385/'ETF price'!AD386</f>
        <v>-8.7642418930762179E-3</v>
      </c>
      <c r="AD385">
        <f ca="1">'ETF variations'!AD385/'ETF price'!AE386</f>
        <v>-9.9194048357097563E-3</v>
      </c>
      <c r="AE385">
        <f ca="1">'ETF variations'!AE385/'ETF price'!AF386</f>
        <v>-3.8095238095238126E-2</v>
      </c>
      <c r="AF385">
        <f ca="1">'ETF variations'!AF385/'ETF price'!AG386</f>
        <v>-2.9795616843142105E-2</v>
      </c>
    </row>
    <row r="386" spans="1:32" x14ac:dyDescent="0.2">
      <c r="A386">
        <f ca="1">'ETF variations'!A386/'ETF price'!B387</f>
        <v>1.1333034111310489E-2</v>
      </c>
      <c r="B386">
        <f ca="1">'ETF variations'!B386/'ETF price'!C387</f>
        <v>1.1310624064783E-2</v>
      </c>
      <c r="C386">
        <f ca="1">'ETF variations'!C386/'ETF price'!D387</f>
        <v>-1.086661233360541E-3</v>
      </c>
      <c r="D386">
        <f ca="1">'ETF variations'!D386/'ETF price'!E387</f>
        <v>1.866093643971862E-3</v>
      </c>
      <c r="E386">
        <f ca="1">'ETF variations'!E386/'ETF price'!F387</f>
        <v>7.8186082877248972E-3</v>
      </c>
      <c r="F386">
        <f ca="1">'ETF variations'!F386/'ETF price'!G387</f>
        <v>1.1752854264607046E-2</v>
      </c>
      <c r="G386">
        <f ca="1">'ETF variations'!G386/'ETF price'!H387</f>
        <v>4.1075429424943773E-3</v>
      </c>
      <c r="H386">
        <f ca="1">'ETF variations'!H386/'ETF price'!I387</f>
        <v>7.3989321128909149E-3</v>
      </c>
      <c r="I386">
        <f ca="1">'ETF variations'!I386/'ETF price'!J387</f>
        <v>6.4292779426310684E-3</v>
      </c>
      <c r="J386">
        <f ca="1">'ETF variations'!J386/'ETF price'!K387</f>
        <v>3.7140204271122698E-3</v>
      </c>
      <c r="K386">
        <f ca="1">'ETF variations'!K386/'ETF price'!L387</f>
        <v>-2.0988805970150047E-3</v>
      </c>
      <c r="L386">
        <f ca="1">'ETF variations'!L386/'ETF price'!M387</f>
        <v>4.1250198318260826E-3</v>
      </c>
      <c r="M386">
        <f ca="1">'ETF variations'!M386/'ETF price'!N387</f>
        <v>6.7103371145549543E-3</v>
      </c>
      <c r="N386">
        <f ca="1">'ETF variations'!N386/'ETF price'!O387</f>
        <v>2.4410089503662442E-3</v>
      </c>
      <c r="O386">
        <f ca="1">'ETF variations'!O386/'ETF price'!P387</f>
        <v>1.0087341616434901E-2</v>
      </c>
      <c r="P386">
        <f ca="1">'ETF variations'!P386/'ETF price'!Q387</f>
        <v>1.2787723785166266E-2</v>
      </c>
      <c r="Q386">
        <f ca="1">'ETF variations'!Q386/'ETF price'!R387</f>
        <v>7.7993760499159041E-3</v>
      </c>
      <c r="R386">
        <f ca="1">'ETF variations'!R386/'ETF price'!S387</f>
        <v>1.5842349304482233E-2</v>
      </c>
      <c r="S386">
        <f ca="1">'ETF variations'!S386/'ETF price'!T387</f>
        <v>1.3219616204690929E-2</v>
      </c>
      <c r="T386">
        <f ca="1">'ETF variations'!T386/'ETF price'!U387</f>
        <v>2.072694502853703E-2</v>
      </c>
      <c r="U386">
        <f ca="1">'ETF variations'!U386/'ETF price'!V387</f>
        <v>-8.9734874235213678E-3</v>
      </c>
      <c r="V386">
        <f ca="1">'ETF variations'!V386/'ETF price'!W387</f>
        <v>1.1278195488721821E-2</v>
      </c>
      <c r="W386">
        <f ca="1">'ETF variations'!W386/'ETF price'!X387</f>
        <v>1.3569813117486019E-2</v>
      </c>
      <c r="X386">
        <f ca="1">'ETF variations'!X386/'ETF price'!Y387</f>
        <v>3.5192909280500562E-2</v>
      </c>
      <c r="Y386">
        <f ca="1">'ETF variations'!Y386/'ETF price'!Z387</f>
        <v>1.6406250000000067E-2</v>
      </c>
      <c r="Z386">
        <f ca="1">'ETF variations'!Z386/'ETF price'!AA387</f>
        <v>-8.3203328133125403E-3</v>
      </c>
      <c r="AA386">
        <f ca="1">'ETF variations'!AA386/'ETF price'!AB387</f>
        <v>4.2160437556973435E-2</v>
      </c>
      <c r="AB386">
        <f ca="1">'ETF variations'!AB386/'ETF price'!AC387</f>
        <v>-5.1583066524368403E-3</v>
      </c>
      <c r="AC386">
        <f ca="1">'ETF variations'!AC386/'ETF price'!AD387</f>
        <v>-7.073386383731217E-3</v>
      </c>
      <c r="AD386">
        <f ca="1">'ETF variations'!AD386/'ETF price'!AE387</f>
        <v>-6.2617407639324616E-3</v>
      </c>
      <c r="AE386">
        <f ca="1">'ETF variations'!AE386/'ETF price'!AF387</f>
        <v>-2.7227722772277196E-2</v>
      </c>
      <c r="AF386">
        <f ca="1">'ETF variations'!AF386/'ETF price'!AG387</f>
        <v>-1.7512690355329891E-2</v>
      </c>
    </row>
    <row r="387" spans="1:32" x14ac:dyDescent="0.2">
      <c r="A387">
        <f ca="1">'ETF variations'!A387/'ETF price'!B388</f>
        <v>-2.4963940974147823E-3</v>
      </c>
      <c r="B387">
        <f ca="1">'ETF variations'!B387/'ETF price'!C388</f>
        <v>-2.6328386787936369E-3</v>
      </c>
      <c r="C387">
        <f ca="1">'ETF variations'!C387/'ETF price'!D388</f>
        <v>1.8130722509292253E-3</v>
      </c>
      <c r="D387">
        <f ca="1">'ETF variations'!D387/'ETF price'!E388</f>
        <v>-1.1853022520742757E-2</v>
      </c>
      <c r="E387">
        <f ca="1">'ETF variations'!E387/'ETF price'!F388</f>
        <v>1.7455391776570268E-3</v>
      </c>
      <c r="F387">
        <f ca="1">'ETF variations'!F387/'ETF price'!G388</f>
        <v>-6.3060073016925899E-3</v>
      </c>
      <c r="G387">
        <f ca="1">'ETF variations'!G387/'ETF price'!H388</f>
        <v>3.3469691335068744E-3</v>
      </c>
      <c r="H387">
        <f ca="1">'ETF variations'!H387/'ETF price'!I388</f>
        <v>4.6187627773151638E-3</v>
      </c>
      <c r="I387">
        <f ca="1">'ETF variations'!I387/'ETF price'!J388</f>
        <v>4.0540540540540916E-3</v>
      </c>
      <c r="J387">
        <f ca="1">'ETF variations'!J387/'ETF price'!K388</f>
        <v>5.3191489361701953E-3</v>
      </c>
      <c r="K387">
        <f ca="1">'ETF variations'!K387/'ETF price'!L388</f>
        <v>2.1032951624212061E-3</v>
      </c>
      <c r="L387">
        <f ca="1">'ETF variations'!L387/'ETF price'!M388</f>
        <v>4.2660767893822581E-3</v>
      </c>
      <c r="M387">
        <f ca="1">'ETF variations'!M387/'ETF price'!N388</f>
        <v>4.2850341215680552E-3</v>
      </c>
      <c r="N387">
        <f ca="1">'ETF variations'!N387/'ETF price'!O388</f>
        <v>8.3198051948051247E-3</v>
      </c>
      <c r="O387">
        <f ca="1">'ETF variations'!O387/'ETF price'!P388</f>
        <v>5.8458165875046155E-3</v>
      </c>
      <c r="P387">
        <f ca="1">'ETF variations'!P387/'ETF price'!Q388</f>
        <v>4.4409613375129822E-3</v>
      </c>
      <c r="Q387">
        <f ca="1">'ETF variations'!Q387/'ETF price'!R388</f>
        <v>-5.3577806881770287E-3</v>
      </c>
      <c r="R387">
        <f ca="1">'ETF variations'!R387/'ETF price'!S388</f>
        <v>-3.0429821224799655E-3</v>
      </c>
      <c r="S387">
        <f ca="1">'ETF variations'!S387/'ETF price'!T388</f>
        <v>5.4713804713804291E-3</v>
      </c>
      <c r="T387">
        <f ca="1">'ETF variations'!T387/'ETF price'!U388</f>
        <v>-3.9729252501470875E-3</v>
      </c>
      <c r="U387">
        <f ca="1">'ETF variations'!U387/'ETF price'!V388</f>
        <v>1.6463163671286123E-3</v>
      </c>
      <c r="V387">
        <f ca="1">'ETF variations'!V387/'ETF price'!W388</f>
        <v>4.2893909064912377E-3</v>
      </c>
      <c r="W387">
        <f ca="1">'ETF variations'!W387/'ETF price'!X388</f>
        <v>6.3417498532001406E-3</v>
      </c>
      <c r="X387">
        <f ca="1">'ETF variations'!X387/'ETF price'!Y388</f>
        <v>2.7449005288340374E-2</v>
      </c>
      <c r="Y387">
        <f ca="1">'ETF variations'!Y387/'ETF price'!Z388</f>
        <v>6.7896489879579955E-3</v>
      </c>
      <c r="Z387">
        <f ca="1">'ETF variations'!Z387/'ETF price'!AA388</f>
        <v>1.1012060828526526E-2</v>
      </c>
      <c r="AA387">
        <f ca="1">'ETF variations'!AA387/'ETF price'!AB388</f>
        <v>3.105182593483494E-2</v>
      </c>
      <c r="AB387">
        <f ca="1">'ETF variations'!AB387/'ETF price'!AC388</f>
        <v>1.0191310566779908E-2</v>
      </c>
      <c r="AC387">
        <f ca="1">'ETF variations'!AC387/'ETF price'!AD388</f>
        <v>1.1576135351736331E-2</v>
      </c>
      <c r="AD387">
        <f ca="1">'ETF variations'!AD387/'ETF price'!AE388</f>
        <v>1.0712035286704469E-2</v>
      </c>
      <c r="AE387">
        <f ca="1">'ETF variations'!AE387/'ETF price'!AF388</f>
        <v>-5.0890585241730327E-3</v>
      </c>
      <c r="AF387">
        <f ca="1">'ETF variations'!AF387/'ETF price'!AG388</f>
        <v>3.823301472487721E-2</v>
      </c>
    </row>
    <row r="388" spans="1:32" x14ac:dyDescent="0.2">
      <c r="A388">
        <f ca="1">'ETF variations'!A388/'ETF price'!B389</f>
        <v>-1.9965519159112415E-2</v>
      </c>
      <c r="B388">
        <f ca="1">'ETF variations'!B388/'ETF price'!C389</f>
        <v>-2.1161943408163686E-2</v>
      </c>
      <c r="C388">
        <f ca="1">'ETF variations'!C388/'ETF price'!D389</f>
        <v>1.0134829427201071E-2</v>
      </c>
      <c r="D388">
        <f ca="1">'ETF variations'!D388/'ETF price'!E389</f>
        <v>-3.6385445821671358E-2</v>
      </c>
      <c r="E388">
        <f ca="1">'ETF variations'!E388/'ETF price'!F389</f>
        <v>-1.7812197483059084E-2</v>
      </c>
      <c r="F388">
        <f ca="1">'ETF variations'!F388/'ETF price'!G389</f>
        <v>-2.7054108216432941E-2</v>
      </c>
      <c r="G388">
        <f ca="1">'ETF variations'!G388/'ETF price'!H389</f>
        <v>-1.2601927353595251E-2</v>
      </c>
      <c r="H388">
        <f ca="1">'ETF variations'!H388/'ETF price'!I389</f>
        <v>1.6581248115767173E-2</v>
      </c>
      <c r="I388">
        <f ca="1">'ETF variations'!I388/'ETF price'!J389</f>
        <v>1.2806395040580834E-2</v>
      </c>
      <c r="J388">
        <f ca="1">'ETF variations'!J388/'ETF price'!K389</f>
        <v>-1.150218541522933E-3</v>
      </c>
      <c r="K388">
        <f ca="1">'ETF variations'!K388/'ETF price'!L389</f>
        <v>-1.667444029850754E-2</v>
      </c>
      <c r="L388">
        <f ca="1">'ETF variations'!L388/'ETF price'!M389</f>
        <v>-4.4052863436123526E-3</v>
      </c>
      <c r="M388">
        <f ca="1">'ETF variations'!M388/'ETF price'!N389</f>
        <v>1.2484197218710366E-2</v>
      </c>
      <c r="N388">
        <f ca="1">'ETF variations'!N388/'ETF price'!O389</f>
        <v>-1.3886093781444914E-2</v>
      </c>
      <c r="O388">
        <f ca="1">'ETF variations'!O388/'ETF price'!P389</f>
        <v>1.1744763288533706E-2</v>
      </c>
      <c r="P388">
        <f ca="1">'ETF variations'!P388/'ETF price'!Q389</f>
        <v>1.1183355006502005E-2</v>
      </c>
      <c r="Q388">
        <f ca="1">'ETF variations'!Q388/'ETF price'!R389</f>
        <v>2.3940627244432443E-3</v>
      </c>
      <c r="R388">
        <f ca="1">'ETF variations'!R388/'ETF price'!S389</f>
        <v>-7.2491415490271377E-3</v>
      </c>
      <c r="S388">
        <f ca="1">'ETF variations'!S388/'ETF price'!T389</f>
        <v>2.9300962745918914E-3</v>
      </c>
      <c r="T388">
        <f ca="1">'ETF variations'!T388/'ETF price'!U389</f>
        <v>5.3183631260156515E-3</v>
      </c>
      <c r="U388">
        <f ca="1">'ETF variations'!U388/'ETF price'!V389</f>
        <v>-2.1503903574852861E-2</v>
      </c>
      <c r="V388">
        <f ca="1">'ETF variations'!V388/'ETF price'!W389</f>
        <v>7.4031890660593716E-3</v>
      </c>
      <c r="W388">
        <f ca="1">'ETF variations'!W388/'ETF price'!X389</f>
        <v>4.7846889952152709E-3</v>
      </c>
      <c r="X388">
        <f ca="1">'ETF variations'!X388/'ETF price'!Y389</f>
        <v>-1.2254901960783617E-3</v>
      </c>
      <c r="Y388">
        <f ca="1">'ETF variations'!Y388/'ETF price'!Z389</f>
        <v>8.2707723628959347E-3</v>
      </c>
      <c r="Z388">
        <f ca="1">'ETF variations'!Z388/'ETF price'!AA389</f>
        <v>-3.3713692946058752E-3</v>
      </c>
      <c r="AA388">
        <f ca="1">'ETF variations'!AA388/'ETF price'!AB389</f>
        <v>-3.8176033934252326E-3</v>
      </c>
      <c r="AB388">
        <f ca="1">'ETF variations'!AB388/'ETF price'!AC389</f>
        <v>-7.4336283185841012E-3</v>
      </c>
      <c r="AC388">
        <f ca="1">'ETF variations'!AC388/'ETF price'!AD389</f>
        <v>-9.6830985915492464E-3</v>
      </c>
      <c r="AD388">
        <f ca="1">'ETF variations'!AD388/'ETF price'!AE389</f>
        <v>-9.97506234413955E-3</v>
      </c>
      <c r="AE388">
        <f ca="1">'ETF variations'!AE388/'ETF price'!AF389</f>
        <v>2.557544757033239E-2</v>
      </c>
      <c r="AF388">
        <f ca="1">'ETF variations'!AF388/'ETF price'!AG389</f>
        <v>-4.876835033590448E-2</v>
      </c>
    </row>
    <row r="389" spans="1:32" x14ac:dyDescent="0.2">
      <c r="A389">
        <f ca="1">'ETF variations'!A389/'ETF price'!B390</f>
        <v>-5.1072522982637274E-4</v>
      </c>
      <c r="B389">
        <f ca="1">'ETF variations'!B389/'ETF price'!C390</f>
        <v>-1.7161833864533815E-3</v>
      </c>
      <c r="C389">
        <f ca="1">'ETF variations'!C389/'ETF price'!D390</f>
        <v>-4.1207560691569811E-3</v>
      </c>
      <c r="D389">
        <f ca="1">'ETF variations'!D389/'ETF price'!E390</f>
        <v>9.0100770598696527E-3</v>
      </c>
      <c r="E389">
        <f ca="1">'ETF variations'!E389/'ETF price'!F390</f>
        <v>2.5625862408831571E-3</v>
      </c>
      <c r="F389">
        <f ca="1">'ETF variations'!F389/'ETF price'!G390</f>
        <v>-6.5224854102299253E-3</v>
      </c>
      <c r="G389">
        <f ca="1">'ETF variations'!G389/'ETF price'!H390</f>
        <v>4.5045045045045418E-3</v>
      </c>
      <c r="H389">
        <f ca="1">'ETF variations'!H389/'ETF price'!I390</f>
        <v>1.0083036773428334E-2</v>
      </c>
      <c r="I389">
        <f ca="1">'ETF variations'!I389/'ETF price'!J390</f>
        <v>9.8256352434260771E-3</v>
      </c>
      <c r="J389">
        <f ca="1">'ETF variations'!J389/'ETF price'!K390</f>
        <v>9.2891140795333029E-3</v>
      </c>
      <c r="K389">
        <f ca="1">'ETF variations'!K389/'ETF price'!L390</f>
        <v>7.589232775999058E-3</v>
      </c>
      <c r="L389">
        <f ca="1">'ETF variations'!L389/'ETF price'!M390</f>
        <v>1.2958280657395594E-2</v>
      </c>
      <c r="M389">
        <f ca="1">'ETF variations'!M389/'ETF price'!N390</f>
        <v>9.0525987201500319E-3</v>
      </c>
      <c r="N389">
        <f ca="1">'ETF variations'!N389/'ETF price'!O390</f>
        <v>2.0408163265306121E-2</v>
      </c>
      <c r="O389">
        <f ca="1">'ETF variations'!O389/'ETF price'!P390</f>
        <v>8.8559119195786851E-3</v>
      </c>
      <c r="P389">
        <f ca="1">'ETF variations'!P389/'ETF price'!Q390</f>
        <v>7.9732510288065203E-3</v>
      </c>
      <c r="Q389">
        <f ca="1">'ETF variations'!Q389/'ETF price'!R390</f>
        <v>1.1941724385007304E-4</v>
      </c>
      <c r="R389">
        <f ca="1">'ETF variations'!R389/'ETF price'!S390</f>
        <v>-7.6863950807071211E-3</v>
      </c>
      <c r="S389">
        <f ca="1">'ETF variations'!S389/'ETF price'!T390</f>
        <v>5.4257095158597246E-3</v>
      </c>
      <c r="T389">
        <f ca="1">'ETF variations'!T389/'ETF price'!U390</f>
        <v>1.3813372520205699E-2</v>
      </c>
      <c r="U389">
        <f ca="1">'ETF variations'!U389/'ETF price'!V390</f>
        <v>-4.059350503919262E-3</v>
      </c>
      <c r="V389">
        <f ca="1">'ETF variations'!V389/'ETF price'!W390</f>
        <v>-3.39174674957616E-3</v>
      </c>
      <c r="W389">
        <f ca="1">'ETF variations'!W389/'ETF price'!X390</f>
        <v>-4.9941927990707624E-3</v>
      </c>
      <c r="X389">
        <f ca="1">'ETF variations'!X389/'ETF price'!Y390</f>
        <v>-1.2024539877300662E-2</v>
      </c>
      <c r="Y389">
        <f ca="1">'ETF variations'!Y389/'ETF price'!Z390</f>
        <v>-3.1549722362443212E-3</v>
      </c>
      <c r="Z389">
        <f ca="1">'ETF variations'!Z389/'ETF price'!AA390</f>
        <v>4.4236273744470908E-3</v>
      </c>
      <c r="AA389">
        <f ca="1">'ETF variations'!AA389/'ETF price'!AB390</f>
        <v>-1.2561209282520679E-2</v>
      </c>
      <c r="AB389">
        <f ca="1">'ETF variations'!AB389/'ETF price'!AC390</f>
        <v>7.3109843081313073E-3</v>
      </c>
      <c r="AC389">
        <f ca="1">'ETF variations'!AC389/'ETF price'!AD390</f>
        <v>2.6666666666666098E-3</v>
      </c>
      <c r="AD389">
        <f ca="1">'ETF variations'!AD389/'ETF price'!AE390</f>
        <v>4.4080604534004093E-3</v>
      </c>
      <c r="AE389">
        <f ca="1">'ETF variations'!AE389/'ETF price'!AF390</f>
        <v>-3.9900249376558533E-2</v>
      </c>
      <c r="AF389">
        <f ca="1">'ETF variations'!AF389/'ETF price'!AG390</f>
        <v>-1.2032435260266644E-2</v>
      </c>
    </row>
    <row r="390" spans="1:32" x14ac:dyDescent="0.2">
      <c r="A390">
        <f ca="1">'ETF variations'!A390/'ETF price'!B391</f>
        <v>1.7600635893942104E-3</v>
      </c>
      <c r="B390">
        <f ca="1">'ETF variations'!B390/'ETF price'!C391</f>
        <v>1.1386470194240852E-3</v>
      </c>
      <c r="C390">
        <f ca="1">'ETF variations'!C390/'ETF price'!D391</f>
        <v>-7.1961860214084998E-4</v>
      </c>
      <c r="D390">
        <f ca="1">'ETF variations'!D390/'ETF price'!E391</f>
        <v>0</v>
      </c>
      <c r="E390">
        <f ca="1">'ETF variations'!E390/'ETF price'!F391</f>
        <v>-2.9492725127801532E-3</v>
      </c>
      <c r="F390">
        <f ca="1">'ETF variations'!F390/'ETF price'!G391</f>
        <v>-7.6019350380097583E-3</v>
      </c>
      <c r="G390">
        <f ca="1">'ETF variations'!G390/'ETF price'!H391</f>
        <v>-5.9790732436472392E-3</v>
      </c>
      <c r="H390">
        <f ca="1">'ETF variations'!H390/'ETF price'!I391</f>
        <v>-2.2019964768057202E-3</v>
      </c>
      <c r="I390">
        <f ca="1">'ETF variations'!I390/'ETF price'!J391</f>
        <v>-3.2300514415600041E-3</v>
      </c>
      <c r="J390">
        <f ca="1">'ETF variations'!J390/'ETF price'!K391</f>
        <v>-1.5592910930250333E-2</v>
      </c>
      <c r="K390">
        <f ca="1">'ETF variations'!K390/'ETF price'!L391</f>
        <v>-1.8241732376132719E-2</v>
      </c>
      <c r="L390">
        <f ca="1">'ETF variations'!L390/'ETF price'!M391</f>
        <v>-1.0452418096723785E-2</v>
      </c>
      <c r="M390">
        <f ca="1">'ETF variations'!M390/'ETF price'!N391</f>
        <v>-3.557617942768816E-3</v>
      </c>
      <c r="N390">
        <f ca="1">'ETF variations'!N390/'ETF price'!O391</f>
        <v>-2.1200000000000045E-2</v>
      </c>
      <c r="O390">
        <f ca="1">'ETF variations'!O390/'ETF price'!P391</f>
        <v>1.6132858837485164E-2</v>
      </c>
      <c r="P390">
        <f ca="1">'ETF variations'!P390/'ETF price'!Q391</f>
        <v>1.6075529471804038E-2</v>
      </c>
      <c r="Q390">
        <f ca="1">'ETF variations'!Q390/'ETF price'!R391</f>
        <v>3.1044776119403595E-3</v>
      </c>
      <c r="R390">
        <f ca="1">'ETF variations'!R390/'ETF price'!S391</f>
        <v>1.1812548412083644E-2</v>
      </c>
      <c r="S390">
        <f ca="1">'ETF variations'!S390/'ETF price'!T391</f>
        <v>1.7849730178497291E-2</v>
      </c>
      <c r="T390">
        <f ca="1">'ETF variations'!T390/'ETF price'!U391</f>
        <v>2.4641252355413871E-2</v>
      </c>
      <c r="U390">
        <f ca="1">'ETF variations'!U390/'ETF price'!V391</f>
        <v>-3.2326071679550802E-3</v>
      </c>
      <c r="V390">
        <f ca="1">'ETF variations'!V390/'ETF price'!W391</f>
        <v>9.6426545660806412E-3</v>
      </c>
      <c r="W390">
        <f ca="1">'ETF variations'!W390/'ETF price'!X391</f>
        <v>1.0155246877553455E-2</v>
      </c>
      <c r="X390">
        <f ca="1">'ETF variations'!X390/'ETF price'!Y391</f>
        <v>2.0119225037257882E-2</v>
      </c>
      <c r="Y390">
        <f ca="1">'ETF variations'!Y390/'ETF price'!Z391</f>
        <v>8.9884795543740733E-3</v>
      </c>
      <c r="Z390">
        <f ca="1">'ETF variations'!Z390/'ETF price'!AA391</f>
        <v>9.5854922279792077E-3</v>
      </c>
      <c r="AA390">
        <f ca="1">'ETF variations'!AA390/'ETF price'!AB391</f>
        <v>2.5226390685640244E-2</v>
      </c>
      <c r="AB390">
        <f ca="1">'ETF variations'!AB390/'ETF price'!AC391</f>
        <v>-1.5577978403257258E-2</v>
      </c>
      <c r="AC390">
        <f ca="1">'ETF variations'!AC390/'ETF price'!AD391</f>
        <v>-2.5709219858155954E-2</v>
      </c>
      <c r="AD390">
        <f ca="1">'ETF variations'!AD390/'ETF price'!AE391</f>
        <v>-2.6959247648902805E-2</v>
      </c>
      <c r="AE390">
        <f ca="1">'ETF variations'!AE390/'ETF price'!AF391</f>
        <v>-5.1948051948051991E-3</v>
      </c>
      <c r="AF390">
        <f ca="1">'ETF variations'!AF390/'ETF price'!AG391</f>
        <v>-1.7738946253640499E-2</v>
      </c>
    </row>
    <row r="391" spans="1:32" x14ac:dyDescent="0.2">
      <c r="A391">
        <f ca="1">'ETF variations'!A391/'ETF price'!B392</f>
        <v>1.1448651099523975E-2</v>
      </c>
      <c r="B391">
        <f ca="1">'ETF variations'!B391/'ETF price'!C392</f>
        <v>1.1373519769853405E-2</v>
      </c>
      <c r="C391">
        <f ca="1">'ETF variations'!C391/'ETF price'!D392</f>
        <v>1.9533711405166996E-2</v>
      </c>
      <c r="D391">
        <f ca="1">'ETF variations'!D391/'ETF price'!E392</f>
        <v>1.6801785924098304E-2</v>
      </c>
      <c r="E391">
        <f ca="1">'ETF variations'!E391/'ETF price'!F392</f>
        <v>1.0845986984815563E-2</v>
      </c>
      <c r="F391">
        <f ca="1">'ETF variations'!F391/'ETF price'!G392</f>
        <v>1.1838440111420608E-2</v>
      </c>
      <c r="G391">
        <f ca="1">'ETF variations'!G391/'ETF price'!H392</f>
        <v>3.3834586466165357E-3</v>
      </c>
      <c r="H391">
        <f ca="1">'ETF variations'!H391/'ETF price'!I392</f>
        <v>-4.4137119317347561E-4</v>
      </c>
      <c r="I391">
        <f ca="1">'ETF variations'!I391/'ETF price'!J392</f>
        <v>-9.2014722355584166E-4</v>
      </c>
      <c r="J391">
        <f ca="1">'ETF variations'!J391/'ETF price'!K392</f>
        <v>-2.3953021171377984E-3</v>
      </c>
      <c r="K391">
        <f ca="1">'ETF variations'!K391/'ETF price'!L392</f>
        <v>-3.1167585710861318E-3</v>
      </c>
      <c r="L391">
        <f ca="1">'ETF variations'!L391/'ETF price'!M392</f>
        <v>-3.7836985653476587E-3</v>
      </c>
      <c r="M391">
        <f ca="1">'ETF variations'!M391/'ETF price'!N392</f>
        <v>-7.7615647314494191E-4</v>
      </c>
      <c r="N391">
        <f ca="1">'ETF variations'!N391/'ETF price'!O392</f>
        <v>-1.2259910093991658E-3</v>
      </c>
      <c r="O391">
        <f ca="1">'ETF variations'!O391/'ETF price'!P392</f>
        <v>5.253327107167906E-3</v>
      </c>
      <c r="P391">
        <f ca="1">'ETF variations'!P391/'ETF price'!Q392</f>
        <v>5.9434120207601544E-3</v>
      </c>
      <c r="Q391">
        <f ca="1">'ETF variations'!Q391/'ETF price'!R392</f>
        <v>1.7974050708248909E-2</v>
      </c>
      <c r="R391">
        <f ca="1">'ETF variations'!R391/'ETF price'!S392</f>
        <v>1.9712918660287102E-2</v>
      </c>
      <c r="S391">
        <f ca="1">'ETF variations'!S391/'ETF price'!T392</f>
        <v>3.6704730831973844E-3</v>
      </c>
      <c r="T391">
        <f ca="1">'ETF variations'!T391/'ETF price'!U392</f>
        <v>6.6487480548875211E-3</v>
      </c>
      <c r="U391">
        <f ca="1">'ETF variations'!U391/'ETF price'!V392</f>
        <v>1.6920473773266293E-3</v>
      </c>
      <c r="V391">
        <f ca="1">'ETF variations'!V391/'ETF price'!W392</f>
        <v>-6.4606741573034823E-3</v>
      </c>
      <c r="W391">
        <f ca="1">'ETF variations'!W391/'ETF price'!X392</f>
        <v>-6.8176565749942615E-3</v>
      </c>
      <c r="X391">
        <f ca="1">'ETF variations'!X391/'ETF price'!Y392</f>
        <v>-1.2417823228633992E-2</v>
      </c>
      <c r="Y391">
        <f ca="1">'ETF variations'!Y391/'ETF price'!Z392</f>
        <v>-6.1480552070264623E-3</v>
      </c>
      <c r="Z391">
        <f ca="1">'ETF variations'!Z391/'ETF price'!AA392</f>
        <v>-7.4416217603284363E-3</v>
      </c>
      <c r="AA391">
        <f ca="1">'ETF variations'!AA391/'ETF price'!AB392</f>
        <v>-1.8927444794952654E-2</v>
      </c>
      <c r="AB391">
        <f ca="1">'ETF variations'!AB391/'ETF price'!AC392</f>
        <v>5.2148894083797722E-3</v>
      </c>
      <c r="AC391">
        <f ca="1">'ETF variations'!AC391/'ETF price'!AD392</f>
        <v>2.7297543221109517E-3</v>
      </c>
      <c r="AD391">
        <f ca="1">'ETF variations'!AD391/'ETF price'!AE392</f>
        <v>3.2216494845361283E-3</v>
      </c>
      <c r="AE391">
        <f ca="1">'ETF variations'!AE391/'ETF price'!AF392</f>
        <v>-2.3498694516971241E-2</v>
      </c>
      <c r="AF391">
        <f ca="1">'ETF variations'!AF391/'ETF price'!AG392</f>
        <v>4.3126684636117674E-3</v>
      </c>
    </row>
    <row r="392" spans="1:32" x14ac:dyDescent="0.2">
      <c r="A392">
        <f ca="1">'ETF variations'!A392/'ETF price'!B393</f>
        <v>-1.3448391796481036E-2</v>
      </c>
      <c r="B392">
        <f ca="1">'ETF variations'!B392/'ETF price'!C393</f>
        <v>-1.151022028180188E-2</v>
      </c>
      <c r="C392">
        <f ca="1">'ETF variations'!C392/'ETF price'!D393</f>
        <v>3.6199894049090287E-3</v>
      </c>
      <c r="D392">
        <f ca="1">'ETF variations'!D392/'ETF price'!E393</f>
        <v>-1.3808643401895162E-2</v>
      </c>
      <c r="E392">
        <f ca="1">'ETF variations'!E392/'ETF price'!F393</f>
        <v>6.0476004682013711E-3</v>
      </c>
      <c r="F392">
        <f ca="1">'ETF variations'!F392/'ETF price'!G393</f>
        <v>6.5381968341363143E-3</v>
      </c>
      <c r="G392">
        <f ca="1">'ETF variations'!G392/'ETF price'!H393</f>
        <v>3.7467216185829938E-4</v>
      </c>
      <c r="H392">
        <f ca="1">'ETF variations'!H392/'ETF price'!I393</f>
        <v>-6.6234913158671929E-4</v>
      </c>
      <c r="I392">
        <f ca="1">'ETF variations'!I392/'ETF price'!J393</f>
        <v>-2.0021623353214652E-4</v>
      </c>
      <c r="J392">
        <f ca="1">'ETF variations'!J392/'ETF price'!K393</f>
        <v>-2.0912400278832793E-3</v>
      </c>
      <c r="K392">
        <f ca="1">'ETF variations'!K392/'ETF price'!L393</f>
        <v>-1.322751322751316E-3</v>
      </c>
      <c r="L392">
        <f ca="1">'ETF variations'!L392/'ETF price'!M393</f>
        <v>-7.9126444057599557E-4</v>
      </c>
      <c r="M392">
        <f ca="1">'ETF variations'!M392/'ETF price'!N393</f>
        <v>1.5535187198991617E-4</v>
      </c>
      <c r="N392">
        <f ca="1">'ETF variations'!N392/'ETF price'!O393</f>
        <v>2.4549918166938919E-3</v>
      </c>
      <c r="O392">
        <f ca="1">'ETF variations'!O392/'ETF price'!P393</f>
        <v>3.4839159214958932E-4</v>
      </c>
      <c r="P392">
        <f ca="1">'ETF variations'!P392/'ETF price'!Q393</f>
        <v>-1.6643088957307166E-4</v>
      </c>
      <c r="Q392">
        <f ca="1">'ETF variations'!Q392/'ETF price'!R393</f>
        <v>-3.3910196445275029E-3</v>
      </c>
      <c r="R392">
        <f ca="1">'ETF variations'!R392/'ETF price'!S393</f>
        <v>-1.3138138138138191E-3</v>
      </c>
      <c r="S392">
        <f ca="1">'ETF variations'!S392/'ETF price'!T393</f>
        <v>-4.8760666395774484E-3</v>
      </c>
      <c r="T392">
        <f ca="1">'ETF variations'!T392/'ETF price'!U393</f>
        <v>-7.0264193367060145E-3</v>
      </c>
      <c r="U392">
        <f ca="1">'ETF variations'!U392/'ETF price'!V393</f>
        <v>-1.4358108108108251E-2</v>
      </c>
      <c r="V392">
        <f ca="1">'ETF variations'!V392/'ETF price'!W393</f>
        <v>5.9372349448685571E-3</v>
      </c>
      <c r="W392">
        <f ca="1">'ETF variations'!W392/'ETF price'!X393</f>
        <v>8.8423502036066425E-3</v>
      </c>
      <c r="X392">
        <f ca="1">'ETF variations'!X392/'ETF price'!Y393</f>
        <v>3.7228796844181407E-2</v>
      </c>
      <c r="Y392">
        <f ca="1">'ETF variations'!Y392/'ETF price'!Z393</f>
        <v>9.720994823886003E-3</v>
      </c>
      <c r="Z392">
        <f ca="1">'ETF variations'!Z392/'ETF price'!AA393</f>
        <v>3.6194415718717832E-3</v>
      </c>
      <c r="AA392">
        <f ca="1">'ETF variations'!AA392/'ETF price'!AB393</f>
        <v>4.7374062165058968E-2</v>
      </c>
      <c r="AB392">
        <f ca="1">'ETF variations'!AB392/'ETF price'!AC393</f>
        <v>4.1144901610018604E-3</v>
      </c>
      <c r="AC392">
        <f ca="1">'ETF variations'!AC392/'ETF price'!AD393</f>
        <v>6.3520871143375943E-3</v>
      </c>
      <c r="AD392">
        <f ca="1">'ETF variations'!AD392/'ETF price'!AE393</f>
        <v>6.4226075786769201E-3</v>
      </c>
      <c r="AE392">
        <f ca="1">'ETF variations'!AE392/'ETF price'!AF393</f>
        <v>1.3368983957219202E-2</v>
      </c>
      <c r="AF392">
        <f ca="1">'ETF variations'!AF392/'ETF price'!AG393</f>
        <v>3.3548040794417609E-2</v>
      </c>
    </row>
    <row r="393" spans="1:32" x14ac:dyDescent="0.2">
      <c r="A393">
        <f ca="1">'ETF variations'!A393/'ETF price'!B394</f>
        <v>-2.8967397478131939E-3</v>
      </c>
      <c r="B393">
        <f ca="1">'ETF variations'!B393/'ETF price'!C394</f>
        <v>-4.5952396885944411E-3</v>
      </c>
      <c r="C393">
        <f ca="1">'ETF variations'!C393/'ETF price'!D394</f>
        <v>-7.0379167766339659E-4</v>
      </c>
      <c r="D393">
        <f ca="1">'ETF variations'!D393/'ETF price'!E394</f>
        <v>1.8806022614095776E-2</v>
      </c>
      <c r="E393">
        <f ca="1">'ETF variations'!E393/'ETF price'!F394</f>
        <v>-9.1138258677525476E-3</v>
      </c>
      <c r="F393">
        <f ca="1">'ETF variations'!F393/'ETF price'!G394</f>
        <v>-9.5726495726496108E-3</v>
      </c>
      <c r="G393">
        <f ca="1">'ETF variations'!G393/'ETF price'!H394</f>
        <v>-7.8651685393258744E-3</v>
      </c>
      <c r="H393">
        <f ca="1">'ETF variations'!H393/'ETF price'!I394</f>
        <v>-7.3643125414242583E-3</v>
      </c>
      <c r="I393">
        <f ca="1">'ETF variations'!I393/'ETF price'!J394</f>
        <v>-7.2092278115988917E-3</v>
      </c>
      <c r="J393">
        <f ca="1">'ETF variations'!J393/'ETF price'!K394</f>
        <v>-7.2182552002484227E-3</v>
      </c>
      <c r="K393">
        <f ca="1">'ETF variations'!K393/'ETF price'!L394</f>
        <v>-1.5412402167369069E-2</v>
      </c>
      <c r="L393">
        <f ca="1">'ETF variations'!L393/'ETF price'!M394</f>
        <v>-8.3940449794108508E-3</v>
      </c>
      <c r="M393">
        <f ca="1">'ETF variations'!M393/'ETF price'!N394</f>
        <v>-7.1450761105932552E-3</v>
      </c>
      <c r="N393">
        <f ca="1">'ETF variations'!N393/'ETF price'!O394</f>
        <v>-1.7142857142857213E-2</v>
      </c>
      <c r="O393">
        <f ca="1">'ETF variations'!O393/'ETF price'!P394</f>
        <v>-6.3849547248664637E-3</v>
      </c>
      <c r="P393">
        <f ca="1">'ETF variations'!P393/'ETF price'!Q394</f>
        <v>-7.1577195172700739E-3</v>
      </c>
      <c r="Q393">
        <f ca="1">'ETF variations'!Q393/'ETF price'!R394</f>
        <v>-6.4531268332746351E-3</v>
      </c>
      <c r="R393">
        <f ca="1">'ETF variations'!R393/'ETF price'!S394</f>
        <v>-1.860552527720357E-2</v>
      </c>
      <c r="S393">
        <f ca="1">'ETF variations'!S393/'ETF price'!T394</f>
        <v>-2.4499795835034189E-3</v>
      </c>
      <c r="T393">
        <f ca="1">'ETF variations'!T393/'ETF price'!U394</f>
        <v>1.0897254457967877E-2</v>
      </c>
      <c r="U393">
        <f ca="1">'ETF variations'!U393/'ETF price'!V394</f>
        <v>-2.6992287917737799E-2</v>
      </c>
      <c r="V393">
        <f ca="1">'ETF variations'!V393/'ETF price'!W394</f>
        <v>-1.2647554806070707E-2</v>
      </c>
      <c r="W393">
        <f ca="1">'ETF variations'!W393/'ETF price'!X394</f>
        <v>-1.372390727713064E-2</v>
      </c>
      <c r="X393">
        <f ca="1">'ETF variations'!X393/'ETF price'!Y394</f>
        <v>-1.4975041597337832E-2</v>
      </c>
      <c r="Y393">
        <f ca="1">'ETF variations'!Y393/'ETF price'!Z394</f>
        <v>-1.1877969492373129E-2</v>
      </c>
      <c r="Z393">
        <f ca="1">'ETF variations'!Z393/'ETF price'!AA394</f>
        <v>-2.1123132405976307E-2</v>
      </c>
      <c r="AA393">
        <f ca="1">'ETF variations'!AA393/'ETF price'!AB394</f>
        <v>-1.6987310683585721E-2</v>
      </c>
      <c r="AB393">
        <f ca="1">'ETF variations'!AB393/'ETF price'!AC394</f>
        <v>-2.3160520220916188E-3</v>
      </c>
      <c r="AC393">
        <f ca="1">'ETF variations'!AC393/'ETF price'!AD394</f>
        <v>-9.9188458070333125E-3</v>
      </c>
      <c r="AD393">
        <f ca="1">'ETF variations'!AD393/'ETF price'!AE394</f>
        <v>-1.2763241863433267E-2</v>
      </c>
      <c r="AE393">
        <f ca="1">'ETF variations'!AE393/'ETF price'!AF394</f>
        <v>2.1108179419525086E-2</v>
      </c>
      <c r="AF393">
        <f ca="1">'ETF variations'!AF393/'ETF price'!AG394</f>
        <v>-5.2194235263567854E-2</v>
      </c>
    </row>
    <row r="394" spans="1:32" x14ac:dyDescent="0.2">
      <c r="A394">
        <f ca="1">'ETF variations'!A394/'ETF price'!B395</f>
        <v>1.3614354884648169E-2</v>
      </c>
      <c r="B394">
        <f ca="1">'ETF variations'!B394/'ETF price'!C395</f>
        <v>1.4207919682674796E-2</v>
      </c>
      <c r="C394">
        <f ca="1">'ETF variations'!C394/'ETF price'!D395</f>
        <v>-2.7731314376265564E-2</v>
      </c>
      <c r="D394">
        <f ca="1">'ETF variations'!D394/'ETF price'!E395</f>
        <v>2.1851638872915372E-2</v>
      </c>
      <c r="E394">
        <f ca="1">'ETF variations'!E394/'ETF price'!F395</f>
        <v>1.1545988258316953E-2</v>
      </c>
      <c r="F394">
        <f ca="1">'ETF variations'!F394/'ETF price'!G395</f>
        <v>3.4518467380048818E-3</v>
      </c>
      <c r="G394">
        <f ca="1">'ETF variations'!G394/'ETF price'!H395</f>
        <v>1.0192525481313821E-2</v>
      </c>
      <c r="H394">
        <f ca="1">'ETF variations'!H394/'ETF price'!I395</f>
        <v>2.9675791972698694E-3</v>
      </c>
      <c r="I394">
        <f ca="1">'ETF variations'!I394/'ETF price'!J395</f>
        <v>4.0342101016620944E-3</v>
      </c>
      <c r="J394">
        <f ca="1">'ETF variations'!J394/'ETF price'!K395</f>
        <v>1.5245094206864335E-2</v>
      </c>
      <c r="K394">
        <f ca="1">'ETF variations'!K394/'ETF price'!L395</f>
        <v>2.4948024948025026E-2</v>
      </c>
      <c r="L394">
        <f ca="1">'ETF variations'!L394/'ETF price'!M395</f>
        <v>1.5971889474524836E-2</v>
      </c>
      <c r="M394">
        <f ca="1">'ETF variations'!M394/'ETF price'!N395</f>
        <v>4.6933667083854371E-3</v>
      </c>
      <c r="N394">
        <f ca="1">'ETF variations'!N394/'ETF price'!O395</f>
        <v>2.2632890365448577E-2</v>
      </c>
      <c r="O394">
        <f ca="1">'ETF variations'!O394/'ETF price'!P395</f>
        <v>3.0377380535108176E-3</v>
      </c>
      <c r="P394">
        <f ca="1">'ETF variations'!P394/'ETF price'!Q395</f>
        <v>4.8621007628468294E-3</v>
      </c>
      <c r="Q394">
        <f ca="1">'ETF variations'!Q394/'ETF price'!R395</f>
        <v>6.9674067076049735E-3</v>
      </c>
      <c r="R394">
        <f ca="1">'ETF variations'!R394/'ETF price'!S395</f>
        <v>8.6173879739563936E-3</v>
      </c>
      <c r="S394">
        <f ca="1">'ETF variations'!S394/'ETF price'!T395</f>
        <v>6.1399918133441906E-3</v>
      </c>
      <c r="T394">
        <f ca="1">'ETF variations'!T394/'ETF price'!U395</f>
        <v>9.2398152036958781E-3</v>
      </c>
      <c r="U394">
        <f ca="1">'ETF variations'!U394/'ETF price'!V395</f>
        <v>1.9081168354617595E-3</v>
      </c>
      <c r="V394">
        <f ca="1">'ETF variations'!V394/'ETF price'!W395</f>
        <v>1.9925989183034523E-3</v>
      </c>
      <c r="W394">
        <f ca="1">'ETF variations'!W394/'ETF price'!X395</f>
        <v>2.9232927970065485E-3</v>
      </c>
      <c r="X394">
        <f ca="1">'ETF variations'!X394/'ETF price'!Y395</f>
        <v>1.2065637065637066E-2</v>
      </c>
      <c r="Y394">
        <f ca="1">'ETF variations'!Y394/'ETF price'!Z395</f>
        <v>1.7714791851195821E-3</v>
      </c>
      <c r="Z394">
        <f ca="1">'ETF variations'!Z394/'ETF price'!AA395</f>
        <v>-2.8947368421052481E-3</v>
      </c>
      <c r="AA394">
        <f ca="1">'ETF variations'!AA394/'ETF price'!AB395</f>
        <v>1.4366021236726999E-2</v>
      </c>
      <c r="AB394">
        <f ca="1">'ETF variations'!AB394/'ETF price'!AC395</f>
        <v>-1.303571428571423E-2</v>
      </c>
      <c r="AC394">
        <f ca="1">'ETF variations'!AC394/'ETF price'!AD395</f>
        <v>8.1967213114753964E-3</v>
      </c>
      <c r="AD394">
        <f ca="1">'ETF variations'!AD394/'ETF price'!AE395</f>
        <v>8.4033613445377506E-3</v>
      </c>
      <c r="AE394">
        <f ca="1">'ETF variations'!AE394/'ETF price'!AF395</f>
        <v>-2.8423772609819202E-2</v>
      </c>
      <c r="AF394">
        <f ca="1">'ETF variations'!AF394/'ETF price'!AG395</f>
        <v>2.6849315068493064E-2</v>
      </c>
    </row>
    <row r="395" spans="1:32" x14ac:dyDescent="0.2">
      <c r="A395">
        <f ca="1">'ETF variations'!A395/'ETF price'!B396</f>
        <v>2.3041474654377689E-3</v>
      </c>
      <c r="B395">
        <f ca="1">'ETF variations'!B395/'ETF price'!C396</f>
        <v>4.9495105729500614E-3</v>
      </c>
      <c r="C395">
        <f ca="1">'ETF variations'!C395/'ETF price'!D396</f>
        <v>-4.5273451647953643E-3</v>
      </c>
      <c r="D395">
        <f ca="1">'ETF variations'!D395/'ETF price'!E396</f>
        <v>4.1080472706810254E-3</v>
      </c>
      <c r="E395">
        <f ca="1">'ETF variations'!E395/'ETF price'!F396</f>
        <v>1.2961888179531858E-2</v>
      </c>
      <c r="F395">
        <f ca="1">'ETF variations'!F395/'ETF price'!G396</f>
        <v>2.4079807361541204E-3</v>
      </c>
      <c r="G395">
        <f ca="1">'ETF variations'!G395/'ETF price'!H396</f>
        <v>6.3527653213751173E-3</v>
      </c>
      <c r="H395">
        <f ca="1">'ETF variations'!H395/'ETF price'!I396</f>
        <v>-7.6928766920629638E-3</v>
      </c>
      <c r="I395">
        <f ca="1">'ETF variations'!I395/'ETF price'!J396</f>
        <v>-6.1877209900353261E-3</v>
      </c>
      <c r="J395">
        <f ca="1">'ETF variations'!J395/'ETF price'!K396</f>
        <v>-4.2353303557678369E-3</v>
      </c>
      <c r="K395">
        <f ca="1">'ETF variations'!K395/'ETF price'!L396</f>
        <v>5.7272401861353534E-3</v>
      </c>
      <c r="L395">
        <f ca="1">'ETF variations'!L395/'ETF price'!M396</f>
        <v>-2.5153277786511019E-3</v>
      </c>
      <c r="M395">
        <f ca="1">'ETF variations'!M395/'ETF price'!N396</f>
        <v>-7.1628776082217514E-3</v>
      </c>
      <c r="N395">
        <f ca="1">'ETF variations'!N395/'ETF price'!O396</f>
        <v>-3.4517766497462275E-3</v>
      </c>
      <c r="O395">
        <f ca="1">'ETF variations'!O395/'ETF price'!P396</f>
        <v>1.8986604542807334E-2</v>
      </c>
      <c r="P395">
        <f ca="1">'ETF variations'!P395/'ETF price'!Q396</f>
        <v>1.985484274630846E-2</v>
      </c>
      <c r="Q395">
        <f ca="1">'ETF variations'!Q395/'ETF price'!R396</f>
        <v>5.2773542863844593E-3</v>
      </c>
      <c r="R395">
        <f ca="1">'ETF variations'!R395/'ETF price'!S396</f>
        <v>2.3163090943611141E-2</v>
      </c>
      <c r="S395">
        <f ca="1">'ETF variations'!S395/'ETF price'!T396</f>
        <v>4.0683482506103106E-3</v>
      </c>
      <c r="T395">
        <f ca="1">'ETF variations'!T395/'ETF price'!U396</f>
        <v>1.4981273408239676E-2</v>
      </c>
      <c r="U395">
        <f ca="1">'ETF variations'!U395/'ETF price'!V396</f>
        <v>4.1019630823322757E-3</v>
      </c>
      <c r="V395">
        <f ca="1">'ETF variations'!V395/'ETF price'!W396</f>
        <v>3.6931818181816889E-3</v>
      </c>
      <c r="W395">
        <f ca="1">'ETF variations'!W395/'ETF price'!X396</f>
        <v>4.1972717733473174E-3</v>
      </c>
      <c r="X395">
        <f ca="1">'ETF variations'!X395/'ETF price'!Y396</f>
        <v>4.7687172150698921E-4</v>
      </c>
      <c r="Y395">
        <f ca="1">'ETF variations'!Y395/'ETF price'!Z396</f>
        <v>3.0314513073133116E-3</v>
      </c>
      <c r="Z395">
        <f ca="1">'ETF variations'!Z395/'ETF price'!AA396</f>
        <v>7.9176563737133054E-3</v>
      </c>
      <c r="AA395">
        <f ca="1">'ETF variations'!AA395/'ETF price'!AB396</f>
        <v>-6.1576354679805287E-4</v>
      </c>
      <c r="AB395">
        <f ca="1">'ETF variations'!AB395/'ETF price'!AC396</f>
        <v>3.2567396417586339E-3</v>
      </c>
      <c r="AC395">
        <f ca="1">'ETF variations'!AC395/'ETF price'!AD396</f>
        <v>-7.2267389340560139E-3</v>
      </c>
      <c r="AD395">
        <f ca="1">'ETF variations'!AD395/'ETF price'!AE396</f>
        <v>-7.6923076923076424E-3</v>
      </c>
      <c r="AE395">
        <f ca="1">'ETF variations'!AE395/'ETF price'!AF396</f>
        <v>2.1276595744680871E-2</v>
      </c>
      <c r="AF395">
        <f ca="1">'ETF variations'!AF395/'ETF price'!AG396</f>
        <v>2.5080042689434496E-2</v>
      </c>
    </row>
    <row r="396" spans="1:32" x14ac:dyDescent="0.2">
      <c r="A396">
        <f ca="1">'ETF variations'!A396/'ETF price'!B397</f>
        <v>1.682085786375169E-3</v>
      </c>
      <c r="B396">
        <f ca="1">'ETF variations'!B396/'ETF price'!C397</f>
        <v>5.2769288274226401E-4</v>
      </c>
      <c r="C396">
        <f ca="1">'ETF variations'!C396/'ETF price'!D397</f>
        <v>-1.064216845552121E-2</v>
      </c>
      <c r="D396">
        <f ca="1">'ETF variations'!D396/'ETF price'!E397</f>
        <v>6.7253264585554308E-4</v>
      </c>
      <c r="E396">
        <f ca="1">'ETF variations'!E396/'ETF price'!F397</f>
        <v>6.8754774637127467E-3</v>
      </c>
      <c r="F396">
        <f ca="1">'ETF variations'!F396/'ETF price'!G397</f>
        <v>-1.4070006863417986E-2</v>
      </c>
      <c r="G396">
        <f ca="1">'ETF variations'!G396/'ETF price'!H397</f>
        <v>-1.002599331600444E-2</v>
      </c>
      <c r="H396">
        <f ca="1">'ETF variations'!H396/'ETF price'!I397</f>
        <v>-5.2180395080135451E-3</v>
      </c>
      <c r="I396">
        <f ca="1">'ETF variations'!I396/'ETF price'!J397</f>
        <v>-5.7006549688687494E-3</v>
      </c>
      <c r="J396">
        <f ca="1">'ETF variations'!J396/'ETF price'!K397</f>
        <v>-9.7440259840692201E-3</v>
      </c>
      <c r="K396">
        <f ca="1">'ETF variations'!K396/'ETF price'!L397</f>
        <v>-1.1745165500059426E-2</v>
      </c>
      <c r="L396">
        <f ca="1">'ETF variations'!L396/'ETF price'!M397</f>
        <v>-1.9385342789598171E-2</v>
      </c>
      <c r="M396">
        <f ca="1">'ETF variations'!M396/'ETF price'!N397</f>
        <v>-5.3324968632370816E-3</v>
      </c>
      <c r="N396">
        <f ca="1">'ETF variations'!N396/'ETF price'!O397</f>
        <v>-1.7114914425427799E-2</v>
      </c>
      <c r="O396">
        <f ca="1">'ETF variations'!O396/'ETF price'!P397</f>
        <v>-4.686785550983205E-3</v>
      </c>
      <c r="P396">
        <f ca="1">'ETF variations'!P396/'ETF price'!Q397</f>
        <v>-4.8261758691206819E-3</v>
      </c>
      <c r="Q396">
        <f ca="1">'ETF variations'!Q396/'ETF price'!R397</f>
        <v>-4.4330377974801148E-3</v>
      </c>
      <c r="R396">
        <f ca="1">'ETF variations'!R396/'ETF price'!S397</f>
        <v>-1.1133791055854545E-2</v>
      </c>
      <c r="S396">
        <f ca="1">'ETF variations'!S396/'ETF price'!T397</f>
        <v>-5.2674230145866698E-3</v>
      </c>
      <c r="T396">
        <f ca="1">'ETF variations'!T396/'ETF price'!U397</f>
        <v>-2.8700287002871114E-3</v>
      </c>
      <c r="U396">
        <f ca="1">'ETF variations'!U396/'ETF price'!V397</f>
        <v>-2.159323023052238E-2</v>
      </c>
      <c r="V396">
        <f ca="1">'ETF variations'!V396/'ETF price'!W397</f>
        <v>0</v>
      </c>
      <c r="W396">
        <f ca="1">'ETF variations'!W396/'ETF price'!X397</f>
        <v>-1.1610356437941987E-3</v>
      </c>
      <c r="X396">
        <f ca="1">'ETF variations'!X396/'ETF price'!Y397</f>
        <v>-1.0009532888465246E-2</v>
      </c>
      <c r="Y396">
        <f ca="1">'ETF variations'!Y396/'ETF price'!Z397</f>
        <v>-3.5260042815766419E-3</v>
      </c>
      <c r="Z396">
        <f ca="1">'ETF variations'!Z396/'ETF price'!AA397</f>
        <v>-1.8329405603561217E-3</v>
      </c>
      <c r="AA396">
        <f ca="1">'ETF variations'!AA396/'ETF price'!AB397</f>
        <v>-1.0679811049496736E-2</v>
      </c>
      <c r="AB396">
        <f ca="1">'ETF variations'!AB396/'ETF price'!AC397</f>
        <v>-5.4102795311093124E-4</v>
      </c>
      <c r="AC396">
        <f ca="1">'ETF variations'!AC396/'ETF price'!AD397</f>
        <v>4.5495905368515867E-3</v>
      </c>
      <c r="AD396">
        <f ca="1">'ETF variations'!AD396/'ETF price'!AE397</f>
        <v>-2.0671834625323016E-2</v>
      </c>
      <c r="AE396">
        <f ca="1">'ETF variations'!AE396/'ETF price'!AF397</f>
        <v>1.5625000000000014E-2</v>
      </c>
      <c r="AF396">
        <f ca="1">'ETF variations'!AF396/'ETF price'!AG397</f>
        <v>-3.6699635606455068E-2</v>
      </c>
    </row>
    <row r="397" spans="1:32" x14ac:dyDescent="0.2">
      <c r="A397">
        <f ca="1">'ETF variations'!A397/'ETF price'!B398</f>
        <v>-2.474111390987974E-2</v>
      </c>
      <c r="B397">
        <f ca="1">'ETF variations'!B397/'ETF price'!C398</f>
        <v>-2.6612460169212204E-2</v>
      </c>
      <c r="C397">
        <f ca="1">'ETF variations'!C397/'ETF price'!D398</f>
        <v>5.883975360853182E-3</v>
      </c>
      <c r="D397">
        <f ca="1">'ETF variations'!D397/'ETF price'!E398</f>
        <v>-3.8308597031643812E-2</v>
      </c>
      <c r="E397">
        <f ca="1">'ETF variations'!E397/'ETF price'!F398</f>
        <v>-2.522761760242789E-2</v>
      </c>
      <c r="F397">
        <f ca="1">'ETF variations'!F397/'ETF price'!G398</f>
        <v>-3.5502958579881644E-2</v>
      </c>
      <c r="G397">
        <f ca="1">'ETF variations'!G397/'ETF price'!H398</f>
        <v>-1.6879219804951211E-2</v>
      </c>
      <c r="H397">
        <f ca="1">'ETF variations'!H397/'ETF price'!I398</f>
        <v>6.744098913450987E-4</v>
      </c>
      <c r="I397">
        <f ca="1">'ETF variations'!I397/'ETF price'!J398</f>
        <v>-1.3418452405156447E-3</v>
      </c>
      <c r="J397">
        <f ca="1">'ETF variations'!J397/'ETF price'!K398</f>
        <v>-5.3885201093323851E-3</v>
      </c>
      <c r="K397">
        <f ca="1">'ETF variations'!K397/'ETF price'!L398</f>
        <v>-1.488595438175264E-2</v>
      </c>
      <c r="L397">
        <f ca="1">'ETF variations'!L397/'ETF price'!M398</f>
        <v>-2.7322404371584973E-3</v>
      </c>
      <c r="M397">
        <f ca="1">'ETF variations'!M397/'ETF price'!N398</f>
        <v>-1.2614317250078571E-3</v>
      </c>
      <c r="N397">
        <f ca="1">'ETF variations'!N397/'ETF price'!O398</f>
        <v>-1.8242122719734712E-2</v>
      </c>
      <c r="O397">
        <f ca="1">'ETF variations'!O397/'ETF price'!P398</f>
        <v>-1.309291374755928E-2</v>
      </c>
      <c r="P397">
        <f ca="1">'ETF variations'!P397/'ETF price'!Q398</f>
        <v>-1.2822620417557145E-2</v>
      </c>
      <c r="Q397">
        <f ca="1">'ETF variations'!Q397/'ETF price'!R398</f>
        <v>-1.2420904616826836E-2</v>
      </c>
      <c r="R397">
        <f ca="1">'ETF variations'!R397/'ETF price'!S398</f>
        <v>-2.8898480015012183E-2</v>
      </c>
      <c r="S397">
        <f ca="1">'ETF variations'!S397/'ETF price'!T398</f>
        <v>-1.5071283095723054E-2</v>
      </c>
      <c r="T397">
        <f ca="1">'ETF variations'!T397/'ETF price'!U398</f>
        <v>-2.0285087719298107E-2</v>
      </c>
      <c r="U397">
        <f ca="1">'ETF variations'!U397/'ETF price'!V398</f>
        <v>-5.4876230241574703E-2</v>
      </c>
      <c r="V397">
        <f ca="1">'ETF variations'!V397/'ETF price'!W398</f>
        <v>-8.4913671101046473E-3</v>
      </c>
      <c r="W397">
        <f ca="1">'ETF variations'!W397/'ETF price'!X398</f>
        <v>-8.8341276298966077E-3</v>
      </c>
      <c r="X397">
        <f ca="1">'ETF variations'!X397/'ETF price'!Y398</f>
        <v>-5.2961001444390672E-3</v>
      </c>
      <c r="Y397">
        <f ca="1">'ETF variations'!Y397/'ETF price'!Z398</f>
        <v>-7.4560849235433997E-3</v>
      </c>
      <c r="Z397">
        <f ca="1">'ETF variations'!Z397/'ETF price'!AA398</f>
        <v>-4.197271773347235E-3</v>
      </c>
      <c r="AA397">
        <f ca="1">'ETF variations'!AA397/'ETF price'!AB398</f>
        <v>-4.5671579821465408E-3</v>
      </c>
      <c r="AB397">
        <f ca="1">'ETF variations'!AB397/'ETF price'!AC398</f>
        <v>9.3828942619992063E-3</v>
      </c>
      <c r="AC397">
        <f ca="1">'ETF variations'!AC397/'ETF price'!AD398</f>
        <v>-6.3405797101447926E-3</v>
      </c>
      <c r="AD397">
        <f ca="1">'ETF variations'!AD397/'ETF price'!AE398</f>
        <v>-5.2770448548812715E-3</v>
      </c>
      <c r="AE397">
        <f ca="1">'ETF variations'!AE397/'ETF price'!AF398</f>
        <v>-7.6923076923076424E-3</v>
      </c>
      <c r="AF397">
        <f ca="1">'ETF variations'!AF397/'ETF price'!AG398</f>
        <v>-2.9451499594704035E-2</v>
      </c>
    </row>
    <row r="398" spans="1:32" x14ac:dyDescent="0.2">
      <c r="A398">
        <f ca="1">'ETF variations'!A398/'ETF price'!B399</f>
        <v>-4.0750731791309161E-3</v>
      </c>
      <c r="B398">
        <f ca="1">'ETF variations'!B398/'ETF price'!C399</f>
        <v>-3.9508737074998874E-3</v>
      </c>
      <c r="C398">
        <f ca="1">'ETF variations'!C398/'ETF price'!D399</f>
        <v>-9.7797276300154758E-3</v>
      </c>
      <c r="D398">
        <f ca="1">'ETF variations'!D398/'ETF price'!E399</f>
        <v>-2.5624599615630874E-3</v>
      </c>
      <c r="E398">
        <f ca="1">'ETF variations'!E398/'ETF price'!F399</f>
        <v>6.8106635532204987E-3</v>
      </c>
      <c r="F398">
        <f ca="1">'ETF variations'!F398/'ETF price'!G399</f>
        <v>-5.4132082280765837E-3</v>
      </c>
      <c r="G398">
        <f ca="1">'ETF variations'!G398/'ETF price'!H399</f>
        <v>-2.2892025944296936E-3</v>
      </c>
      <c r="H398">
        <f ca="1">'ETF variations'!H398/'ETF price'!I399</f>
        <v>-5.0172233038788946E-3</v>
      </c>
      <c r="I398">
        <f ca="1">'ETF variations'!I398/'ETF price'!J399</f>
        <v>-6.1482084690553376E-3</v>
      </c>
      <c r="J398">
        <f ca="1">'ETF variations'!J398/'ETF price'!K399</f>
        <v>-3.6903266331658204E-3</v>
      </c>
      <c r="K398">
        <f ca="1">'ETF variations'!K398/'ETF price'!L399</f>
        <v>-9.6271021203997841E-3</v>
      </c>
      <c r="L398">
        <f ca="1">'ETF variations'!L398/'ETF price'!M399</f>
        <v>-1.2731668009669609E-2</v>
      </c>
      <c r="M398">
        <f ca="1">'ETF variations'!M398/'ETF price'!N399</f>
        <v>-5.6836122513420672E-3</v>
      </c>
      <c r="N398">
        <f ca="1">'ETF variations'!N398/'ETF price'!O399</f>
        <v>-1.2668918918918949E-2</v>
      </c>
      <c r="O398">
        <f ca="1">'ETF variations'!O398/'ETF price'!P399</f>
        <v>1.0124519958105321E-2</v>
      </c>
      <c r="P398">
        <f ca="1">'ETF variations'!P398/'ETF price'!Q399</f>
        <v>1.1074104912572961E-2</v>
      </c>
      <c r="Q398">
        <f ca="1">'ETF variations'!Q398/'ETF price'!R399</f>
        <v>-6.169909824394827E-3</v>
      </c>
      <c r="R398">
        <f ca="1">'ETF variations'!R398/'ETF price'!S399</f>
        <v>-2.3188405797100954E-3</v>
      </c>
      <c r="S398">
        <f ca="1">'ETF variations'!S398/'ETF price'!T399</f>
        <v>9.5119933829611418E-3</v>
      </c>
      <c r="T398">
        <f ca="1">'ETF variations'!T398/'ETF price'!U399</f>
        <v>2.322327923894791E-2</v>
      </c>
      <c r="U398">
        <f ca="1">'ETF variations'!U398/'ETF price'!V399</f>
        <v>3.9444619753865569E-3</v>
      </c>
      <c r="V398">
        <f ca="1">'ETF variations'!V398/'ETF price'!W399</f>
        <v>5.7093919497562149E-4</v>
      </c>
      <c r="W398">
        <f ca="1">'ETF variations'!W398/'ETF price'!X399</f>
        <v>1.290019936671742E-3</v>
      </c>
      <c r="X398">
        <f ca="1">'ETF variations'!X398/'ETF price'!Y399</f>
        <v>1.0890609874153022E-2</v>
      </c>
      <c r="Y398">
        <f ca="1">'ETF variations'!Y398/'ETF price'!Z399</f>
        <v>3.1830914183855357E-3</v>
      </c>
      <c r="Z398">
        <f ca="1">'ETF variations'!Z398/'ETF price'!AA399</f>
        <v>-1.3698630136986384E-2</v>
      </c>
      <c r="AA398">
        <f ca="1">'ETF variations'!AA398/'ETF price'!AB399</f>
        <v>8.7591240875911271E-3</v>
      </c>
      <c r="AB398">
        <f ca="1">'ETF variations'!AB398/'ETF price'!AC399</f>
        <v>-9.8319628173042049E-3</v>
      </c>
      <c r="AC398">
        <f ca="1">'ETF variations'!AC398/'ETF price'!AD399</f>
        <v>5.4694621695532105E-3</v>
      </c>
      <c r="AD398">
        <f ca="1">'ETF variations'!AD398/'ETF price'!AE399</f>
        <v>5.3050397877984134E-3</v>
      </c>
      <c r="AE398">
        <f ca="1">'ETF variations'!AE398/'ETF price'!AF399</f>
        <v>-2.583979328165377E-2</v>
      </c>
      <c r="AF398">
        <f ca="1">'ETF variations'!AF398/'ETF price'!AG399</f>
        <v>-1.8930957683741638E-2</v>
      </c>
    </row>
    <row r="399" spans="1:32" x14ac:dyDescent="0.2">
      <c r="A399">
        <f ca="1">'ETF variations'!A399/'ETF price'!B400</f>
        <v>-1.3600737667127787E-2</v>
      </c>
      <c r="B399">
        <f ca="1">'ETF variations'!B399/'ETF price'!C400</f>
        <v>-1.3055599628278045E-2</v>
      </c>
      <c r="C399">
        <f ca="1">'ETF variations'!C399/'ETF price'!D400</f>
        <v>-1.4768321949418576E-2</v>
      </c>
      <c r="D399">
        <f ca="1">'ETF variations'!D399/'ETF price'!E400</f>
        <v>-1.5764582238571275E-3</v>
      </c>
      <c r="E399">
        <f ca="1">'ETF variations'!E399/'ETF price'!F400</f>
        <v>-1.8940858136838112E-2</v>
      </c>
      <c r="F399">
        <f ca="1">'ETF variations'!F399/'ETF price'!G400</f>
        <v>-1.0885341074019443E-3</v>
      </c>
      <c r="G399">
        <f ca="1">'ETF variations'!G399/'ETF price'!H400</f>
        <v>-3.0592734225620764E-3</v>
      </c>
      <c r="H399">
        <f ca="1">'ETF variations'!H399/'ETF price'!I400</f>
        <v>-3.5372920900127859E-3</v>
      </c>
      <c r="I399">
        <f ca="1">'ETF variations'!I399/'ETF price'!J400</f>
        <v>-2.2532672374944132E-3</v>
      </c>
      <c r="J399">
        <f ca="1">'ETF variations'!J399/'ETF price'!K400</f>
        <v>3.6251871699897057E-3</v>
      </c>
      <c r="K399">
        <f ca="1">'ETF variations'!K399/'ETF price'!L400</f>
        <v>-6.1523317337267328E-4</v>
      </c>
      <c r="L399">
        <f ca="1">'ETF variations'!L399/'ETF price'!M400</f>
        <v>2.4485798237022295E-3</v>
      </c>
      <c r="M399">
        <f ca="1">'ETF variations'!M399/'ETF price'!N400</f>
        <v>-3.3343918704349597E-3</v>
      </c>
      <c r="N399">
        <f ca="1">'ETF variations'!N399/'ETF price'!O400</f>
        <v>-1.7108639863130518E-3</v>
      </c>
      <c r="O399">
        <f ca="1">'ETF variations'!O399/'ETF price'!P400</f>
        <v>1.3824884792627253E-3</v>
      </c>
      <c r="P399">
        <f ca="1">'ETF variations'!P399/'ETF price'!Q400</f>
        <v>1.3176315572757686E-3</v>
      </c>
      <c r="Q399">
        <f ca="1">'ETF variations'!Q399/'ETF price'!R400</f>
        <v>-2.2683858643745454E-3</v>
      </c>
      <c r="R399">
        <f ca="1">'ETF variations'!R399/'ETF price'!S400</f>
        <v>7.7474336625990982E-4</v>
      </c>
      <c r="S399">
        <f ca="1">'ETF variations'!S399/'ETF price'!T400</f>
        <v>1.6386726751331073E-3</v>
      </c>
      <c r="T399">
        <f ca="1">'ETF variations'!T399/'ETF price'!U400</f>
        <v>8.8870659010118359E-3</v>
      </c>
      <c r="U399">
        <f ca="1">'ETF variations'!U399/'ETF price'!V400</f>
        <v>-1.4301430143014359E-2</v>
      </c>
      <c r="V399">
        <f ca="1">'ETF variations'!V399/'ETF price'!W400</f>
        <v>-3.9942938659058656E-3</v>
      </c>
      <c r="W399">
        <f ca="1">'ETF variations'!W399/'ETF price'!X400</f>
        <v>-3.3965799953149692E-3</v>
      </c>
      <c r="X399">
        <f ca="1">'ETF variations'!X399/'ETF price'!Y400</f>
        <v>2.8728752693319951E-3</v>
      </c>
      <c r="Y399">
        <f ca="1">'ETF variations'!Y399/'ETF price'!Z400</f>
        <v>-3.1729914963827895E-3</v>
      </c>
      <c r="Z399">
        <f ca="1">'ETF variations'!Z399/'ETF price'!AA400</f>
        <v>-9.8824786324785644E-3</v>
      </c>
      <c r="AA399">
        <f ca="1">'ETF variations'!AA399/'ETF price'!AB400</f>
        <v>3.928054579284781E-3</v>
      </c>
      <c r="AB399">
        <f ca="1">'ETF variations'!AB399/'ETF price'!AC400</f>
        <v>-9.0269001624842023E-3</v>
      </c>
      <c r="AC399">
        <f ca="1">'ETF variations'!AC399/'ETF price'!AD400</f>
        <v>-1.1786038077969085E-2</v>
      </c>
      <c r="AD399">
        <f ca="1">'ETF variations'!AD399/'ETF price'!AE400</f>
        <v>-1.0554089709762543E-2</v>
      </c>
      <c r="AE399">
        <f ca="1">'ETF variations'!AE399/'ETF price'!AF400</f>
        <v>-7.9575596816975607E-3</v>
      </c>
      <c r="AF399">
        <f ca="1">'ETF variations'!AF399/'ETF price'!AG400</f>
        <v>-4.001135073779806E-2</v>
      </c>
    </row>
    <row r="400" spans="1:32" x14ac:dyDescent="0.2">
      <c r="A400">
        <f ca="1">'ETF variations'!A400/'ETF price'!B401</f>
        <v>2.8043935498947756E-3</v>
      </c>
      <c r="B400">
        <f ca="1">'ETF variations'!B400/'ETF price'!C401</f>
        <v>1.6765036860115707E-3</v>
      </c>
      <c r="C400">
        <f ca="1">'ETF variations'!C400/'ETF price'!D401</f>
        <v>1.4052838673412563E-3</v>
      </c>
      <c r="D400">
        <f ca="1">'ETF variations'!D400/'ETF price'!E401</f>
        <v>1.052631578947375E-2</v>
      </c>
      <c r="E400">
        <f ca="1">'ETF variations'!E400/'ETF price'!F401</f>
        <v>5.9101654846336537E-3</v>
      </c>
      <c r="F400">
        <f ca="1">'ETF variations'!F400/'ETF price'!G401</f>
        <v>2.9059208136577659E-3</v>
      </c>
      <c r="G400">
        <f ca="1">'ETF variations'!G400/'ETF price'!H401</f>
        <v>4.6029919447641348E-3</v>
      </c>
      <c r="H400">
        <f ca="1">'ETF variations'!H400/'ETF price'!I401</f>
        <v>1.1555891238670703E-2</v>
      </c>
      <c r="I400">
        <f ca="1">'ETF variations'!I400/'ETF price'!J401</f>
        <v>8.3353863841668773E-3</v>
      </c>
      <c r="J400">
        <f ca="1">'ETF variations'!J400/'ETF price'!K401</f>
        <v>-6.2819002748331146E-3</v>
      </c>
      <c r="K400">
        <f ca="1">'ETF variations'!K400/'ETF price'!L401</f>
        <v>-3.1149963063284918E-2</v>
      </c>
      <c r="L400">
        <f ca="1">'ETF variations'!L400/'ETF price'!M401</f>
        <v>-4.8851978505128997E-3</v>
      </c>
      <c r="M400">
        <f ca="1">'ETF variations'!M400/'ETF price'!N401</f>
        <v>8.2842122032817586E-3</v>
      </c>
      <c r="N400">
        <f ca="1">'ETF variations'!N400/'ETF price'!O401</f>
        <v>-2.9991431019708626E-2</v>
      </c>
      <c r="O400">
        <f ca="1">'ETF variations'!O400/'ETF price'!P401</f>
        <v>1.1504832029451716E-3</v>
      </c>
      <c r="P400">
        <f ca="1">'ETF variations'!P400/'ETF price'!Q401</f>
        <v>1.8093593223126809E-3</v>
      </c>
      <c r="Q400">
        <f ca="1">'ETF variations'!Q400/'ETF price'!R401</f>
        <v>6.5813090822066699E-3</v>
      </c>
      <c r="R400">
        <f ca="1">'ETF variations'!R400/'ETF price'!S401</f>
        <v>1.5482872072769167E-3</v>
      </c>
      <c r="S400">
        <f ca="1">'ETF variations'!S400/'ETF price'!T401</f>
        <v>4.0899795501028887E-4</v>
      </c>
      <c r="T400">
        <f ca="1">'ETF variations'!T400/'ETF price'!U401</f>
        <v>4.0655915435678172E-4</v>
      </c>
      <c r="U400">
        <f ca="1">'ETF variations'!U400/'ETF price'!V401</f>
        <v>-8.1313775510203773E-3</v>
      </c>
      <c r="V400">
        <f ca="1">'ETF variations'!V400/'ETF price'!W401</f>
        <v>1.4036092810083129E-2</v>
      </c>
      <c r="W400">
        <f ca="1">'ETF variations'!W400/'ETF price'!X401</f>
        <v>1.186978493359961E-2</v>
      </c>
      <c r="X400">
        <f ca="1">'ETF variations'!X400/'ETF price'!Y401</f>
        <v>1.0503700167104266E-2</v>
      </c>
      <c r="Y400">
        <f ca="1">'ETF variations'!Y400/'ETF price'!Z401</f>
        <v>1.3114336643748241E-2</v>
      </c>
      <c r="Z400">
        <f ca="1">'ETF variations'!Z400/'ETF price'!AA401</f>
        <v>1.2678715942810868E-2</v>
      </c>
      <c r="AA400">
        <f ca="1">'ETF variations'!AA400/'ETF price'!AB401</f>
        <v>9.884678747940627E-3</v>
      </c>
      <c r="AB400">
        <f ca="1">'ETF variations'!AB400/'ETF price'!AC401</f>
        <v>7.2873018764800773E-4</v>
      </c>
      <c r="AC400">
        <f ca="1">'ETF variations'!AC400/'ETF price'!AD401</f>
        <v>6.4220183486238787E-3</v>
      </c>
      <c r="AD400">
        <f ca="1">'ETF variations'!AD400/'ETF price'!AE401</f>
        <v>5.9999999999999906E-3</v>
      </c>
      <c r="AE400">
        <f ca="1">'ETF variations'!AE400/'ETF price'!AF401</f>
        <v>-3.4759358288770144E-2</v>
      </c>
      <c r="AF400">
        <f ca="1">'ETF variations'!AF400/'ETF price'!AG401</f>
        <v>-3.0150753768844105E-2</v>
      </c>
    </row>
    <row r="401" spans="1:32" x14ac:dyDescent="0.2">
      <c r="A401">
        <f ca="1">'ETF variations'!A401/'ETF price'!B402</f>
        <v>-7.6905150314611585E-3</v>
      </c>
      <c r="B401">
        <f ca="1">'ETF variations'!B401/'ETF price'!C402</f>
        <v>-9.3085106382978771E-3</v>
      </c>
      <c r="C401">
        <f ca="1">'ETF variations'!C401/'ETF price'!D402</f>
        <v>-7.6714379268407462E-3</v>
      </c>
      <c r="D401">
        <f ca="1">'ETF variations'!D401/'ETF price'!E402</f>
        <v>-1.591435185185185E-2</v>
      </c>
      <c r="E401">
        <f ca="1">'ETF variations'!E401/'ETF price'!F402</f>
        <v>-1.6647081864473195E-2</v>
      </c>
      <c r="F401">
        <f ca="1">'ETF variations'!F401/'ETF price'!G402</f>
        <v>-1.7747193045997769E-2</v>
      </c>
      <c r="G401">
        <f ca="1">'ETF variations'!G401/'ETF price'!H402</f>
        <v>-7.6365024818634145E-3</v>
      </c>
      <c r="H401">
        <f ca="1">'ETF variations'!H401/'ETF price'!I402</f>
        <v>7.6905846337639149E-3</v>
      </c>
      <c r="I401">
        <f ca="1">'ETF variations'!I401/'ETF price'!J402</f>
        <v>7.044834466750899E-3</v>
      </c>
      <c r="J401">
        <f ca="1">'ETF variations'!J401/'ETF price'!K402</f>
        <v>6.1635717107862593E-3</v>
      </c>
      <c r="K401">
        <f ca="1">'ETF variations'!K401/'ETF price'!L402</f>
        <v>8.1331808361926623E-3</v>
      </c>
      <c r="L401">
        <f ca="1">'ETF variations'!L401/'ETF price'!M402</f>
        <v>1.3418425789559815E-2</v>
      </c>
      <c r="M401">
        <f ca="1">'ETF variations'!M401/'ETF price'!N402</f>
        <v>6.7941222942012915E-3</v>
      </c>
      <c r="N401">
        <f ca="1">'ETF variations'!N401/'ETF price'!O402</f>
        <v>2.6501766784451731E-3</v>
      </c>
      <c r="O401">
        <f ca="1">'ETF variations'!O401/'ETF price'!P402</f>
        <v>4.9413927832682924E-3</v>
      </c>
      <c r="P401">
        <f ca="1">'ETF variations'!P401/'ETF price'!Q402</f>
        <v>5.7466546260569974E-3</v>
      </c>
      <c r="Q401">
        <f ca="1">'ETF variations'!Q401/'ETF price'!R402</f>
        <v>-1.0580123632905379E-2</v>
      </c>
      <c r="R401">
        <f ca="1">'ETF variations'!R401/'ETF price'!S402</f>
        <v>-3.8647342995175126E-4</v>
      </c>
      <c r="S401">
        <f ca="1">'ETF variations'!S401/'ETF price'!T402</f>
        <v>-1.2264922322159091E-3</v>
      </c>
      <c r="T401">
        <f ca="1">'ETF variations'!T401/'ETF price'!U402</f>
        <v>3.2511514494718112E-3</v>
      </c>
      <c r="U401">
        <f ca="1">'ETF variations'!U401/'ETF price'!V402</f>
        <v>-2.7326796334994647E-3</v>
      </c>
      <c r="V401">
        <f ca="1">'ETF variations'!V401/'ETF price'!W402</f>
        <v>-9.039548022598879E-3</v>
      </c>
      <c r="W401">
        <f ca="1">'ETF variations'!W401/'ETF price'!X402</f>
        <v>-1.045296167247377E-2</v>
      </c>
      <c r="X401">
        <f ca="1">'ETF variations'!X401/'ETF price'!Y402</f>
        <v>-1.3229388140798375E-2</v>
      </c>
      <c r="Y401">
        <f ca="1">'ETF variations'!Y401/'ETF price'!Z402</f>
        <v>-8.9229609149176041E-3</v>
      </c>
      <c r="Z401">
        <f ca="1">'ETF variations'!Z401/'ETF price'!AA402</f>
        <v>-5.0612679808203975E-3</v>
      </c>
      <c r="AA401">
        <f ca="1">'ETF variations'!AA401/'ETF price'!AB402</f>
        <v>-1.2846655791190917E-2</v>
      </c>
      <c r="AB401">
        <f ca="1">'ETF variations'!AB401/'ETF price'!AC402</f>
        <v>1.0922992900055028E-3</v>
      </c>
      <c r="AC401">
        <f ca="1">'ETF variations'!AC401/'ETF price'!AD402</f>
        <v>2.9170464904284273E-2</v>
      </c>
      <c r="AD401">
        <f ca="1">'ETF variations'!AD401/'ETF price'!AE402</f>
        <v>2.9158383035122564E-2</v>
      </c>
      <c r="AE401">
        <f ca="1">'ETF variations'!AE401/'ETF price'!AF402</f>
        <v>-3.3240997229916802E-2</v>
      </c>
      <c r="AF401">
        <f ca="1">'ETF variations'!AF401/'ETF price'!AG402</f>
        <v>4.663212435233164E-2</v>
      </c>
    </row>
    <row r="402" spans="1:32" x14ac:dyDescent="0.2">
      <c r="A402">
        <f ca="1">'ETF variations'!A402/'ETF price'!B403</f>
        <v>-1.2916862376702611E-2</v>
      </c>
      <c r="B402">
        <f ca="1">'ETF variations'!B402/'ETF price'!C403</f>
        <v>-1.4001388567461262E-2</v>
      </c>
      <c r="C402">
        <f ca="1">'ETF variations'!C402/'ETF price'!D403</f>
        <v>1.6121429244838389E-2</v>
      </c>
      <c r="D402">
        <f ca="1">'ETF variations'!D402/'ETF price'!E403</f>
        <v>-1.8347544839753038E-2</v>
      </c>
      <c r="E402">
        <f ca="1">'ETF variations'!E402/'ETF price'!F403</f>
        <v>4.3815972913761976E-3</v>
      </c>
      <c r="F402">
        <f ca="1">'ETF variations'!F402/'ETF price'!G403</f>
        <v>-2.2123893805309786E-2</v>
      </c>
      <c r="G402">
        <f ca="1">'ETF variations'!G402/'ETF price'!H403</f>
        <v>2.6933435936898919E-3</v>
      </c>
      <c r="H402">
        <f ca="1">'ETF variations'!H402/'ETF price'!I403</f>
        <v>-2.9638411381165131E-4</v>
      </c>
      <c r="I402">
        <f ca="1">'ETF variations'!I402/'ETF price'!J403</f>
        <v>-7.2786089769513469E-4</v>
      </c>
      <c r="J402">
        <f ca="1">'ETF variations'!J402/'ETF price'!K403</f>
        <v>3.2985156679494363E-3</v>
      </c>
      <c r="K402">
        <f ca="1">'ETF variations'!K402/'ETF price'!L403</f>
        <v>-8.8239001638715719E-4</v>
      </c>
      <c r="L402">
        <f ca="1">'ETF variations'!L402/'ETF price'!M403</f>
        <v>-4.0368157597287261E-3</v>
      </c>
      <c r="M402">
        <f ca="1">'ETF variations'!M402/'ETF price'!N403</f>
        <v>-1.569365976145325E-4</v>
      </c>
      <c r="N402">
        <f ca="1">'ETF variations'!N402/'ETF price'!O403</f>
        <v>0</v>
      </c>
      <c r="O402">
        <f ca="1">'ETF variations'!O402/'ETF price'!P403</f>
        <v>1.2578616352201193E-2</v>
      </c>
      <c r="P402">
        <f ca="1">'ETF variations'!P402/'ETF price'!Q403</f>
        <v>1.2733654395559449E-2</v>
      </c>
      <c r="Q402">
        <f ca="1">'ETF variations'!Q402/'ETF price'!R403</f>
        <v>-4.0850654811967245E-3</v>
      </c>
      <c r="R402">
        <f ca="1">'ETF variations'!R402/'ETF price'!S403</f>
        <v>-3.8662284941032326E-4</v>
      </c>
      <c r="S402">
        <f ca="1">'ETF variations'!S402/'ETF price'!T403</f>
        <v>6.9586573884568856E-3</v>
      </c>
      <c r="T402">
        <f ca="1">'ETF variations'!T402/'ETF price'!U403</f>
        <v>1.4042668106940211E-2</v>
      </c>
      <c r="U402">
        <f ca="1">'ETF variations'!U402/'ETF price'!V403</f>
        <v>2.1921341070277232E-2</v>
      </c>
      <c r="V402">
        <f ca="1">'ETF variations'!V402/'ETF price'!W403</f>
        <v>-7.4116305587228629E-3</v>
      </c>
      <c r="W402">
        <f ca="1">'ETF variations'!W402/'ETF price'!X403</f>
        <v>-7.5117370892018847E-3</v>
      </c>
      <c r="X402">
        <f ca="1">'ETF variations'!X402/'ETF price'!Y403</f>
        <v>-1.3885563801771734E-2</v>
      </c>
      <c r="Y402">
        <f ca="1">'ETF variations'!Y402/'ETF price'!Z403</f>
        <v>-9.5105249809789502E-3</v>
      </c>
      <c r="Z402">
        <f ca="1">'ETF variations'!Z402/'ETF price'!AA403</f>
        <v>2.4096385542167684E-3</v>
      </c>
      <c r="AA402">
        <f ca="1">'ETF variations'!AA402/'ETF price'!AB403</f>
        <v>-1.445982235075389E-2</v>
      </c>
      <c r="AB402">
        <f ca="1">'ETF variations'!AB402/'ETF price'!AC403</f>
        <v>-3.273322422258587E-3</v>
      </c>
      <c r="AC402">
        <f ca="1">'ETF variations'!AC402/'ETF price'!AD403</f>
        <v>-1.9486271036315225E-2</v>
      </c>
      <c r="AD402">
        <f ca="1">'ETF variations'!AD402/'ETF price'!AE403</f>
        <v>-2.0605280103026306E-2</v>
      </c>
      <c r="AE402">
        <f ca="1">'ETF variations'!AE402/'ETF price'!AF403</f>
        <v>3.1518624641833776E-2</v>
      </c>
      <c r="AF402">
        <f ca="1">'ETF variations'!AF402/'ETF price'!AG403</f>
        <v>-4.3389633080955205E-2</v>
      </c>
    </row>
    <row r="403" spans="1:32" x14ac:dyDescent="0.2">
      <c r="A403">
        <f ca="1">'ETF variations'!A403/'ETF price'!B404</f>
        <v>1.1896264572913282E-4</v>
      </c>
      <c r="B403">
        <f ca="1">'ETF variations'!B403/'ETF price'!C404</f>
        <v>9.3885694167345911E-4</v>
      </c>
      <c r="C403">
        <f ca="1">'ETF variations'!C403/'ETF price'!D404</f>
        <v>-1.0020411950269051E-2</v>
      </c>
      <c r="D403">
        <f ca="1">'ETF variations'!D403/'ETF price'!E404</f>
        <v>-4.013658419696974E-3</v>
      </c>
      <c r="E403">
        <f ca="1">'ETF variations'!E403/'ETF price'!F404</f>
        <v>7.1386079714455567E-3</v>
      </c>
      <c r="F403">
        <f ca="1">'ETF variations'!F403/'ETF price'!G404</f>
        <v>1.8853695324283829E-3</v>
      </c>
      <c r="G403">
        <f ca="1">'ETF variations'!G403/'ETF price'!H404</f>
        <v>3.8372985418271542E-4</v>
      </c>
      <c r="H403">
        <f ca="1">'ETF variations'!H403/'ETF price'!I404</f>
        <v>-6.6706196264434481E-4</v>
      </c>
      <c r="I403">
        <f ca="1">'ETF variations'!I403/'ETF price'!J404</f>
        <v>-7.2839106506962937E-4</v>
      </c>
      <c r="J403">
        <f ca="1">'ETF variations'!J403/'ETF price'!K404</f>
        <v>3.2876712328766145E-3</v>
      </c>
      <c r="K403">
        <f ca="1">'ETF variations'!K403/'ETF price'!L404</f>
        <v>8.5793590714104539E-3</v>
      </c>
      <c r="L403">
        <f ca="1">'ETF variations'!L403/'ETF price'!M404</f>
        <v>5.0259403372244207E-3</v>
      </c>
      <c r="M403">
        <f ca="1">'ETF variations'!M403/'ETF price'!N404</f>
        <v>-4.7088369172816098E-4</v>
      </c>
      <c r="N403">
        <f ca="1">'ETF variations'!N403/'ETF price'!O404</f>
        <v>-3.524229074889793E-3</v>
      </c>
      <c r="O403">
        <f ca="1">'ETF variations'!O403/'ETF price'!P404</f>
        <v>-1.1293054771305371E-4</v>
      </c>
      <c r="P403">
        <f ca="1">'ETF variations'!P403/'ETF price'!Q404</f>
        <v>-1.289594583702721E-3</v>
      </c>
      <c r="Q403">
        <f ca="1">'ETF variations'!Q403/'ETF price'!R404</f>
        <v>7.2385088671736366E-4</v>
      </c>
      <c r="R403">
        <f ca="1">'ETF variations'!R403/'ETF price'!S404</f>
        <v>-1.7791529684780538E-2</v>
      </c>
      <c r="S403">
        <f ca="1">'ETF variations'!S403/'ETF price'!T404</f>
        <v>-5.2845528455285591E-3</v>
      </c>
      <c r="T403">
        <f ca="1">'ETF variations'!T403/'ETF price'!U404</f>
        <v>-1.1984021304926651E-2</v>
      </c>
      <c r="U403">
        <f ca="1">'ETF variations'!U403/'ETF price'!V404</f>
        <v>-9.7791798107255117E-3</v>
      </c>
      <c r="V403">
        <f ca="1">'ETF variations'!V403/'ETF price'!W404</f>
        <v>8.615738081562647E-4</v>
      </c>
      <c r="W403">
        <f ca="1">'ETF variations'!W403/'ETF price'!X404</f>
        <v>1.182592242194824E-3</v>
      </c>
      <c r="X403">
        <f ca="1">'ETF variations'!X403/'ETF price'!Y404</f>
        <v>-4.8555474629754847E-4</v>
      </c>
      <c r="Y403">
        <f ca="1">'ETF variations'!Y403/'ETF price'!Z404</f>
        <v>-2.5604916143894533E-4</v>
      </c>
      <c r="Z403">
        <f ca="1">'ETF variations'!Z403/'ETF price'!AA404</f>
        <v>-3.2051282051281369E-3</v>
      </c>
      <c r="AA403">
        <f ca="1">'ETF variations'!AA403/'ETF price'!AB404</f>
        <v>-8.3839865856212841E-4</v>
      </c>
      <c r="AB403">
        <f ca="1">'ETF variations'!AB403/'ETF price'!AC404</f>
        <v>-2.0069330414158027E-2</v>
      </c>
      <c r="AC403">
        <f ca="1">'ETF variations'!AC403/'ETF price'!AD404</f>
        <v>0</v>
      </c>
      <c r="AD403">
        <f ca="1">'ETF variations'!AD403/'ETF price'!AE404</f>
        <v>6.5746219592372032E-4</v>
      </c>
      <c r="AE403">
        <f ca="1">'ETF variations'!AE403/'ETF price'!AF404</f>
        <v>-3.055555555555552E-2</v>
      </c>
      <c r="AF403">
        <f ca="1">'ETF variations'!AF403/'ETF price'!AG404</f>
        <v>-1.5829528158295376E-2</v>
      </c>
    </row>
    <row r="404" spans="1:32" x14ac:dyDescent="0.2">
      <c r="A404">
        <f ca="1">'ETF variations'!A404/'ETF price'!B405</f>
        <v>-7.3748067086950204E-3</v>
      </c>
      <c r="B404">
        <f ca="1">'ETF variations'!B404/'ETF price'!C405</f>
        <v>-6.5658342126861564E-3</v>
      </c>
      <c r="C404">
        <f ca="1">'ETF variations'!C404/'ETF price'!D405</f>
        <v>-1.0590440487347794E-2</v>
      </c>
      <c r="D404">
        <f ca="1">'ETF variations'!D404/'ETF price'!E405</f>
        <v>-2.4239143510164811E-2</v>
      </c>
      <c r="E404">
        <f ca="1">'ETF variations'!E404/'ETF price'!F405</f>
        <v>5.9066745422329473E-4</v>
      </c>
      <c r="F404">
        <f ca="1">'ETF variations'!F404/'ETF price'!G405</f>
        <v>-1.0538200978547277E-2</v>
      </c>
      <c r="G404">
        <f ca="1">'ETF variations'!G404/'ETF price'!H405</f>
        <v>-2.3014959723819993E-3</v>
      </c>
      <c r="H404">
        <f ca="1">'ETF variations'!H404/'ETF price'!I405</f>
        <v>6.2300674923976484E-3</v>
      </c>
      <c r="I404">
        <f ca="1">'ETF variations'!I404/'ETF price'!J405</f>
        <v>5.6693933749089077E-3</v>
      </c>
      <c r="J404">
        <f ca="1">'ETF variations'!J404/'ETF price'!K405</f>
        <v>3.1208551143013631E-3</v>
      </c>
      <c r="K404">
        <f ca="1">'ETF variations'!K404/'ETF price'!L405</f>
        <v>-8.7565674255683237E-4</v>
      </c>
      <c r="L404">
        <f ca="1">'ETF variations'!L404/'ETF price'!M405</f>
        <v>3.71027585094365E-3</v>
      </c>
      <c r="M404">
        <f ca="1">'ETF variations'!M404/'ETF price'!N405</f>
        <v>5.4962311557789165E-3</v>
      </c>
      <c r="N404">
        <f ca="1">'ETF variations'!N404/'ETF price'!O405</f>
        <v>-8.841732979663825E-4</v>
      </c>
      <c r="O404">
        <f ca="1">'ETF variations'!O404/'ETF price'!P405</f>
        <v>1.5360289134854295E-2</v>
      </c>
      <c r="P404">
        <f ca="1">'ETF variations'!P404/'ETF price'!Q405</f>
        <v>1.4284561375191754E-2</v>
      </c>
      <c r="Q404">
        <f ca="1">'ETF variations'!Q404/'ETF price'!R405</f>
        <v>-2.7727546714888967E-3</v>
      </c>
      <c r="R404">
        <f ca="1">'ETF variations'!R404/'ETF price'!S405</f>
        <v>2.9533372711163337E-3</v>
      </c>
      <c r="S404">
        <f ca="1">'ETF variations'!S404/'ETF price'!T405</f>
        <v>-1.6346546791989845E-3</v>
      </c>
      <c r="T404">
        <f ca="1">'ETF variations'!T404/'ETF price'!U405</f>
        <v>6.7385444743931476E-4</v>
      </c>
      <c r="U404">
        <f ca="1">'ETF variations'!U404/'ETF price'!V405</f>
        <v>-1.5291494106403326E-2</v>
      </c>
      <c r="V404">
        <f ca="1">'ETF variations'!V404/'ETF price'!W405</f>
        <v>2.0086083213773395E-3</v>
      </c>
      <c r="W404">
        <f ca="1">'ETF variations'!W404/'ETF price'!X405</f>
        <v>9.4495629577130051E-4</v>
      </c>
      <c r="X404">
        <f ca="1">'ETF variations'!X404/'ETF price'!Y405</f>
        <v>3.8863249939275341E-3</v>
      </c>
      <c r="Y404">
        <f ca="1">'ETF variations'!Y404/'ETF price'!Z405</f>
        <v>2.6892047637340727E-3</v>
      </c>
      <c r="Z404">
        <f ca="1">'ETF variations'!Z404/'ETF price'!AA405</f>
        <v>1.8756698821007578E-3</v>
      </c>
      <c r="AA404">
        <f ca="1">'ETF variations'!AA404/'ETF price'!AB405</f>
        <v>2.5173064820641377E-3</v>
      </c>
      <c r="AB404">
        <f ca="1">'ETF variations'!AB404/'ETF price'!AC405</f>
        <v>-5.957922174641599E-3</v>
      </c>
      <c r="AC404">
        <f ca="1">'ETF variations'!AC404/'ETF price'!AD405</f>
        <v>-1.8066847335139634E-3</v>
      </c>
      <c r="AD404">
        <f ca="1">'ETF variations'!AD404/'ETF price'!AE405</f>
        <v>-6.5703022339026187E-4</v>
      </c>
      <c r="AE404">
        <f ca="1">'ETF variations'!AE404/'ETF price'!AF405</f>
        <v>-1.1461318051575941E-2</v>
      </c>
      <c r="AF404">
        <f ca="1">'ETF variations'!AF404/'ETF price'!AG405</f>
        <v>6.1862047633777558E-3</v>
      </c>
    </row>
    <row r="405" spans="1:32" x14ac:dyDescent="0.2">
      <c r="A405">
        <f ca="1">'ETF variations'!A405/'ETF price'!B406</f>
        <v>1.5937687237866965E-2</v>
      </c>
      <c r="B405">
        <f ca="1">'ETF variations'!B405/'ETF price'!C406</f>
        <v>1.4752744010385933E-2</v>
      </c>
      <c r="C405">
        <f ca="1">'ETF variations'!C405/'ETF price'!D406</f>
        <v>-1.0514350667803348E-2</v>
      </c>
      <c r="D405">
        <f ca="1">'ETF variations'!D405/'ETF price'!E406</f>
        <v>2.8847931948468269E-2</v>
      </c>
      <c r="E405">
        <f ca="1">'ETF variations'!E405/'ETF price'!F406</f>
        <v>7.0838252656434363E-3</v>
      </c>
      <c r="F405">
        <f ca="1">'ETF variations'!F405/'ETF price'!G406</f>
        <v>1.1411182959300142E-2</v>
      </c>
      <c r="G405">
        <f ca="1">'ETF variations'!G405/'ETF price'!H406</f>
        <v>3.8446751249518593E-3</v>
      </c>
      <c r="H405">
        <f ca="1">'ETF variations'!H405/'ETF price'!I406</f>
        <v>3.0220387705463627E-3</v>
      </c>
      <c r="I405">
        <f ca="1">'ETF variations'!I405/'ETF price'!J406</f>
        <v>2.6173793992107825E-3</v>
      </c>
      <c r="J405">
        <f ca="1">'ETF variations'!J405/'ETF price'!K406</f>
        <v>-1.1666796297737083E-3</v>
      </c>
      <c r="K405">
        <f ca="1">'ETF variations'!K405/'ETF price'!L406</f>
        <v>2.0032552898459569E-3</v>
      </c>
      <c r="L405">
        <f ca="1">'ETF variations'!L405/'ETF price'!M406</f>
        <v>-5.3037608486017082E-3</v>
      </c>
      <c r="M405">
        <f ca="1">'ETF variations'!M405/'ETF price'!N406</f>
        <v>3.1235358425738377E-3</v>
      </c>
      <c r="N405">
        <f ca="1">'ETF variations'!N405/'ETF price'!O406</f>
        <v>1.769911504424741E-3</v>
      </c>
      <c r="O405">
        <f ca="1">'ETF variations'!O405/'ETF price'!P406</f>
        <v>-4.2269187986652907E-3</v>
      </c>
      <c r="P405">
        <f ca="1">'ETF variations'!P405/'ETF price'!Q406</f>
        <v>-4.6944621260343999E-3</v>
      </c>
      <c r="Q405">
        <f ca="1">'ETF variations'!Q405/'ETF price'!R406</f>
        <v>2.1760154738878967E-3</v>
      </c>
      <c r="R405">
        <f ca="1">'ETF variations'!R405/'ETF price'!S406</f>
        <v>2.1986650961916071E-2</v>
      </c>
      <c r="S405">
        <f ca="1">'ETF variations'!S405/'ETF price'!T406</f>
        <v>-4.9119934506754396E-3</v>
      </c>
      <c r="T405">
        <f ca="1">'ETF variations'!T405/'ETF price'!U406</f>
        <v>-5.9259259259258953E-3</v>
      </c>
      <c r="U405">
        <f ca="1">'ETF variations'!U405/'ETF price'!V406</f>
        <v>3.235198964736377E-3</v>
      </c>
      <c r="V405">
        <f ca="1">'ETF variations'!V405/'ETF price'!W406</f>
        <v>-2.004581901489126E-3</v>
      </c>
      <c r="W405">
        <f ca="1">'ETF variations'!W405/'ETF price'!X406</f>
        <v>-2.2421524663676865E-3</v>
      </c>
      <c r="X405">
        <f ca="1">'ETF variations'!X405/'ETF price'!Y406</f>
        <v>-1.5485119767723219E-2</v>
      </c>
      <c r="Y405">
        <f ca="1">'ETF variations'!Y405/'ETF price'!Z406</f>
        <v>-4.7254150702425333E-3</v>
      </c>
      <c r="Z405">
        <f ca="1">'ETF variations'!Z405/'ETF price'!AA406</f>
        <v>-5.3490238031559997E-3</v>
      </c>
      <c r="AA405">
        <f ca="1">'ETF variations'!AA405/'ETF price'!AB406</f>
        <v>-1.9460138104205896E-2</v>
      </c>
      <c r="AB405">
        <f ca="1">'ETF variations'!AB405/'ETF price'!AC406</f>
        <v>-4.3079228319910842E-3</v>
      </c>
      <c r="AC405">
        <f ca="1">'ETF variations'!AC405/'ETF price'!AD406</f>
        <v>-2.7149321266969353E-3</v>
      </c>
      <c r="AD405">
        <f ca="1">'ETF variations'!AD405/'ETF price'!AE406</f>
        <v>-3.2873109796187185E-3</v>
      </c>
      <c r="AE405">
        <f ca="1">'ETF variations'!AE405/'ETF price'!AF406</f>
        <v>8.6956521739129863E-3</v>
      </c>
      <c r="AF405">
        <f ca="1">'ETF variations'!AF405/'ETF price'!AG406</f>
        <v>-2.0288964033200126E-2</v>
      </c>
    </row>
    <row r="406" spans="1:32" x14ac:dyDescent="0.2">
      <c r="A406">
        <f ca="1">'ETF variations'!A406/'ETF price'!B407</f>
        <v>-9.8490209955179042E-3</v>
      </c>
      <c r="B406">
        <f ca="1">'ETF variations'!B406/'ETF price'!C407</f>
        <v>-9.8860200046522444E-3</v>
      </c>
      <c r="C406">
        <f ca="1">'ETF variations'!C406/'ETF price'!D407</f>
        <v>3.8292169251394077E-4</v>
      </c>
      <c r="D406">
        <f ca="1">'ETF variations'!D406/'ETF price'!E407</f>
        <v>-1.6715595230962749E-2</v>
      </c>
      <c r="E406">
        <f ca="1">'ETF variations'!E406/'ETF price'!F407</f>
        <v>-1.1918718249316129E-2</v>
      </c>
      <c r="F406">
        <f ca="1">'ETF variations'!F406/'ETF price'!G407</f>
        <v>-1.1282437006393408E-2</v>
      </c>
      <c r="G406">
        <f ca="1">'ETF variations'!G406/'ETF price'!H407</f>
        <v>-1.1489850631941812E-2</v>
      </c>
      <c r="H406">
        <f ca="1">'ETF variations'!H406/'ETF price'!I407</f>
        <v>-3.6743092298647849E-3</v>
      </c>
      <c r="I406">
        <f ca="1">'ETF variations'!I406/'ETF price'!J407</f>
        <v>-3.735089762641097E-3</v>
      </c>
      <c r="J406">
        <f ca="1">'ETF variations'!J406/'ETF price'!K407</f>
        <v>-3.1926491200747285E-3</v>
      </c>
      <c r="K406">
        <f ca="1">'ETF variations'!K406/'ETF price'!L407</f>
        <v>-2.6240159940023487E-3</v>
      </c>
      <c r="L406">
        <f ca="1">'ETF variations'!L406/'ETF price'!M407</f>
        <v>3.7162708030375967E-3</v>
      </c>
      <c r="M406">
        <f ca="1">'ETF variations'!M406/'ETF price'!N407</f>
        <v>-3.5808812081582434E-3</v>
      </c>
      <c r="N406">
        <f ca="1">'ETF variations'!N406/'ETF price'!O407</f>
        <v>-1.0600706713781006E-2</v>
      </c>
      <c r="O406">
        <f ca="1">'ETF variations'!O406/'ETF price'!P407</f>
        <v>-2.0777479892761387E-2</v>
      </c>
      <c r="P406">
        <f ca="1">'ETF variations'!P406/'ETF price'!Q407</f>
        <v>-2.0705092333519894E-2</v>
      </c>
      <c r="Q406">
        <f ca="1">'ETF variations'!Q406/'ETF price'!R407</f>
        <v>-1.6284680337756433E-2</v>
      </c>
      <c r="R406">
        <f ca="1">'ETF variations'!R406/'ETF price'!S407</f>
        <v>-2.3626584709950132E-2</v>
      </c>
      <c r="S406">
        <f ca="1">'ETF variations'!S406/'ETF price'!T407</f>
        <v>-1.1929247223364836E-2</v>
      </c>
      <c r="T406">
        <f ca="1">'ETF variations'!T406/'ETF price'!U407</f>
        <v>-1.6122476629183008E-2</v>
      </c>
      <c r="U406">
        <f ca="1">'ETF variations'!U406/'ETF price'!V407</f>
        <v>-3.9342147694292243E-2</v>
      </c>
      <c r="V406">
        <f ca="1">'ETF variations'!V406/'ETF price'!W407</f>
        <v>-1.8364418938307047E-2</v>
      </c>
      <c r="W406">
        <f ca="1">'ETF variations'!W406/'ETF price'!X407</f>
        <v>-1.9278533412182088E-2</v>
      </c>
      <c r="X406">
        <f ca="1">'ETF variations'!X406/'ETF price'!Y407</f>
        <v>-3.0965839272548489E-2</v>
      </c>
      <c r="Y406">
        <f ca="1">'ETF variations'!Y406/'ETF price'!Z407</f>
        <v>-1.8991402540741741E-2</v>
      </c>
      <c r="Z406">
        <f ca="1">'ETF variations'!Z406/'ETF price'!AA407</f>
        <v>-1.0217800484000955E-2</v>
      </c>
      <c r="AA406">
        <f ca="1">'ETF variations'!AA406/'ETF price'!AB407</f>
        <v>-3.3290653008962917E-2</v>
      </c>
      <c r="AB406">
        <f ca="1">'ETF variations'!AB406/'ETF price'!AC407</f>
        <v>1.8811136192635659E-4</v>
      </c>
      <c r="AC406">
        <f ca="1">'ETF variations'!AC406/'ETF price'!AD407</f>
        <v>-5.4446460980035142E-3</v>
      </c>
      <c r="AD406">
        <f ca="1">'ETF variations'!AD406/'ETF price'!AE407</f>
        <v>-5.9366754617414157E-3</v>
      </c>
      <c r="AE406">
        <f ca="1">'ETF variations'!AE406/'ETF price'!AF407</f>
        <v>-8.6206896551723582E-3</v>
      </c>
      <c r="AF406">
        <f ca="1">'ETF variations'!AF406/'ETF price'!AG407</f>
        <v>-5.271415123941009E-2</v>
      </c>
    </row>
    <row r="407" spans="1:32" x14ac:dyDescent="0.2">
      <c r="A407">
        <f ca="1">'ETF variations'!A407/'ETF price'!B408</f>
        <v>-9.5300494371314218E-3</v>
      </c>
      <c r="B407">
        <f ca="1">'ETF variations'!B407/'ETF price'!C408</f>
        <v>-9.4678726653353064E-3</v>
      </c>
      <c r="C407">
        <f ca="1">'ETF variations'!C407/'ETF price'!D408</f>
        <v>1.8660287081339742E-2</v>
      </c>
      <c r="D407">
        <f ca="1">'ETF variations'!D407/'ETF price'!E408</f>
        <v>-1.9315135266877989E-2</v>
      </c>
      <c r="E407">
        <f ca="1">'ETF variations'!E407/'ETF price'!F408</f>
        <v>-9.8872849515523036E-3</v>
      </c>
      <c r="F407">
        <f ca="1">'ETF variations'!F407/'ETF price'!G408</f>
        <v>-1.82578927348802E-2</v>
      </c>
      <c r="G407">
        <f ca="1">'ETF variations'!G407/'ETF price'!H408</f>
        <v>-1.0073614877954204E-2</v>
      </c>
      <c r="H407">
        <f ca="1">'ETF variations'!H407/'ETF price'!I408</f>
        <v>-7.5969907065939002E-3</v>
      </c>
      <c r="I407">
        <f ca="1">'ETF variations'!I407/'ETF price'!J408</f>
        <v>-8.1431911634282442E-3</v>
      </c>
      <c r="J407">
        <f ca="1">'ETF variations'!J407/'ETF price'!K408</f>
        <v>-1.4295758143894884E-2</v>
      </c>
      <c r="K407">
        <f ca="1">'ETF variations'!K407/'ETF price'!L408</f>
        <v>-2.1799047857679717E-2</v>
      </c>
      <c r="L407">
        <f ca="1">'ETF variations'!L407/'ETF price'!M408</f>
        <v>-1.8512556342562759E-2</v>
      </c>
      <c r="M407">
        <f ca="1">'ETF variations'!M407/'ETF price'!N408</f>
        <v>-9.3750000000000222E-3</v>
      </c>
      <c r="N407">
        <f ca="1">'ETF variations'!N407/'ETF price'!O408</f>
        <v>-2.142857142857129E-2</v>
      </c>
      <c r="O407">
        <f ca="1">'ETF variations'!O407/'ETF price'!P408</f>
        <v>-8.6698608259182172E-3</v>
      </c>
      <c r="P407">
        <f ca="1">'ETF variations'!P407/'ETF price'!Q408</f>
        <v>-7.9183673469387667E-3</v>
      </c>
      <c r="Q407">
        <f ca="1">'ETF variations'!Q407/'ETF price'!R408</f>
        <v>-6.7443286327406151E-3</v>
      </c>
      <c r="R407">
        <f ca="1">'ETF variations'!R407/'ETF price'!S408</f>
        <v>2.9510131811921816E-3</v>
      </c>
      <c r="S407">
        <f ca="1">'ETF variations'!S407/'ETF price'!T408</f>
        <v>-4.1631973355536166E-3</v>
      </c>
      <c r="T407">
        <f ca="1">'ETF variations'!T407/'ETF price'!U408</f>
        <v>-1.7212889011291654E-2</v>
      </c>
      <c r="U407">
        <f ca="1">'ETF variations'!U407/'ETF price'!V408</f>
        <v>-2.3329976502181951E-2</v>
      </c>
      <c r="V407">
        <f ca="1">'ETF variations'!V407/'ETF price'!W408</f>
        <v>-1.4615609470916182E-3</v>
      </c>
      <c r="W407">
        <f ca="1">'ETF variations'!W407/'ETF price'!X408</f>
        <v>-3.0149541726965747E-3</v>
      </c>
      <c r="X407">
        <f ca="1">'ETF variations'!X407/'ETF price'!Y408</f>
        <v>-1.1919857976160256E-2</v>
      </c>
      <c r="Y407">
        <f ca="1">'ETF variations'!Y407/'ETF price'!Z408</f>
        <v>-2.4852844996729592E-3</v>
      </c>
      <c r="Z407">
        <f ca="1">'ETF variations'!Z407/'ETF price'!AA408</f>
        <v>-1.2224938875305701E-2</v>
      </c>
      <c r="AA407">
        <f ca="1">'ETF variations'!AA407/'ETF price'!AB408</f>
        <v>-1.125827814569532E-2</v>
      </c>
      <c r="AB407">
        <f ca="1">'ETF variations'!AB407/'ETF price'!AC408</f>
        <v>-7.5230393078802235E-4</v>
      </c>
      <c r="AC407">
        <f ca="1">'ETF variations'!AC407/'ETF price'!AD408</f>
        <v>-2.7372262773723661E-3</v>
      </c>
      <c r="AD407">
        <f ca="1">'ETF variations'!AD407/'ETF price'!AE408</f>
        <v>-2.6542800265428614E-3</v>
      </c>
      <c r="AE407">
        <f ca="1">'ETF variations'!AE407/'ETF price'!AF408</f>
        <v>-4.0579710144927568E-2</v>
      </c>
      <c r="AF407">
        <f ca="1">'ETF variations'!AF407/'ETF price'!AG408</f>
        <v>-2.0536601523683373E-2</v>
      </c>
    </row>
    <row r="408" spans="1:32" x14ac:dyDescent="0.2">
      <c r="A408">
        <f ca="1">'ETF variations'!A408/'ETF price'!B409</f>
        <v>-9.5014733297250839E-3</v>
      </c>
      <c r="B408">
        <f ca="1">'ETF variations'!B408/'ETF price'!C409</f>
        <v>-1.0934016412883671E-2</v>
      </c>
      <c r="C408">
        <f ca="1">'ETF variations'!C408/'ETF price'!D409</f>
        <v>-1.1272898074213672E-3</v>
      </c>
      <c r="D408">
        <f ca="1">'ETF variations'!D408/'ETF price'!E409</f>
        <v>-9.8167132649890285E-3</v>
      </c>
      <c r="E408">
        <f ca="1">'ETF variations'!E408/'ETF price'!F409</f>
        <v>-1.5777910924705395E-2</v>
      </c>
      <c r="F408">
        <f ca="1">'ETF variations'!F408/'ETF price'!G409</f>
        <v>-1.666020922123207E-2</v>
      </c>
      <c r="G408">
        <f ca="1">'ETF variations'!G408/'ETF price'!H409</f>
        <v>-1.0958904109589085E-2</v>
      </c>
      <c r="H408">
        <f ca="1">'ETF variations'!H408/'ETF price'!I409</f>
        <v>-7.9524340393907211E-3</v>
      </c>
      <c r="I408">
        <f ca="1">'ETF variations'!I408/'ETF price'!J409</f>
        <v>-8.779060315395857E-3</v>
      </c>
      <c r="J408">
        <f ca="1">'ETF variations'!J408/'ETF price'!K409</f>
        <v>-4.9136154699635799E-3</v>
      </c>
      <c r="K408">
        <f ca="1">'ETF variations'!K408/'ETF price'!L409</f>
        <v>-1.4472336065573712E-2</v>
      </c>
      <c r="L408">
        <f ca="1">'ETF variations'!L408/'ETF price'!M409</f>
        <v>-1.2137116614728587E-2</v>
      </c>
      <c r="M408">
        <f ca="1">'ETF variations'!M408/'ETF price'!N409</f>
        <v>-7.7287066246057102E-3</v>
      </c>
      <c r="N408">
        <f ca="1">'ETF variations'!N408/'ETF price'!O409</f>
        <v>-1.0036496350365073E-2</v>
      </c>
      <c r="O408">
        <f ca="1">'ETF variations'!O408/'ETF price'!P409</f>
        <v>1.1967779056386558E-2</v>
      </c>
      <c r="P408">
        <f ca="1">'ETF variations'!P408/'ETF price'!Q409</f>
        <v>1.2178063029704632E-2</v>
      </c>
      <c r="Q408">
        <f ca="1">'ETF variations'!Q408/'ETF price'!R409</f>
        <v>-1.9753086419752666E-3</v>
      </c>
      <c r="R408">
        <f ca="1">'ETF variations'!R408/'ETF price'!S409</f>
        <v>2.353864260494401E-3</v>
      </c>
      <c r="S408">
        <f ca="1">'ETF variations'!S408/'ETF price'!T409</f>
        <v>2.5083612040133242E-3</v>
      </c>
      <c r="T408">
        <f ca="1">'ETF variations'!T408/'ETF price'!U409</f>
        <v>8.5470085470085392E-3</v>
      </c>
      <c r="U408">
        <f ca="1">'ETF variations'!U408/'ETF price'!V409</f>
        <v>-1.5810276679841806E-2</v>
      </c>
      <c r="V408">
        <f ca="1">'ETF variations'!V408/'ETF price'!W409</f>
        <v>-4.9765807962527699E-3</v>
      </c>
      <c r="W408">
        <f ca="1">'ETF variations'!W408/'ETF price'!X409</f>
        <v>-5.4433288980283399E-3</v>
      </c>
      <c r="X408">
        <f ca="1">'ETF variations'!X408/'ETF price'!Y409</f>
        <v>-1.0266940451745161E-3</v>
      </c>
      <c r="Y408">
        <f ca="1">'ETF variations'!Y408/'ETF price'!Z409</f>
        <v>-4.3273013375294813E-3</v>
      </c>
      <c r="Z408">
        <f ca="1">'ETF variations'!Z408/'ETF price'!AA409</f>
        <v>-7.4257425742573161E-3</v>
      </c>
      <c r="AA408">
        <f ca="1">'ETF variations'!AA408/'ETF price'!AB409</f>
        <v>0</v>
      </c>
      <c r="AB408">
        <f ca="1">'ETF variations'!AB408/'ETF price'!AC409</f>
        <v>-1.1857707509881471E-2</v>
      </c>
      <c r="AC408">
        <f ca="1">'ETF variations'!AC408/'ETF price'!AD409</f>
        <v>-4.4830741079597461E-2</v>
      </c>
      <c r="AD408">
        <f ca="1">'ETF variations'!AD408/'ETF price'!AE409</f>
        <v>-4.324683965402519E-2</v>
      </c>
      <c r="AE408">
        <f ca="1">'ETF variations'!AE408/'ETF price'!AF409</f>
        <v>-2.1148036253776387E-2</v>
      </c>
      <c r="AF408">
        <f ca="1">'ETF variations'!AF408/'ETF price'!AG409</f>
        <v>-7.4399729455529223E-2</v>
      </c>
    </row>
    <row r="409" spans="1:32" x14ac:dyDescent="0.2">
      <c r="A409">
        <f ca="1">'ETF variations'!A409/'ETF price'!B410</f>
        <v>1.5178191973772084E-3</v>
      </c>
      <c r="B409">
        <f ca="1">'ETF variations'!B409/'ETF price'!C410</f>
        <v>1.9423994628426232E-3</v>
      </c>
      <c r="C409">
        <f ca="1">'ETF variations'!C409/'ETF price'!D410</f>
        <v>1.9749835418038264E-2</v>
      </c>
      <c r="D409">
        <f ca="1">'ETF variations'!D409/'ETF price'!E410</f>
        <v>5.396247725418744E-3</v>
      </c>
      <c r="E409">
        <f ca="1">'ETF variations'!E409/'ETF price'!F410</f>
        <v>4.2613636363636534E-3</v>
      </c>
      <c r="F409">
        <f ca="1">'ETF variations'!F409/'ETF price'!G410</f>
        <v>1.576044129235725E-3</v>
      </c>
      <c r="G409">
        <f ca="1">'ETF variations'!G409/'ETF price'!H410</f>
        <v>3.9572615749907254E-4</v>
      </c>
      <c r="H409">
        <f ca="1">'ETF variations'!H409/'ETF price'!I410</f>
        <v>3.7458795325150861E-4</v>
      </c>
      <c r="I409">
        <f ca="1">'ETF variations'!I409/'ETF price'!J410</f>
        <v>6.5606035755288094E-4</v>
      </c>
      <c r="J409">
        <f ca="1">'ETF variations'!J409/'ETF price'!K410</f>
        <v>-1.194647977062804E-3</v>
      </c>
      <c r="K409">
        <f ca="1">'ETF variations'!K409/'ETF price'!L410</f>
        <v>7.5373619233268128E-3</v>
      </c>
      <c r="L409">
        <f ca="1">'ETF variations'!L409/'ETF price'!M410</f>
        <v>4.8148763074880672E-3</v>
      </c>
      <c r="M409">
        <f ca="1">'ETF variations'!M409/'ETF price'!N410</f>
        <v>7.9478620251159226E-4</v>
      </c>
      <c r="N409">
        <f ca="1">'ETF variations'!N409/'ETF price'!O410</f>
        <v>-4.608294930875478E-3</v>
      </c>
      <c r="O409">
        <f ca="1">'ETF variations'!O409/'ETF price'!P410</f>
        <v>9.8931089379122646E-3</v>
      </c>
      <c r="P409">
        <f ca="1">'ETF variations'!P409/'ETF price'!Q410</f>
        <v>1.0324363872855832E-2</v>
      </c>
      <c r="Q409">
        <f ca="1">'ETF variations'!Q409/'ETF price'!R410</f>
        <v>-1.2370113805053334E-4</v>
      </c>
      <c r="R409">
        <f ca="1">'ETF variations'!R409/'ETF price'!S410</f>
        <v>1.7612524461838807E-3</v>
      </c>
      <c r="S409">
        <f ca="1">'ETF variations'!S409/'ETF price'!T410</f>
        <v>7.0892410341950856E-3</v>
      </c>
      <c r="T409">
        <f ca="1">'ETF variations'!T409/'ETF price'!U410</f>
        <v>1.1253125868296779E-2</v>
      </c>
      <c r="U409">
        <f ca="1">'ETF variations'!U409/'ETF price'!V410</f>
        <v>-4.5398987253362161E-3</v>
      </c>
      <c r="V409">
        <f ca="1">'ETF variations'!V409/'ETF price'!W410</f>
        <v>-2.9420417769947385E-4</v>
      </c>
      <c r="W409">
        <f ca="1">'ETF variations'!W409/'ETF price'!X410</f>
        <v>9.729992702505266E-4</v>
      </c>
      <c r="X409">
        <f ca="1">'ETF variations'!X409/'ETF price'!Y410</f>
        <v>7.7081192189108771E-4</v>
      </c>
      <c r="Y409">
        <f ca="1">'ETF variations'!Y409/'ETF price'!Z410</f>
        <v>-7.9020150138288251E-4</v>
      </c>
      <c r="Z409">
        <f ca="1">'ETF variations'!Z409/'ETF price'!AA410</f>
        <v>2.7708506511497453E-3</v>
      </c>
      <c r="AA409">
        <f ca="1">'ETF variations'!AA409/'ETF price'!AB410</f>
        <v>-8.9305648582270925E-4</v>
      </c>
      <c r="AB409">
        <f ca="1">'ETF variations'!AB409/'ETF price'!AC410</f>
        <v>1.0095238095238117E-2</v>
      </c>
      <c r="AC409">
        <f ca="1">'ETF variations'!AC409/'ETF price'!AD410</f>
        <v>-6.417624521072797E-2</v>
      </c>
      <c r="AD409">
        <f ca="1">'ETF variations'!AD409/'ETF price'!AE410</f>
        <v>-6.536856745479841E-2</v>
      </c>
      <c r="AE409">
        <f ca="1">'ETF variations'!AE409/'ETF price'!AF410</f>
        <v>-7.4074074074074139E-2</v>
      </c>
      <c r="AF409">
        <f ca="1">'ETF variations'!AF409/'ETF price'!AG410</f>
        <v>-2.9959810010960916E-2</v>
      </c>
    </row>
    <row r="410" spans="1:32" x14ac:dyDescent="0.2">
      <c r="A410">
        <f ca="1">'ETF variations'!A410/'ETF price'!B411</f>
        <v>1.909553831231817E-2</v>
      </c>
      <c r="B410">
        <f ca="1">'ETF variations'!B410/'ETF price'!C411</f>
        <v>1.7208367239481111E-2</v>
      </c>
      <c r="C410">
        <f ca="1">'ETF variations'!C410/'ETF price'!D411</f>
        <v>-2.3609702111961655E-2</v>
      </c>
      <c r="D410">
        <f ca="1">'ETF variations'!D410/'ETF price'!E411</f>
        <v>2.8708731198901723E-2</v>
      </c>
      <c r="E410">
        <f ca="1">'ETF variations'!E410/'ETF price'!F411</f>
        <v>1.798343099616085E-2</v>
      </c>
      <c r="F410">
        <f ca="1">'ETF variations'!F410/'ETF price'!G411</f>
        <v>1.1014948859165916E-2</v>
      </c>
      <c r="G410">
        <f ca="1">'ETF variations'!G410/'ETF price'!H411</f>
        <v>3.5601265822784753E-3</v>
      </c>
      <c r="H410">
        <f ca="1">'ETF variations'!H410/'ETF price'!I411</f>
        <v>1.0484535310416113E-3</v>
      </c>
      <c r="I410">
        <f ca="1">'ETF variations'!I410/'ETF price'!J411</f>
        <v>1.5571217833141922E-3</v>
      </c>
      <c r="J410">
        <f ca="1">'ETF variations'!J410/'ETF price'!K411</f>
        <v>1.4512399330197013E-2</v>
      </c>
      <c r="K410">
        <f ca="1">'ETF variations'!K410/'ETF price'!L411</f>
        <v>1.1092480330194755E-2</v>
      </c>
      <c r="L410">
        <f ca="1">'ETF variations'!L410/'ETF price'!M411</f>
        <v>1.0740251156642408E-2</v>
      </c>
      <c r="M410">
        <f ca="1">'ETF variations'!M410/'ETF price'!N411</f>
        <v>7.9415501905967534E-4</v>
      </c>
      <c r="N410">
        <f ca="1">'ETF variations'!N410/'ETF price'!O411</f>
        <v>1.7592592592592545E-2</v>
      </c>
      <c r="O410">
        <f ca="1">'ETF variations'!O410/'ETF price'!P411</f>
        <v>-6.3055962166422954E-3</v>
      </c>
      <c r="P410">
        <f ca="1">'ETF variations'!P410/'ETF price'!Q411</f>
        <v>-5.9542967492757877E-3</v>
      </c>
      <c r="Q410">
        <f ca="1">'ETF variations'!Q410/'ETF price'!R411</f>
        <v>1.2371644191519382E-4</v>
      </c>
      <c r="R410">
        <f ca="1">'ETF variations'!R410/'ETF price'!S411</f>
        <v>-5.8605196327407147E-3</v>
      </c>
      <c r="S410">
        <f ca="1">'ETF variations'!S410/'ETF price'!T411</f>
        <v>-2.4844720496893882E-3</v>
      </c>
      <c r="T410">
        <f ca="1">'ETF variations'!T410/'ETF price'!U411</f>
        <v>-2.8850116774283272E-3</v>
      </c>
      <c r="U410">
        <f ca="1">'ETF variations'!U410/'ETF price'!V411</f>
        <v>-1.1050692860901518E-2</v>
      </c>
      <c r="V410">
        <f ca="1">'ETF variations'!V410/'ETF price'!W411</f>
        <v>-1.1771630370806107E-3</v>
      </c>
      <c r="W410">
        <f ca="1">'ETF variations'!W410/'ETF price'!X411</f>
        <v>-1.3365735115431279E-3</v>
      </c>
      <c r="X410">
        <f ca="1">'ETF variations'!X410/'ETF price'!Y411</f>
        <v>-6.9319640564827496E-3</v>
      </c>
      <c r="Y410">
        <f ca="1">'ETF variations'!Y410/'ETF price'!Z411</f>
        <v>-1.5816528272044885E-3</v>
      </c>
      <c r="Z410">
        <f ca="1">'ETF variations'!Z410/'ETF price'!AA411</f>
        <v>-8.565902182923326E-3</v>
      </c>
      <c r="AA410">
        <f ca="1">'ETF variations'!AA410/'ETF price'!AB411</f>
        <v>-6.7039106145250762E-3</v>
      </c>
      <c r="AB410">
        <f ca="1">'ETF variations'!AB410/'ETF price'!AC411</f>
        <v>-4.1485951348293202E-3</v>
      </c>
      <c r="AC410">
        <f ca="1">'ETF variations'!AC410/'ETF price'!AD411</f>
        <v>3.0706243602867081E-3</v>
      </c>
      <c r="AD410">
        <f ca="1">'ETF variations'!AD410/'ETF price'!AE411</f>
        <v>7.4404761904760318E-4</v>
      </c>
      <c r="AE410">
        <f ca="1">'ETF variations'!AE410/'ETF price'!AF411</f>
        <v>-1.6666666666666607E-2</v>
      </c>
      <c r="AF410">
        <f ca="1">'ETF variations'!AF410/'ETF price'!AG411</f>
        <v>-2.259887005649803E-3</v>
      </c>
    </row>
    <row r="411" spans="1:32" x14ac:dyDescent="0.2">
      <c r="A411">
        <f ca="1">'ETF variations'!A411/'ETF price'!B412</f>
        <v>-1.1302123609542927E-3</v>
      </c>
      <c r="B411">
        <f ca="1">'ETF variations'!B411/'ETF price'!C412</f>
        <v>3.764617303122868E-4</v>
      </c>
      <c r="C411">
        <f ca="1">'ETF variations'!C411/'ETF price'!D412</f>
        <v>8.78435817512036E-3</v>
      </c>
      <c r="D411">
        <f ca="1">'ETF variations'!D411/'ETF price'!E412</f>
        <v>-8.7969423041923001E-3</v>
      </c>
      <c r="E411">
        <f ca="1">'ETF variations'!E411/'ETF price'!F412</f>
        <v>-1.9849146486701354E-3</v>
      </c>
      <c r="F411">
        <f ca="1">'ETF variations'!F411/'ETF price'!G412</f>
        <v>-5.058365758754825E-3</v>
      </c>
      <c r="G411">
        <f ca="1">'ETF variations'!G411/'ETF price'!H412</f>
        <v>2.3649980291682586E-3</v>
      </c>
      <c r="H411">
        <f ca="1">'ETF variations'!H411/'ETF price'!I412</f>
        <v>-3.5161217924739949E-3</v>
      </c>
      <c r="I411">
        <f ca="1">'ETF variations'!I411/'ETF price'!J412</f>
        <v>-2.8230095736846319E-3</v>
      </c>
      <c r="J411">
        <f ca="1">'ETF variations'!J411/'ETF price'!K412</f>
        <v>4.7158688988447906E-4</v>
      </c>
      <c r="K411">
        <f ca="1">'ETF variations'!K411/'ETF price'!L412</f>
        <v>-2.5513458349274171E-4</v>
      </c>
      <c r="L411">
        <f ca="1">'ETF variations'!L411/'ETF price'!M412</f>
        <v>-2.2887036128821409E-3</v>
      </c>
      <c r="M411">
        <f ca="1">'ETF variations'!M411/'ETF price'!N412</f>
        <v>-2.3805745119822026E-3</v>
      </c>
      <c r="N411">
        <f ca="1">'ETF variations'!N411/'ETF price'!O412</f>
        <v>9.0991810737031729E-4</v>
      </c>
      <c r="O411">
        <f ca="1">'ETF variations'!O411/'ETF price'!P412</f>
        <v>-7.7053824362607005E-3</v>
      </c>
      <c r="P411">
        <f ca="1">'ETF variations'!P411/'ETF price'!Q412</f>
        <v>-7.2041444066699087E-3</v>
      </c>
      <c r="Q411">
        <f ca="1">'ETF variations'!Q411/'ETF price'!R412</f>
        <v>-8.6590796635338182E-4</v>
      </c>
      <c r="R411">
        <f ca="1">'ETF variations'!R411/'ETF price'!S412</f>
        <v>4.716054234623737E-3</v>
      </c>
      <c r="S411">
        <f ca="1">'ETF variations'!S411/'ETF price'!T412</f>
        <v>4.1511000415116493E-4</v>
      </c>
      <c r="T411">
        <f ca="1">'ETF variations'!T411/'ETF price'!U412</f>
        <v>-4.1333700744006219E-3</v>
      </c>
      <c r="U411">
        <f ca="1">'ETF variations'!U411/'ETF price'!V412</f>
        <v>-1.0464703795672284E-2</v>
      </c>
      <c r="V411">
        <f ca="1">'ETF variations'!V411/'ETF price'!W412</f>
        <v>-9.4284030642310043E-3</v>
      </c>
      <c r="W411">
        <f ca="1">'ETF variations'!W411/'ETF price'!X412</f>
        <v>-9.8552135296265039E-3</v>
      </c>
      <c r="X411">
        <f ca="1">'ETF variations'!X411/'ETF price'!Y412</f>
        <v>-2.4819027921406434E-2</v>
      </c>
      <c r="Y411">
        <f ca="1">'ETF variations'!Y411/'ETF price'!Z412</f>
        <v>-1.1881188118811956E-2</v>
      </c>
      <c r="Z411">
        <f ca="1">'ETF variations'!Z411/'ETF price'!AA412</f>
        <v>3.0657748049052235E-3</v>
      </c>
      <c r="AA411">
        <f ca="1">'ETF variations'!AA411/'ETF price'!AB412</f>
        <v>-2.857142857142864E-2</v>
      </c>
      <c r="AB411">
        <f ca="1">'ETF variations'!AB411/'ETF price'!AC412</f>
        <v>2.8403711418291721E-3</v>
      </c>
      <c r="AC411">
        <f ca="1">'ETF variations'!AC411/'ETF price'!AD412</f>
        <v>-1.3265306122449059E-2</v>
      </c>
      <c r="AD411">
        <f ca="1">'ETF variations'!AD411/'ETF price'!AE412</f>
        <v>-1.1895910780669157E-2</v>
      </c>
      <c r="AE411">
        <f ca="1">'ETF variations'!AE411/'ETF price'!AF412</f>
        <v>-1.3559322033898317E-2</v>
      </c>
      <c r="AF411">
        <f ca="1">'ETF variations'!AF411/'ETF price'!AG412</f>
        <v>-2.0762551906379659E-2</v>
      </c>
    </row>
    <row r="412" spans="1:32" x14ac:dyDescent="0.2">
      <c r="A412">
        <f ca="1">'ETF variations'!A412/'ETF price'!B413</f>
        <v>1.8044306812767991E-2</v>
      </c>
      <c r="B412">
        <f ca="1">'ETF variations'!B412/'ETF price'!C413</f>
        <v>1.8157442905190793E-2</v>
      </c>
      <c r="C412">
        <f ca="1">'ETF variations'!C412/'ETF price'!D413</f>
        <v>8.3333333333333384E-3</v>
      </c>
      <c r="D412">
        <f ca="1">'ETF variations'!D412/'ETF price'!E413</f>
        <v>2.0443138695066736E-2</v>
      </c>
      <c r="E412">
        <f ca="1">'ETF variations'!E412/'ETF price'!F413</f>
        <v>1.3126491646777975E-2</v>
      </c>
      <c r="F412">
        <f ca="1">'ETF variations'!F412/'ETF price'!G413</f>
        <v>2.1118498240125114E-2</v>
      </c>
      <c r="G412">
        <f ca="1">'ETF variations'!G412/'ETF price'!H413</f>
        <v>1.0224144710971356E-2</v>
      </c>
      <c r="H412">
        <f ca="1">'ETF variations'!H412/'ETF price'!I413</f>
        <v>3.0030030030030459E-3</v>
      </c>
      <c r="I412">
        <f ca="1">'ETF variations'!I412/'ETF price'!J413</f>
        <v>2.7489435030567263E-3</v>
      </c>
      <c r="J412">
        <f ca="1">'ETF variations'!J412/'ETF price'!K413</f>
        <v>5.8134967397281394E-3</v>
      </c>
      <c r="K412">
        <f ca="1">'ETF variations'!K412/'ETF price'!L413</f>
        <v>6.2523924971289377E-3</v>
      </c>
      <c r="L412">
        <f ca="1">'ETF variations'!L412/'ETF price'!M413</f>
        <v>4.58790758643292E-3</v>
      </c>
      <c r="M412">
        <f ca="1">'ETF variations'!M412/'ETF price'!N413</f>
        <v>2.8635062042634382E-3</v>
      </c>
      <c r="N412">
        <f ca="1">'ETF variations'!N412/'ETF price'!O413</f>
        <v>1.0909090909090839E-2</v>
      </c>
      <c r="O412">
        <f ca="1">'ETF variations'!O412/'ETF price'!P413</f>
        <v>-2.5122758935708449E-3</v>
      </c>
      <c r="P412">
        <f ca="1">'ETF variations'!P412/'ETF price'!Q413</f>
        <v>-3.1797798613942157E-3</v>
      </c>
      <c r="Q412">
        <f ca="1">'ETF variations'!Q412/'ETF price'!R413</f>
        <v>1.6095084808717304E-3</v>
      </c>
      <c r="R412">
        <f ca="1">'ETF variations'!R412/'ETF price'!S413</f>
        <v>9.778994719342295E-4</v>
      </c>
      <c r="S412">
        <f ca="1">'ETF variations'!S412/'ETF price'!T413</f>
        <v>2.07468879668038E-3</v>
      </c>
      <c r="T412">
        <f ca="1">'ETF variations'!T412/'ETF price'!U413</f>
        <v>-1.2728278915329298E-2</v>
      </c>
      <c r="U412">
        <f ca="1">'ETF variations'!U412/'ETF price'!V413</f>
        <v>1.7386628428033679E-2</v>
      </c>
      <c r="V412">
        <f ca="1">'ETF variations'!V412/'ETF price'!W413</f>
        <v>9.8155859607378174E-3</v>
      </c>
      <c r="W412">
        <f ca="1">'ETF variations'!W412/'ETF price'!X413</f>
        <v>9.2160235930203987E-3</v>
      </c>
      <c r="X412">
        <f ca="1">'ETF variations'!X412/'ETF price'!Y413</f>
        <v>1.3520678685047667E-2</v>
      </c>
      <c r="Y412">
        <f ca="1">'ETF variations'!Y412/'ETF price'!Z413</f>
        <v>1.0955243820975383E-2</v>
      </c>
      <c r="Z412">
        <f ca="1">'ETF variations'!Z412/'ETF price'!AA413</f>
        <v>1.4726312864684666E-2</v>
      </c>
      <c r="AA412">
        <f ca="1">'ETF variations'!AA412/'ETF price'!AB413</f>
        <v>1.2968967114404871E-2</v>
      </c>
      <c r="AB412">
        <f ca="1">'ETF variations'!AB412/'ETF price'!AC413</f>
        <v>8.8746223564954464E-3</v>
      </c>
      <c r="AC412">
        <f ca="1">'ETF variations'!AC412/'ETF price'!AD413</f>
        <v>3.4126163391933827E-2</v>
      </c>
      <c r="AD412">
        <f ca="1">'ETF variations'!AD412/'ETF price'!AE413</f>
        <v>3.085026335590671E-2</v>
      </c>
      <c r="AE412">
        <f ca="1">'ETF variations'!AE412/'ETF price'!AF413</f>
        <v>-6.8728522336769819E-3</v>
      </c>
      <c r="AF412">
        <f ca="1">'ETF variations'!AF412/'ETF price'!AG413</f>
        <v>5.5512721665381556E-2</v>
      </c>
    </row>
    <row r="413" spans="1:32" x14ac:dyDescent="0.2">
      <c r="A413">
        <f ca="1">'ETF variations'!A413/'ETF price'!B414</f>
        <v>-2.3047674758701363E-2</v>
      </c>
      <c r="B413">
        <f ca="1">'ETF variations'!B413/'ETF price'!C414</f>
        <v>-2.3216059507034148E-2</v>
      </c>
      <c r="C413">
        <f ca="1">'ETF variations'!C413/'ETF price'!D414</f>
        <v>2.1264741387315499E-2</v>
      </c>
      <c r="D413">
        <f ca="1">'ETF variations'!D413/'ETF price'!E414</f>
        <v>-3.3049424184260982E-2</v>
      </c>
      <c r="E413">
        <f ca="1">'ETF variations'!E413/'ETF price'!F414</f>
        <v>-1.2367491166077649E-2</v>
      </c>
      <c r="F413">
        <f ca="1">'ETF variations'!F413/'ETF price'!G414</f>
        <v>-1.7617770968977438E-2</v>
      </c>
      <c r="G413">
        <f ca="1">'ETF variations'!G413/'ETF price'!H414</f>
        <v>-1.4791747761775109E-2</v>
      </c>
      <c r="H413">
        <f ca="1">'ETF variations'!H413/'ETF price'!I414</f>
        <v>-8.6826347305388966E-3</v>
      </c>
      <c r="I413">
        <f ca="1">'ETF variations'!I413/'ETF price'!J414</f>
        <v>-7.6923076923076737E-3</v>
      </c>
      <c r="J413">
        <f ca="1">'ETF variations'!J413/'ETF price'!K414</f>
        <v>-9.1384831680075117E-3</v>
      </c>
      <c r="K413">
        <f ca="1">'ETF variations'!K413/'ETF price'!L414</f>
        <v>-1.3187927973624223E-2</v>
      </c>
      <c r="L413">
        <f ca="1">'ETF variations'!L413/'ETF price'!M414</f>
        <v>-1.0275648344478919E-2</v>
      </c>
      <c r="M413">
        <f ca="1">'ETF variations'!M413/'ETF price'!N414</f>
        <v>-7.7728426395939406E-3</v>
      </c>
      <c r="N413">
        <f ca="1">'ETF variations'!N413/'ETF price'!O414</f>
        <v>-1.3489208633093398E-2</v>
      </c>
      <c r="O413">
        <f ca="1">'ETF variations'!O413/'ETF price'!P414</f>
        <v>-6.868918145392036E-3</v>
      </c>
      <c r="P413">
        <f ca="1">'ETF variations'!P413/'ETF price'!Q414</f>
        <v>-7.606739734991058E-3</v>
      </c>
      <c r="Q413">
        <f ca="1">'ETF variations'!Q413/'ETF price'!R414</f>
        <v>-4.2027194066749495E-3</v>
      </c>
      <c r="R413">
        <f ca="1">'ETF variations'!R413/'ETF price'!S414</f>
        <v>-1.543571707698318E-2</v>
      </c>
      <c r="S413">
        <f ca="1">'ETF variations'!S413/'ETF price'!T414</f>
        <v>8.2815734989660989E-4</v>
      </c>
      <c r="T413">
        <f ca="1">'ETF variations'!T413/'ETF price'!U414</f>
        <v>7.0067264573987049E-4</v>
      </c>
      <c r="U413">
        <f ca="1">'ETF variations'!U413/'ETF price'!V414</f>
        <v>-2.2198731501057049E-2</v>
      </c>
      <c r="V413">
        <f ca="1">'ETF variations'!V413/'ETF price'!W414</f>
        <v>-3.5346097201768641E-3</v>
      </c>
      <c r="W413">
        <f ca="1">'ETF variations'!W413/'ETF price'!X414</f>
        <v>-2.0698892000487242E-3</v>
      </c>
      <c r="X413">
        <f ca="1">'ETF variations'!X413/'ETF price'!Y414</f>
        <v>2.8773214752813641E-3</v>
      </c>
      <c r="Y413">
        <f ca="1">'ETF variations'!Y413/'ETF price'!Z414</f>
        <v>-6.6076384300247336E-4</v>
      </c>
      <c r="Z413">
        <f ca="1">'ETF variations'!Z413/'ETF price'!AA414</f>
        <v>-4.6549835706462678E-3</v>
      </c>
      <c r="AA413">
        <f ca="1">'ETF variations'!AA413/'ETF price'!AB414</f>
        <v>4.5724737082760798E-3</v>
      </c>
      <c r="AB413">
        <f ca="1">'ETF variations'!AB413/'ETF price'!AC414</f>
        <v>1.0668163952835491E-2</v>
      </c>
      <c r="AC413">
        <f ca="1">'ETF variations'!AC413/'ETF price'!AD414</f>
        <v>-2.4000000000000021E-2</v>
      </c>
      <c r="AD413">
        <f ca="1">'ETF variations'!AD413/'ETF price'!AE414</f>
        <v>-2.1897810218978027E-2</v>
      </c>
      <c r="AE413">
        <f ca="1">'ETF variations'!AE413/'ETF price'!AF414</f>
        <v>4.8442906574394352E-2</v>
      </c>
      <c r="AF413">
        <f ca="1">'ETF variations'!AF413/'ETF price'!AG414</f>
        <v>-5.441928414901382E-2</v>
      </c>
    </row>
    <row r="414" spans="1:32" x14ac:dyDescent="0.2">
      <c r="A414">
        <f ca="1">'ETF variations'!A414/'ETF price'!B415</f>
        <v>1.0179031195736885E-2</v>
      </c>
      <c r="B414">
        <f ca="1">'ETF variations'!B414/'ETF price'!C415</f>
        <v>1.0051083152019677E-2</v>
      </c>
      <c r="C414">
        <f ca="1">'ETF variations'!C414/'ETF price'!D415</f>
        <v>8.5470085470085253E-3</v>
      </c>
      <c r="D414">
        <f ca="1">'ETF variations'!D414/'ETF price'!E415</f>
        <v>4.2801315054897199E-3</v>
      </c>
      <c r="E414">
        <f ca="1">'ETF variations'!E414/'ETF price'!F415</f>
        <v>1.4907573047107931E-2</v>
      </c>
      <c r="F414">
        <f ca="1">'ETF variations'!F414/'ETF price'!G415</f>
        <v>5.0682261208577998E-3</v>
      </c>
      <c r="G414">
        <f ca="1">'ETF variations'!G414/'ETF price'!H415</f>
        <v>7.5069142631371509E-3</v>
      </c>
      <c r="H414">
        <f ca="1">'ETF variations'!H414/'ETF price'!I415</f>
        <v>7.3240712775596408E-3</v>
      </c>
      <c r="I414">
        <f ca="1">'ETF variations'!I414/'ETF price'!J415</f>
        <v>7.2158997196107534E-3</v>
      </c>
      <c r="J414">
        <f ca="1">'ETF variations'!J414/'ETF price'!K415</f>
        <v>5.6755478480214321E-3</v>
      </c>
      <c r="K414">
        <f ca="1">'ETF variations'!K414/'ETF price'!L415</f>
        <v>1.117964533538942E-2</v>
      </c>
      <c r="L414">
        <f ca="1">'ETF variations'!L414/'ETF price'!M415</f>
        <v>2.8015820698747808E-3</v>
      </c>
      <c r="M414">
        <f ca="1">'ETF variations'!M414/'ETF price'!N415</f>
        <v>7.3541167066347064E-3</v>
      </c>
      <c r="N414">
        <f ca="1">'ETF variations'!N414/'ETF price'!O415</f>
        <v>8.2041932543299775E-3</v>
      </c>
      <c r="O414">
        <f ca="1">'ETF variations'!O414/'ETF price'!P415</f>
        <v>9.6829971181556593E-3</v>
      </c>
      <c r="P414">
        <f ca="1">'ETF variations'!P414/'ETF price'!Q415</f>
        <v>1.0220060990686515E-2</v>
      </c>
      <c r="Q414">
        <f ca="1">'ETF variations'!Q414/'ETF price'!R415</f>
        <v>2.9791459781528659E-3</v>
      </c>
      <c r="R414">
        <f ca="1">'ETF variations'!R414/'ETF price'!S415</f>
        <v>-1.9845207382413198E-4</v>
      </c>
      <c r="S414">
        <f ca="1">'ETF variations'!S414/'ETF price'!T415</f>
        <v>9.9296648738104436E-3</v>
      </c>
      <c r="T414">
        <f ca="1">'ETF variations'!T414/'ETF price'!U415</f>
        <v>1.4563786584512061E-2</v>
      </c>
      <c r="U414">
        <f ca="1">'ETF variations'!U414/'ETF price'!V415</f>
        <v>1.2072072072072103E-2</v>
      </c>
      <c r="V414">
        <f ca="1">'ETF variations'!V414/'ETF price'!W415</f>
        <v>4.729530002956066E-3</v>
      </c>
      <c r="W414">
        <f ca="1">'ETF variations'!W414/'ETF price'!X415</f>
        <v>3.4163006344558461E-3</v>
      </c>
      <c r="X414">
        <f ca="1">'ETF variations'!X414/'ETF price'!Y415</f>
        <v>-4.1731872717789172E-3</v>
      </c>
      <c r="Y414">
        <f ca="1">'ETF variations'!Y414/'ETF price'!Z415</f>
        <v>1.5868817773074626E-3</v>
      </c>
      <c r="Z414">
        <f ca="1">'ETF variations'!Z414/'ETF price'!AA415</f>
        <v>2.751031636863863E-3</v>
      </c>
      <c r="AA414">
        <f ca="1">'ETF variations'!AA414/'ETF price'!AB415</f>
        <v>-7.0550751024122706E-3</v>
      </c>
      <c r="AB414">
        <f ca="1">'ETF variations'!AB414/'ETF price'!AC415</f>
        <v>-5.5555555555557659E-4</v>
      </c>
      <c r="AC414">
        <f ca="1">'ETF variations'!AC414/'ETF price'!AD415</f>
        <v>-2.0491803278688088E-3</v>
      </c>
      <c r="AD414">
        <f ca="1">'ETF variations'!AD414/'ETF price'!AE415</f>
        <v>-3.7313432835821424E-3</v>
      </c>
      <c r="AE414">
        <f ca="1">'ETF variations'!AE414/'ETF price'!AF415</f>
        <v>-5.6105610561056084E-2</v>
      </c>
      <c r="AF414">
        <f ca="1">'ETF variations'!AF414/'ETF price'!AG415</f>
        <v>-1.1973735032831296E-2</v>
      </c>
    </row>
    <row r="415" spans="1:32" x14ac:dyDescent="0.2">
      <c r="A415">
        <f ca="1">'ETF variations'!A415/'ETF price'!B416</f>
        <v>8.1797166735818588E-3</v>
      </c>
      <c r="B415">
        <f ca="1">'ETF variations'!B415/'ETF price'!C416</f>
        <v>7.6798801189445548E-3</v>
      </c>
      <c r="C415">
        <f ca="1">'ETF variations'!C415/'ETF price'!D416</f>
        <v>4.9585286693111892E-3</v>
      </c>
      <c r="D415">
        <f ca="1">'ETF variations'!D415/'ETF price'!E416</f>
        <v>1.2662137121679944E-2</v>
      </c>
      <c r="E415">
        <f ca="1">'ETF variations'!E415/'ETF price'!F416</f>
        <v>2.7418723070897094E-3</v>
      </c>
      <c r="F415">
        <f ca="1">'ETF variations'!F415/'ETF price'!G416</f>
        <v>1.3576415826221794E-2</v>
      </c>
      <c r="G415">
        <f ca="1">'ETF variations'!G415/'ETF price'!H416</f>
        <v>5.882352941176415E-3</v>
      </c>
      <c r="H415">
        <f ca="1">'ETF variations'!H415/'ETF price'!I416</f>
        <v>2.3236638932613916E-3</v>
      </c>
      <c r="I415">
        <f ca="1">'ETF variations'!I415/'ETF price'!J416</f>
        <v>1.8422237687804011E-3</v>
      </c>
      <c r="J415">
        <f ca="1">'ETF variations'!J415/'ETF price'!K416</f>
        <v>4.0758739614359307E-3</v>
      </c>
      <c r="K415">
        <f ca="1">'ETF variations'!K415/'ETF price'!L416</f>
        <v>3.0499428135723613E-3</v>
      </c>
      <c r="L415">
        <f ca="1">'ETF variations'!L415/'ETF price'!M416</f>
        <v>1.6433853738698456E-4</v>
      </c>
      <c r="M415">
        <f ca="1">'ETF variations'!M415/'ETF price'!N416</f>
        <v>2.0631645770513023E-3</v>
      </c>
      <c r="N415">
        <f ca="1">'ETF variations'!N415/'ETF price'!O416</f>
        <v>-3.6166365280290162E-3</v>
      </c>
      <c r="O415">
        <f ca="1">'ETF variations'!O415/'ETF price'!P416</f>
        <v>6.7359287589907908E-3</v>
      </c>
      <c r="P415">
        <f ca="1">'ETF variations'!P415/'ETF price'!Q416</f>
        <v>7.1795708574692802E-3</v>
      </c>
      <c r="Q415">
        <f ca="1">'ETF variations'!Q415/'ETF price'!R416</f>
        <v>7.301980198019844E-3</v>
      </c>
      <c r="R415">
        <f ca="1">'ETF variations'!R415/'ETF price'!S416</f>
        <v>1.0917030567685532E-2</v>
      </c>
      <c r="S415">
        <f ca="1">'ETF variations'!S415/'ETF price'!T416</f>
        <v>-1.6386726751331073E-3</v>
      </c>
      <c r="T415">
        <f ca="1">'ETF variations'!T415/'ETF price'!U416</f>
        <v>-5.5210489993107322E-4</v>
      </c>
      <c r="U415">
        <f ca="1">'ETF variations'!U415/'ETF price'!V416</f>
        <v>5.5189602990919559E-3</v>
      </c>
      <c r="V415">
        <f ca="1">'ETF variations'!V415/'ETF price'!W416</f>
        <v>5.589879376287076E-3</v>
      </c>
      <c r="W415">
        <f ca="1">'ETF variations'!W415/'ETF price'!X416</f>
        <v>6.0797665369649806E-3</v>
      </c>
      <c r="X415">
        <f ca="1">'ETF variations'!X415/'ETF price'!Y416</f>
        <v>1.2572027239392269E-2</v>
      </c>
      <c r="Y415">
        <f ca="1">'ETF variations'!Y415/'ETF price'!Z416</f>
        <v>5.149194613150259E-3</v>
      </c>
      <c r="Z415">
        <f ca="1">'ETF variations'!Z415/'ETF price'!AA416</f>
        <v>7.9561042524005244E-3</v>
      </c>
      <c r="AA415">
        <f ca="1">'ETF variations'!AA415/'ETF price'!AB416</f>
        <v>1.4439605775842206E-2</v>
      </c>
      <c r="AB415">
        <f ca="1">'ETF variations'!AB415/'ETF price'!AC416</f>
        <v>-2.779321845469679E-3</v>
      </c>
      <c r="AC415">
        <f ca="1">'ETF variations'!AC415/'ETF price'!AD416</f>
        <v>0</v>
      </c>
      <c r="AD415">
        <f ca="1">'ETF variations'!AD415/'ETF price'!AE416</f>
        <v>7.4906367041196911E-4</v>
      </c>
      <c r="AE415">
        <f ca="1">'ETF variations'!AE415/'ETF price'!AF416</f>
        <v>0</v>
      </c>
      <c r="AF415">
        <f ca="1">'ETF variations'!AF415/'ETF price'!AG416</f>
        <v>4.3002345582487484E-3</v>
      </c>
    </row>
    <row r="416" spans="1:32" x14ac:dyDescent="0.2">
      <c r="A416">
        <f ca="1">'ETF variations'!A416/'ETF price'!B417</f>
        <v>2.0048209771297527E-2</v>
      </c>
      <c r="B416">
        <f ca="1">'ETF variations'!B416/'ETF price'!C417</f>
        <v>2.0145456235332426E-2</v>
      </c>
      <c r="C416">
        <f ca="1">'ETF variations'!C416/'ETF price'!D417</f>
        <v>2.7810173140755566E-3</v>
      </c>
      <c r="D416">
        <f ca="1">'ETF variations'!D416/'ETF price'!E417</f>
        <v>2.6288502592253751E-2</v>
      </c>
      <c r="E416">
        <f ca="1">'ETF variations'!E416/'ETF price'!F417</f>
        <v>7.22656249999995E-3</v>
      </c>
      <c r="F416">
        <f ca="1">'ETF variations'!F416/'ETF price'!G417</f>
        <v>1.8369690011481074E-2</v>
      </c>
      <c r="G416">
        <f ca="1">'ETF variations'!G416/'ETF price'!H417</f>
        <v>1.5204678362573122E-2</v>
      </c>
      <c r="H416">
        <f ca="1">'ETF variations'!H416/'ETF price'!I417</f>
        <v>8.9739754711336273E-3</v>
      </c>
      <c r="I416">
        <f ca="1">'ETF variations'!I416/'ETF price'!J417</f>
        <v>9.0715920235370992E-3</v>
      </c>
      <c r="J416">
        <f ca="1">'ETF variations'!J416/'ETF price'!K417</f>
        <v>1.0694769711163189E-2</v>
      </c>
      <c r="K416">
        <f ca="1">'ETF variations'!K416/'ETF price'!L417</f>
        <v>4.5610034207525579E-3</v>
      </c>
      <c r="L416">
        <f ca="1">'ETF variations'!L416/'ETF price'!M417</f>
        <v>1.3144922773578659E-2</v>
      </c>
      <c r="M416">
        <f ca="1">'ETF variations'!M416/'ETF price'!N417</f>
        <v>8.2356667722520756E-3</v>
      </c>
      <c r="N416">
        <f ca="1">'ETF variations'!N416/'ETF price'!O417</f>
        <v>1.9963702359346702E-2</v>
      </c>
      <c r="O416">
        <f ca="1">'ETF variations'!O416/'ETF price'!P417</f>
        <v>2.7217056021773063E-3</v>
      </c>
      <c r="P416">
        <f ca="1">'ETF variations'!P416/'ETF price'!Q417</f>
        <v>3.0781692993114254E-3</v>
      </c>
      <c r="Q416">
        <f ca="1">'ETF variations'!Q416/'ETF price'!R417</f>
        <v>1.6586804275709476E-2</v>
      </c>
      <c r="R416">
        <f ca="1">'ETF variations'!R416/'ETF price'!S417</f>
        <v>2.3561751423522539E-2</v>
      </c>
      <c r="S416">
        <f ca="1">'ETF variations'!S416/'ETF price'!T417</f>
        <v>3.6930652441526405E-3</v>
      </c>
      <c r="T416">
        <f ca="1">'ETF variations'!T416/'ETF price'!U417</f>
        <v>1.256732495511665E-2</v>
      </c>
      <c r="U416">
        <f ca="1">'ETF variations'!U416/'ETF price'!V417</f>
        <v>3.966005665722383E-2</v>
      </c>
      <c r="V416">
        <f ca="1">'ETF variations'!V416/'ETF price'!W417</f>
        <v>9.0696313633704586E-3</v>
      </c>
      <c r="W416">
        <f ca="1">'ETF variations'!W416/'ETF price'!X417</f>
        <v>1.0273144790911392E-2</v>
      </c>
      <c r="X416">
        <f ca="1">'ETF variations'!X416/'ETF price'!Y417</f>
        <v>1.2157268494568184E-2</v>
      </c>
      <c r="Y416">
        <f ca="1">'ETF variations'!Y416/'ETF price'!Z417</f>
        <v>1.0902403783002737E-2</v>
      </c>
      <c r="Z416">
        <f ca="1">'ETF variations'!Z416/'ETF price'!AA417</f>
        <v>1.1431682090364577E-2</v>
      </c>
      <c r="AA416">
        <f ca="1">'ETF variations'!AA416/'ETF price'!AB417</f>
        <v>9.4893809308631213E-3</v>
      </c>
      <c r="AB416">
        <f ca="1">'ETF variations'!AB416/'ETF price'!AC417</f>
        <v>7.6179858788553807E-3</v>
      </c>
      <c r="AC416">
        <f ca="1">'ETF variations'!AC416/'ETF price'!AD417</f>
        <v>7.3921971252566804E-2</v>
      </c>
      <c r="AD416">
        <f ca="1">'ETF variations'!AD416/'ETF price'!AE417</f>
        <v>7.2604790419161722E-2</v>
      </c>
      <c r="AE416">
        <f ca="1">'ETF variations'!AE416/'ETF price'!AF417</f>
        <v>1.0489510489510577E-2</v>
      </c>
      <c r="AF416">
        <f ca="1">'ETF variations'!AF416/'ETF price'!AG417</f>
        <v>0.15609186453873095</v>
      </c>
    </row>
    <row r="417" spans="1:32" x14ac:dyDescent="0.2">
      <c r="A417">
        <f ca="1">'ETF variations'!A417/'ETF price'!B418</f>
        <v>7.5504322766570733E-3</v>
      </c>
      <c r="B417">
        <f ca="1">'ETF variations'!B417/'ETF price'!C418</f>
        <v>8.2452623906705633E-3</v>
      </c>
      <c r="C417">
        <f ca="1">'ETF variations'!C417/'ETF price'!D418</f>
        <v>3.6679191268562945E-3</v>
      </c>
      <c r="D417">
        <f ca="1">'ETF variations'!D417/'ETF price'!E418</f>
        <v>4.6951147034352816E-3</v>
      </c>
      <c r="E417">
        <f ca="1">'ETF variations'!E417/'ETF price'!F418</f>
        <v>8.1442699243746697E-3</v>
      </c>
      <c r="F417">
        <f ca="1">'ETF variations'!F417/'ETF price'!G418</f>
        <v>8.2675685832393417E-3</v>
      </c>
      <c r="G417">
        <f ca="1">'ETF variations'!G417/'ETF price'!H418</f>
        <v>7.2964669738863784E-3</v>
      </c>
      <c r="H417">
        <f ca="1">'ETF variations'!H417/'ETF price'!I418</f>
        <v>-7.4117995849388031E-4</v>
      </c>
      <c r="I417">
        <f ca="1">'ETF variations'!I417/'ETF price'!J418</f>
        <v>4.8594800356363711E-4</v>
      </c>
      <c r="J417">
        <f ca="1">'ETF variations'!J417/'ETF price'!K418</f>
        <v>2.9350428670734184E-3</v>
      </c>
      <c r="K417">
        <f ca="1">'ETF variations'!K417/'ETF price'!L418</f>
        <v>4.9186530457813156E-3</v>
      </c>
      <c r="L417">
        <f ca="1">'ETF variations'!L417/'ETF price'!M418</f>
        <v>6.1628284138826239E-3</v>
      </c>
      <c r="M417">
        <f ca="1">'ETF variations'!M417/'ETF price'!N418</f>
        <v>6.2833804586877556E-4</v>
      </c>
      <c r="N417">
        <f ca="1">'ETF variations'!N417/'ETF price'!O418</f>
        <v>8.8967971530248789E-3</v>
      </c>
      <c r="O417">
        <f ca="1">'ETF variations'!O417/'ETF price'!P418</f>
        <v>4.9762497172585133E-3</v>
      </c>
      <c r="P417">
        <f ca="1">'ETF variations'!P417/'ETF price'!Q418</f>
        <v>5.2491318743439043E-3</v>
      </c>
      <c r="Q417">
        <f ca="1">'ETF variations'!Q417/'ETF price'!R418</f>
        <v>2.296350012086197E-3</v>
      </c>
      <c r="R417">
        <f ca="1">'ETF variations'!R417/'ETF price'!S418</f>
        <v>-2.877421830040393E-3</v>
      </c>
      <c r="S417">
        <f ca="1">'ETF variations'!S417/'ETF price'!T418</f>
        <v>1.2264922322157638E-3</v>
      </c>
      <c r="T417">
        <f ca="1">'ETF variations'!T417/'ETF price'!U418</f>
        <v>4.637206764866386E-3</v>
      </c>
      <c r="U417">
        <f ca="1">'ETF variations'!U417/'ETF price'!V418</f>
        <v>-7.493188010899144E-3</v>
      </c>
      <c r="V417">
        <f ca="1">'ETF variations'!V417/'ETF price'!W418</f>
        <v>5.7987822557251437E-4</v>
      </c>
      <c r="W417">
        <f ca="1">'ETF variations'!W417/'ETF price'!X418</f>
        <v>8.3742074410806527E-4</v>
      </c>
      <c r="X417">
        <f ca="1">'ETF variations'!X417/'ETF price'!Y418</f>
        <v>-4.8556095067724203E-3</v>
      </c>
      <c r="Y417">
        <f ca="1">'ETF variations'!Y417/'ETF price'!Z418</f>
        <v>9.0956340956350567E-4</v>
      </c>
      <c r="Z417">
        <f ca="1">'ETF variations'!Z417/'ETF price'!AA418</f>
        <v>3.498385360602868E-3</v>
      </c>
      <c r="AA417">
        <f ca="1">'ETF variations'!AA417/'ETF price'!AB418</f>
        <v>-7.3858549686660318E-3</v>
      </c>
      <c r="AB417">
        <f ca="1">'ETF variations'!AB417/'ETF price'!AC418</f>
        <v>-8.1135902636916418E-3</v>
      </c>
      <c r="AC417">
        <f ca="1">'ETF variations'!AC417/'ETF price'!AD418</f>
        <v>-2.6768642447418844E-2</v>
      </c>
      <c r="AD417">
        <f ca="1">'ETF variations'!AD417/'ETF price'!AE418</f>
        <v>-2.651779483600843E-2</v>
      </c>
      <c r="AE417">
        <f ca="1">'ETF variations'!AE417/'ETF price'!AF418</f>
        <v>0.12110726643598618</v>
      </c>
      <c r="AF417">
        <f ca="1">'ETF variations'!AF417/'ETF price'!AG418</f>
        <v>-9.4276094276093472E-3</v>
      </c>
    </row>
    <row r="418" spans="1:32" x14ac:dyDescent="0.2">
      <c r="A418">
        <f ca="1">'ETF variations'!A418/'ETF price'!B419</f>
        <v>4.8624220582346219E-3</v>
      </c>
      <c r="B418">
        <f ca="1">'ETF variations'!B418/'ETF price'!C419</f>
        <v>5.0151357701169524E-3</v>
      </c>
      <c r="C418">
        <f ca="1">'ETF variations'!C418/'ETF price'!D419</f>
        <v>-9.8047954363133464E-3</v>
      </c>
      <c r="D418">
        <f ca="1">'ETF variations'!D418/'ETF price'!E419</f>
        <v>6.9210292812776544E-3</v>
      </c>
      <c r="E418">
        <f ca="1">'ETF variations'!E418/'ETF price'!F419</f>
        <v>1.6156953260242284E-2</v>
      </c>
      <c r="F418">
        <f ca="1">'ETF variations'!F418/'ETF price'!G419</f>
        <v>-3.7271710771523622E-3</v>
      </c>
      <c r="G418">
        <f ca="1">'ETF variations'!G418/'ETF price'!H419</f>
        <v>-1.9062142584826806E-3</v>
      </c>
      <c r="H418">
        <f ca="1">'ETF variations'!H418/'ETF price'!I419</f>
        <v>-1.1941848390446413E-2</v>
      </c>
      <c r="I418">
        <f ca="1">'ETF variations'!I418/'ETF price'!J419</f>
        <v>-1.060471140613618E-2</v>
      </c>
      <c r="J418">
        <f ca="1">'ETF variations'!J418/'ETF price'!K419</f>
        <v>-8.7793608009240388E-3</v>
      </c>
      <c r="K418">
        <f ca="1">'ETF variations'!K418/'ETF price'!L419</f>
        <v>-6.0240963855422184E-3</v>
      </c>
      <c r="L418">
        <f ca="1">'ETF variations'!L418/'ETF price'!M419</f>
        <v>-7.7369439071566229E-3</v>
      </c>
      <c r="M418">
        <f ca="1">'ETF variations'!M418/'ETF price'!N419</f>
        <v>-9.8901098901099296E-3</v>
      </c>
      <c r="N418">
        <f ca="1">'ETF variations'!N418/'ETF price'!O419</f>
        <v>-9.7001763668429827E-3</v>
      </c>
      <c r="O418">
        <f ca="1">'ETF variations'!O418/'ETF price'!P419</f>
        <v>6.7521944632007965E-4</v>
      </c>
      <c r="P418">
        <f ca="1">'ETF variations'!P418/'ETF price'!Q419</f>
        <v>1.2050128534703685E-3</v>
      </c>
      <c r="Q418">
        <f ca="1">'ETF variations'!Q418/'ETF price'!R419</f>
        <v>-4.8233449897511454E-4</v>
      </c>
      <c r="R418">
        <f ca="1">'ETF variations'!R418/'ETF price'!S419</f>
        <v>1.5390534821086072E-3</v>
      </c>
      <c r="S418">
        <f ca="1">'ETF variations'!S418/'ETF price'!T419</f>
        <v>4.0832993058391763E-3</v>
      </c>
      <c r="T418">
        <f ca="1">'ETF variations'!T418/'ETF price'!U419</f>
        <v>1.9006244909041622E-2</v>
      </c>
      <c r="U418">
        <f ca="1">'ETF variations'!U418/'ETF price'!V419</f>
        <v>-8.5792724776946226E-4</v>
      </c>
      <c r="V418">
        <f ca="1">'ETF variations'!V418/'ETF price'!W419</f>
        <v>-3.7670240509995786E-3</v>
      </c>
      <c r="W418">
        <f ca="1">'ETF variations'!W418/'ETF price'!X419</f>
        <v>-1.9125029882858784E-3</v>
      </c>
      <c r="X418">
        <f ca="1">'ETF variations'!X418/'ETF price'!Y419</f>
        <v>3.0816640986133679E-3</v>
      </c>
      <c r="Y418">
        <f ca="1">'ETF variations'!Y418/'ETF price'!Z419</f>
        <v>-2.2069323640140424E-3</v>
      </c>
      <c r="Z418">
        <f ca="1">'ETF variations'!Z418/'ETF price'!AA419</f>
        <v>-7.2405470635558064E-3</v>
      </c>
      <c r="AA418">
        <f ca="1">'ETF variations'!AA418/'ETF price'!AB419</f>
        <v>4.7350620067643937E-3</v>
      </c>
      <c r="AB418">
        <f ca="1">'ETF variations'!AB418/'ETF price'!AC419</f>
        <v>-5.3913366796802219E-3</v>
      </c>
      <c r="AC418">
        <f ca="1">'ETF variations'!AC418/'ETF price'!AD419</f>
        <v>-3.7328094302553932E-2</v>
      </c>
      <c r="AD418">
        <f ca="1">'ETF variations'!AD418/'ETF price'!AE419</f>
        <v>-3.6559139784946224E-2</v>
      </c>
      <c r="AE418">
        <f ca="1">'ETF variations'!AE418/'ETF price'!AF419</f>
        <v>-9.2592592592593351E-3</v>
      </c>
      <c r="AF418">
        <f ca="1">'ETF variations'!AF418/'ETF price'!AG419</f>
        <v>-6.1522773623385527E-2</v>
      </c>
    </row>
    <row r="419" spans="1:32" x14ac:dyDescent="0.2">
      <c r="A419">
        <f ca="1">'ETF variations'!A419/'ETF price'!B420</f>
        <v>3.0741204599794608E-3</v>
      </c>
      <c r="B419">
        <f ca="1">'ETF variations'!B419/'ETF price'!C420</f>
        <v>4.0235569142241063E-3</v>
      </c>
      <c r="C419">
        <f ca="1">'ETF variations'!C419/'ETF price'!D420</f>
        <v>-1.152218921595104E-2</v>
      </c>
      <c r="D419">
        <f ca="1">'ETF variations'!D419/'ETF price'!E420</f>
        <v>2.6436376454000037E-3</v>
      </c>
      <c r="E419">
        <f ca="1">'ETF variations'!E419/'ETF price'!F420</f>
        <v>7.1928828317244474E-3</v>
      </c>
      <c r="F419">
        <f ca="1">'ETF variations'!F419/'ETF price'!G420</f>
        <v>0</v>
      </c>
      <c r="G419">
        <f ca="1">'ETF variations'!G419/'ETF price'!H420</f>
        <v>6.8754774637127467E-3</v>
      </c>
      <c r="H419">
        <f ca="1">'ETF variations'!H419/'ETF price'!I420</f>
        <v>2.702499812326291E-3</v>
      </c>
      <c r="I419">
        <f ca="1">'ETF variations'!I419/'ETF price'!J420</f>
        <v>3.3546064473899246E-3</v>
      </c>
      <c r="J419">
        <f ca="1">'ETF variations'!J419/'ETF price'!K420</f>
        <v>1.0100225312718382E-2</v>
      </c>
      <c r="K419">
        <f ca="1">'ETF variations'!K419/'ETF price'!L420</f>
        <v>2.4368686868686776E-2</v>
      </c>
      <c r="L419">
        <f ca="1">'ETF variations'!L419/'ETF price'!M420</f>
        <v>6.6601689408706394E-3</v>
      </c>
      <c r="M419">
        <f ca="1">'ETF variations'!M419/'ETF price'!N420</f>
        <v>2.8539717773901968E-3</v>
      </c>
      <c r="N419">
        <f ca="1">'ETF variations'!N419/'ETF price'!O420</f>
        <v>1.4247551202137144E-2</v>
      </c>
      <c r="O419">
        <f ca="1">'ETF variations'!O419/'ETF price'!P420</f>
        <v>2.0467836257309864E-2</v>
      </c>
      <c r="P419">
        <f ca="1">'ETF variations'!P419/'ETF price'!Q420</f>
        <v>2.070127577629783E-2</v>
      </c>
      <c r="Q419">
        <f ca="1">'ETF variations'!Q419/'ETF price'!R420</f>
        <v>1.1219688744118623E-2</v>
      </c>
      <c r="R419">
        <f ca="1">'ETF variations'!R419/'ETF price'!S420</f>
        <v>2.1321552055320773E-2</v>
      </c>
      <c r="S419">
        <f ca="1">'ETF variations'!S419/'ETF price'!T420</f>
        <v>1.1793411956079672E-2</v>
      </c>
      <c r="T419">
        <f ca="1">'ETF variations'!T419/'ETF price'!U420</f>
        <v>2.4780175859312543E-2</v>
      </c>
      <c r="U419">
        <f ca="1">'ETF variations'!U419/'ETF price'!V420</f>
        <v>3.091190108191649E-3</v>
      </c>
      <c r="V419">
        <f ca="1">'ETF variations'!V419/'ETF price'!W420</f>
        <v>9.0168702734146344E-3</v>
      </c>
      <c r="W419">
        <f ca="1">'ETF variations'!W419/'ETF price'!X420</f>
        <v>8.6227544910179501E-3</v>
      </c>
      <c r="X419">
        <f ca="1">'ETF variations'!X419/'ETF price'!Y420</f>
        <v>1.996927803379419E-2</v>
      </c>
      <c r="Y419">
        <f ca="1">'ETF variations'!Y419/'ETF price'!Z420</f>
        <v>7.546187874056704E-3</v>
      </c>
      <c r="Z419">
        <f ca="1">'ETF variations'!Z419/'ETF price'!AA420</f>
        <v>-5.4024851431666999E-4</v>
      </c>
      <c r="AA419">
        <f ca="1">'ETF variations'!AA419/'ETF price'!AB420</f>
        <v>2.3788150807899353E-2</v>
      </c>
      <c r="AB419">
        <f ca="1">'ETF variations'!AB419/'ETF price'!AC420</f>
        <v>-2.9906542056074127E-3</v>
      </c>
      <c r="AC419">
        <f ca="1">'ETF variations'!AC419/'ETF price'!AD420</f>
        <v>-2.1428571428571516E-2</v>
      </c>
      <c r="AD419">
        <f ca="1">'ETF variations'!AD419/'ETF price'!AE420</f>
        <v>-2.0089285714285685E-2</v>
      </c>
      <c r="AE419">
        <f ca="1">'ETF variations'!AE419/'ETF price'!AF420</f>
        <v>-4.3613707165109074E-2</v>
      </c>
      <c r="AF419">
        <f ca="1">'ETF variations'!AF419/'ETF price'!AG420</f>
        <v>-2.8250633828323112E-2</v>
      </c>
    </row>
    <row r="420" spans="1:32" x14ac:dyDescent="0.2">
      <c r="A420">
        <f ca="1">'ETF variations'!A420/'ETF price'!B421</f>
        <v>3.5754824063565487E-3</v>
      </c>
      <c r="B420">
        <f ca="1">'ETF variations'!B420/'ETF price'!C421</f>
        <v>1.7014798397026684E-3</v>
      </c>
      <c r="C420">
        <f ca="1">'ETF variations'!C420/'ETF price'!D421</f>
        <v>2.1855932975138408E-3</v>
      </c>
      <c r="D420">
        <f ca="1">'ETF variations'!D420/'ETF price'!E421</f>
        <v>-3.5155563367887655E-4</v>
      </c>
      <c r="E420">
        <f ca="1">'ETF variations'!E420/'ETF price'!F421</f>
        <v>7.5173839503851053E-4</v>
      </c>
      <c r="F420">
        <f ca="1">'ETF variations'!F420/'ETF price'!G421</f>
        <v>-5.6116722783390244E-3</v>
      </c>
      <c r="G420">
        <f ca="1">'ETF variations'!G420/'ETF price'!H421</f>
        <v>-1.2139605462822469E-2</v>
      </c>
      <c r="H420">
        <f ca="1">'ETF variations'!H420/'ETF price'!I421</f>
        <v>-1.0331661301190353E-2</v>
      </c>
      <c r="I420">
        <f ca="1">'ETF variations'!I420/'ETF price'!J421</f>
        <v>-9.9078528908096656E-3</v>
      </c>
      <c r="J420">
        <f ca="1">'ETF variations'!J420/'ETF price'!K421</f>
        <v>-1.4383508960849202E-2</v>
      </c>
      <c r="K420">
        <f ca="1">'ETF variations'!K420/'ETF price'!L421</f>
        <v>-1.8242327129298533E-2</v>
      </c>
      <c r="L420">
        <f ca="1">'ETF variations'!L420/'ETF price'!M421</f>
        <v>-1.9202840083911533E-2</v>
      </c>
      <c r="M420">
        <f ca="1">'ETF variations'!M420/'ETF price'!N421</f>
        <v>-9.9604743083004359E-3</v>
      </c>
      <c r="N420">
        <f ca="1">'ETF variations'!N420/'ETF price'!O421</f>
        <v>-1.9754170324846481E-2</v>
      </c>
      <c r="O420">
        <f ca="1">'ETF variations'!O420/'ETF price'!P421</f>
        <v>5.2898391007273971E-3</v>
      </c>
      <c r="P420">
        <f ca="1">'ETF variations'!P420/'ETF price'!Q421</f>
        <v>4.1663391242826916E-3</v>
      </c>
      <c r="Q420">
        <f ca="1">'ETF variations'!Q420/'ETF price'!R421</f>
        <v>-1.8492006680983025E-2</v>
      </c>
      <c r="R420">
        <f ca="1">'ETF variations'!R420/'ETF price'!S421</f>
        <v>-1.3165318788790724E-2</v>
      </c>
      <c r="S420">
        <f ca="1">'ETF variations'!S420/'ETF price'!T421</f>
        <v>4.8231511254019695E-3</v>
      </c>
      <c r="T420">
        <f ca="1">'ETF variations'!T420/'ETF price'!U421</f>
        <v>1.0920436817472743E-2</v>
      </c>
      <c r="U420">
        <f ca="1">'ETF variations'!U420/'ETF price'!V421</f>
        <v>-6.6769388803285994E-3</v>
      </c>
      <c r="V420">
        <f ca="1">'ETF variations'!V420/'ETF price'!W421</f>
        <v>-1.0089362928797762E-2</v>
      </c>
      <c r="W420">
        <f ca="1">'ETF variations'!W420/'ETF price'!X421</f>
        <v>-1.0448824507242882E-2</v>
      </c>
      <c r="X420">
        <f ca="1">'ETF variations'!X420/'ETF price'!Y421</f>
        <v>-1.8323293172690863E-2</v>
      </c>
      <c r="Y420">
        <f ca="1">'ETF variations'!Y420/'ETF price'!Z421</f>
        <v>-9.6849173553719015E-3</v>
      </c>
      <c r="Z420">
        <f ca="1">'ETF variations'!Z420/'ETF price'!AA421</f>
        <v>-9.9999999999999308E-3</v>
      </c>
      <c r="AA420">
        <f ca="1">'ETF variations'!AA420/'ETF price'!AB421</f>
        <v>-2.2577816747040642E-2</v>
      </c>
      <c r="AB420">
        <f ca="1">'ETF variations'!AB420/'ETF price'!AC421</f>
        <v>4.8743907011623167E-3</v>
      </c>
      <c r="AC420">
        <f ca="1">'ETF variations'!AC420/'ETF price'!AD421</f>
        <v>3.1282586027110908E-3</v>
      </c>
      <c r="AD420">
        <f ca="1">'ETF variations'!AD420/'ETF price'!AE421</f>
        <v>7.5930144267272485E-4</v>
      </c>
      <c r="AE420">
        <f ca="1">'ETF variations'!AE420/'ETF price'!AF421</f>
        <v>-1.9543973941368097E-2</v>
      </c>
      <c r="AF420">
        <f ca="1">'ETF variations'!AF420/'ETF price'!AG421</f>
        <v>-1.8635855385762207E-2</v>
      </c>
    </row>
    <row r="421" spans="1:32" x14ac:dyDescent="0.2">
      <c r="A421">
        <f ca="1">'ETF variations'!A421/'ETF price'!B422</f>
        <v>-1.0575128654640074E-2</v>
      </c>
      <c r="B421">
        <f ca="1">'ETF variations'!B421/'ETF price'!C422</f>
        <v>-1.1443130769058858E-2</v>
      </c>
      <c r="C421">
        <f ca="1">'ETF variations'!C421/'ETF price'!D422</f>
        <v>7.08768741481146E-3</v>
      </c>
      <c r="D421">
        <f ca="1">'ETF variations'!D421/'ETF price'!E422</f>
        <v>-7.2094250043960965E-3</v>
      </c>
      <c r="E421">
        <f ca="1">'ETF variations'!E421/'ETF price'!F422</f>
        <v>-3.7558685446009922E-3</v>
      </c>
      <c r="F421">
        <f ca="1">'ETF variations'!F421/'ETF price'!G422</f>
        <v>-4.5146726862301525E-3</v>
      </c>
      <c r="G421">
        <f ca="1">'ETF variations'!G421/'ETF price'!H422</f>
        <v>-4.2242703533025899E-3</v>
      </c>
      <c r="H421">
        <f ca="1">'ETF variations'!H421/'ETF price'!I422</f>
        <v>-5.446705499659572E-3</v>
      </c>
      <c r="I421">
        <f ca="1">'ETF variations'!I421/'ETF price'!J422</f>
        <v>-5.6418070254911027E-3</v>
      </c>
      <c r="J421">
        <f ca="1">'ETF variations'!J421/'ETF price'!K422</f>
        <v>-6.4772904635553626E-3</v>
      </c>
      <c r="K421">
        <f ca="1">'ETF variations'!K421/'ETF price'!L422</f>
        <v>3.0131826741995587E-3</v>
      </c>
      <c r="L421">
        <f ca="1">'ETF variations'!L421/'ETF price'!M422</f>
        <v>-2.7969726883843651E-3</v>
      </c>
      <c r="M421">
        <f ca="1">'ETF variations'!M421/'ETF price'!N422</f>
        <v>-4.7908016608111973E-3</v>
      </c>
      <c r="N421">
        <f ca="1">'ETF variations'!N421/'ETF price'!O422</f>
        <v>4.4782803403500062E-4</v>
      </c>
      <c r="O421">
        <f ca="1">'ETF variations'!O421/'ETF price'!P422</f>
        <v>4.385003288753152E-4</v>
      </c>
      <c r="P421">
        <f ca="1">'ETF variations'!P421/'ETF price'!Q422</f>
        <v>-1.5656802880848616E-4</v>
      </c>
      <c r="Q421">
        <f ca="1">'ETF variations'!Q421/'ETF price'!R422</f>
        <v>-2.1879178315302372E-3</v>
      </c>
      <c r="R421">
        <f ca="1">'ETF variations'!R421/'ETF price'!S422</f>
        <v>-7.2422336573279107E-3</v>
      </c>
      <c r="S421">
        <f ca="1">'ETF variations'!S421/'ETF price'!T422</f>
        <v>2.399999999999949E-3</v>
      </c>
      <c r="T421">
        <f ca="1">'ETF variations'!T421/'ETF price'!U422</f>
        <v>9.7736625514402119E-3</v>
      </c>
      <c r="U421">
        <f ca="1">'ETF variations'!U421/'ETF price'!V422</f>
        <v>-2.0854877628404014E-2</v>
      </c>
      <c r="V421">
        <f ca="1">'ETF variations'!V421/'ETF price'!W422</f>
        <v>-5.8241118229479104E-4</v>
      </c>
      <c r="W421">
        <f ca="1">'ETF variations'!W421/'ETF price'!X422</f>
        <v>-3.1197504199664641E-3</v>
      </c>
      <c r="X421">
        <f ca="1">'ETF variations'!X421/'ETF price'!Y422</f>
        <v>-2.0966504730248026E-2</v>
      </c>
      <c r="Y421">
        <f ca="1">'ETF variations'!Y421/'ETF price'!Z422</f>
        <v>-3.1294823314642704E-3</v>
      </c>
      <c r="Z421">
        <f ca="1">'ETF variations'!Z421/'ETF price'!AA422</f>
        <v>-1.9110019110019187E-3</v>
      </c>
      <c r="AA421">
        <f ca="1">'ETF variations'!AA421/'ETF price'!AB422</f>
        <v>-2.30993496299619E-2</v>
      </c>
      <c r="AB421">
        <f ca="1">'ETF variations'!AB421/'ETF price'!AC422</f>
        <v>3.3582089552238754E-3</v>
      </c>
      <c r="AC421">
        <f ca="1">'ETF variations'!AC421/'ETF price'!AD422</f>
        <v>0</v>
      </c>
      <c r="AD421">
        <f ca="1">'ETF variations'!AD421/'ETF price'!AE422</f>
        <v>0</v>
      </c>
      <c r="AE421">
        <f ca="1">'ETF variations'!AE421/'ETF price'!AF422</f>
        <v>-3.322259136212554E-3</v>
      </c>
      <c r="AF421">
        <f ca="1">'ETF variations'!AF421/'ETF price'!AG422</f>
        <v>6.4565134827193971E-3</v>
      </c>
    </row>
    <row r="422" spans="1:32" x14ac:dyDescent="0.2">
      <c r="A422">
        <f ca="1">'ETF variations'!A422/'ETF price'!B423</f>
        <v>-1.4460448102423418E-2</v>
      </c>
      <c r="B422">
        <f ca="1">'ETF variations'!B422/'ETF price'!C423</f>
        <v>-1.4966878433677748E-2</v>
      </c>
      <c r="C422">
        <f ca="1">'ETF variations'!C422/'ETF price'!D423</f>
        <v>-1.7323829288098905E-2</v>
      </c>
      <c r="D422">
        <f ca="1">'ETF variations'!D422/'ETF price'!E423</f>
        <v>-2.2907072853937865E-2</v>
      </c>
      <c r="E422">
        <f ca="1">'ETF variations'!E422/'ETF price'!F423</f>
        <v>-6.0320452403393081E-3</v>
      </c>
      <c r="F422">
        <f ca="1">'ETF variations'!F422/'ETF price'!G423</f>
        <v>-1.1715797430083229E-2</v>
      </c>
      <c r="G422">
        <f ca="1">'ETF variations'!G422/'ETF price'!H423</f>
        <v>-1.2726571538758129E-2</v>
      </c>
      <c r="H422">
        <f ca="1">'ETF variations'!H422/'ETF price'!I423</f>
        <v>4.4877158287061946E-3</v>
      </c>
      <c r="I422">
        <f ca="1">'ETF variations'!I422/'ETF price'!J423</f>
        <v>2.7747867141555017E-3</v>
      </c>
      <c r="J422">
        <f ca="1">'ETF variations'!J422/'ETF price'!K423</f>
        <v>-3.37758227947535E-3</v>
      </c>
      <c r="K422">
        <f ca="1">'ETF variations'!K422/'ETF price'!L423</f>
        <v>-1.4144448616848109E-2</v>
      </c>
      <c r="L422">
        <f ca="1">'ETF variations'!L422/'ETF price'!M423</f>
        <v>-5.9396139250948599E-3</v>
      </c>
      <c r="M422">
        <f ca="1">'ETF variations'!M422/'ETF price'!N423</f>
        <v>2.7278562259307076E-3</v>
      </c>
      <c r="N422">
        <f ca="1">'ETF variations'!N422/'ETF price'!O423</f>
        <v>-1.2533572068039442E-2</v>
      </c>
      <c r="O422">
        <f ca="1">'ETF variations'!O422/'ETF price'!P423</f>
        <v>-9.8619329388563892E-4</v>
      </c>
      <c r="P422">
        <f ca="1">'ETF variations'!P422/'ETF price'!Q423</f>
        <v>-1.487629188850593E-3</v>
      </c>
      <c r="Q422">
        <f ca="1">'ETF variations'!Q422/'ETF price'!R423</f>
        <v>-4.5072481422829156E-3</v>
      </c>
      <c r="R422">
        <f ca="1">'ETF variations'!R422/'ETF price'!S423</f>
        <v>-7.6790170858131246E-3</v>
      </c>
      <c r="S422">
        <f ca="1">'ETF variations'!S422/'ETF price'!T423</f>
        <v>-1.9952114924180831E-3</v>
      </c>
      <c r="T422">
        <f ca="1">'ETF variations'!T422/'ETF price'!U423</f>
        <v>-7.2592969943962461E-3</v>
      </c>
      <c r="U422">
        <f ca="1">'ETF variations'!U422/'ETF price'!V423</f>
        <v>-2.2003168456257702E-2</v>
      </c>
      <c r="V422">
        <f ca="1">'ETF variations'!V422/'ETF price'!W423</f>
        <v>-2.6223776223777218E-3</v>
      </c>
      <c r="W422">
        <f ca="1">'ETF variations'!W422/'ETF price'!X423</f>
        <v>-1.9258545979778116E-3</v>
      </c>
      <c r="X422">
        <f ca="1">'ETF variations'!X422/'ETF price'!Y423</f>
        <v>-1.227474536432486E-2</v>
      </c>
      <c r="Y422">
        <f ca="1">'ETF variations'!Y422/'ETF price'!Z423</f>
        <v>-9.1563113145856623E-4</v>
      </c>
      <c r="Z422">
        <f ca="1">'ETF variations'!Z422/'ETF price'!AA423</f>
        <v>8.2056892778992647E-3</v>
      </c>
      <c r="AA422">
        <f ca="1">'ETF variations'!AA422/'ETF price'!AB423</f>
        <v>-1.3544536271809076E-2</v>
      </c>
      <c r="AB422">
        <f ca="1">'ETF variations'!AB422/'ETF price'!AC423</f>
        <v>7.9955373744886524E-3</v>
      </c>
      <c r="AC422">
        <f ca="1">'ETF variations'!AC422/'ETF price'!AD423</f>
        <v>8.3160083160083234E-3</v>
      </c>
      <c r="AD422">
        <f ca="1">'ETF variations'!AD422/'ETF price'!AE423</f>
        <v>9.1047040971169186E-3</v>
      </c>
      <c r="AE422">
        <f ca="1">'ETF variations'!AE422/'ETF price'!AF423</f>
        <v>-3.3333333333332624E-3</v>
      </c>
      <c r="AF422">
        <f ca="1">'ETF variations'!AF422/'ETF price'!AG423</f>
        <v>5.6603773584905127E-3</v>
      </c>
    </row>
    <row r="423" spans="1:32" x14ac:dyDescent="0.2">
      <c r="A423">
        <f ca="1">'ETF variations'!A423/'ETF price'!B424</f>
        <v>2.0878037464477483E-3</v>
      </c>
      <c r="B423">
        <f ca="1">'ETF variations'!B423/'ETF price'!C424</f>
        <v>1.2853175422892476E-3</v>
      </c>
      <c r="C423">
        <f ca="1">'ETF variations'!C423/'ETF price'!D424</f>
        <v>3.0300247911119117E-3</v>
      </c>
      <c r="D423">
        <f ca="1">'ETF variations'!D423/'ETF price'!E424</f>
        <v>-5.1963746223565779E-3</v>
      </c>
      <c r="E423">
        <f ca="1">'ETF variations'!E423/'ETF price'!F424</f>
        <v>-3.7929072634166548E-4</v>
      </c>
      <c r="F423">
        <f ca="1">'ETF variations'!F423/'ETF price'!G424</f>
        <v>-1.0707456978967404E-2</v>
      </c>
      <c r="G423">
        <f ca="1">'ETF variations'!G423/'ETF price'!H424</f>
        <v>-3.5156249999999944E-3</v>
      </c>
      <c r="H423">
        <f ca="1">'ETF variations'!H423/'ETF price'!I424</f>
        <v>0</v>
      </c>
      <c r="I423">
        <f ca="1">'ETF variations'!I423/'ETF price'!J424</f>
        <v>-9.4990294469908629E-4</v>
      </c>
      <c r="J423">
        <f ca="1">'ETF variations'!J423/'ETF price'!K424</f>
        <v>-2.3644388398487656E-4</v>
      </c>
      <c r="K423">
        <f ca="1">'ETF variations'!K423/'ETF price'!L424</f>
        <v>-1.3966480446927301E-3</v>
      </c>
      <c r="L423">
        <f ca="1">'ETF variations'!L423/'ETF price'!M424</f>
        <v>-5.6431535269710108E-3</v>
      </c>
      <c r="M423">
        <f ca="1">'ETF variations'!M423/'ETF price'!N424</f>
        <v>-1.6002560409665773E-3</v>
      </c>
      <c r="N423">
        <f ca="1">'ETF variations'!N423/'ETF price'!O424</f>
        <v>-1.1786038077969085E-2</v>
      </c>
      <c r="O423">
        <f ca="1">'ETF variations'!O423/'ETF price'!P424</f>
        <v>9.6522979050125638E-3</v>
      </c>
      <c r="P423">
        <f ca="1">'ETF variations'!P423/'ETF price'!Q424</f>
        <v>1.0350505763349746E-2</v>
      </c>
      <c r="Q423">
        <f ca="1">'ETF variations'!Q423/'ETF price'!R424</f>
        <v>9.7895252080272012E-4</v>
      </c>
      <c r="R423">
        <f ca="1">'ETF variations'!R423/'ETF price'!S424</f>
        <v>-5.2234474753336431E-3</v>
      </c>
      <c r="S423">
        <f ca="1">'ETF variations'!S423/'ETF price'!T424</f>
        <v>1.9992003198719376E-3</v>
      </c>
      <c r="T423">
        <f ca="1">'ETF variations'!T423/'ETF price'!U424</f>
        <v>4.4900577293135891E-3</v>
      </c>
      <c r="U423">
        <f ca="1">'ETF variations'!U423/'ETF price'!V424</f>
        <v>1.7998560115187203E-4</v>
      </c>
      <c r="V423">
        <f ca="1">'ETF variations'!V423/'ETF price'!W424</f>
        <v>2.0449897750511332E-3</v>
      </c>
      <c r="W423">
        <f ca="1">'ETF variations'!W423/'ETF price'!X424</f>
        <v>3.8591413410515338E-3</v>
      </c>
      <c r="X423">
        <f ca="1">'ETF variations'!X423/'ETF price'!Y424</f>
        <v>9.2543627710206609E-3</v>
      </c>
      <c r="Y423">
        <f ca="1">'ETF variations'!Y423/'ETF price'!Z424</f>
        <v>3.7968054464520328E-3</v>
      </c>
      <c r="Z423">
        <f ca="1">'ETF variations'!Z423/'ETF price'!AA424</f>
        <v>-6.5111231687466631E-3</v>
      </c>
      <c r="AA423">
        <f ca="1">'ETF variations'!AA423/'ETF price'!AB424</f>
        <v>9.0760996043751582E-3</v>
      </c>
      <c r="AB423">
        <f ca="1">'ETF variations'!AB423/'ETF price'!AC424</f>
        <v>-2.0291459140379898E-3</v>
      </c>
      <c r="AC423">
        <f ca="1">'ETF variations'!AC423/'ETF price'!AD424</f>
        <v>2.061855670103232E-3</v>
      </c>
      <c r="AD423">
        <f ca="1">'ETF variations'!AD423/'ETF price'!AE424</f>
        <v>2.2556390977443129E-3</v>
      </c>
      <c r="AE423">
        <f ca="1">'ETF variations'!AE423/'ETF price'!AF424</f>
        <v>6.6889632107021979E-3</v>
      </c>
      <c r="AF423">
        <f ca="1">'ETF variations'!AF423/'ETF price'!AG424</f>
        <v>-2.6266416510318923E-2</v>
      </c>
    </row>
    <row r="424" spans="1:32" x14ac:dyDescent="0.2">
      <c r="A424">
        <f ca="1">'ETF variations'!A424/'ETF price'!B425</f>
        <v>5.2086347589559911E-3</v>
      </c>
      <c r="B424">
        <f ca="1">'ETF variations'!B424/'ETF price'!C425</f>
        <v>4.74498567335242E-3</v>
      </c>
      <c r="C424">
        <f ca="1">'ETF variations'!C424/'ETF price'!D425</f>
        <v>7.4148663493226134E-3</v>
      </c>
      <c r="D424">
        <f ca="1">'ETF variations'!D424/'ETF price'!E425</f>
        <v>-5.4664723032054783E-4</v>
      </c>
      <c r="E424">
        <f ca="1">'ETF variations'!E424/'ETF price'!F425</f>
        <v>1.0244735344336921E-2</v>
      </c>
      <c r="F424">
        <f ca="1">'ETF variations'!F424/'ETF price'!G425</f>
        <v>3.4789331271743275E-3</v>
      </c>
      <c r="G424">
        <f ca="1">'ETF variations'!G424/'ETF price'!H425</f>
        <v>0</v>
      </c>
      <c r="H424">
        <f ca="1">'ETF variations'!H424/'ETF price'!I425</f>
        <v>6.8908072088444388E-3</v>
      </c>
      <c r="I424">
        <f ca="1">'ETF variations'!I424/'ETF price'!J425</f>
        <v>7.7718065316246194E-3</v>
      </c>
      <c r="J424">
        <f ca="1">'ETF variations'!J424/'ETF price'!K425</f>
        <v>6.5431612140324207E-3</v>
      </c>
      <c r="K424">
        <f ca="1">'ETF variations'!K424/'ETF price'!L425</f>
        <v>2.2886204704385582E-3</v>
      </c>
      <c r="L424">
        <f ca="1">'ETF variations'!L424/'ETF price'!M425</f>
        <v>8.0120180270406276E-3</v>
      </c>
      <c r="M424">
        <f ca="1">'ETF variations'!M424/'ETF price'!N425</f>
        <v>7.0524122455521351E-3</v>
      </c>
      <c r="N424">
        <f ca="1">'ETF variations'!N424/'ETF price'!O425</f>
        <v>7.3394495412844101E-3</v>
      </c>
      <c r="O424">
        <f ca="1">'ETF variations'!O424/'ETF price'!P425</f>
        <v>-1.314502987506783E-2</v>
      </c>
      <c r="P424">
        <f ca="1">'ETF variations'!P424/'ETF price'!Q425</f>
        <v>-1.3504074505238611E-2</v>
      </c>
      <c r="Q424">
        <f ca="1">'ETF variations'!Q424/'ETF price'!R425</f>
        <v>4.2787286063570729E-3</v>
      </c>
      <c r="R424">
        <f ca="1">'ETF variations'!R424/'ETF price'!S425</f>
        <v>2.3337222870477917E-3</v>
      </c>
      <c r="S424">
        <f ca="1">'ETF variations'!S424/'ETF price'!T425</f>
        <v>5.9856344772546742E-3</v>
      </c>
      <c r="T424">
        <f ca="1">'ETF variations'!T424/'ETF price'!U425</f>
        <v>8.939974457216781E-4</v>
      </c>
      <c r="U424">
        <f ca="1">'ETF variations'!U424/'ETF price'!V425</f>
        <v>2.879251394637333E-3</v>
      </c>
      <c r="V424">
        <f ca="1">'ETF variations'!V424/'ETF price'!W425</f>
        <v>4.6647230320700792E-3</v>
      </c>
      <c r="W424">
        <f ca="1">'ETF variations'!W424/'ETF price'!X425</f>
        <v>3.2436328688131939E-3</v>
      </c>
      <c r="X424">
        <f ca="1">'ETF variations'!X424/'ETF price'!Y425</f>
        <v>-1.3099292638198653E-3</v>
      </c>
      <c r="Y424">
        <f ca="1">'ETF variations'!Y424/'ETF price'!Z425</f>
        <v>4.0433024651102423E-3</v>
      </c>
      <c r="Z424">
        <f ca="1">'ETF variations'!Z424/'ETF price'!AA425</f>
        <v>5.4614964500281614E-4</v>
      </c>
      <c r="AA424">
        <f ca="1">'ETF variations'!AA424/'ETF price'!AB425</f>
        <v>-1.8450184501844625E-3</v>
      </c>
      <c r="AB424">
        <f ca="1">'ETF variations'!AB424/'ETF price'!AC425</f>
        <v>9.0573012939002221E-3</v>
      </c>
      <c r="AC424">
        <f ca="1">'ETF variations'!AC424/'ETF price'!AD425</f>
        <v>-3.8065843621399274E-2</v>
      </c>
      <c r="AD424">
        <f ca="1">'ETF variations'!AD424/'ETF price'!AE425</f>
        <v>-3.8259564891222793E-2</v>
      </c>
      <c r="AE424">
        <f ca="1">'ETF variations'!AE424/'ETF price'!AF425</f>
        <v>2.3255813953488469E-2</v>
      </c>
      <c r="AF424">
        <f ca="1">'ETF variations'!AF424/'ETF price'!AG425</f>
        <v>-4.2774566473988418E-2</v>
      </c>
    </row>
    <row r="425" spans="1:32" x14ac:dyDescent="0.2">
      <c r="A425">
        <f ca="1">'ETF variations'!A425/'ETF price'!B426</f>
        <v>-1.8135759111059968E-2</v>
      </c>
      <c r="B425">
        <f ca="1">'ETF variations'!B425/'ETF price'!C426</f>
        <v>-1.7521445519255354E-2</v>
      </c>
      <c r="C425">
        <f ca="1">'ETF variations'!C425/'ETF price'!D426</f>
        <v>-1.8355293048614229E-2</v>
      </c>
      <c r="D425">
        <f ca="1">'ETF variations'!D425/'ETF price'!E426</f>
        <v>-8.5080522637496544E-3</v>
      </c>
      <c r="E425">
        <f ca="1">'ETF variations'!E425/'ETF price'!F426</f>
        <v>-9.7652582159625002E-3</v>
      </c>
      <c r="F425">
        <f ca="1">'ETF variations'!F425/'ETF price'!G426</f>
        <v>-6.5485362095532244E-3</v>
      </c>
      <c r="G425">
        <f ca="1">'ETF variations'!G425/'ETF price'!H426</f>
        <v>-3.528028224225788E-3</v>
      </c>
      <c r="H425">
        <f ca="1">'ETF variations'!H425/'ETF price'!I426</f>
        <v>-1.2784838685416823E-3</v>
      </c>
      <c r="I425">
        <f ca="1">'ETF variations'!I425/'ETF price'!J426</f>
        <v>-2.6663385019279912E-3</v>
      </c>
      <c r="J425">
        <f ca="1">'ETF variations'!J425/'ETF price'!K426</f>
        <v>-1.5664160401002729E-3</v>
      </c>
      <c r="K425">
        <f ca="1">'ETF variations'!K425/'ETF price'!L426</f>
        <v>3.8056577445134739E-3</v>
      </c>
      <c r="L425">
        <f ca="1">'ETF variations'!L425/'ETF price'!M426</f>
        <v>3.9741679085941711E-3</v>
      </c>
      <c r="M425">
        <f ca="1">'ETF variations'!M425/'ETF price'!N426</f>
        <v>-1.273277096928192E-3</v>
      </c>
      <c r="N425">
        <f ca="1">'ETF variations'!N425/'ETF price'!O426</f>
        <v>9.1074681238613724E-4</v>
      </c>
      <c r="O425">
        <f ca="1">'ETF variations'!O425/'ETF price'!P426</f>
        <v>2.3557904007045358E-2</v>
      </c>
      <c r="P425">
        <f ca="1">'ETF variations'!P425/'ETF price'!Q426</f>
        <v>2.3129572810951238E-2</v>
      </c>
      <c r="Q425">
        <f ca="1">'ETF variations'!Q425/'ETF price'!R426</f>
        <v>-2.3128423615339246E-3</v>
      </c>
      <c r="R425">
        <f ca="1">'ETF variations'!R425/'ETF price'!S426</f>
        <v>3.6864571206829204E-3</v>
      </c>
      <c r="S425">
        <f ca="1">'ETF variations'!S425/'ETF price'!T426</f>
        <v>3.570011900039661E-3</v>
      </c>
      <c r="T425">
        <f ca="1">'ETF variations'!T425/'ETF price'!U426</f>
        <v>1.6970779635064416E-2</v>
      </c>
      <c r="U425">
        <f ca="1">'ETF variations'!U425/'ETF price'!V426</f>
        <v>1.9020276332316569E-2</v>
      </c>
      <c r="V425">
        <f ca="1">'ETF variations'!V425/'ETF price'!W426</f>
        <v>6.6744051073707742E-3</v>
      </c>
      <c r="W425">
        <f ca="1">'ETF variations'!W425/'ETF price'!X426</f>
        <v>7.3045144294096439E-3</v>
      </c>
      <c r="X425">
        <f ca="1">'ETF variations'!X425/'ETF price'!Y426</f>
        <v>1.0230849947534119E-2</v>
      </c>
      <c r="Y425">
        <f ca="1">'ETF variations'!Y425/'ETF price'!Z426</f>
        <v>1.0522213561964176E-2</v>
      </c>
      <c r="Z425">
        <f ca="1">'ETF variations'!Z425/'ETF price'!AA426</f>
        <v>0</v>
      </c>
      <c r="AA425">
        <f ca="1">'ETF variations'!AA425/'ETF price'!AB426</f>
        <v>8.3179297597042387E-3</v>
      </c>
      <c r="AB425">
        <f ca="1">'ETF variations'!AB425/'ETF price'!AC426</f>
        <v>-4.9459607986811344E-3</v>
      </c>
      <c r="AC425">
        <f ca="1">'ETF variations'!AC425/'ETF price'!AD426</f>
        <v>4.4919786096256679E-2</v>
      </c>
      <c r="AD425">
        <f ca="1">'ETF variations'!AD425/'ETF price'!AE426</f>
        <v>4.3681747269890832E-2</v>
      </c>
      <c r="AE425">
        <f ca="1">'ETF variations'!AE425/'ETF price'!AF426</f>
        <v>-3.5714285714285671E-2</v>
      </c>
      <c r="AF425">
        <f ca="1">'ETF variations'!AF425/'ETF price'!AG426</f>
        <v>2.2141706924315649E-2</v>
      </c>
    </row>
    <row r="426" spans="1:32" x14ac:dyDescent="0.2">
      <c r="A426">
        <f ca="1">'ETF variations'!A426/'ETF price'!B427</f>
        <v>2.5214026034948212E-3</v>
      </c>
      <c r="B426">
        <f ca="1">'ETF variations'!B426/'ETF price'!C427</f>
        <v>1.3468326212150311E-3</v>
      </c>
      <c r="C426">
        <f ca="1">'ETF variations'!C426/'ETF price'!D427</f>
        <v>3.7952420623900453E-3</v>
      </c>
      <c r="D426">
        <f ca="1">'ETF variations'!D426/'ETF price'!E427</f>
        <v>5.1486362243334562E-3</v>
      </c>
      <c r="E426">
        <f ca="1">'ETF variations'!E426/'ETF price'!F427</f>
        <v>-3.2239711739046957E-3</v>
      </c>
      <c r="F426">
        <f ca="1">'ETF variations'!F426/'ETF price'!G427</f>
        <v>-6.2039550213261012E-3</v>
      </c>
      <c r="G426">
        <f ca="1">'ETF variations'!G426/'ETF price'!H427</f>
        <v>-5.1140833988986053E-3</v>
      </c>
      <c r="H426">
        <f ca="1">'ETF variations'!H426/'ETF price'!I427</f>
        <v>1.5060240963841724E-4</v>
      </c>
      <c r="I426">
        <f ca="1">'ETF variations'!I426/'ETF price'!J427</f>
        <v>6.9921441204300549E-4</v>
      </c>
      <c r="J426">
        <f ca="1">'ETF variations'!J426/'ETF price'!K427</f>
        <v>-2.9808597427048136E-3</v>
      </c>
      <c r="K426">
        <f ca="1">'ETF variations'!K426/'ETF price'!L427</f>
        <v>-1.0615442941994051E-2</v>
      </c>
      <c r="L426">
        <f ca="1">'ETF variations'!L426/'ETF price'!M427</f>
        <v>-4.2883061190830468E-3</v>
      </c>
      <c r="M426">
        <f ca="1">'ETF variations'!M426/'ETF price'!N427</f>
        <v>-1.5936254980076511E-4</v>
      </c>
      <c r="N426">
        <f ca="1">'ETF variations'!N426/'ETF price'!O427</f>
        <v>9.0991810737033347E-3</v>
      </c>
      <c r="O426">
        <f ca="1">'ETF variations'!O426/'ETF price'!P427</f>
        <v>-7.5285007528501056E-3</v>
      </c>
      <c r="P426">
        <f ca="1">'ETF variations'!P426/'ETF price'!Q427</f>
        <v>-8.0738177623991634E-3</v>
      </c>
      <c r="Q426">
        <f ca="1">'ETF variations'!Q426/'ETF price'!R427</f>
        <v>-5.8565153733527303E-3</v>
      </c>
      <c r="R426">
        <f ca="1">'ETF variations'!R426/'ETF price'!S427</f>
        <v>7.5391455635028144E-3</v>
      </c>
      <c r="S426">
        <f ca="1">'ETF variations'!S426/'ETF price'!T427</f>
        <v>3.1620553359683118E-3</v>
      </c>
      <c r="T426">
        <f ca="1">'ETF variations'!T426/'ETF price'!U427</f>
        <v>-2.5094102885816837E-4</v>
      </c>
      <c r="U426">
        <f ca="1">'ETF variations'!U426/'ETF price'!V427</f>
        <v>-2.0602218700475468E-2</v>
      </c>
      <c r="V426">
        <f ca="1">'ETF variations'!V426/'ETF price'!W427</f>
        <v>0</v>
      </c>
      <c r="W426">
        <f ca="1">'ETF variations'!W426/'ETF price'!X427</f>
        <v>-1.9020446980505324E-3</v>
      </c>
      <c r="X426">
        <f ca="1">'ETF variations'!X426/'ETF price'!Y427</f>
        <v>-1.1165930927031933E-2</v>
      </c>
      <c r="Y426">
        <f ca="1">'ETF variations'!Y426/'ETF price'!Z427</f>
        <v>-2.8281270086131E-3</v>
      </c>
      <c r="Z426">
        <f ca="1">'ETF variations'!Z426/'ETF price'!AA427</f>
        <v>-1.00982532751091E-2</v>
      </c>
      <c r="AA426">
        <f ca="1">'ETF variations'!AA426/'ETF price'!AB427</f>
        <v>-1.2144821264894618E-2</v>
      </c>
      <c r="AB426">
        <f ca="1">'ETF variations'!AB426/'ETF price'!AC427</f>
        <v>1.8409425625920733E-3</v>
      </c>
      <c r="AC426">
        <f ca="1">'ETF variations'!AC426/'ETF price'!AD427</f>
        <v>3.0706243602867081E-3</v>
      </c>
      <c r="AD426">
        <f ca="1">'ETF variations'!AD426/'ETF price'!AE427</f>
        <v>3.7369207772794417E-3</v>
      </c>
      <c r="AE426">
        <f ca="1">'ETF variations'!AE426/'ETF price'!AF427</f>
        <v>-1.6835016835016925E-2</v>
      </c>
      <c r="AF426">
        <f ca="1">'ETF variations'!AF426/'ETF price'!AG427</f>
        <v>-2.5994486018117373E-2</v>
      </c>
    </row>
    <row r="427" spans="1:32" x14ac:dyDescent="0.2">
      <c r="A427">
        <f ca="1">'ETF variations'!A427/'ETF price'!B428</f>
        <v>7.2527343978476292E-3</v>
      </c>
      <c r="B427">
        <f ca="1">'ETF variations'!B427/'ETF price'!C428</f>
        <v>7.0033857427762667E-3</v>
      </c>
      <c r="C427">
        <f ca="1">'ETF variations'!C427/'ETF price'!D428</f>
        <v>-1.1988196237550301E-3</v>
      </c>
      <c r="D427">
        <f ca="1">'ETF variations'!D427/'ETF price'!E428</f>
        <v>7.1345813769131501E-3</v>
      </c>
      <c r="E427">
        <f ca="1">'ETF variations'!E427/'ETF price'!F428</f>
        <v>3.2343987823438849E-3</v>
      </c>
      <c r="F427">
        <f ca="1">'ETF variations'!F427/'ETF price'!G428</f>
        <v>6.2426843542723433E-3</v>
      </c>
      <c r="G427">
        <f ca="1">'ETF variations'!G427/'ETF price'!H428</f>
        <v>4.7449584816133253E-3</v>
      </c>
      <c r="H427">
        <f ca="1">'ETF variations'!H427/'ETF price'!I428</f>
        <v>3.1621743713297389E-3</v>
      </c>
      <c r="I427">
        <f ca="1">'ETF variations'!I427/'ETF price'!J428</f>
        <v>1.3152486642005474E-3</v>
      </c>
      <c r="J427">
        <f ca="1">'ETF variations'!J427/'ETF price'!K428</f>
        <v>3.7765538945712354E-3</v>
      </c>
      <c r="K427">
        <f ca="1">'ETF variations'!K427/'ETF price'!L428</f>
        <v>-1.0218418699707817E-3</v>
      </c>
      <c r="L427">
        <f ca="1">'ETF variations'!L427/'ETF price'!M428</f>
        <v>-3.312903760145109E-4</v>
      </c>
      <c r="M427">
        <f ca="1">'ETF variations'!M427/'ETF price'!N428</f>
        <v>1.7532674529805456E-3</v>
      </c>
      <c r="N427">
        <f ca="1">'ETF variations'!N427/'ETF price'!O428</f>
        <v>-5.4102795311091519E-3</v>
      </c>
      <c r="O427">
        <f ca="1">'ETF variations'!O427/'ETF price'!P428</f>
        <v>1.1703511053315976E-2</v>
      </c>
      <c r="P427">
        <f ca="1">'ETF variations'!P427/'ETF price'!Q428</f>
        <v>1.1782945736434187E-2</v>
      </c>
      <c r="Q427">
        <f ca="1">'ETF variations'!Q427/'ETF price'!R428</f>
        <v>1.4113892979872256E-2</v>
      </c>
      <c r="R427">
        <f ca="1">'ETF variations'!R427/'ETF price'!S428</f>
        <v>3.4151957022256353E-2</v>
      </c>
      <c r="S427">
        <f ca="1">'ETF variations'!S427/'ETF price'!T428</f>
        <v>8.2742316784870321E-3</v>
      </c>
      <c r="T427">
        <f ca="1">'ETF variations'!T427/'ETF price'!U428</f>
        <v>1.8072289156626477E-2</v>
      </c>
      <c r="U427">
        <f ca="1">'ETF variations'!U427/'ETF price'!V428</f>
        <v>2.6609133405249983E-2</v>
      </c>
      <c r="V427">
        <f ca="1">'ETF variations'!V427/'ETF price'!W428</f>
        <v>9.2245603920438259E-3</v>
      </c>
      <c r="W427">
        <f ca="1">'ETF variations'!W427/'ETF price'!X428</f>
        <v>1.0242972844211523E-2</v>
      </c>
      <c r="X427">
        <f ca="1">'ETF variations'!X427/'ETF price'!Y428</f>
        <v>1.6018907563025195E-2</v>
      </c>
      <c r="Y427">
        <f ca="1">'ETF variations'!Y427/'ETF price'!Z428</f>
        <v>1.3149413433028365E-2</v>
      </c>
      <c r="Z427">
        <f ca="1">'ETF variations'!Z427/'ETF price'!AA428</f>
        <v>1.819685690653423E-2</v>
      </c>
      <c r="AA427">
        <f ca="1">'ETF variations'!AA427/'ETF price'!AB428</f>
        <v>1.9717003015541672E-2</v>
      </c>
      <c r="AB427">
        <f ca="1">'ETF variations'!AB427/'ETF price'!AC428</f>
        <v>-3.1238515251745995E-3</v>
      </c>
      <c r="AC427">
        <f ca="1">'ETF variations'!AC427/'ETF price'!AD428</f>
        <v>2.1428571428571332E-2</v>
      </c>
      <c r="AD427">
        <f ca="1">'ETF variations'!AD427/'ETF price'!AE428</f>
        <v>2.0104244229337272E-2</v>
      </c>
      <c r="AE427">
        <f ca="1">'ETF variations'!AE427/'ETF price'!AF428</f>
        <v>-3.4246575342465023E-3</v>
      </c>
      <c r="AF427">
        <f ca="1">'ETF variations'!AF427/'ETF price'!AG428</f>
        <v>4.6906591184795801E-2</v>
      </c>
    </row>
    <row r="428" spans="1:32" x14ac:dyDescent="0.2">
      <c r="A428">
        <f ca="1">'ETF variations'!A428/'ETF price'!B429</f>
        <v>-1.9220718889727671E-2</v>
      </c>
      <c r="B428">
        <f ca="1">'ETF variations'!B428/'ETF price'!C429</f>
        <v>-1.8192704495210099E-2</v>
      </c>
      <c r="C428">
        <f ca="1">'ETF variations'!C428/'ETF price'!D429</f>
        <v>-1.6988274397562585E-2</v>
      </c>
      <c r="D428">
        <f ca="1">'ETF variations'!D428/'ETF price'!E429</f>
        <v>-2.8820537660450417E-2</v>
      </c>
      <c r="E428">
        <f ca="1">'ETF variations'!E428/'ETF price'!F429</f>
        <v>-1.3844111511473486E-2</v>
      </c>
      <c r="F428">
        <f ca="1">'ETF variations'!F428/'ETF price'!G429</f>
        <v>-1.4346645986816496E-2</v>
      </c>
      <c r="G428">
        <f ca="1">'ETF variations'!G428/'ETF price'!H429</f>
        <v>-8.6580086580086129E-3</v>
      </c>
      <c r="H428">
        <f ca="1">'ETF variations'!H428/'ETF price'!I429</f>
        <v>-7.8805163614531024E-3</v>
      </c>
      <c r="I428">
        <f ca="1">'ETF variations'!I428/'ETF price'!J429</f>
        <v>-7.1422707495279909E-3</v>
      </c>
      <c r="J428">
        <f ca="1">'ETF variations'!J428/'ETF price'!K429</f>
        <v>-7.6030725819093816E-3</v>
      </c>
      <c r="K428">
        <f ca="1">'ETF variations'!K428/'ETF price'!L429</f>
        <v>-1.4064697609001335E-2</v>
      </c>
      <c r="L428">
        <f ca="1">'ETF variations'!L428/'ETF price'!M429</f>
        <v>-2.1043910521955311E-2</v>
      </c>
      <c r="M428">
        <f ca="1">'ETF variations'!M428/'ETF price'!N429</f>
        <v>-1.0978520286396258E-2</v>
      </c>
      <c r="N428">
        <f ca="1">'ETF variations'!N428/'ETF price'!O429</f>
        <v>-1.2692656391659002E-2</v>
      </c>
      <c r="O428">
        <f ca="1">'ETF variations'!O428/'ETF price'!P429</f>
        <v>-1.4460154241645184E-2</v>
      </c>
      <c r="P428">
        <f ca="1">'ETF variations'!P428/'ETF price'!Q429</f>
        <v>-1.2488507508428009E-2</v>
      </c>
      <c r="Q428">
        <f ca="1">'ETF variations'!Q428/'ETF price'!R429</f>
        <v>-1.113397071281619E-2</v>
      </c>
      <c r="R428">
        <f ca="1">'ETF variations'!R428/'ETF price'!S429</f>
        <v>-1.0575139146567724E-2</v>
      </c>
      <c r="S428">
        <f ca="1">'ETF variations'!S428/'ETF price'!T429</f>
        <v>-2.3446658851113216E-3</v>
      </c>
      <c r="T428">
        <f ca="1">'ETF variations'!T428/'ETF price'!U429</f>
        <v>2.0956607495069245E-3</v>
      </c>
      <c r="U428">
        <f ca="1">'ETF variations'!U428/'ETF price'!V429</f>
        <v>-2.0665499124343251E-2</v>
      </c>
      <c r="V428">
        <f ca="1">'ETF variations'!V428/'ETF price'!W429</f>
        <v>-5.1413881748071898E-3</v>
      </c>
      <c r="W428">
        <f ca="1">'ETF variations'!W428/'ETF price'!X429</f>
        <v>-4.9516623437866961E-3</v>
      </c>
      <c r="X428">
        <f ca="1">'ETF variations'!X428/'ETF price'!Y429</f>
        <v>-3.6185060739209246E-3</v>
      </c>
      <c r="Y428">
        <f ca="1">'ETF variations'!Y428/'ETF price'!Z429</f>
        <v>-5.7259193281588346E-3</v>
      </c>
      <c r="Z428">
        <f ca="1">'ETF variations'!Z428/'ETF price'!AA429</f>
        <v>-3.7909558624424741E-3</v>
      </c>
      <c r="AA428">
        <f ca="1">'ETF variations'!AA428/'ETF price'!AB429</f>
        <v>-5.6869881710646039E-3</v>
      </c>
      <c r="AB428">
        <f ca="1">'ETF variations'!AB428/'ETF price'!AC429</f>
        <v>-7.5576036866358822E-3</v>
      </c>
      <c r="AC428">
        <f ca="1">'ETF variations'!AC428/'ETF price'!AD429</f>
        <v>-1.0989010989010933E-2</v>
      </c>
      <c r="AD428">
        <f ca="1">'ETF variations'!AD428/'ETF price'!AE429</f>
        <v>-9.4890510948904393E-3</v>
      </c>
      <c r="AE428">
        <f ca="1">'ETF variations'!AE428/'ETF price'!AF429</f>
        <v>-6.8728522336769819E-3</v>
      </c>
      <c r="AF428">
        <f ca="1">'ETF variations'!AF428/'ETF price'!AG429</f>
        <v>-1.969872537659334E-2</v>
      </c>
    </row>
    <row r="429" spans="1:32" x14ac:dyDescent="0.2">
      <c r="A429">
        <f ca="1">'ETF variations'!A429/'ETF price'!B430</f>
        <v>2.6642984014208916E-3</v>
      </c>
      <c r="B429">
        <f ca="1">'ETF variations'!B429/'ETF price'!C430</f>
        <v>4.0577942487217203E-3</v>
      </c>
      <c r="C429">
        <f ca="1">'ETF variations'!C429/'ETF price'!D430</f>
        <v>-1.709401709401703E-2</v>
      </c>
      <c r="D429">
        <f ca="1">'ETF variations'!D429/'ETF price'!E430</f>
        <v>3.3665835411470823E-3</v>
      </c>
      <c r="E429">
        <f ca="1">'ETF variations'!E429/'ETF price'!F430</f>
        <v>-5.7692307692309877E-4</v>
      </c>
      <c r="F429">
        <f ca="1">'ETF variations'!F429/'ETF price'!G430</f>
        <v>3.5405192761604979E-3</v>
      </c>
      <c r="G429">
        <f ca="1">'ETF variations'!G429/'ETF price'!H430</f>
        <v>-5.9547439460104056E-3</v>
      </c>
      <c r="H429">
        <f ca="1">'ETF variations'!H429/'ETF price'!I430</f>
        <v>-5.5980028746501938E-3</v>
      </c>
      <c r="I429">
        <f ca="1">'ETF variations'!I429/'ETF price'!J430</f>
        <v>-3.4314536133619321E-3</v>
      </c>
      <c r="J429">
        <f ca="1">'ETF variations'!J429/'ETF price'!K430</f>
        <v>-1.0741647579180155E-2</v>
      </c>
      <c r="K429">
        <f ca="1">'ETF variations'!K429/'ETF price'!L430</f>
        <v>-1.5043444430034971E-2</v>
      </c>
      <c r="L429">
        <f ca="1">'ETF variations'!L429/'ETF price'!M430</f>
        <v>-1.1679079214624201E-2</v>
      </c>
      <c r="M429">
        <f ca="1">'ETF variations'!M429/'ETF price'!N430</f>
        <v>-3.5392535392535212E-3</v>
      </c>
      <c r="N429">
        <f ca="1">'ETF variations'!N429/'ETF price'!O430</f>
        <v>-2.4793388429752188E-2</v>
      </c>
      <c r="O429">
        <f ca="1">'ETF variations'!O429/'ETF price'!P430</f>
        <v>1.0868383871317716E-3</v>
      </c>
      <c r="P429">
        <f ca="1">'ETF variations'!P429/'ETF price'!Q430</f>
        <v>5.7413298161223458E-3</v>
      </c>
      <c r="Q429">
        <f ca="1">'ETF variations'!Q429/'ETF price'!R430</f>
        <v>-8.9340350018356357E-3</v>
      </c>
      <c r="R429">
        <f ca="1">'ETF variations'!R429/'ETF price'!S430</f>
        <v>-1.0875679729983092E-2</v>
      </c>
      <c r="S429">
        <f ca="1">'ETF variations'!S429/'ETF price'!T430</f>
        <v>-3.916960438700181E-4</v>
      </c>
      <c r="T429">
        <f ca="1">'ETF variations'!T429/'ETF price'!U430</f>
        <v>1.9682617788165406E-3</v>
      </c>
      <c r="U429">
        <f ca="1">'ETF variations'!U429/'ETF price'!V430</f>
        <v>-3.0042918454935615E-2</v>
      </c>
      <c r="V429">
        <f ca="1">'ETF variations'!V429/'ETF price'!W430</f>
        <v>-1.7226528854434446E-3</v>
      </c>
      <c r="W429">
        <f ca="1">'ETF variations'!W429/'ETF price'!X430</f>
        <v>9.4786729857817881E-4</v>
      </c>
      <c r="X429">
        <f ca="1">'ETF variations'!X429/'ETF price'!Y430</f>
        <v>-2.075226977950706E-2</v>
      </c>
      <c r="Y429">
        <f ca="1">'ETF variations'!Y429/'ETF price'!Z430</f>
        <v>2.5595085743537606E-3</v>
      </c>
      <c r="Z429">
        <f ca="1">'ETF variations'!Z429/'ETF price'!AA430</f>
        <v>-1.6580592552323987E-2</v>
      </c>
      <c r="AA429">
        <f ca="1">'ETF variations'!AA429/'ETF price'!AB430</f>
        <v>-2.7453671928620516E-2</v>
      </c>
      <c r="AB429">
        <f ca="1">'ETF variations'!AB429/'ETF price'!AC430</f>
        <v>-1.7459138187221484E-2</v>
      </c>
      <c r="AC429">
        <f ca="1">'ETF variations'!AC429/'ETF price'!AD430</f>
        <v>1.5151515151515187E-2</v>
      </c>
      <c r="AD429">
        <f ca="1">'ETF variations'!AD429/'ETF price'!AE430</f>
        <v>1.47383935151068E-2</v>
      </c>
      <c r="AE429">
        <f ca="1">'ETF variations'!AE429/'ETF price'!AF430</f>
        <v>2.0761245674740501E-2</v>
      </c>
      <c r="AF429">
        <f ca="1">'ETF variations'!AF429/'ETF price'!AG430</f>
        <v>1.1820330969267588E-3</v>
      </c>
    </row>
    <row r="430" spans="1:32" x14ac:dyDescent="0.2">
      <c r="A430">
        <f ca="1">'ETF variations'!A430/'ETF price'!B431</f>
        <v>-5.3144375553589257E-4</v>
      </c>
      <c r="B430">
        <f ca="1">'ETF variations'!B430/'ETF price'!C431</f>
        <v>-1.7754105636928327E-3</v>
      </c>
      <c r="C430">
        <f ca="1">'ETF variations'!C430/'ETF price'!D431</f>
        <v>2.1022455805064389E-3</v>
      </c>
      <c r="D430">
        <f ca="1">'ETF variations'!D430/'ETF price'!E431</f>
        <v>-8.3882192121287093E-3</v>
      </c>
      <c r="E430">
        <f ca="1">'ETF variations'!E430/'ETF price'!F431</f>
        <v>-3.0786992495669924E-3</v>
      </c>
      <c r="F430">
        <f ca="1">'ETF variations'!F430/'ETF price'!G431</f>
        <v>-5.4880439043512568E-3</v>
      </c>
      <c r="G430">
        <f ca="1">'ETF variations'!G430/'ETF price'!H431</f>
        <v>-1.1980830670925552E-3</v>
      </c>
      <c r="H430">
        <f ca="1">'ETF variations'!H430/'ETF price'!I431</f>
        <v>8.3682008368211218E-4</v>
      </c>
      <c r="I430">
        <f ca="1">'ETF variations'!I430/'ETF price'!J431</f>
        <v>6.2227753578086398E-4</v>
      </c>
      <c r="J430">
        <f ca="1">'ETF variations'!J430/'ETF price'!K431</f>
        <v>3.6726546906187124E-3</v>
      </c>
      <c r="K430">
        <f ca="1">'ETF variations'!K430/'ETF price'!L431</f>
        <v>5.2666227781424677E-4</v>
      </c>
      <c r="L430">
        <f ca="1">'ETF variations'!L430/'ETF price'!M431</f>
        <v>6.8504880972769062E-3</v>
      </c>
      <c r="M430">
        <f ca="1">'ETF variations'!M430/'ETF price'!N431</f>
        <v>1.2915724895060608E-3</v>
      </c>
      <c r="N430">
        <f ca="1">'ETF variations'!N430/'ETF price'!O431</f>
        <v>-3.7664783427494492E-3</v>
      </c>
      <c r="O430">
        <f ca="1">'ETF variations'!O430/'ETF price'!P431</f>
        <v>-9.3366626859190029E-3</v>
      </c>
      <c r="P430">
        <f ca="1">'ETF variations'!P430/'ETF price'!Q431</f>
        <v>-9.1028311347682387E-3</v>
      </c>
      <c r="Q430">
        <f ca="1">'ETF variations'!Q430/'ETF price'!R431</f>
        <v>-8.6441096567062715E-4</v>
      </c>
      <c r="R430">
        <f ca="1">'ETF variations'!R430/'ETF price'!S431</f>
        <v>-6.8246445497630228E-3</v>
      </c>
      <c r="S430">
        <f ca="1">'ETF variations'!S430/'ETF price'!T431</f>
        <v>7.836990595611118E-4</v>
      </c>
      <c r="T430">
        <f ca="1">'ETF variations'!T430/'ETF price'!U431</f>
        <v>6.1387354205030267E-4</v>
      </c>
      <c r="U430">
        <f ca="1">'ETF variations'!U430/'ETF price'!V431</f>
        <v>6.6371681415929099E-3</v>
      </c>
      <c r="V430">
        <f ca="1">'ETF variations'!V430/'ETF price'!W431</f>
        <v>-1.150417026172167E-3</v>
      </c>
      <c r="W430">
        <f ca="1">'ETF variations'!W430/'ETF price'!X431</f>
        <v>-1.5388257575758718E-3</v>
      </c>
      <c r="X430">
        <f ca="1">'ETF variations'!X430/'ETF price'!Y431</f>
        <v>-3.9735099337747971E-3</v>
      </c>
      <c r="Y430">
        <f ca="1">'ETF variations'!Y430/'ETF price'!Z431</f>
        <v>-1.2764871074808675E-4</v>
      </c>
      <c r="Z430">
        <f ca="1">'ETF variations'!Z430/'ETF price'!AA431</f>
        <v>-5.2515201768932483E-3</v>
      </c>
      <c r="AA430">
        <f ca="1">'ETF variations'!AA430/'ETF price'!AB431</f>
        <v>-2.3523876734886243E-3</v>
      </c>
      <c r="AB430">
        <f ca="1">'ETF variations'!AB430/'ETF price'!AC431</f>
        <v>-7.7504725897919961E-3</v>
      </c>
      <c r="AC430">
        <f ca="1">'ETF variations'!AC430/'ETF price'!AD431</f>
        <v>1.4925373134328216E-2</v>
      </c>
      <c r="AD430">
        <f ca="1">'ETF variations'!AD430/'ETF price'!AE431</f>
        <v>1.5976761074800339E-2</v>
      </c>
      <c r="AE430">
        <f ca="1">'ETF variations'!AE430/'ETF price'!AF431</f>
        <v>-6.7796610169491584E-3</v>
      </c>
      <c r="AF430">
        <f ca="1">'ETF variations'!AF430/'ETF price'!AG431</f>
        <v>-2.2825659189295626E-2</v>
      </c>
    </row>
    <row r="431" spans="1:32" x14ac:dyDescent="0.2">
      <c r="A431">
        <f ca="1">'ETF variations'!A431/'ETF price'!B432</f>
        <v>-1.5715467328370536E-2</v>
      </c>
      <c r="B431">
        <f ca="1">'ETF variations'!B431/'ETF price'!C432</f>
        <v>-1.4719992511291616E-2</v>
      </c>
      <c r="C431">
        <f ca="1">'ETF variations'!C431/'ETF price'!D432</f>
        <v>4.1956708305520901E-3</v>
      </c>
      <c r="D431">
        <f ca="1">'ETF variations'!D431/'ETF price'!E432</f>
        <v>-1.64170687386428E-2</v>
      </c>
      <c r="E431">
        <f ca="1">'ETF variations'!E431/'ETF price'!F432</f>
        <v>1.7371163867978441E-3</v>
      </c>
      <c r="F431">
        <f ca="1">'ETF variations'!F431/'ETF price'!G432</f>
        <v>-1.1036657469452153E-2</v>
      </c>
      <c r="G431">
        <f ca="1">'ETF variations'!G431/'ETF price'!H432</f>
        <v>-4.7980807676929627E-3</v>
      </c>
      <c r="H431">
        <f ca="1">'ETF variations'!H431/'ETF price'!I432</f>
        <v>7.6010945576093837E-5</v>
      </c>
      <c r="I431">
        <f ca="1">'ETF variations'!I431/'ETF price'!J432</f>
        <v>-9.1210613598672837E-4</v>
      </c>
      <c r="J431">
        <f ca="1">'ETF variations'!J431/'ETF price'!K432</f>
        <v>-8.5912019727945148E-3</v>
      </c>
      <c r="K431">
        <f ca="1">'ETF variations'!K431/'ETF price'!L432</f>
        <v>-2.1713383339913035E-2</v>
      </c>
      <c r="L431">
        <f ca="1">'ETF variations'!L431/'ETF price'!M432</f>
        <v>-5.2730056131995622E-3</v>
      </c>
      <c r="M431">
        <f ca="1">'ETF variations'!M431/'ETF price'!N432</f>
        <v>-1.1286681715575665E-3</v>
      </c>
      <c r="N431">
        <f ca="1">'ETF variations'!N431/'ETF price'!O432</f>
        <v>-9.4517958412097969E-3</v>
      </c>
      <c r="O431">
        <f ca="1">'ETF variations'!O431/'ETF price'!P432</f>
        <v>-9.315068493150622E-3</v>
      </c>
      <c r="P431">
        <f ca="1">'ETF variations'!P431/'ETF price'!Q432</f>
        <v>-9.0307512650835541E-3</v>
      </c>
      <c r="Q431">
        <f ca="1">'ETF variations'!Q431/'ETF price'!R432</f>
        <v>-1.0505499938202871E-2</v>
      </c>
      <c r="R431">
        <f ca="1">'ETF variations'!R431/'ETF price'!S432</f>
        <v>-5.1536552777248163E-3</v>
      </c>
      <c r="S431">
        <f ca="1">'ETF variations'!S431/'ETF price'!T432</f>
        <v>-8.2223962411903228E-3</v>
      </c>
      <c r="T431">
        <f ca="1">'ETF variations'!T431/'ETF price'!U432</f>
        <v>-1.6687116564417171E-2</v>
      </c>
      <c r="U431">
        <f ca="1">'ETF variations'!U431/'ETF price'!V432</f>
        <v>-1.0989010989011405E-3</v>
      </c>
      <c r="V431">
        <f ca="1">'ETF variations'!V431/'ETF price'!W432</f>
        <v>-6.9104520587386954E-3</v>
      </c>
      <c r="W431">
        <f ca="1">'ETF variations'!W431/'ETF price'!X432</f>
        <v>-6.7575577949021129E-3</v>
      </c>
      <c r="X431">
        <f ca="1">'ETF variations'!X431/'ETF price'!Y432</f>
        <v>-8.5106382978723475E-3</v>
      </c>
      <c r="Y431">
        <f ca="1">'ETF variations'!Y431/'ETF price'!Z432</f>
        <v>-6.6385803651218692E-3</v>
      </c>
      <c r="Z431">
        <f ca="1">'ETF variations'!Z431/'ETF price'!AA432</f>
        <v>1.9449847179772238E-3</v>
      </c>
      <c r="AA431">
        <f ca="1">'ETF variations'!AA431/'ETF price'!AB432</f>
        <v>-8.7243574628624726E-3</v>
      </c>
      <c r="AB431">
        <f ca="1">'ETF variations'!AB431/'ETF price'!AC432</f>
        <v>1.9051247856734885E-3</v>
      </c>
      <c r="AC431">
        <f ca="1">'ETF variations'!AC431/'ETF price'!AD432</f>
        <v>-1.8627450980392108E-2</v>
      </c>
      <c r="AD431">
        <f ca="1">'ETF variations'!AD431/'ETF price'!AE432</f>
        <v>-1.143674052894926E-2</v>
      </c>
      <c r="AE431">
        <f ca="1">'ETF variations'!AE431/'ETF price'!AF432</f>
        <v>-1.0238907849829436E-2</v>
      </c>
      <c r="AF431">
        <f ca="1">'ETF variations'!AF431/'ETF price'!AG432</f>
        <v>-2.4164317358034551E-2</v>
      </c>
    </row>
    <row r="432" spans="1:32" x14ac:dyDescent="0.2">
      <c r="A432">
        <f ca="1">'ETF variations'!A432/'ETF price'!B433</f>
        <v>-1.5246098439375704E-2</v>
      </c>
      <c r="B432">
        <f ca="1">'ETF variations'!B432/'ETF price'!C433</f>
        <v>-1.6578784855826235E-2</v>
      </c>
      <c r="C432">
        <f ca="1">'ETF variations'!C432/'ETF price'!D433</f>
        <v>-1.8231886810369403E-2</v>
      </c>
      <c r="D432">
        <f ca="1">'ETF variations'!D432/'ETF price'!E433</f>
        <v>-1.8474867809135539E-2</v>
      </c>
      <c r="E432">
        <f ca="1">'ETF variations'!E432/'ETF price'!F433</f>
        <v>-1.1175337186897848E-2</v>
      </c>
      <c r="F432">
        <f ca="1">'ETF variations'!F432/'ETF price'!G433</f>
        <v>-2.5109605420486208E-2</v>
      </c>
      <c r="G432">
        <f ca="1">'ETF variations'!G432/'ETF price'!H433</f>
        <v>-1.3258336681398225E-2</v>
      </c>
      <c r="H432">
        <f ca="1">'ETF variations'!H432/'ETF price'!I433</f>
        <v>-8.7405943604165516E-3</v>
      </c>
      <c r="I432">
        <f ca="1">'ETF variations'!I432/'ETF price'!J433</f>
        <v>-1.0166818823138803E-2</v>
      </c>
      <c r="J432">
        <f ca="1">'ETF variations'!J432/'ETF price'!K433</f>
        <v>-1.2677525475407191E-2</v>
      </c>
      <c r="K432">
        <f ca="1">'ETF variations'!K432/'ETF price'!L433</f>
        <v>-8.6090933548560733E-3</v>
      </c>
      <c r="L432">
        <f ca="1">'ETF variations'!L432/'ETF price'!M433</f>
        <v>-1.1285909712722241E-2</v>
      </c>
      <c r="M432">
        <f ca="1">'ETF variations'!M432/'ETF price'!N433</f>
        <v>-9.846650524616616E-3</v>
      </c>
      <c r="N432">
        <f ca="1">'ETF variations'!N432/'ETF price'!O433</f>
        <v>-1.6221374045801519E-2</v>
      </c>
      <c r="O432">
        <f ca="1">'ETF variations'!O432/'ETF price'!P433</f>
        <v>-1.3716814159292136E-2</v>
      </c>
      <c r="P432">
        <f ca="1">'ETF variations'!P432/'ETF price'!Q433</f>
        <v>-1.4455181082567391E-2</v>
      </c>
      <c r="Q432">
        <f ca="1">'ETF variations'!Q432/'ETF price'!R433</f>
        <v>-2.010991756182862E-2</v>
      </c>
      <c r="R432">
        <f ca="1">'ETF variations'!R432/'ETF price'!S433</f>
        <v>-2.0337682271680646E-2</v>
      </c>
      <c r="S432">
        <f ca="1">'ETF variations'!S432/'ETF price'!T433</f>
        <v>-3.1583103039872999E-3</v>
      </c>
      <c r="T432">
        <f ca="1">'ETF variations'!T432/'ETF price'!U433</f>
        <v>3.3691040678811581E-3</v>
      </c>
      <c r="U432">
        <f ca="1">'ETF variations'!U432/'ETF price'!V433</f>
        <v>-1.741840850751734E-2</v>
      </c>
      <c r="V432">
        <f ca="1">'ETF variations'!V432/'ETF price'!W433</f>
        <v>-1.6526529428819953E-2</v>
      </c>
      <c r="W432">
        <f ca="1">'ETF variations'!W432/'ETF price'!X433</f>
        <v>-1.6829792313201201E-2</v>
      </c>
      <c r="X432">
        <f ca="1">'ETF variations'!X432/'ETF price'!Y433</f>
        <v>-1.4484978540772509E-2</v>
      </c>
      <c r="Y432">
        <f ca="1">'ETF variations'!Y432/'ETF price'!Z433</f>
        <v>-1.580773679475651E-2</v>
      </c>
      <c r="Z432">
        <f ca="1">'ETF variations'!Z432/'ETF price'!AA433</f>
        <v>-3.4664448141985577E-2</v>
      </c>
      <c r="AA432">
        <f ca="1">'ETF variations'!AA432/'ETF price'!AB433</f>
        <v>-1.4509990485252127E-2</v>
      </c>
      <c r="AB432">
        <f ca="1">'ETF variations'!AB432/'ETF price'!AC433</f>
        <v>-2.0536223616657259E-2</v>
      </c>
      <c r="AC432">
        <f ca="1">'ETF variations'!AC432/'ETF price'!AD433</f>
        <v>-1.2987012987012887E-2</v>
      </c>
      <c r="AD432">
        <f ca="1">'ETF variations'!AD432/'ETF price'!AE433</f>
        <v>-1.1569052783803336E-2</v>
      </c>
      <c r="AE432">
        <f ca="1">'ETF variations'!AE432/'ETF price'!AF433</f>
        <v>-1.7241379310344768E-2</v>
      </c>
      <c r="AF432">
        <f ca="1">'ETF variations'!AF432/'ETF price'!AG433</f>
        <v>-3.4255055716054555E-2</v>
      </c>
    </row>
    <row r="433" spans="1:32" x14ac:dyDescent="0.2">
      <c r="A433">
        <f ca="1">'ETF variations'!A433/'ETF price'!B434</f>
        <v>2.1333658417651731E-3</v>
      </c>
      <c r="B433">
        <f ca="1">'ETF variations'!B433/'ETF price'!C434</f>
        <v>2.777509419379715E-3</v>
      </c>
      <c r="C433">
        <f ca="1">'ETF variations'!C433/'ETF price'!D434</f>
        <v>3.5786826578973262E-3</v>
      </c>
      <c r="D433">
        <f ca="1">'ETF variations'!D433/'ETF price'!E434</f>
        <v>8.3079119880573836E-3</v>
      </c>
      <c r="E433">
        <f ca="1">'ETF variations'!E433/'ETF price'!F434</f>
        <v>1.9485580670300099E-4</v>
      </c>
      <c r="F433">
        <f ca="1">'ETF variations'!F433/'ETF price'!G434</f>
        <v>4.4971381847914733E-3</v>
      </c>
      <c r="G433">
        <f ca="1">'ETF variations'!G433/'ETF price'!H434</f>
        <v>-2.4429967426709579E-3</v>
      </c>
      <c r="H433">
        <f ca="1">'ETF variations'!H433/'ETF price'!I434</f>
        <v>-2.0702346265908745E-3</v>
      </c>
      <c r="I433">
        <f ca="1">'ETF variations'!I433/'ETF price'!J434</f>
        <v>-2.0123254936485549E-3</v>
      </c>
      <c r="J433">
        <f ca="1">'ETF variations'!J433/'ETF price'!K434</f>
        <v>-3.9821210889881744E-3</v>
      </c>
      <c r="K433">
        <f ca="1">'ETF variations'!K433/'ETF price'!L434</f>
        <v>-1.0040705563093746E-2</v>
      </c>
      <c r="L433">
        <f ca="1">'ETF variations'!L433/'ETF price'!M434</f>
        <v>-5.7073676928398182E-3</v>
      </c>
      <c r="M433">
        <f ca="1">'ETF variations'!M433/'ETF price'!N434</f>
        <v>-3.2605151613955465E-3</v>
      </c>
      <c r="N433">
        <f ca="1">'ETF variations'!N433/'ETF price'!O434</f>
        <v>-1.2609117361784751E-2</v>
      </c>
      <c r="O433">
        <f ca="1">'ETF variations'!O433/'ETF price'!P434</f>
        <v>1.6823687752355954E-3</v>
      </c>
      <c r="P433">
        <f ca="1">'ETF variations'!P433/'ETF price'!Q434</f>
        <v>2.1522518931845038E-3</v>
      </c>
      <c r="Q433">
        <f ca="1">'ETF variations'!Q433/'ETF price'!R434</f>
        <v>-1.0197578075206921E-3</v>
      </c>
      <c r="R433">
        <f ca="1">'ETF variations'!R433/'ETF price'!S434</f>
        <v>9.5965530748138433E-3</v>
      </c>
      <c r="S433">
        <f ca="1">'ETF variations'!S433/'ETF price'!T434</f>
        <v>7.9207920792077522E-4</v>
      </c>
      <c r="T433">
        <f ca="1">'ETF variations'!T433/'ETF price'!U434</f>
        <v>2.7359781121750887E-3</v>
      </c>
      <c r="U433">
        <f ca="1">'ETF variations'!U433/'ETF price'!V434</f>
        <v>-1.4368352304534485E-2</v>
      </c>
      <c r="V433">
        <f ca="1">'ETF variations'!V433/'ETF price'!W434</f>
        <v>-7.6650943396227916E-3</v>
      </c>
      <c r="W433">
        <f ca="1">'ETF variations'!W433/'ETF price'!X434</f>
        <v>-5.8273643316742009E-3</v>
      </c>
      <c r="X433">
        <f ca="1">'ETF variations'!X433/'ETF price'!Y434</f>
        <v>-5.1714752313556022E-3</v>
      </c>
      <c r="Y433">
        <f ca="1">'ETF variations'!Y433/'ETF price'!Z434</f>
        <v>-6.6597022721337834E-3</v>
      </c>
      <c r="Z433">
        <f ca="1">'ETF variations'!Z433/'ETF price'!AA434</f>
        <v>-6.8945705257110589E-3</v>
      </c>
      <c r="AA433">
        <f ca="1">'ETF variations'!AA433/'ETF price'!AB434</f>
        <v>-6.517016654598193E-3</v>
      </c>
      <c r="AB433">
        <f ca="1">'ETF variations'!AB433/'ETF price'!AC434</f>
        <v>-7.7654824305958359E-4</v>
      </c>
      <c r="AC433">
        <f ca="1">'ETF variations'!AC433/'ETF price'!AD434</f>
        <v>-3.0364372469636777E-3</v>
      </c>
      <c r="AD433">
        <f ca="1">'ETF variations'!AD433/'ETF price'!AE434</f>
        <v>-3.6576444769568918E-3</v>
      </c>
      <c r="AE433">
        <f ca="1">'ETF variations'!AE433/'ETF price'!AF434</f>
        <v>-2.1052631578947385E-2</v>
      </c>
      <c r="AF433">
        <f ca="1">'ETF variations'!AF433/'ETF price'!AG434</f>
        <v>-3.2905982905982893E-2</v>
      </c>
    </row>
    <row r="434" spans="1:32" x14ac:dyDescent="0.2">
      <c r="A434">
        <f ca="1">'ETF variations'!A434/'ETF price'!B435</f>
        <v>3.2236481965817235E-3</v>
      </c>
      <c r="B434">
        <f ca="1">'ETF variations'!B434/'ETF price'!C435</f>
        <v>3.9740841542425815E-3</v>
      </c>
      <c r="C434">
        <f ca="1">'ETF variations'!C434/'ETF price'!D435</f>
        <v>9.4448727833460842E-3</v>
      </c>
      <c r="D434">
        <f ca="1">'ETF variations'!D434/'ETF price'!E435</f>
        <v>7.3382684261346304E-3</v>
      </c>
      <c r="E434">
        <f ca="1">'ETF variations'!E434/'ETF price'!F435</f>
        <v>-3.3119033703487575E-3</v>
      </c>
      <c r="F434">
        <f ca="1">'ETF variations'!F434/'ETF price'!G435</f>
        <v>2.0350020350020639E-3</v>
      </c>
      <c r="G434">
        <f ca="1">'ETF variations'!G434/'ETF price'!H435</f>
        <v>1.6326530612244549E-3</v>
      </c>
      <c r="H434">
        <f ca="1">'ETF variations'!H434/'ETF price'!I435</f>
        <v>5.4552439492893427E-3</v>
      </c>
      <c r="I434">
        <f ca="1">'ETF variations'!I434/'ETF price'!J435</f>
        <v>4.4948540222642013E-3</v>
      </c>
      <c r="J434">
        <f ca="1">'ETF variations'!J434/'ETF price'!K435</f>
        <v>-2.3661879895561866E-3</v>
      </c>
      <c r="K434">
        <f ca="1">'ETF variations'!K434/'ETF price'!L435</f>
        <v>-1.4802631578947347E-2</v>
      </c>
      <c r="L434">
        <f ca="1">'ETF variations'!L434/'ETF price'!M435</f>
        <v>-1.2176030614019879E-3</v>
      </c>
      <c r="M434">
        <f ca="1">'ETF variations'!M434/'ETF price'!N435</f>
        <v>5.3974484789008556E-3</v>
      </c>
      <c r="N434">
        <f ca="1">'ETF variations'!N434/'ETF price'!O435</f>
        <v>-1.0805500982318215E-2</v>
      </c>
      <c r="O434">
        <f ca="1">'ETF variations'!O434/'ETF price'!P435</f>
        <v>1.2540588959802984E-2</v>
      </c>
      <c r="P434">
        <f ca="1">'ETF variations'!P434/'ETF price'!Q435</f>
        <v>1.3999363665287982E-2</v>
      </c>
      <c r="Q434">
        <f ca="1">'ETF variations'!Q434/'ETF price'!R435</f>
        <v>7.9111905065712678E-3</v>
      </c>
      <c r="R434">
        <f ca="1">'ETF variations'!R434/'ETF price'!S435</f>
        <v>9.3113482056256837E-3</v>
      </c>
      <c r="S434">
        <f ca="1">'ETF variations'!S434/'ETF price'!T435</f>
        <v>-4.7487138899881673E-3</v>
      </c>
      <c r="T434">
        <f ca="1">'ETF variations'!T434/'ETF price'!U435</f>
        <v>-2.9765595932034592E-3</v>
      </c>
      <c r="U434">
        <f ca="1">'ETF variations'!U434/'ETF price'!V435</f>
        <v>-4.7330556607345703E-3</v>
      </c>
      <c r="V434">
        <f ca="1">'ETF variations'!V434/'ETF price'!W435</f>
        <v>2.3767082590613609E-3</v>
      </c>
      <c r="W434">
        <f ca="1">'ETF variations'!W434/'ETF price'!X435</f>
        <v>1.9538405177676956E-3</v>
      </c>
      <c r="X434">
        <f ca="1">'ETF variations'!X434/'ETF price'!Y435</f>
        <v>1.2038303693570585E-2</v>
      </c>
      <c r="Y434">
        <f ca="1">'ETF variations'!Y434/'ETF price'!Z435</f>
        <v>3.0235309583279083E-3</v>
      </c>
      <c r="Z434">
        <f ca="1">'ETF variations'!Z434/'ETF price'!AA435</f>
        <v>-1.7356089094591343E-3</v>
      </c>
      <c r="AA434">
        <f ca="1">'ETF variations'!AA434/'ETF price'!AB435</f>
        <v>1.4334305150631766E-2</v>
      </c>
      <c r="AB434">
        <f ca="1">'ETF variations'!AB434/'ETF price'!AC435</f>
        <v>7.7715173887701302E-3</v>
      </c>
      <c r="AC434">
        <f ca="1">'ETF variations'!AC434/'ETF price'!AD435</f>
        <v>-6.0913705583756856E-3</v>
      </c>
      <c r="AD434">
        <f ca="1">'ETF variations'!AD434/'ETF price'!AE435</f>
        <v>-7.3421439060205327E-3</v>
      </c>
      <c r="AE434">
        <f ca="1">'ETF variations'!AE434/'ETF price'!AF435</f>
        <v>-1.4336917562724026E-2</v>
      </c>
      <c r="AF434">
        <f ca="1">'ETF variations'!AF434/'ETF price'!AG435</f>
        <v>0</v>
      </c>
    </row>
    <row r="435" spans="1:32" x14ac:dyDescent="0.2">
      <c r="A435">
        <f ca="1">'ETF variations'!A435/'ETF price'!B436</f>
        <v>-1.8006547835576567E-2</v>
      </c>
      <c r="B435">
        <f ca="1">'ETF variations'!B435/'ETF price'!C436</f>
        <v>-1.7848574992802988E-2</v>
      </c>
      <c r="C435">
        <f ca="1">'ETF variations'!C435/'ETF price'!D436</f>
        <v>1.7185411495131452E-3</v>
      </c>
      <c r="D435">
        <f ca="1">'ETF variations'!D435/'ETF price'!E436</f>
        <v>-2.1662726052783018E-2</v>
      </c>
      <c r="E435">
        <f ca="1">'ETF variations'!E435/'ETF price'!F436</f>
        <v>-1.0555121188428444E-2</v>
      </c>
      <c r="F435">
        <f ca="1">'ETF variations'!F435/'ETF price'!G436</f>
        <v>-2.0308692120227456E-2</v>
      </c>
      <c r="G435">
        <f ca="1">'ETF variations'!G435/'ETF price'!H436</f>
        <v>-1.140994295028515E-2</v>
      </c>
      <c r="H435">
        <f ca="1">'ETF variations'!H435/'ETF price'!I436</f>
        <v>-8.4823475469968934E-3</v>
      </c>
      <c r="I435">
        <f ca="1">'ETF variations'!I435/'ETF price'!J436</f>
        <v>-6.858481097357037E-3</v>
      </c>
      <c r="J435">
        <f ca="1">'ETF variations'!J435/'ETF price'!K436</f>
        <v>2.208227692811076E-3</v>
      </c>
      <c r="K435">
        <f ca="1">'ETF variations'!K435/'ETF price'!L436</f>
        <v>1.8503060656649948E-2</v>
      </c>
      <c r="L435">
        <f ca="1">'ETF variations'!L435/'ETF price'!M436</f>
        <v>1.0449320794147538E-3</v>
      </c>
      <c r="M435">
        <f ca="1">'ETF variations'!M435/'ETF price'!N436</f>
        <v>-7.4833251992842175E-3</v>
      </c>
      <c r="N435">
        <f ca="1">'ETF variations'!N435/'ETF price'!O436</f>
        <v>9.9304865938428855E-4</v>
      </c>
      <c r="O435">
        <f ca="1">'ETF variations'!O435/'ETF price'!P436</f>
        <v>-5.7503041026209243E-3</v>
      </c>
      <c r="P435">
        <f ca="1">'ETF variations'!P435/'ETF price'!Q436</f>
        <v>-5.4910574207719075E-3</v>
      </c>
      <c r="Q435">
        <f ca="1">'ETF variations'!Q435/'ETF price'!R436</f>
        <v>-1.4432206608431456E-2</v>
      </c>
      <c r="R435">
        <f ca="1">'ETF variations'!R435/'ETF price'!S436</f>
        <v>-1.9027484143763252E-2</v>
      </c>
      <c r="S435">
        <f ca="1">'ETF variations'!S435/'ETF price'!T436</f>
        <v>-1.1928429423458285E-3</v>
      </c>
      <c r="T435">
        <f ca="1">'ETF variations'!T435/'ETF price'!U436</f>
        <v>6.0952854832689992E-3</v>
      </c>
      <c r="U435">
        <f ca="1">'ETF variations'!U435/'ETF price'!V436</f>
        <v>-1.5788472512839991E-2</v>
      </c>
      <c r="V435">
        <f ca="1">'ETF variations'!V435/'ETF price'!W436</f>
        <v>-1.3337285121517569E-2</v>
      </c>
      <c r="W435">
        <f ca="1">'ETF variations'!W435/'ETF price'!X436</f>
        <v>-1.4015843997562359E-2</v>
      </c>
      <c r="X435">
        <f ca="1">'ETF variations'!X435/'ETF price'!Y436</f>
        <v>-1.6761286834279656E-2</v>
      </c>
      <c r="Y435">
        <f ca="1">'ETF variations'!Y435/'ETF price'!Z436</f>
        <v>-1.9003931847968582E-2</v>
      </c>
      <c r="Z435">
        <f ca="1">'ETF variations'!Z435/'ETF price'!AA436</f>
        <v>-1.7676035931614008E-2</v>
      </c>
      <c r="AA435">
        <f ca="1">'ETF variations'!AA435/'ETF price'!AB436</f>
        <v>-1.5568862275449067E-2</v>
      </c>
      <c r="AB435">
        <f ca="1">'ETF variations'!AB435/'ETF price'!AC436</f>
        <v>-6.1692693271640699E-3</v>
      </c>
      <c r="AC435">
        <f ca="1">'ETF variations'!AC435/'ETF price'!AD436</f>
        <v>-4.0858018386107408E-3</v>
      </c>
      <c r="AD435">
        <f ca="1">'ETF variations'!AD435/'ETF price'!AE436</f>
        <v>-3.6982248520709272E-3</v>
      </c>
      <c r="AE435">
        <f ca="1">'ETF variations'!AE435/'ETF price'!AF436</f>
        <v>-3.9999999999999952E-2</v>
      </c>
      <c r="AF435">
        <f ca="1">'ETF variations'!AF435/'ETF price'!AG436</f>
        <v>-1.8117543084401243E-2</v>
      </c>
    </row>
    <row r="436" spans="1:32" x14ac:dyDescent="0.2">
      <c r="A436">
        <f ca="1">'ETF variations'!A436/'ETF price'!B437</f>
        <v>1.5434957090819288E-3</v>
      </c>
      <c r="B436">
        <f ca="1">'ETF variations'!B436/'ETF price'!C437</f>
        <v>3.0776746458232728E-3</v>
      </c>
      <c r="C436">
        <f ca="1">'ETF variations'!C436/'ETF price'!D437</f>
        <v>1.2295081967213038E-2</v>
      </c>
      <c r="D436">
        <f ca="1">'ETF variations'!D436/'ETF price'!E437</f>
        <v>8.8177661659046003E-3</v>
      </c>
      <c r="E436">
        <f ca="1">'ETF variations'!E436/'ETF price'!F437</f>
        <v>8.8897668905571492E-3</v>
      </c>
      <c r="F436">
        <f ca="1">'ETF variations'!F436/'ETF price'!G437</f>
        <v>1.2023217247097808E-2</v>
      </c>
      <c r="G436">
        <f ca="1">'ETF variations'!G436/'ETF price'!H437</f>
        <v>4.946413849958674E-3</v>
      </c>
      <c r="H436">
        <f ca="1">'ETF variations'!H436/'ETF price'!I437</f>
        <v>-5.0096339113680595E-3</v>
      </c>
      <c r="I436">
        <f ca="1">'ETF variations'!I436/'ETF price'!J437</f>
        <v>-4.0424456796360935E-3</v>
      </c>
      <c r="J436">
        <f ca="1">'ETF variations'!J436/'ETF price'!K437</f>
        <v>4.6515423535171633E-3</v>
      </c>
      <c r="K436">
        <f ca="1">'ETF variations'!K436/'ETF price'!L437</f>
        <v>1.0654282201885005E-2</v>
      </c>
      <c r="L436">
        <f ca="1">'ETF variations'!L436/'ETF price'!M437</f>
        <v>9.9164926931106529E-3</v>
      </c>
      <c r="M436">
        <f ca="1">'ETF variations'!M436/'ETF price'!N437</f>
        <v>-3.2781511227666896E-3</v>
      </c>
      <c r="N436">
        <f ca="1">'ETF variations'!N436/'ETF price'!O437</f>
        <v>1.4880952380952417E-2</v>
      </c>
      <c r="O436">
        <f ca="1">'ETF variations'!O436/'ETF price'!P437</f>
        <v>2.4913802691580573E-2</v>
      </c>
      <c r="P436">
        <f ca="1">'ETF variations'!P436/'ETF price'!Q437</f>
        <v>2.5634958195298943E-2</v>
      </c>
      <c r="Q436">
        <f ca="1">'ETF variations'!Q436/'ETF price'!R437</f>
        <v>-1.2845215157342204E-4</v>
      </c>
      <c r="R436">
        <f ca="1">'ETF variations'!R436/'ETF price'!S437</f>
        <v>1.1559561128526713E-2</v>
      </c>
      <c r="S436">
        <f ca="1">'ETF variations'!S436/'ETF price'!T437</f>
        <v>5.5732484076433343E-3</v>
      </c>
      <c r="T436">
        <f ca="1">'ETF variations'!T436/'ETF price'!U437</f>
        <v>2.4975272007913087E-2</v>
      </c>
      <c r="U436">
        <f ca="1">'ETF variations'!U436/'ETF price'!V437</f>
        <v>-1.1596443757248217E-3</v>
      </c>
      <c r="V436">
        <f ca="1">'ETF variations'!V436/'ETF price'!W437</f>
        <v>-1.5019525382997045E-3</v>
      </c>
      <c r="W436">
        <f ca="1">'ETF variations'!W436/'ETF price'!X437</f>
        <v>-1.2360939431397839E-3</v>
      </c>
      <c r="X436">
        <f ca="1">'ETF variations'!X436/'ETF price'!Y437</f>
        <v>-4.1242782513059824E-3</v>
      </c>
      <c r="Y436">
        <f ca="1">'ETF variations'!Y436/'ETF price'!Z437</f>
        <v>-1.2024048096190942E-3</v>
      </c>
      <c r="Z436">
        <f ca="1">'ETF variations'!Z436/'ETF price'!AA437</f>
        <v>-8.8495575221238104E-3</v>
      </c>
      <c r="AA436">
        <f ca="1">'ETF variations'!AA436/'ETF price'!AB437</f>
        <v>-5.3527980535279527E-3</v>
      </c>
      <c r="AB436">
        <f ca="1">'ETF variations'!AB436/'ETF price'!AC437</f>
        <v>-1.0475266731328791E-2</v>
      </c>
      <c r="AC436">
        <f ca="1">'ETF variations'!AC436/'ETF price'!AD437</f>
        <v>-1.0256410256410037E-3</v>
      </c>
      <c r="AD436">
        <f ca="1">'ETF variations'!AD436/'ETF price'!AE437</f>
        <v>0</v>
      </c>
      <c r="AE436">
        <f ca="1">'ETF variations'!AE436/'ETF price'!AF437</f>
        <v>7.575757575757582E-3</v>
      </c>
      <c r="AF436">
        <f ca="1">'ETF variations'!AF436/'ETF price'!AG437</f>
        <v>1.5301530153015296E-2</v>
      </c>
    </row>
    <row r="437" spans="1:32" x14ac:dyDescent="0.2">
      <c r="A437">
        <f ca="1">'ETF variations'!A437/'ETF price'!B438</f>
        <v>7.0891382073727388E-3</v>
      </c>
      <c r="B437">
        <f ca="1">'ETF variations'!B437/'ETF price'!C438</f>
        <v>6.3556226562118462E-3</v>
      </c>
      <c r="C437">
        <f ca="1">'ETF variations'!C437/'ETF price'!D438</f>
        <v>-1.8642312399962245E-2</v>
      </c>
      <c r="D437">
        <f ca="1">'ETF variations'!D437/'ETF price'!E438</f>
        <v>1.8517319520880635E-2</v>
      </c>
      <c r="E437">
        <f ca="1">'ETF variations'!E437/'ETF price'!F438</f>
        <v>9.3988643038965519E-3</v>
      </c>
      <c r="F437">
        <f ca="1">'ETF variations'!F437/'ETF price'!G438</f>
        <v>1.2290045063498595E-2</v>
      </c>
      <c r="G437">
        <f ca="1">'ETF variations'!G437/'ETF price'!H438</f>
        <v>9.4339622641509621E-3</v>
      </c>
      <c r="H437">
        <f ca="1">'ETF variations'!H437/'ETF price'!I438</f>
        <v>4.8024786986832265E-3</v>
      </c>
      <c r="I437">
        <f ca="1">'ETF variations'!I437/'ETF price'!J438</f>
        <v>6.7647556232029672E-4</v>
      </c>
      <c r="J437">
        <f ca="1">'ETF variations'!J437/'ETF price'!K438</f>
        <v>-2.193160588091918E-3</v>
      </c>
      <c r="K437">
        <f ca="1">'ETF variations'!K437/'ETF price'!L438</f>
        <v>-2.9733747803757111E-3</v>
      </c>
      <c r="L437">
        <f ca="1">'ETF variations'!L437/'ETF price'!M438</f>
        <v>-9.4745908699396583E-3</v>
      </c>
      <c r="M437">
        <f ca="1">'ETF variations'!M437/'ETF price'!N438</f>
        <v>4.4400592007892781E-3</v>
      </c>
      <c r="N437">
        <f ca="1">'ETF variations'!N437/'ETF price'!O438</f>
        <v>-4.8875855327468925E-3</v>
      </c>
      <c r="O437">
        <f ca="1">'ETF variations'!O437/'ETF price'!P438</f>
        <v>1.0851871947910397E-3</v>
      </c>
      <c r="P437">
        <f ca="1">'ETF variations'!P437/'ETF price'!Q438</f>
        <v>-5.6140890563715282E-3</v>
      </c>
      <c r="Q437">
        <f ca="1">'ETF variations'!Q437/'ETF price'!R438</f>
        <v>1.0791366906474864E-2</v>
      </c>
      <c r="R437">
        <f ca="1">'ETF variations'!R437/'ETF price'!S438</f>
        <v>1.8012783265543283E-2</v>
      </c>
      <c r="S437">
        <f ca="1">'ETF variations'!S437/'ETF price'!T438</f>
        <v>-1.1876484560570521E-3</v>
      </c>
      <c r="T437">
        <f ca="1">'ETF variations'!T437/'ETF price'!U438</f>
        <v>-1.6043425814234166E-2</v>
      </c>
      <c r="U437">
        <f ca="1">'ETF variations'!U437/'ETF price'!V438</f>
        <v>3.2894736842105595E-3</v>
      </c>
      <c r="V437">
        <f ca="1">'ETF variations'!V437/'ETF price'!W438</f>
        <v>7.2202166064980408E-3</v>
      </c>
      <c r="W437">
        <f ca="1">'ETF variations'!W437/'ETF price'!X438</f>
        <v>9.9009900990096908E-4</v>
      </c>
      <c r="X437">
        <f ca="1">'ETF variations'!X437/'ETF price'!Y438</f>
        <v>1.0767531750414151E-2</v>
      </c>
      <c r="Y437">
        <f ca="1">'ETF variations'!Y437/'ETF price'!Z438</f>
        <v>7.2231139646868918E-3</v>
      </c>
      <c r="Z437">
        <f ca="1">'ETF variations'!Z437/'ETF price'!AA438</f>
        <v>1.0416666666666708E-2</v>
      </c>
      <c r="AA437">
        <f ca="1">'ETF variations'!AA437/'ETF price'!AB438</f>
        <v>1.0029354207436315E-2</v>
      </c>
      <c r="AB437">
        <f ca="1">'ETF variations'!AB437/'ETF price'!AC438</f>
        <v>-1.9800039207998395E-2</v>
      </c>
      <c r="AC437">
        <f ca="1">'ETF variations'!AC437/'ETF price'!AD438</f>
        <v>3.5934291581108793E-2</v>
      </c>
      <c r="AD437">
        <f ca="1">'ETF variations'!AD437/'ETF price'!AE438</f>
        <v>3.6377134372680045E-2</v>
      </c>
      <c r="AE437">
        <f ca="1">'ETF variations'!AE437/'ETF price'!AF438</f>
        <v>-1.5037593984962419E-2</v>
      </c>
      <c r="AF437">
        <f ca="1">'ETF variations'!AF437/'ETF price'!AG438</f>
        <v>3.7234042553191488E-2</v>
      </c>
    </row>
    <row r="438" spans="1:32" x14ac:dyDescent="0.2">
      <c r="A438">
        <f ca="1">'ETF variations'!A438/'ETF price'!B439</f>
        <v>3.4278019220175199E-3</v>
      </c>
      <c r="B438">
        <f ca="1">'ETF variations'!B438/'ETF price'!C439</f>
        <v>3.9441527330800578E-3</v>
      </c>
      <c r="C438">
        <f ca="1">'ETF variations'!C438/'ETF price'!D439</f>
        <v>1.3719658447663749E-2</v>
      </c>
      <c r="D438">
        <f ca="1">'ETF variations'!D438/'ETF price'!E439</f>
        <v>3.6234187273535895E-3</v>
      </c>
      <c r="E438">
        <f ca="1">'ETF variations'!E438/'ETF price'!F439</f>
        <v>9.6993210475275005E-4</v>
      </c>
      <c r="F438">
        <f ca="1">'ETF variations'!F438/'ETF price'!G439</f>
        <v>4.0469445568587655E-4</v>
      </c>
      <c r="G438">
        <f ca="1">'ETF variations'!G438/'ETF price'!H439</f>
        <v>1.2190166598943981E-3</v>
      </c>
      <c r="H438">
        <f ca="1">'ETF variations'!H438/'ETF price'!I439</f>
        <v>-7.5547332716619621E-3</v>
      </c>
      <c r="I438">
        <f ca="1">'ETF variations'!I438/'ETF price'!J439</f>
        <v>-6.6756802433666235E-3</v>
      </c>
      <c r="J438">
        <f ca="1">'ETF variations'!J438/'ETF price'!K439</f>
        <v>-4.4773689352002374E-3</v>
      </c>
      <c r="K438">
        <f ca="1">'ETF variations'!K438/'ETF price'!L439</f>
        <v>-1.0166734444896301E-2</v>
      </c>
      <c r="L438">
        <f ca="1">'ETF variations'!L438/'ETF price'!M439</f>
        <v>-8.000000000000014E-3</v>
      </c>
      <c r="M438">
        <f ca="1">'ETF variations'!M438/'ETF price'!N439</f>
        <v>-8.1859855926653576E-3</v>
      </c>
      <c r="N438">
        <f ca="1">'ETF variations'!N438/'ETF price'!O439</f>
        <v>-9.8231827111982194E-4</v>
      </c>
      <c r="O438">
        <f ca="1">'ETF variations'!O438/'ETF price'!P439</f>
        <v>-2.0162601626016255E-2</v>
      </c>
      <c r="P438">
        <f ca="1">'ETF variations'!P438/'ETF price'!Q439</f>
        <v>-1.9798917246713198E-2</v>
      </c>
      <c r="Q438">
        <f ca="1">'ETF variations'!Q438/'ETF price'!R439</f>
        <v>-1.6522623284190346E-3</v>
      </c>
      <c r="R438">
        <f ca="1">'ETF variations'!R438/'ETF price'!S439</f>
        <v>-1.1415525114155684E-3</v>
      </c>
      <c r="S438">
        <f ca="1">'ETF variations'!S438/'ETF price'!T439</f>
        <v>-1.0701545778834703E-2</v>
      </c>
      <c r="T438">
        <f ca="1">'ETF variations'!T438/'ETF price'!U439</f>
        <v>-8.7041804585018239E-3</v>
      </c>
      <c r="U438">
        <f ca="1">'ETF variations'!U438/'ETF price'!V439</f>
        <v>-1.1571841851495135E-3</v>
      </c>
      <c r="V438">
        <f ca="1">'ETF variations'!V438/'ETF price'!W439</f>
        <v>-9.2592592592591165E-3</v>
      </c>
      <c r="W438">
        <f ca="1">'ETF variations'!W438/'ETF price'!X439</f>
        <v>-6.9238377843719376E-3</v>
      </c>
      <c r="X438">
        <f ca="1">'ETF variations'!X438/'ETF price'!Y439</f>
        <v>6.5555859054903572E-3</v>
      </c>
      <c r="Y438">
        <f ca="1">'ETF variations'!Y438/'ETF price'!Z439</f>
        <v>-7.1713147410357508E-3</v>
      </c>
      <c r="Z438">
        <f ca="1">'ETF variations'!Z438/'ETF price'!AA439</f>
        <v>3.534609720176655E-3</v>
      </c>
      <c r="AA438">
        <f ca="1">'ETF variations'!AA438/'ETF price'!AB439</f>
        <v>1.1625090821022135E-2</v>
      </c>
      <c r="AB438">
        <f ca="1">'ETF variations'!AB438/'ETF price'!AC439</f>
        <v>7.3999999999999492E-3</v>
      </c>
      <c r="AC438">
        <f ca="1">'ETF variations'!AC438/'ETF price'!AD439</f>
        <v>-1.0901883052527199E-2</v>
      </c>
      <c r="AD438">
        <f ca="1">'ETF variations'!AD438/'ETF price'!AE439</f>
        <v>-1.0744985673352461E-2</v>
      </c>
      <c r="AE438">
        <f ca="1">'ETF variations'!AE438/'ETF price'!AF439</f>
        <v>1.9083969465648786E-2</v>
      </c>
      <c r="AF438">
        <f ca="1">'ETF variations'!AF438/'ETF price'!AG439</f>
        <v>-4.2735042735041829E-3</v>
      </c>
    </row>
    <row r="439" spans="1:32" x14ac:dyDescent="0.2">
      <c r="A439">
        <f ca="1">'ETF variations'!A439/'ETF price'!B440</f>
        <v>1.0736289879826699E-2</v>
      </c>
      <c r="B439">
        <f ca="1">'ETF variations'!B439/'ETF price'!C440</f>
        <v>9.2070378404436014E-3</v>
      </c>
      <c r="C439">
        <f ca="1">'ETF variations'!C439/'ETF price'!D440</f>
        <v>7.5714556123413119E-4</v>
      </c>
      <c r="D439">
        <f ca="1">'ETF variations'!D439/'ETF price'!E440</f>
        <v>5.0671395996960437E-3</v>
      </c>
      <c r="E439">
        <f ca="1">'ETF variations'!E439/'ETF price'!F440</f>
        <v>3.4883720930232501E-3</v>
      </c>
      <c r="F439">
        <f ca="1">'ETF variations'!F439/'ETF price'!G440</f>
        <v>-8.0906148867312196E-4</v>
      </c>
      <c r="G439">
        <f ca="1">'ETF variations'!G439/'ETF price'!H440</f>
        <v>-6.0876623376624238E-3</v>
      </c>
      <c r="H439">
        <f ca="1">'ETF variations'!H439/'ETF price'!I440</f>
        <v>-1.3981668479105703E-3</v>
      </c>
      <c r="I439">
        <f ca="1">'ETF variations'!I439/'ETF price'!J440</f>
        <v>-3.4878774989365938E-3</v>
      </c>
      <c r="J439">
        <f ca="1">'ETF variations'!J439/'ETF price'!K440</f>
        <v>-1.3492517785591672E-2</v>
      </c>
      <c r="K439">
        <f ca="1">'ETF variations'!K439/'ETF price'!L440</f>
        <v>-3.2456861133935776E-2</v>
      </c>
      <c r="L439">
        <f ca="1">'ETF variations'!L439/'ETF price'!M440</f>
        <v>-1.4200561009817711E-2</v>
      </c>
      <c r="M439">
        <f ca="1">'ETF variations'!M439/'ETF price'!N440</f>
        <v>-3.3014196104324159E-3</v>
      </c>
      <c r="N439">
        <f ca="1">'ETF variations'!N439/'ETF price'!O440</f>
        <v>-2.5565388397246782E-2</v>
      </c>
      <c r="O439">
        <f ca="1">'ETF variations'!O439/'ETF price'!P440</f>
        <v>-1.9913707268503122E-2</v>
      </c>
      <c r="P439">
        <f ca="1">'ETF variations'!P439/'ETF price'!Q440</f>
        <v>-2.0435537320498576E-2</v>
      </c>
      <c r="Q439">
        <f ca="1">'ETF variations'!Q439/'ETF price'!R440</f>
        <v>-1.3239974538510403E-2</v>
      </c>
      <c r="R439">
        <f ca="1">'ETF variations'!R439/'ETF price'!S440</f>
        <v>-2.7047619047619081E-2</v>
      </c>
      <c r="S439">
        <f ca="1">'ETF variations'!S439/'ETF price'!T440</f>
        <v>-7.6121794871795382E-3</v>
      </c>
      <c r="T439">
        <f ca="1">'ETF variations'!T439/'ETF price'!U440</f>
        <v>-1.8179569626514951E-2</v>
      </c>
      <c r="U439">
        <f ca="1">'ETF variations'!U439/'ETF price'!V440</f>
        <v>-4.556864259509557E-2</v>
      </c>
      <c r="V439">
        <f ca="1">'ETF variations'!V439/'ETF price'!W440</f>
        <v>-8.4413626771179112E-3</v>
      </c>
      <c r="W439">
        <f ca="1">'ETF variations'!W439/'ETF price'!X440</f>
        <v>-9.213147410358502E-3</v>
      </c>
      <c r="X439">
        <f ca="1">'ETF variations'!X439/'ETF price'!Y440</f>
        <v>-2.1709633649932274E-2</v>
      </c>
      <c r="Y439">
        <f ca="1">'ETF variations'!Y439/'ETF price'!Z440</f>
        <v>-1.2974852862493296E-2</v>
      </c>
      <c r="Z439">
        <f ca="1">'ETF variations'!Z439/'ETF price'!AA440</f>
        <v>-1.8197828001173977E-2</v>
      </c>
      <c r="AA439">
        <f ca="1">'ETF variations'!AA439/'ETF price'!AB440</f>
        <v>-2.4898252334211304E-2</v>
      </c>
      <c r="AB439">
        <f ca="1">'ETF variations'!AB439/'ETF price'!AC440</f>
        <v>6.3529878896168412E-3</v>
      </c>
      <c r="AC439">
        <f ca="1">'ETF variations'!AC439/'ETF price'!AD440</f>
        <v>3.907815631262513E-2</v>
      </c>
      <c r="AD439">
        <f ca="1">'ETF variations'!AD439/'ETF price'!AE440</f>
        <v>3.330919623461253E-2</v>
      </c>
      <c r="AE439">
        <f ca="1">'ETF variations'!AE439/'ETF price'!AF440</f>
        <v>1.8726591760299727E-2</v>
      </c>
      <c r="AF439">
        <f ca="1">'ETF variations'!AF439/'ETF price'!AG440</f>
        <v>1.0729613733905579E-2</v>
      </c>
    </row>
    <row r="440" spans="1:32" x14ac:dyDescent="0.2">
      <c r="A440">
        <f ca="1">'ETF variations'!A440/'ETF price'!B441</f>
        <v>-1.69593819783934E-2</v>
      </c>
      <c r="B440">
        <f ca="1">'ETF variations'!B440/'ETF price'!C441</f>
        <v>-1.9010317157050143E-2</v>
      </c>
      <c r="C440">
        <f ca="1">'ETF variations'!C440/'ETF price'!D441</f>
        <v>2.1089464724796711E-2</v>
      </c>
      <c r="D440">
        <f ca="1">'ETF variations'!D440/'ETF price'!E441</f>
        <v>-2.0670531888076639E-2</v>
      </c>
      <c r="E440">
        <f ca="1">'ETF variations'!E440/'ETF price'!F441</f>
        <v>-1.757435303205878E-2</v>
      </c>
      <c r="F440">
        <f ca="1">'ETF variations'!F440/'ETF price'!G441</f>
        <v>-2.2672064777327885E-2</v>
      </c>
      <c r="G440">
        <f ca="1">'ETF variations'!G440/'ETF price'!H441</f>
        <v>-1.5108207431604632E-2</v>
      </c>
      <c r="H440">
        <f ca="1">'ETF variations'!H440/'ETF price'!I441</f>
        <v>-8.8674548848786602E-3</v>
      </c>
      <c r="I440">
        <f ca="1">'ETF variations'!I440/'ETF price'!J441</f>
        <v>-9.305105002561067E-3</v>
      </c>
      <c r="J440">
        <f ca="1">'ETF variations'!J440/'ETF price'!K441</f>
        <v>-1.0941644562334278E-2</v>
      </c>
      <c r="K440">
        <f ca="1">'ETF variations'!K440/'ETF price'!L441</f>
        <v>-1.4154281670206443E-3</v>
      </c>
      <c r="L440">
        <f ca="1">'ETF variations'!L440/'ETF price'!M441</f>
        <v>-1.0848301618353182E-2</v>
      </c>
      <c r="M440">
        <f ca="1">'ETF variations'!M440/'ETF price'!N441</f>
        <v>-8.7777409738324132E-3</v>
      </c>
      <c r="N440">
        <f ca="1">'ETF variations'!N440/'ETF price'!O441</f>
        <v>-4.0363269424824339E-3</v>
      </c>
      <c r="O440">
        <f ca="1">'ETF variations'!O440/'ETF price'!P441</f>
        <v>-6.7727734507283294E-4</v>
      </c>
      <c r="P440">
        <f ca="1">'ETF variations'!P440/'ETF price'!Q441</f>
        <v>-1.0471204188482453E-3</v>
      </c>
      <c r="Q440">
        <f ca="1">'ETF variations'!Q440/'ETF price'!R441</f>
        <v>-2.7093278286673714E-3</v>
      </c>
      <c r="R440">
        <f ca="1">'ETF variations'!R440/'ETF price'!S441</f>
        <v>-1.3312451057165225E-2</v>
      </c>
      <c r="S440">
        <f ca="1">'ETF variations'!S440/'ETF price'!T441</f>
        <v>-4.4408558740411559E-3</v>
      </c>
      <c r="T440">
        <f ca="1">'ETF variations'!T440/'ETF price'!U441</f>
        <v>6.8018642146366829E-3</v>
      </c>
      <c r="U440">
        <f ca="1">'ETF variations'!U440/'ETF price'!V441</f>
        <v>-3.7224357677523696E-2</v>
      </c>
      <c r="V440">
        <f ca="1">'ETF variations'!V440/'ETF price'!W441</f>
        <v>-1.5810276679841993E-2</v>
      </c>
      <c r="W440">
        <f ca="1">'ETF variations'!W440/'ETF price'!X441</f>
        <v>-1.7341040462427688E-2</v>
      </c>
      <c r="X440">
        <f ca="1">'ETF variations'!X440/'ETF price'!Y441</f>
        <v>-2.0249653259361913E-2</v>
      </c>
      <c r="Y440">
        <f ca="1">'ETF variations'!Y440/'ETF price'!Z441</f>
        <v>-1.72110042011114E-2</v>
      </c>
      <c r="Z440">
        <f ca="1">'ETF variations'!Z440/'ETF price'!AA441</f>
        <v>-1.8236173393124049E-2</v>
      </c>
      <c r="AA440">
        <f ca="1">'ETF variations'!AA440/'ETF price'!AB441</f>
        <v>-1.9641541861036022E-2</v>
      </c>
      <c r="AB440">
        <f ca="1">'ETF variations'!AB440/'ETF price'!AC441</f>
        <v>9.4693233379365555E-3</v>
      </c>
      <c r="AC440">
        <f ca="1">'ETF variations'!AC440/'ETF price'!AD441</f>
        <v>-2.6036644165863026E-2</v>
      </c>
      <c r="AD440">
        <f ca="1">'ETF variations'!AD440/'ETF price'!AE441</f>
        <v>-2.7330063069376229E-2</v>
      </c>
      <c r="AE440">
        <f ca="1">'ETF variations'!AE440/'ETF price'!AF441</f>
        <v>4.41176470588234E-2</v>
      </c>
      <c r="AF440">
        <f ca="1">'ETF variations'!AF440/'ETF price'!AG441</f>
        <v>-7.6433121019108305E-2</v>
      </c>
    </row>
    <row r="441" spans="1:32" x14ac:dyDescent="0.2">
      <c r="A441">
        <f ca="1">'ETF variations'!A441/'ETF price'!B442</f>
        <v>1.2463163064833013E-2</v>
      </c>
      <c r="B441">
        <f ca="1">'ETF variations'!B441/'ETF price'!C442</f>
        <v>1.1539585159217084E-2</v>
      </c>
      <c r="C441">
        <f ca="1">'ETF variations'!C441/'ETF price'!D442</f>
        <v>5.5570991942205644E-3</v>
      </c>
      <c r="D441">
        <f ca="1">'ETF variations'!D441/'ETF price'!E442</f>
        <v>1.3256113256113269E-2</v>
      </c>
      <c r="E441">
        <f ca="1">'ETF variations'!E441/'ETF price'!F442</f>
        <v>1.1794770984863824E-3</v>
      </c>
      <c r="F441">
        <f ca="1">'ETF variations'!F441/'ETF price'!G442</f>
        <v>8.6992543496272091E-3</v>
      </c>
      <c r="G441">
        <f ca="1">'ETF variations'!G441/'ETF price'!H442</f>
        <v>5.8043117744610512E-3</v>
      </c>
      <c r="H441">
        <f ca="1">'ETF variations'!H441/'ETF price'!I442</f>
        <v>4.2379532255532254E-3</v>
      </c>
      <c r="I441">
        <f ca="1">'ETF variations'!I441/'ETF price'!J442</f>
        <v>2.6712623869022171E-3</v>
      </c>
      <c r="J441">
        <f ca="1">'ETF variations'!J441/'ETF price'!K442</f>
        <v>7.2075092189072551E-3</v>
      </c>
      <c r="K441">
        <f ca="1">'ETF variations'!K441/'ETF price'!L442</f>
        <v>-9.4968107725017965E-3</v>
      </c>
      <c r="L441">
        <f ca="1">'ETF variations'!L441/'ETF price'!M442</f>
        <v>5.933117583603118E-3</v>
      </c>
      <c r="M441">
        <f ca="1">'ETF variations'!M441/'ETF price'!N442</f>
        <v>2.8404344193818164E-3</v>
      </c>
      <c r="N441">
        <f ca="1">'ETF variations'!N441/'ETF price'!O442</f>
        <v>-1.1651469098277452E-2</v>
      </c>
      <c r="O441">
        <f ca="1">'ETF variations'!O441/'ETF price'!P442</f>
        <v>-3.1401784705749475E-2</v>
      </c>
      <c r="P441">
        <f ca="1">'ETF variations'!P441/'ETF price'!Q442</f>
        <v>-3.3865505563618795E-2</v>
      </c>
      <c r="Q441">
        <f ca="1">'ETF variations'!Q441/'ETF price'!R442</f>
        <v>1.1772315653298792E-2</v>
      </c>
      <c r="R441">
        <f ca="1">'ETF variations'!R441/'ETF price'!S442</f>
        <v>-8.7301587301586853E-3</v>
      </c>
      <c r="S441">
        <f ca="1">'ETF variations'!S441/'ETF price'!T442</f>
        <v>-2.7980535279805405E-2</v>
      </c>
      <c r="T441">
        <f ca="1">'ETF variations'!T441/'ETF price'!U442</f>
        <v>-5.4297510321531378E-2</v>
      </c>
      <c r="U441">
        <f ca="1">'ETF variations'!U441/'ETF price'!V442</f>
        <v>6.5139735238494466E-3</v>
      </c>
      <c r="V441">
        <f ca="1">'ETF variations'!V441/'ETF price'!W442</f>
        <v>7.4142724745135001E-3</v>
      </c>
      <c r="W441">
        <f ca="1">'ETF variations'!W441/'ETF price'!X442</f>
        <v>7.8005115089513988E-3</v>
      </c>
      <c r="X441">
        <f ca="1">'ETF variations'!X441/'ETF price'!Y442</f>
        <v>8.4937712344280054E-3</v>
      </c>
      <c r="Y441">
        <f ca="1">'ETF variations'!Y441/'ETF price'!Z442</f>
        <v>7.8599007170436757E-3</v>
      </c>
      <c r="Z441">
        <f ca="1">'ETF variations'!Z441/'ETF price'!AA442</f>
        <v>1.065773447015817E-2</v>
      </c>
      <c r="AA441">
        <f ca="1">'ETF variations'!AA441/'ETF price'!AB442</f>
        <v>9.5166541447533823E-3</v>
      </c>
      <c r="AB441">
        <f ca="1">'ETF variations'!AB441/'ETF price'!AC442</f>
        <v>-5.8628102403754422E-4</v>
      </c>
      <c r="AC441">
        <f ca="1">'ETF variations'!AC441/'ETF price'!AD442</f>
        <v>1.4851485148514887E-2</v>
      </c>
      <c r="AD441">
        <f ca="1">'ETF variations'!AD441/'ETF price'!AE442</f>
        <v>1.5129682997118088E-2</v>
      </c>
      <c r="AE441">
        <f ca="1">'ETF variations'!AE441/'ETF price'!AF442</f>
        <v>-3.1690140845070373E-2</v>
      </c>
      <c r="AF441">
        <f ca="1">'ETF variations'!AF441/'ETF price'!AG442</f>
        <v>2.4367816091954077E-2</v>
      </c>
    </row>
    <row r="442" spans="1:32" x14ac:dyDescent="0.2">
      <c r="A442">
        <f ca="1">'ETF variations'!A442/'ETF price'!B443</f>
        <v>1.3340610029713108E-3</v>
      </c>
      <c r="B442">
        <f ca="1">'ETF variations'!B442/'ETF price'!C443</f>
        <v>8.6642599277981624E-4</v>
      </c>
      <c r="C442">
        <f ca="1">'ETF variations'!C442/'ETF price'!D443</f>
        <v>2.5789813023855681E-3</v>
      </c>
      <c r="D442">
        <f ca="1">'ETF variations'!D442/'ETF price'!E443</f>
        <v>-4.8266226343199499E-3</v>
      </c>
      <c r="E442">
        <f ca="1">'ETF variations'!E442/'ETF price'!F443</f>
        <v>-2.7488709994109672E-3</v>
      </c>
      <c r="F442">
        <f ca="1">'ETF variations'!F442/'ETF price'!G443</f>
        <v>3.2854209445584513E-3</v>
      </c>
      <c r="G442">
        <f ca="1">'ETF variations'!G442/'ETF price'!H443</f>
        <v>-8.2440230832659213E-4</v>
      </c>
      <c r="H442">
        <f ca="1">'ETF variations'!H442/'ETF price'!I443</f>
        <v>5.4704595185995847E-3</v>
      </c>
      <c r="I442">
        <f ca="1">'ETF variations'!I442/'ETF price'!J443</f>
        <v>6.445513922310072E-3</v>
      </c>
      <c r="J442">
        <f ca="1">'ETF variations'!J442/'ETF price'!K443</f>
        <v>1.3313363288400683E-2</v>
      </c>
      <c r="K442">
        <f ca="1">'ETF variations'!K442/'ETF price'!L443</f>
        <v>3.2484258729250294E-2</v>
      </c>
      <c r="L442">
        <f ca="1">'ETF variations'!L442/'ETF price'!M443</f>
        <v>1.2153708668453972E-2</v>
      </c>
      <c r="M442">
        <f ca="1">'ETF variations'!M442/'ETF price'!N443</f>
        <v>7.164278573808725E-3</v>
      </c>
      <c r="N442">
        <f ca="1">'ETF variations'!N442/'ETF price'!O443</f>
        <v>1.7939518195796915E-2</v>
      </c>
      <c r="O442">
        <f ca="1">'ETF variations'!O442/'ETF price'!P443</f>
        <v>-6.1807580174927249E-3</v>
      </c>
      <c r="P442">
        <f ca="1">'ETF variations'!P442/'ETF price'!Q443</f>
        <v>-3.8390919712902169E-3</v>
      </c>
      <c r="Q442">
        <f ca="1">'ETF variations'!Q442/'ETF price'!R443</f>
        <v>-1.2146784298682888E-2</v>
      </c>
      <c r="R442">
        <f ca="1">'ETF variations'!R442/'ETF price'!S443</f>
        <v>-1.4011208967173797E-3</v>
      </c>
      <c r="S442">
        <f ca="1">'ETF variations'!S442/'ETF price'!T443</f>
        <v>-5.8406341259908462E-3</v>
      </c>
      <c r="T442">
        <f ca="1">'ETF variations'!T442/'ETF price'!U443</f>
        <v>-2.1166821008069964E-2</v>
      </c>
      <c r="U442">
        <f ca="1">'ETF variations'!U442/'ETF price'!V443</f>
        <v>-2.5887265135699417E-2</v>
      </c>
      <c r="V442">
        <f ca="1">'ETF variations'!V442/'ETF price'!W443</f>
        <v>4.599816007359662E-3</v>
      </c>
      <c r="W442">
        <f ca="1">'ETF variations'!W442/'ETF price'!X443</f>
        <v>5.8368227382311092E-3</v>
      </c>
      <c r="X442">
        <f ca="1">'ETF variations'!X442/'ETF price'!Y443</f>
        <v>1.5721504772599728E-2</v>
      </c>
      <c r="Y442">
        <f ca="1">'ETF variations'!Y442/'ETF price'!Z443</f>
        <v>5.8831577507181907E-3</v>
      </c>
      <c r="Z442">
        <f ca="1">'ETF variations'!Z442/'ETF price'!AA443</f>
        <v>7.2310937029226273E-3</v>
      </c>
      <c r="AA442">
        <f ca="1">'ETF variations'!AA442/'ETF price'!AB443</f>
        <v>1.6621185809972575E-2</v>
      </c>
      <c r="AB442">
        <f ca="1">'ETF variations'!AB442/'ETF price'!AC443</f>
        <v>1.0168165819319437E-2</v>
      </c>
      <c r="AC442">
        <f ca="1">'ETF variations'!AC442/'ETF price'!AD443</f>
        <v>-6.8292682926829546E-3</v>
      </c>
      <c r="AD442">
        <f ca="1">'ETF variations'!AD442/'ETF price'!AE443</f>
        <v>-6.3875088715400893E-3</v>
      </c>
      <c r="AE442">
        <f ca="1">'ETF variations'!AE442/'ETF price'!AF443</f>
        <v>-5.818181818181823E-2</v>
      </c>
      <c r="AF442">
        <f ca="1">'ETF variations'!AF442/'ETF price'!AG443</f>
        <v>-8.9766606822263388E-3</v>
      </c>
    </row>
    <row r="443" spans="1:32" x14ac:dyDescent="0.2">
      <c r="A443">
        <f ca="1">'ETF variations'!A443/'ETF price'!B444</f>
        <v>1.8712529522194654E-2</v>
      </c>
      <c r="B443">
        <f ca="1">'ETF variations'!B443/'ETF price'!C444</f>
        <v>2.0054826143413588E-2</v>
      </c>
      <c r="C443">
        <f ca="1">'ETF variations'!C443/'ETF price'!D444</f>
        <v>1.065686724850722E-2</v>
      </c>
      <c r="D443">
        <f ca="1">'ETF variations'!D443/'ETF price'!E444</f>
        <v>2.1442246330568054E-2</v>
      </c>
      <c r="E443">
        <f ca="1">'ETF variations'!E443/'ETF price'!F444</f>
        <v>2.4020476471746384E-2</v>
      </c>
      <c r="F443">
        <f ca="1">'ETF variations'!F443/'ETF price'!G444</f>
        <v>1.2279983626688527E-2</v>
      </c>
      <c r="G443">
        <f ca="1">'ETF variations'!G443/'ETF price'!H444</f>
        <v>1.1551155115511599E-2</v>
      </c>
      <c r="H443">
        <f ca="1">'ETF variations'!H443/'ETF price'!I444</f>
        <v>1.0492771646199241E-2</v>
      </c>
      <c r="I443">
        <f ca="1">'ETF variations'!I443/'ETF price'!J444</f>
        <v>1.0033302023738342E-2</v>
      </c>
      <c r="J443">
        <f ca="1">'ETF variations'!J443/'ETF price'!K444</f>
        <v>5.748070290688149E-3</v>
      </c>
      <c r="K443">
        <f ca="1">'ETF variations'!K443/'ETF price'!L444</f>
        <v>1.1088011088010851E-3</v>
      </c>
      <c r="L443">
        <f ca="1">'ETF variations'!L443/'ETF price'!M444</f>
        <v>4.2380363764788079E-3</v>
      </c>
      <c r="M443">
        <f ca="1">'ETF variations'!M443/'ETF price'!N444</f>
        <v>8.7675765095118936E-3</v>
      </c>
      <c r="N443">
        <f ca="1">'ETF variations'!N443/'ETF price'!O444</f>
        <v>0</v>
      </c>
      <c r="O443">
        <f ca="1">'ETF variations'!O443/'ETF price'!P444</f>
        <v>5.9845106782446039E-3</v>
      </c>
      <c r="P443">
        <f ca="1">'ETF variations'!P443/'ETF price'!Q444</f>
        <v>5.9483914209114757E-3</v>
      </c>
      <c r="Q443">
        <f ca="1">'ETF variations'!Q443/'ETF price'!R444</f>
        <v>9.448615066010739E-3</v>
      </c>
      <c r="R443">
        <f ca="1">'ETF variations'!R443/'ETF price'!S444</f>
        <v>1.8440569252355217E-2</v>
      </c>
      <c r="S443">
        <f ca="1">'ETF variations'!S443/'ETF price'!T444</f>
        <v>3.7767519932859176E-3</v>
      </c>
      <c r="T443">
        <f ca="1">'ETF variations'!T443/'ETF price'!U444</f>
        <v>2.2976077848358119E-3</v>
      </c>
      <c r="U443">
        <f ca="1">'ETF variations'!U443/'ETF price'!V444</f>
        <v>2.2931847406772402E-2</v>
      </c>
      <c r="V443">
        <f ca="1">'ETF variations'!V443/'ETF price'!W444</f>
        <v>8.5470085470085826E-3</v>
      </c>
      <c r="W443">
        <f ca="1">'ETF variations'!W443/'ETF price'!X444</f>
        <v>8.3259745174720685E-3</v>
      </c>
      <c r="X443">
        <f ca="1">'ETF variations'!X443/'ETF price'!Y444</f>
        <v>3.5931453841902311E-3</v>
      </c>
      <c r="Y443">
        <f ca="1">'ETF variations'!Y443/'ETF price'!Z444</f>
        <v>9.2491838955387224E-3</v>
      </c>
      <c r="Z443">
        <f ca="1">'ETF variations'!Z443/'ETF price'!AA444</f>
        <v>3.8887227041580186E-3</v>
      </c>
      <c r="AA443">
        <f ca="1">'ETF variations'!AA443/'ETF price'!AB444</f>
        <v>2.6842362127868849E-3</v>
      </c>
      <c r="AB443">
        <f ca="1">'ETF variations'!AB443/'ETF price'!AC444</f>
        <v>5.8072009291523688E-4</v>
      </c>
      <c r="AC443">
        <f ca="1">'ETF variations'!AC443/'ETF price'!AD444</f>
        <v>1.964636542239696E-2</v>
      </c>
      <c r="AD443">
        <f ca="1">'ETF variations'!AD443/'ETF price'!AE444</f>
        <v>2.0714285714285654E-2</v>
      </c>
      <c r="AE443">
        <f ca="1">'ETF variations'!AE443/'ETF price'!AF444</f>
        <v>1.158301158301168E-2</v>
      </c>
      <c r="AF443">
        <f ca="1">'ETF variations'!AF443/'ETF price'!AG444</f>
        <v>5.751811594202913E-2</v>
      </c>
    </row>
    <row r="444" spans="1:32" x14ac:dyDescent="0.2">
      <c r="A444">
        <f ca="1">'ETF variations'!A444/'ETF price'!B445</f>
        <v>5.1717988348591402E-3</v>
      </c>
      <c r="B444">
        <f ca="1">'ETF variations'!B444/'ETF price'!C445</f>
        <v>4.59688826025457E-3</v>
      </c>
      <c r="C444">
        <f ca="1">'ETF variations'!C444/'ETF price'!D445</f>
        <v>-2.1816198527407427E-3</v>
      </c>
      <c r="D444">
        <f ca="1">'ETF variations'!D444/'ETF price'!E445</f>
        <v>-2.4990628514307491E-3</v>
      </c>
      <c r="E444">
        <f ca="1">'ETF variations'!E444/'ETF price'!F445</f>
        <v>1.5189386656412212E-2</v>
      </c>
      <c r="F444">
        <f ca="1">'ETF variations'!F444/'ETF price'!G445</f>
        <v>-5.2567731500201779E-3</v>
      </c>
      <c r="G444">
        <f ca="1">'ETF variations'!G444/'ETF price'!H445</f>
        <v>4.0783034257755154E-4</v>
      </c>
      <c r="H444">
        <f ca="1">'ETF variations'!H444/'ETF price'!I445</f>
        <v>3.4612722098301446E-3</v>
      </c>
      <c r="I444">
        <f ca="1">'ETF variations'!I444/'ETF price'!J445</f>
        <v>2.6207887728790825E-3</v>
      </c>
      <c r="J444">
        <f ca="1">'ETF variations'!J444/'ETF price'!K445</f>
        <v>-3.5924232527759447E-3</v>
      </c>
      <c r="K444">
        <f ca="1">'ETF variations'!K444/'ETF price'!L445</f>
        <v>-7.8914578430016244E-3</v>
      </c>
      <c r="L444">
        <f ca="1">'ETF variations'!L444/'ETF price'!M445</f>
        <v>-3.8684719535783166E-3</v>
      </c>
      <c r="M444">
        <f ca="1">'ETF variations'!M444/'ETF price'!N445</f>
        <v>3.6077402427026235E-3</v>
      </c>
      <c r="N444">
        <f ca="1">'ETF variations'!N444/'ETF price'!O445</f>
        <v>-5.0352467270895198E-3</v>
      </c>
      <c r="O444">
        <f ca="1">'ETF variations'!O444/'ETF price'!P445</f>
        <v>3.3360550565729605E-2</v>
      </c>
      <c r="P444">
        <f ca="1">'ETF variations'!P444/'ETF price'!Q445</f>
        <v>3.5645873240609659E-2</v>
      </c>
      <c r="Q444">
        <f ca="1">'ETF variations'!Q444/'ETF price'!R445</f>
        <v>1.2822156686755806E-3</v>
      </c>
      <c r="R444">
        <f ca="1">'ETF variations'!R444/'ETF price'!S445</f>
        <v>1.1021452469986127E-2</v>
      </c>
      <c r="S444">
        <f ca="1">'ETF variations'!S444/'ETF price'!T445</f>
        <v>2.0903010033444816E-2</v>
      </c>
      <c r="T444">
        <f ca="1">'ETF variations'!T444/'ETF price'!U445</f>
        <v>4.0048543689320378E-2</v>
      </c>
      <c r="U444">
        <f ca="1">'ETF variations'!U444/'ETF price'!V445</f>
        <v>-1.340875759480397E-2</v>
      </c>
      <c r="V444">
        <f ca="1">'ETF variations'!V444/'ETF price'!W445</f>
        <v>6.0532687651341187E-4</v>
      </c>
      <c r="W444">
        <f ca="1">'ETF variations'!W444/'ETF price'!X445</f>
        <v>5.0043788314765468E-4</v>
      </c>
      <c r="X444">
        <f ca="1">'ETF variations'!X444/'ETF price'!Y445</f>
        <v>1.1016248967226424E-3</v>
      </c>
      <c r="Y444">
        <f ca="1">'ETF variations'!Y444/'ETF price'!Z445</f>
        <v>1.2129380053908815E-3</v>
      </c>
      <c r="Z444">
        <f ca="1">'ETF variations'!Z444/'ETF price'!AA445</f>
        <v>1.3110846245530324E-2</v>
      </c>
      <c r="AA444">
        <f ca="1">'ETF variations'!AA444/'ETF price'!AB445</f>
        <v>-4.8673643222202785E-4</v>
      </c>
      <c r="AB444">
        <f ca="1">'ETF variations'!AB444/'ETF price'!AC445</f>
        <v>-7.1580576513831972E-3</v>
      </c>
      <c r="AC444">
        <f ca="1">'ETF variations'!AC444/'ETF price'!AD445</f>
        <v>-1.5414258188824675E-2</v>
      </c>
      <c r="AD444">
        <f ca="1">'ETF variations'!AD444/'ETF price'!AE445</f>
        <v>-1.5395381385584246E-2</v>
      </c>
      <c r="AE444">
        <f ca="1">'ETF variations'!AE444/'ETF price'!AF445</f>
        <v>-3.8167938931298589E-3</v>
      </c>
      <c r="AF444">
        <f ca="1">'ETF variations'!AF444/'ETF price'!AG445</f>
        <v>-4.7109207708780718E-3</v>
      </c>
    </row>
    <row r="445" spans="1:32" x14ac:dyDescent="0.2">
      <c r="A445">
        <f ca="1">'ETF variations'!A445/'ETF price'!B446</f>
        <v>1.5376426754982015E-3</v>
      </c>
      <c r="B445">
        <f ca="1">'ETF variations'!B445/'ETF price'!C446</f>
        <v>3.3086941217881616E-3</v>
      </c>
      <c r="C445">
        <f ca="1">'ETF variations'!C445/'ETF price'!D446</f>
        <v>-1.566912635510612E-2</v>
      </c>
      <c r="D445">
        <f ca="1">'ETF variations'!D445/'ETF price'!E446</f>
        <v>1.2839784542152144E-2</v>
      </c>
      <c r="E445">
        <f ca="1">'ETF variations'!E445/'ETF price'!F446</f>
        <v>7.5757575757576835E-3</v>
      </c>
      <c r="F445">
        <f ca="1">'ETF variations'!F445/'ETF price'!G446</f>
        <v>1.2195121951219396E-2</v>
      </c>
      <c r="G445">
        <f ca="1">'ETF variations'!G445/'ETF price'!H446</f>
        <v>1.0191602119853241E-2</v>
      </c>
      <c r="H445">
        <f ca="1">'ETF variations'!H445/'ETF price'!I446</f>
        <v>4.7524145331902844E-3</v>
      </c>
      <c r="I445">
        <f ca="1">'ETF variations'!I445/'ETF price'!J446</f>
        <v>6.0710822547324836E-3</v>
      </c>
      <c r="J445">
        <f ca="1">'ETF variations'!J445/'ETF price'!K446</f>
        <v>8.1120943952801942E-3</v>
      </c>
      <c r="K445">
        <f ca="1">'ETF variations'!K445/'ETF price'!L446</f>
        <v>6.1401060563773058E-3</v>
      </c>
      <c r="L445">
        <f ca="1">'ETF variations'!L445/'ETF price'!M446</f>
        <v>1.3592233009708793E-2</v>
      </c>
      <c r="M445">
        <f ca="1">'ETF variations'!M445/'ETF price'!N446</f>
        <v>4.9019607843136786E-3</v>
      </c>
      <c r="N445">
        <f ca="1">'ETF variations'!N445/'ETF price'!O446</f>
        <v>2.6315789473684188E-2</v>
      </c>
      <c r="O445">
        <f ca="1">'ETF variations'!O445/'ETF price'!P446</f>
        <v>1.2416751326334737E-3</v>
      </c>
      <c r="P445">
        <f ca="1">'ETF variations'!P445/'ETF price'!Q446</f>
        <v>8.0418174507479825E-5</v>
      </c>
      <c r="Q445">
        <f ca="1">'ETF variations'!Q445/'ETF price'!R446</f>
        <v>1.0628761685234963E-2</v>
      </c>
      <c r="R445">
        <f ca="1">'ETF variations'!R445/'ETF price'!S446</f>
        <v>1.2847965738758103E-2</v>
      </c>
      <c r="S445">
        <f ca="1">'ETF variations'!S445/'ETF price'!T446</f>
        <v>-2.4570024570025497E-3</v>
      </c>
      <c r="T445">
        <f ca="1">'ETF variations'!T445/'ETF price'!U446</f>
        <v>-5.4453520031116521E-3</v>
      </c>
      <c r="U445">
        <f ca="1">'ETF variations'!U445/'ETF price'!V446</f>
        <v>5.6699936292206293E-2</v>
      </c>
      <c r="V445">
        <f ca="1">'ETF variations'!V445/'ETF price'!W446</f>
        <v>7.2595281306713508E-3</v>
      </c>
      <c r="W445">
        <f ca="1">'ETF variations'!W445/'ETF price'!X446</f>
        <v>7.8779542328372577E-3</v>
      </c>
      <c r="X445">
        <f ca="1">'ETF variations'!X445/'ETF price'!Y446</f>
        <v>1.4030261348005446E-2</v>
      </c>
      <c r="Y445">
        <f ca="1">'ETF variations'!Y445/'ETF price'!Z446</f>
        <v>6.3265580831874928E-3</v>
      </c>
      <c r="Z445">
        <f ca="1">'ETF variations'!Z445/'ETF price'!AA446</f>
        <v>3.529411764705807E-3</v>
      </c>
      <c r="AA445">
        <f ca="1">'ETF variations'!AA445/'ETF price'!AB446</f>
        <v>1.5583150718285867E-2</v>
      </c>
      <c r="AB445">
        <f ca="1">'ETF variations'!AB445/'ETF price'!AC446</f>
        <v>-2.1434138737334262E-3</v>
      </c>
      <c r="AC445">
        <f ca="1">'ETF variations'!AC445/'ETF price'!AD446</f>
        <v>-8.8062622309197508E-3</v>
      </c>
      <c r="AD445">
        <f ca="1">'ETF variations'!AD445/'ETF price'!AE446</f>
        <v>-9.2395167022033247E-3</v>
      </c>
      <c r="AE445">
        <f ca="1">'ETF variations'!AE445/'ETF price'!AF446</f>
        <v>3.0651340996168612E-2</v>
      </c>
      <c r="AF445">
        <f ca="1">'ETF variations'!AF445/'ETF price'!AG446</f>
        <v>1.3769363166953541E-2</v>
      </c>
    </row>
    <row r="446" spans="1:32" x14ac:dyDescent="0.2">
      <c r="A446">
        <f ca="1">'ETF variations'!A446/'ETF price'!B447</f>
        <v>9.2707410687924013E-3</v>
      </c>
      <c r="B446">
        <f ca="1">'ETF variations'!B446/'ETF price'!C447</f>
        <v>7.928711759752986E-3</v>
      </c>
      <c r="C446">
        <f ca="1">'ETF variations'!C446/'ETF price'!D447</f>
        <v>1.1105969458584015E-2</v>
      </c>
      <c r="D446">
        <f ca="1">'ETF variations'!D446/'ETF price'!E447</f>
        <v>7.5443695504297742E-3</v>
      </c>
      <c r="E446">
        <f ca="1">'ETF variations'!E446/'ETF price'!F447</f>
        <v>5.8270676691728413E-3</v>
      </c>
      <c r="F446">
        <f ca="1">'ETF variations'!F446/'ETF price'!G447</f>
        <v>-5.6224899598392381E-3</v>
      </c>
      <c r="G446">
        <f ca="1">'ETF variations'!G446/'ETF price'!H447</f>
        <v>3.6319612590798972E-3</v>
      </c>
      <c r="H446">
        <f ca="1">'ETF variations'!H446/'ETF price'!I447</f>
        <v>-4.4247787610620423E-3</v>
      </c>
      <c r="I446">
        <f ca="1">'ETF variations'!I446/'ETF price'!J447</f>
        <v>-5.741105477098456E-3</v>
      </c>
      <c r="J446">
        <f ca="1">'ETF variations'!J446/'ETF price'!K447</f>
        <v>4.8768593026090731E-3</v>
      </c>
      <c r="K446">
        <f ca="1">'ETF variations'!K446/'ETF price'!L447</f>
        <v>-1.0818307905686563E-2</v>
      </c>
      <c r="L446">
        <f ca="1">'ETF variations'!L446/'ETF price'!M447</f>
        <v>1.2190874259839827E-3</v>
      </c>
      <c r="M446">
        <f ca="1">'ETF variations'!M446/'ETF price'!N447</f>
        <v>-4.8780487804877589E-3</v>
      </c>
      <c r="N446">
        <f ca="1">'ETF variations'!N446/'ETF price'!O447</f>
        <v>-6.9033530571992385E-3</v>
      </c>
      <c r="O446">
        <f ca="1">'ETF variations'!O446/'ETF price'!P447</f>
        <v>-1.2852311161217593E-2</v>
      </c>
      <c r="P446">
        <f ca="1">'ETF variations'!P446/'ETF price'!Q447</f>
        <v>-1.1177227404310073E-2</v>
      </c>
      <c r="Q446">
        <f ca="1">'ETF variations'!Q446/'ETF price'!R447</f>
        <v>2.407501267105901E-3</v>
      </c>
      <c r="R446">
        <f ca="1">'ETF variations'!R446/'ETF price'!S447</f>
        <v>1.5375744762636612E-3</v>
      </c>
      <c r="S446">
        <f ca="1">'ETF variations'!S446/'ETF price'!T447</f>
        <v>-5.7471264367816325E-3</v>
      </c>
      <c r="T446">
        <f ca="1">'ETF variations'!T446/'ETF price'!U447</f>
        <v>-1.355755442575925E-2</v>
      </c>
      <c r="U446">
        <f ca="1">'ETF variations'!U446/'ETF price'!V447</f>
        <v>1.2861736334405157E-2</v>
      </c>
      <c r="V446">
        <f ca="1">'ETF variations'!V446/'ETF price'!W447</f>
        <v>1.5015015015016296E-3</v>
      </c>
      <c r="W446">
        <f ca="1">'ETF variations'!W446/'ETF price'!X447</f>
        <v>1.6129032258065715E-3</v>
      </c>
      <c r="X446">
        <f ca="1">'ETF variations'!X446/'ETF price'!Y447</f>
        <v>3.2555615843732353E-3</v>
      </c>
      <c r="Y446">
        <f ca="1">'ETF variations'!Y446/'ETF price'!Z447</f>
        <v>2.5414660246120616E-3</v>
      </c>
      <c r="Z446">
        <f ca="1">'ETF variations'!Z446/'ETF price'!AA447</f>
        <v>2.0222743259085723E-2</v>
      </c>
      <c r="AA446">
        <f ca="1">'ETF variations'!AA446/'ETF price'!AB447</f>
        <v>7.1925197794296659E-4</v>
      </c>
      <c r="AB446">
        <f ca="1">'ETF variations'!AB446/'ETF price'!AC447</f>
        <v>1.0740089826205763E-2</v>
      </c>
      <c r="AC446">
        <f ca="1">'ETF variations'!AC446/'ETF price'!AD447</f>
        <v>-2.3692003948667342E-2</v>
      </c>
      <c r="AD446">
        <f ca="1">'ETF variations'!AD446/'ETF price'!AE447</f>
        <v>-2.3672883787661411E-2</v>
      </c>
      <c r="AE446">
        <f ca="1">'ETF variations'!AE446/'ETF price'!AF447</f>
        <v>7.4349442379182222E-3</v>
      </c>
      <c r="AF446">
        <f ca="1">'ETF variations'!AF446/'ETF price'!AG447</f>
        <v>-3.6502546689303882E-2</v>
      </c>
    </row>
    <row r="447" spans="1:32" x14ac:dyDescent="0.2">
      <c r="A447">
        <f ca="1">'ETF variations'!A447/'ETF price'!B448</f>
        <v>9.3611046103454841E-4</v>
      </c>
      <c r="B447">
        <f ca="1">'ETF variations'!B447/'ETF price'!C448</f>
        <v>-2.3668639053254018E-3</v>
      </c>
      <c r="C447">
        <f ca="1">'ETF variations'!C447/'ETF price'!D448</f>
        <v>-2.8375286041190141E-3</v>
      </c>
      <c r="D447">
        <f ca="1">'ETF variations'!D447/'ETF price'!E448</f>
        <v>2.5164180936598328E-3</v>
      </c>
      <c r="E447">
        <f ca="1">'ETF variations'!E447/'ETF price'!F448</f>
        <v>-9.9046907120164673E-3</v>
      </c>
      <c r="F447">
        <f ca="1">'ETF variations'!F447/'ETF price'!G448</f>
        <v>-9.2891760904685143E-3</v>
      </c>
      <c r="G447">
        <f ca="1">'ETF variations'!G447/'ETF price'!H448</f>
        <v>-1.6083634901487821E-2</v>
      </c>
      <c r="H447">
        <f ca="1">'ETF variations'!H447/'ETF price'!I448</f>
        <v>-8.5823754789272379E-3</v>
      </c>
      <c r="I447">
        <f ca="1">'ETF variations'!I447/'ETF price'!J448</f>
        <v>-1.1127033633987973E-2</v>
      </c>
      <c r="J447">
        <f ca="1">'ETF variations'!J447/'ETF price'!K448</f>
        <v>-2.0140742538218837E-2</v>
      </c>
      <c r="K447">
        <f ca="1">'ETF variations'!K447/'ETF price'!L448</f>
        <v>-3.6455412226584334E-2</v>
      </c>
      <c r="L447">
        <f ca="1">'ETF variations'!L447/'ETF price'!M448</f>
        <v>-2.2786571577665719E-2</v>
      </c>
      <c r="M447">
        <f ca="1">'ETF variations'!M447/'ETF price'!N448</f>
        <v>-1.1274509803921647E-2</v>
      </c>
      <c r="N447">
        <f ca="1">'ETF variations'!N447/'ETF price'!O448</f>
        <v>-4.1708043694141002E-2</v>
      </c>
      <c r="O447">
        <f ca="1">'ETF variations'!O447/'ETF price'!P448</f>
        <v>1.1420740063955495E-3</v>
      </c>
      <c r="P447">
        <f ca="1">'ETF variations'!P447/'ETF price'!Q448</f>
        <v>5.6924453118652836E-4</v>
      </c>
      <c r="Q447">
        <f ca="1">'ETF variations'!Q447/'ETF price'!R448</f>
        <v>-1.4915939830615505E-2</v>
      </c>
      <c r="R447">
        <f ca="1">'ETF variations'!R447/'ETF price'!S448</f>
        <v>-3.2047591633083891E-2</v>
      </c>
      <c r="S447">
        <f ca="1">'ETF variations'!S447/'ETF price'!T448</f>
        <v>-4.1288191577200703E-4</v>
      </c>
      <c r="T447">
        <f ca="1">'ETF variations'!T447/'ETF price'!U448</f>
        <v>-3.3038192150125546E-3</v>
      </c>
      <c r="U447">
        <f ca="1">'ETF variations'!U447/'ETF price'!V448</f>
        <v>-2.7777777777777752E-2</v>
      </c>
      <c r="V447">
        <f ca="1">'ETF variations'!V447/'ETF price'!W448</f>
        <v>-6.2968515742129185E-3</v>
      </c>
      <c r="W447">
        <f ca="1">'ETF variations'!W447/'ETF price'!X448</f>
        <v>-7.5560510343118965E-3</v>
      </c>
      <c r="X447">
        <f ca="1">'ETF variations'!X447/'ETF price'!Y448</f>
        <v>-1.3250405624661843E-2</v>
      </c>
      <c r="Y447">
        <f ca="1">'ETF variations'!Y447/'ETF price'!Z448</f>
        <v>-8.4056037358240104E-3</v>
      </c>
      <c r="Z447">
        <f ca="1">'ETF variations'!Z447/'ETF price'!AA448</f>
        <v>-1.3214593507612778E-2</v>
      </c>
      <c r="AA447">
        <f ca="1">'ETF variations'!AA447/'ETF price'!AB448</f>
        <v>-1.2218495448011622E-2</v>
      </c>
      <c r="AB447">
        <f ca="1">'ETF variations'!AB447/'ETF price'!AC448</f>
        <v>5.4095826893354165E-3</v>
      </c>
      <c r="AC447">
        <f ca="1">'ETF variations'!AC447/'ETF price'!AD448</f>
        <v>-5.0556117290192831E-3</v>
      </c>
      <c r="AD447">
        <f ca="1">'ETF variations'!AD447/'ETF price'!AE448</f>
        <v>-2.2042615723732082E-3</v>
      </c>
      <c r="AE447">
        <f ca="1">'ETF variations'!AE447/'ETF price'!AF448</f>
        <v>-3.6900369003689251E-3</v>
      </c>
      <c r="AF447">
        <f ca="1">'ETF variations'!AF447/'ETF price'!AG448</f>
        <v>-3.2599118942731209E-2</v>
      </c>
    </row>
    <row r="448" spans="1:32" x14ac:dyDescent="0.2">
      <c r="A448">
        <f ca="1">'ETF variations'!A448/'ETF price'!B449</f>
        <v>-1.432078559738144E-2</v>
      </c>
      <c r="B448">
        <f ca="1">'ETF variations'!B448/'ETF price'!C449</f>
        <v>-1.6025864675644839E-2</v>
      </c>
      <c r="C448">
        <f ca="1">'ETF variations'!C448/'ETF price'!D449</f>
        <v>-1.2575729759500685E-2</v>
      </c>
      <c r="D448">
        <f ca="1">'ETF variations'!D448/'ETF price'!E449</f>
        <v>-2.7182563976980517E-2</v>
      </c>
      <c r="E448">
        <f ca="1">'ETF variations'!E448/'ETF price'!F449</f>
        <v>-7.738769346923303E-3</v>
      </c>
      <c r="F448">
        <f ca="1">'ETF variations'!F448/'ETF price'!G449</f>
        <v>-9.7839380350591924E-3</v>
      </c>
      <c r="G448">
        <f ca="1">'ETF variations'!G448/'ETF price'!H449</f>
        <v>-6.129955046996264E-3</v>
      </c>
      <c r="H448">
        <f ca="1">'ETF variations'!H448/'ETF price'!I449</f>
        <v>6.2606276085948546E-3</v>
      </c>
      <c r="I448">
        <f ca="1">'ETF variations'!I448/'ETF price'!J449</f>
        <v>6.0523399539680655E-3</v>
      </c>
      <c r="J448">
        <f ca="1">'ETF variations'!J448/'ETF price'!K449</f>
        <v>4.0449067194980592E-3</v>
      </c>
      <c r="K448">
        <f ca="1">'ETF variations'!K448/'ETF price'!L449</f>
        <v>1.2805587892898653E-2</v>
      </c>
      <c r="L448">
        <f ca="1">'ETF variations'!L448/'ETF price'!M449</f>
        <v>5.3399786400853888E-3</v>
      </c>
      <c r="M448">
        <f ca="1">'ETF variations'!M448/'ETF price'!N449</f>
        <v>5.6189059659560968E-3</v>
      </c>
      <c r="N448">
        <f ca="1">'ETF variations'!N448/'ETF price'!O449</f>
        <v>7.2538860103627239E-3</v>
      </c>
      <c r="O448">
        <f ca="1">'ETF variations'!O448/'ETF price'!P449</f>
        <v>2.2016883413187395E-2</v>
      </c>
      <c r="P448">
        <f ca="1">'ETF variations'!P448/'ETF price'!Q449</f>
        <v>2.2269180754226226E-2</v>
      </c>
      <c r="Q448">
        <f ca="1">'ETF variations'!Q448/'ETF price'!R449</f>
        <v>-3.7212883356859518E-3</v>
      </c>
      <c r="R448">
        <f ca="1">'ETF variations'!R448/'ETF price'!S449</f>
        <v>0</v>
      </c>
      <c r="S448">
        <f ca="1">'ETF variations'!S448/'ETF price'!T449</f>
        <v>2.64353572903759E-2</v>
      </c>
      <c r="T448">
        <f ca="1">'ETF variations'!T448/'ETF price'!U449</f>
        <v>4.733492442322982E-2</v>
      </c>
      <c r="U448">
        <f ca="1">'ETF variations'!U448/'ETF price'!V449</f>
        <v>-1.3673469387755138E-2</v>
      </c>
      <c r="V448">
        <f ca="1">'ETF variations'!V448/'ETF price'!W449</f>
        <v>2.1122510561255364E-3</v>
      </c>
      <c r="W448">
        <f ca="1">'ETF variations'!W448/'ETF price'!X449</f>
        <v>-2.4962556165764141E-4</v>
      </c>
      <c r="X448">
        <f ca="1">'ETF variations'!X448/'ETF price'!Y449</f>
        <v>-1.3976431899150592E-2</v>
      </c>
      <c r="Y448">
        <f ca="1">'ETF variations'!Y448/'ETF price'!Z449</f>
        <v>2.0182992465016913E-3</v>
      </c>
      <c r="Z448">
        <f ca="1">'ETF variations'!Z448/'ETF price'!AA449</f>
        <v>-2.9112081513822446E-4</v>
      </c>
      <c r="AA448">
        <f ca="1">'ETF variations'!AA448/'ETF price'!AB449</f>
        <v>-1.9645888915837868E-2</v>
      </c>
      <c r="AB448">
        <f ca="1">'ETF variations'!AB448/'ETF price'!AC449</f>
        <v>-1.9408147578785513E-2</v>
      </c>
      <c r="AC448">
        <f ca="1">'ETF variations'!AC448/'ETF price'!AD449</f>
        <v>5.081300813008202E-3</v>
      </c>
      <c r="AD448">
        <f ca="1">'ETF variations'!AD448/'ETF price'!AE449</f>
        <v>2.9455081001472125E-3</v>
      </c>
      <c r="AE448">
        <f ca="1">'ETF variations'!AE448/'ETF price'!AF449</f>
        <v>-2.222222222222224E-2</v>
      </c>
      <c r="AF448">
        <f ca="1">'ETF variations'!AF448/'ETF price'!AG449</f>
        <v>-1.0473588342440821E-2</v>
      </c>
    </row>
    <row r="449" spans="1:32" x14ac:dyDescent="0.2">
      <c r="A449">
        <f ca="1">'ETF variations'!A449/'ETF price'!B450</f>
        <v>9.6068315246397706E-3</v>
      </c>
      <c r="B449">
        <f ca="1">'ETF variations'!B449/'ETF price'!C450</f>
        <v>1.1488275340393241E-2</v>
      </c>
      <c r="C449">
        <f ca="1">'ETF variations'!C449/'ETF price'!D450</f>
        <v>-5.9496142047037875E-3</v>
      </c>
      <c r="D449">
        <f ca="1">'ETF variations'!D449/'ETF price'!E450</f>
        <v>1.4159848961611076E-2</v>
      </c>
      <c r="E449">
        <f ca="1">'ETF variations'!E449/'ETF price'!F450</f>
        <v>1.7690698116796646E-2</v>
      </c>
      <c r="F449">
        <f ca="1">'ETF variations'!F449/'ETF price'!G450</f>
        <v>8.6455331412104101E-3</v>
      </c>
      <c r="G449">
        <f ca="1">'ETF variations'!G449/'ETF price'!H450</f>
        <v>1.3157894736842117E-2</v>
      </c>
      <c r="H449">
        <f ca="1">'ETF variations'!H449/'ETF price'!I450</f>
        <v>7.5274598663491038E-3</v>
      </c>
      <c r="I449">
        <f ca="1">'ETF variations'!I449/'ETF price'!J450</f>
        <v>7.7952889340789843E-3</v>
      </c>
      <c r="J449">
        <f ca="1">'ETF variations'!J449/'ETF price'!K450</f>
        <v>5.5085094137959523E-3</v>
      </c>
      <c r="K449">
        <f ca="1">'ETF variations'!K449/'ETF price'!L450</f>
        <v>8.7643678160919461E-3</v>
      </c>
      <c r="L449">
        <f ca="1">'ETF variations'!L449/'ETF price'!M450</f>
        <v>1.0269121813031258E-2</v>
      </c>
      <c r="M449">
        <f ca="1">'ETF variations'!M449/'ETF price'!N450</f>
        <v>7.8882497945767759E-3</v>
      </c>
      <c r="N449">
        <f ca="1">'ETF variations'!N449/'ETF price'!O450</f>
        <v>6.1728395061727073E-3</v>
      </c>
      <c r="O449">
        <f ca="1">'ETF variations'!O449/'ETF price'!P450</f>
        <v>6.6971760241097697E-3</v>
      </c>
      <c r="P449">
        <f ca="1">'ETF variations'!P449/'ETF price'!Q450</f>
        <v>5.0087454285259615E-3</v>
      </c>
      <c r="Q449">
        <f ca="1">'ETF variations'!Q449/'ETF price'!R450</f>
        <v>9.7887686759403035E-3</v>
      </c>
      <c r="R449">
        <f ca="1">'ETF variations'!R449/'ETF price'!S450</f>
        <v>9.5162569389374303E-3</v>
      </c>
      <c r="S449">
        <f ca="1">'ETF variations'!S449/'ETF price'!T450</f>
        <v>-3.2193158953723075E-3</v>
      </c>
      <c r="T449">
        <f ca="1">'ETF variations'!T449/'ETF price'!U450</f>
        <v>-7.5958982149638482E-3</v>
      </c>
      <c r="U449">
        <f ca="1">'ETF variations'!U449/'ETF price'!V450</f>
        <v>1.3242292571901522E-2</v>
      </c>
      <c r="V449">
        <f ca="1">'ETF variations'!V449/'ETF price'!W450</f>
        <v>1.0538994278831719E-2</v>
      </c>
      <c r="W449">
        <f ca="1">'ETF variations'!W449/'ETF price'!X450</f>
        <v>1.1610486891385854E-2</v>
      </c>
      <c r="X449">
        <f ca="1">'ETF variations'!X449/'ETF price'!Y450</f>
        <v>2.3068371317398705E-2</v>
      </c>
      <c r="Y449">
        <f ca="1">'ETF variations'!Y449/'ETF price'!Z450</f>
        <v>1.0876863166375752E-2</v>
      </c>
      <c r="Z449">
        <f ca="1">'ETF variations'!Z449/'ETF price'!AA450</f>
        <v>1.0192195690157084E-2</v>
      </c>
      <c r="AA449">
        <f ca="1">'ETF variations'!AA449/'ETF price'!AB450</f>
        <v>2.5482434438396859E-2</v>
      </c>
      <c r="AB449">
        <f ca="1">'ETF variations'!AB449/'ETF price'!AC450</f>
        <v>-1.1953752694493424E-2</v>
      </c>
      <c r="AC449">
        <f ca="1">'ETF variations'!AC449/'ETF price'!AD450</f>
        <v>6.1678463094034318E-2</v>
      </c>
      <c r="AD449">
        <f ca="1">'ETF variations'!AD449/'ETF price'!AE450</f>
        <v>6.607929515418505E-2</v>
      </c>
      <c r="AE449">
        <f ca="1">'ETF variations'!AE449/'ETF price'!AF450</f>
        <v>-7.575757575757582E-3</v>
      </c>
      <c r="AF449">
        <f ca="1">'ETF variations'!AF449/'ETF price'!AG450</f>
        <v>5.6143580303727514E-2</v>
      </c>
    </row>
    <row r="450" spans="1:32" x14ac:dyDescent="0.2">
      <c r="A450">
        <f ca="1">'ETF variations'!A450/'ETF price'!B451</f>
        <v>-4.6402349486049455E-3</v>
      </c>
      <c r="B450">
        <f ca="1">'ETF variations'!B450/'ETF price'!C451</f>
        <v>-4.2767001635895868E-3</v>
      </c>
      <c r="C450">
        <f ca="1">'ETF variations'!C450/'ETF price'!D451</f>
        <v>-1.7768633685588755E-2</v>
      </c>
      <c r="D450">
        <f ca="1">'ETF variations'!D450/'ETF price'!E451</f>
        <v>-7.322370462302245E-3</v>
      </c>
      <c r="E450">
        <f ca="1">'ETF variations'!E450/'ETF price'!F451</f>
        <v>1.6822429906542694E-3</v>
      </c>
      <c r="F450">
        <f ca="1">'ETF variations'!F450/'ETF price'!G451</f>
        <v>-8.1632653061222747E-4</v>
      </c>
      <c r="G450">
        <f ca="1">'ETF variations'!G450/'ETF price'!H451</f>
        <v>2.435064935064883E-3</v>
      </c>
      <c r="H450">
        <f ca="1">'ETF variations'!H450/'ETF price'!I451</f>
        <v>-1.3722649996186507E-3</v>
      </c>
      <c r="I450">
        <f ca="1">'ETF variations'!I450/'ETF price'!J451</f>
        <v>-4.2038002354089898E-5</v>
      </c>
      <c r="J450">
        <f ca="1">'ETF variations'!J450/'ETF price'!K451</f>
        <v>-1.3082583810302257E-3</v>
      </c>
      <c r="K450">
        <f ca="1">'ETF variations'!K450/'ETF price'!L451</f>
        <v>1.2818686796753087E-3</v>
      </c>
      <c r="L450">
        <f ca="1">'ETF variations'!L450/'ETF price'!M451</f>
        <v>6.6596565019277154E-3</v>
      </c>
      <c r="M450">
        <f ca="1">'ETF variations'!M450/'ETF price'!N451</f>
        <v>8.1526169900545027E-4</v>
      </c>
      <c r="N450">
        <f ca="1">'ETF variations'!N450/'ETF price'!O451</f>
        <v>1.0224948875255406E-3</v>
      </c>
      <c r="O450">
        <f ca="1">'ETF variations'!O450/'ETF price'!P451</f>
        <v>1.0422441512362764E-2</v>
      </c>
      <c r="P450">
        <f ca="1">'ETF variations'!P450/'ETF price'!Q451</f>
        <v>1.0758642512459454E-2</v>
      </c>
      <c r="Q450">
        <f ca="1">'ETF variations'!Q450/'ETF price'!R451</f>
        <v>9.8214285714285192E-3</v>
      </c>
      <c r="R450">
        <f ca="1">'ETF variations'!R450/'ETF price'!S451</f>
        <v>2.1013354281225458E-2</v>
      </c>
      <c r="S450">
        <f ca="1">'ETF variations'!S450/'ETF price'!T451</f>
        <v>2.8259991925716709E-3</v>
      </c>
      <c r="T450">
        <f ca="1">'ETF variations'!T450/'ETF price'!U451</f>
        <v>5.2302589616022013E-3</v>
      </c>
      <c r="U450">
        <f ca="1">'ETF variations'!U450/'ETF price'!V451</f>
        <v>1.4498672656728627E-2</v>
      </c>
      <c r="V450">
        <f ca="1">'ETF variations'!V450/'ETF price'!W451</f>
        <v>4.7675804529200413E-3</v>
      </c>
      <c r="W450">
        <f ca="1">'ETF variations'!W450/'ETF price'!X451</f>
        <v>8.021720350487543E-3</v>
      </c>
      <c r="X450">
        <f ca="1">'ETF variations'!X450/'ETF price'!Y451</f>
        <v>1.9559902200488966E-2</v>
      </c>
      <c r="Y450">
        <f ca="1">'ETF variations'!Y450/'ETF price'!Z451</f>
        <v>6.5090329436768716E-3</v>
      </c>
      <c r="Z450">
        <f ca="1">'ETF variations'!Z450/'ETF price'!AA451</f>
        <v>-5.1888152205246387E-3</v>
      </c>
      <c r="AA450">
        <f ca="1">'ETF variations'!AA450/'ETF price'!AB451</f>
        <v>2.1230398069963699E-2</v>
      </c>
      <c r="AB450">
        <f ca="1">'ETF variations'!AB450/'ETF price'!AC451</f>
        <v>-1.6263387544625155E-2</v>
      </c>
      <c r="AC450">
        <f ca="1">'ETF variations'!AC450/'ETF price'!AD451</f>
        <v>2.8571428571427964E-3</v>
      </c>
      <c r="AD450">
        <f ca="1">'ETF variations'!AD450/'ETF price'!AE451</f>
        <v>1.37741046831953E-3</v>
      </c>
      <c r="AE450">
        <f ca="1">'ETF variations'!AE450/'ETF price'!AF451</f>
        <v>-1.1450381679389407E-2</v>
      </c>
      <c r="AF450">
        <f ca="1">'ETF variations'!AF450/'ETF price'!AG451</f>
        <v>2.0915032679738581E-2</v>
      </c>
    </row>
    <row r="451" spans="1:32" x14ac:dyDescent="0.2">
      <c r="A451">
        <f ca="1">'ETF variations'!A451/'ETF price'!B452</f>
        <v>-1.0267909831228661E-2</v>
      </c>
      <c r="B451">
        <f ca="1">'ETF variations'!B451/'ETF price'!C452</f>
        <v>-1.3706667918417103E-2</v>
      </c>
      <c r="C451">
        <f ca="1">'ETF variations'!C451/'ETF price'!D452</f>
        <v>1.9994287346471839E-3</v>
      </c>
      <c r="D451">
        <f ca="1">'ETF variations'!D451/'ETF price'!E452</f>
        <v>-1.8003375632931147E-2</v>
      </c>
      <c r="E451">
        <f ca="1">'ETF variations'!E451/'ETF price'!F452</f>
        <v>-8.95689494308647E-3</v>
      </c>
      <c r="F451">
        <f ca="1">'ETF variations'!F451/'ETF price'!G452</f>
        <v>-3.1454248366013057E-2</v>
      </c>
      <c r="G451">
        <f ca="1">'ETF variations'!G451/'ETF price'!H452</f>
        <v>-1.8218623481781347E-2</v>
      </c>
      <c r="H451">
        <f ca="1">'ETF variations'!H451/'ETF price'!I452</f>
        <v>-8.7029544240019453E-3</v>
      </c>
      <c r="I451">
        <f ca="1">'ETF variations'!I451/'ETF price'!J452</f>
        <v>-1.021566401816121E-2</v>
      </c>
      <c r="J451">
        <f ca="1">'ETF variations'!J451/'ETF price'!K452</f>
        <v>-2.104142786965783E-2</v>
      </c>
      <c r="K451">
        <f ca="1">'ETF variations'!K451/'ETF price'!L452</f>
        <v>-2.5746799431009992E-2</v>
      </c>
      <c r="L451">
        <f ca="1">'ETF variations'!L451/'ETF price'!M452</f>
        <v>-1.8976323119777094E-2</v>
      </c>
      <c r="M451">
        <f ca="1">'ETF variations'!M451/'ETF price'!N452</f>
        <v>-1.026392961876837E-2</v>
      </c>
      <c r="N451">
        <f ca="1">'ETF variations'!N451/'ETF price'!O452</f>
        <v>-3.7793667007150075E-2</v>
      </c>
      <c r="O451">
        <f ca="1">'ETF variations'!O451/'ETF price'!P452</f>
        <v>9.1078678810490327E-3</v>
      </c>
      <c r="P451">
        <f ca="1">'ETF variations'!P451/'ETF price'!Q452</f>
        <v>7.9048289895907106E-3</v>
      </c>
      <c r="Q451">
        <f ca="1">'ETF variations'!Q451/'ETF price'!R452</f>
        <v>-2.5893646583301719E-2</v>
      </c>
      <c r="R451">
        <f ca="1">'ETF variations'!R451/'ETF price'!S452</f>
        <v>-2.5966532025389524E-2</v>
      </c>
      <c r="S451">
        <f ca="1">'ETF variations'!S451/'ETF price'!T452</f>
        <v>8.8566827697262023E-3</v>
      </c>
      <c r="T451">
        <f ca="1">'ETF variations'!T451/'ETF price'!U452</f>
        <v>1.3197969543147288E-2</v>
      </c>
      <c r="U451">
        <f ca="1">'ETF variations'!U451/'ETF price'!V452</f>
        <v>-2.9186795491143374E-2</v>
      </c>
      <c r="V451">
        <f ca="1">'ETF variations'!V451/'ETF price'!W452</f>
        <v>-1.7200474495848113E-2</v>
      </c>
      <c r="W451">
        <f ca="1">'ETF variations'!W451/'ETF price'!X452</f>
        <v>-1.8241919686581891E-2</v>
      </c>
      <c r="X451">
        <f ca="1">'ETF variations'!X451/'ETF price'!Y452</f>
        <v>-2.5313082867039777E-2</v>
      </c>
      <c r="Y451">
        <f ca="1">'ETF variations'!Y451/'ETF price'!Z452</f>
        <v>-1.7421142932558972E-2</v>
      </c>
      <c r="Z451">
        <f ca="1">'ETF variations'!Z451/'ETF price'!AA452</f>
        <v>-2.2022602144305941E-2</v>
      </c>
      <c r="AA451">
        <f ca="1">'ETF variations'!AA451/'ETF price'!AB452</f>
        <v>-2.7167493503425434E-2</v>
      </c>
      <c r="AB451">
        <f ca="1">'ETF variations'!AB451/'ETF price'!AC452</f>
        <v>-6.0483870967742792E-3</v>
      </c>
      <c r="AC451">
        <f ca="1">'ETF variations'!AC451/'ETF price'!AD452</f>
        <v>-1.0446343779677059E-2</v>
      </c>
      <c r="AD451">
        <f ca="1">'ETF variations'!AD451/'ETF price'!AE452</f>
        <v>-1.1004126547455185E-2</v>
      </c>
      <c r="AE451">
        <f ca="1">'ETF variations'!AE451/'ETF price'!AF452</f>
        <v>1.9305019305019409E-2</v>
      </c>
      <c r="AF451">
        <f ca="1">'ETF variations'!AF451/'ETF price'!AG452</f>
        <v>-6.231327358087925E-2</v>
      </c>
    </row>
    <row r="452" spans="1:32" x14ac:dyDescent="0.2">
      <c r="A452">
        <f ca="1">'ETF variations'!A452/'ETF price'!B453</f>
        <v>-5.7238254233246359E-3</v>
      </c>
      <c r="B452">
        <f ca="1">'ETF variations'!B452/'ETF price'!C453</f>
        <v>-7.1151512267092045E-3</v>
      </c>
      <c r="C452">
        <f ca="1">'ETF variations'!C452/'ETF price'!D453</f>
        <v>9.0269859369061459E-3</v>
      </c>
      <c r="D452">
        <f ca="1">'ETF variations'!D452/'ETF price'!E453</f>
        <v>-1.5405181742950002E-2</v>
      </c>
      <c r="E452">
        <f ca="1">'ETF variations'!E452/'ETF price'!F453</f>
        <v>-9.790999811711467E-3</v>
      </c>
      <c r="F452">
        <f ca="1">'ETF variations'!F452/'ETF price'!G453</f>
        <v>-8.0134964150148161E-3</v>
      </c>
      <c r="G452">
        <f ca="1">'ETF variations'!G452/'ETF price'!H453</f>
        <v>-1.5670103092783463E-2</v>
      </c>
      <c r="H452">
        <f ca="1">'ETF variations'!H452/'ETF price'!I453</f>
        <v>-9.8575279168271173E-3</v>
      </c>
      <c r="I452">
        <f ca="1">'ETF variations'!I452/'ETF price'!J453</f>
        <v>-1.036357458375806E-2</v>
      </c>
      <c r="J452">
        <f ca="1">'ETF variations'!J452/'ETF price'!K453</f>
        <v>-1.6392071589863628E-2</v>
      </c>
      <c r="K452">
        <f ca="1">'ETF variations'!K452/'ETF price'!L453</f>
        <v>-2.0440940283252905E-2</v>
      </c>
      <c r="L452">
        <f ca="1">'ETF variations'!L452/'ETF price'!M453</f>
        <v>-1.4196983141082595E-2</v>
      </c>
      <c r="M452">
        <f ca="1">'ETF variations'!M452/'ETF price'!N453</f>
        <v>-1.0370370370370412E-2</v>
      </c>
      <c r="N452">
        <f ca="1">'ETF variations'!N452/'ETF price'!O453</f>
        <v>-2.1231422505307782E-2</v>
      </c>
      <c r="O452">
        <f ca="1">'ETF variations'!O452/'ETF price'!P453</f>
        <v>-1.7398869073509853E-3</v>
      </c>
      <c r="P452">
        <f ca="1">'ETF variations'!P452/'ETF price'!Q453</f>
        <v>-7.7651809287151974E-4</v>
      </c>
      <c r="Q452">
        <f ca="1">'ETF variations'!Q452/'ETF price'!R453</f>
        <v>-1.1670124481327874E-2</v>
      </c>
      <c r="R452">
        <f ca="1">'ETF variations'!R452/'ETF price'!S453</f>
        <v>-1.9352290679304975E-2</v>
      </c>
      <c r="S452">
        <f ca="1">'ETF variations'!S452/'ETF price'!T453</f>
        <v>1.0375099760574684E-2</v>
      </c>
      <c r="T452">
        <f ca="1">'ETF variations'!T452/'ETF price'!U453</f>
        <v>2.3046092184368778E-2</v>
      </c>
      <c r="U452">
        <f ca="1">'ETF variations'!U452/'ETF price'!V453</f>
        <v>-3.0686294837238171E-2</v>
      </c>
      <c r="V452">
        <f ca="1">'ETF variations'!V452/'ETF price'!W453</f>
        <v>-1.3277006638503251E-2</v>
      </c>
      <c r="W452">
        <f ca="1">'ETF variations'!W452/'ETF price'!X453</f>
        <v>-1.4216236438458669E-2</v>
      </c>
      <c r="X452">
        <f ca="1">'ETF variations'!X452/'ETF price'!Y453</f>
        <v>-1.2028430836522629E-2</v>
      </c>
      <c r="Y452">
        <f ca="1">'ETF variations'!Y452/'ETF price'!Z453</f>
        <v>-1.3297515110812747E-2</v>
      </c>
      <c r="Z452">
        <f ca="1">'ETF variations'!Z452/'ETF price'!AA453</f>
        <v>-2.4592592592592541E-2</v>
      </c>
      <c r="AA452">
        <f ca="1">'ETF variations'!AA452/'ETF price'!AB453</f>
        <v>-1.0927634774162283E-2</v>
      </c>
      <c r="AB452">
        <f ca="1">'ETF variations'!AB452/'ETF price'!AC453</f>
        <v>4.2596348884381512E-3</v>
      </c>
      <c r="AC452">
        <f ca="1">'ETF variations'!AC452/'ETF price'!AD453</f>
        <v>1.7274472168905923E-2</v>
      </c>
      <c r="AD452">
        <f ca="1">'ETF variations'!AD452/'ETF price'!AE453</f>
        <v>2.1557719054241913E-2</v>
      </c>
      <c r="AE452">
        <f ca="1">'ETF variations'!AE452/'ETF price'!AF453</f>
        <v>1.8939393939393871E-2</v>
      </c>
      <c r="AF452">
        <f ca="1">'ETF variations'!AF452/'ETF price'!AG453</f>
        <v>-3.1861629494765722E-3</v>
      </c>
    </row>
    <row r="453" spans="1:32" x14ac:dyDescent="0.2">
      <c r="A453">
        <f ca="1">'ETF variations'!A453/'ETF price'!B454</f>
        <v>-1.69105301031422E-2</v>
      </c>
      <c r="B453">
        <f ca="1">'ETF variations'!B453/'ETF price'!C454</f>
        <v>-1.7639727734637171E-2</v>
      </c>
      <c r="C453">
        <f ca="1">'ETF variations'!C453/'ETF price'!D454</f>
        <v>-2.693285620114888E-2</v>
      </c>
      <c r="D453">
        <f ca="1">'ETF variations'!D453/'ETF price'!E454</f>
        <v>-1.4482446498997742E-2</v>
      </c>
      <c r="E453">
        <f ca="1">'ETF variations'!E453/'ETF price'!F454</f>
        <v>-2.2627876022057517E-2</v>
      </c>
      <c r="F453">
        <f ca="1">'ETF variations'!F453/'ETF price'!G454</f>
        <v>-1.9982993197278864E-2</v>
      </c>
      <c r="G453">
        <f ca="1">'ETF variations'!G453/'ETF price'!H454</f>
        <v>-1.340594888981987E-2</v>
      </c>
      <c r="H453">
        <f ca="1">'ETF variations'!H453/'ETF price'!I454</f>
        <v>-3.9667107412303879E-3</v>
      </c>
      <c r="I453">
        <f ca="1">'ETF variations'!I453/'ETF price'!J454</f>
        <v>-3.8626609442060328E-3</v>
      </c>
      <c r="J453">
        <f ca="1">'ETF variations'!J453/'ETF price'!K454</f>
        <v>-3.7411784712184145E-3</v>
      </c>
      <c r="K453">
        <f ca="1">'ETF variations'!K453/'ETF price'!L454</f>
        <v>-2.5339096735728381E-3</v>
      </c>
      <c r="L453">
        <f ca="1">'ETF variations'!L453/'ETF price'!M454</f>
        <v>-2.7002700270026747E-3</v>
      </c>
      <c r="M453">
        <f ca="1">'ETF variations'!M453/'ETF price'!N454</f>
        <v>-3.9920159680637869E-3</v>
      </c>
      <c r="N453">
        <f ca="1">'ETF variations'!N453/'ETF price'!O454</f>
        <v>-5.4229934924078854E-3</v>
      </c>
      <c r="O453">
        <f ca="1">'ETF variations'!O453/'ETF price'!P454</f>
        <v>-1.6775599128540219E-2</v>
      </c>
      <c r="P453">
        <f ca="1">'ETF variations'!P453/'ETF price'!Q454</f>
        <v>-1.7407522536524781E-2</v>
      </c>
      <c r="Q453">
        <f ca="1">'ETF variations'!Q453/'ETF price'!R454</f>
        <v>-1.2070322749934423E-2</v>
      </c>
      <c r="R453">
        <f ca="1">'ETF variations'!R453/'ETF price'!S454</f>
        <v>-1.550543697140548E-2</v>
      </c>
      <c r="S453">
        <f ca="1">'ETF variations'!S453/'ETF price'!T454</f>
        <v>-7.5039494470774595E-3</v>
      </c>
      <c r="T453">
        <f ca="1">'ETF variations'!T453/'ETF price'!U454</f>
        <v>-1.1998041136141085E-2</v>
      </c>
      <c r="U453">
        <f ca="1">'ETF variations'!U453/'ETF price'!V454</f>
        <v>-6.0534759358288733E-2</v>
      </c>
      <c r="V453">
        <f ca="1">'ETF variations'!V453/'ETF price'!W454</f>
        <v>-1.5290519877675839E-2</v>
      </c>
      <c r="W453">
        <f ca="1">'ETF variations'!W453/'ETF price'!X454</f>
        <v>-1.5433270082226426E-2</v>
      </c>
      <c r="X453">
        <f ca="1">'ETF variations'!X453/'ETF price'!Y454</f>
        <v>-3.5141117874930912E-2</v>
      </c>
      <c r="Y453">
        <f ca="1">'ETF variations'!Y453/'ETF price'!Z454</f>
        <v>-1.6607677647699413E-2</v>
      </c>
      <c r="Z453">
        <f ca="1">'ETF variations'!Z453/'ETF price'!AA454</f>
        <v>-5.1640340218712544E-3</v>
      </c>
      <c r="AA453">
        <f ca="1">'ETF variations'!AA453/'ETF price'!AB454</f>
        <v>-4.0019641541860926E-2</v>
      </c>
      <c r="AB453">
        <f ca="1">'ETF variations'!AB453/'ETF price'!AC454</f>
        <v>-5.0494849525348417E-3</v>
      </c>
      <c r="AC453">
        <f ca="1">'ETF variations'!AC453/'ETF price'!AD454</f>
        <v>2.9245283018867974E-2</v>
      </c>
      <c r="AD453">
        <f ca="1">'ETF variations'!AD453/'ETF price'!AE454</f>
        <v>2.7229407760381238E-2</v>
      </c>
      <c r="AE453">
        <f ca="1">'ETF variations'!AE453/'ETF price'!AF454</f>
        <v>-4.8327137546468363E-2</v>
      </c>
      <c r="AF453">
        <f ca="1">'ETF variations'!AF453/'ETF price'!AG454</f>
        <v>3.6529680365297648E-3</v>
      </c>
    </row>
    <row r="454" spans="1:32" x14ac:dyDescent="0.2">
      <c r="A454">
        <f ca="1">'ETF variations'!A454/'ETF price'!B455</f>
        <v>1.1589605953397446E-3</v>
      </c>
      <c r="B454">
        <f ca="1">'ETF variations'!B454/'ETF price'!C455</f>
        <v>1.7078169220257925E-4</v>
      </c>
      <c r="C454">
        <f ca="1">'ETF variations'!C454/'ETF price'!D455</f>
        <v>-1.9549017710248681E-2</v>
      </c>
      <c r="D454">
        <f ca="1">'ETF variations'!D454/'ETF price'!E455</f>
        <v>-5.7075378862428954E-3</v>
      </c>
      <c r="E454">
        <f ca="1">'ETF variations'!E454/'ETF price'!F455</f>
        <v>-8.5603112840466483E-3</v>
      </c>
      <c r="F454">
        <f ca="1">'ETF variations'!F454/'ETF price'!G455</f>
        <v>4.3383947939261546E-3</v>
      </c>
      <c r="G454">
        <f ca="1">'ETF variations'!G454/'ETF price'!H455</f>
        <v>-6.3694267515924472E-3</v>
      </c>
      <c r="H454">
        <f ca="1">'ETF variations'!H454/'ETF price'!I455</f>
        <v>-6.2470716851475644E-3</v>
      </c>
      <c r="I454">
        <f ca="1">'ETF variations'!I454/'ETF price'!J455</f>
        <v>-6.9797501077122131E-3</v>
      </c>
      <c r="J454">
        <f ca="1">'ETF variations'!J454/'ETF price'!K455</f>
        <v>-9.8147990099855392E-3</v>
      </c>
      <c r="K454">
        <f ca="1">'ETF variations'!K454/'ETF price'!L455</f>
        <v>-2.1817095038852478E-2</v>
      </c>
      <c r="L454">
        <f ca="1">'ETF variations'!L454/'ETF price'!M455</f>
        <v>-1.2635379061371764E-2</v>
      </c>
      <c r="M454">
        <f ca="1">'ETF variations'!M454/'ETF price'!N455</f>
        <v>-7.0140280561122523E-3</v>
      </c>
      <c r="N454">
        <f ca="1">'ETF variations'!N454/'ETF price'!O455</f>
        <v>-1.0905125408941971E-3</v>
      </c>
      <c r="O454">
        <f ca="1">'ETF variations'!O454/'ETF price'!P455</f>
        <v>-1.6175493020164057E-2</v>
      </c>
      <c r="P454">
        <f ca="1">'ETF variations'!P454/'ETF price'!Q455</f>
        <v>-1.6134134767478582E-2</v>
      </c>
      <c r="Q454">
        <f ca="1">'ETF variations'!Q454/'ETF price'!R455</f>
        <v>-1.1155378486055823E-2</v>
      </c>
      <c r="R454">
        <f ca="1">'ETF variations'!R454/'ETF price'!S455</f>
        <v>-6.749846594395547E-3</v>
      </c>
      <c r="S454">
        <f ca="1">'ETF variations'!S454/'ETF price'!T455</f>
        <v>-6.366892160764033E-3</v>
      </c>
      <c r="T454">
        <f ca="1">'ETF variations'!T454/'ETF price'!U455</f>
        <v>-2.2428748451053311E-2</v>
      </c>
      <c r="U454">
        <f ca="1">'ETF variations'!U454/'ETF price'!V455</f>
        <v>-5.464480874316985E-3</v>
      </c>
      <c r="V454">
        <f ca="1">'ETF variations'!V454/'ETF price'!W455</f>
        <v>-6.2111801242236905E-3</v>
      </c>
      <c r="W454">
        <f ca="1">'ETF variations'!W454/'ETF price'!X455</f>
        <v>-7.8375947578054658E-3</v>
      </c>
      <c r="X454">
        <f ca="1">'ETF variations'!X454/'ETF price'!Y455</f>
        <v>-3.4413535990822325E-3</v>
      </c>
      <c r="Y454">
        <f ca="1">'ETF variations'!Y454/'ETF price'!Z455</f>
        <v>-7.3366555924695622E-3</v>
      </c>
      <c r="Z454">
        <f ca="1">'ETF variations'!Z454/'ETF price'!AA455</f>
        <v>-8.5496183206107221E-3</v>
      </c>
      <c r="AA454">
        <f ca="1">'ETF variations'!AA454/'ETF price'!AB455</f>
        <v>-3.8363171355498358E-3</v>
      </c>
      <c r="AB454">
        <f ca="1">'ETF variations'!AB454/'ETF price'!AC455</f>
        <v>-4.0600893219642755E-4</v>
      </c>
      <c r="AC454">
        <f ca="1">'ETF variations'!AC454/'ETF price'!AD455</f>
        <v>6.0494958753437224E-2</v>
      </c>
      <c r="AD454">
        <f ca="1">'ETF variations'!AD454/'ETF price'!AE455</f>
        <v>6.0967528164347362E-2</v>
      </c>
      <c r="AE454">
        <f ca="1">'ETF variations'!AE454/'ETF price'!AF455</f>
        <v>1.5625000000000014E-2</v>
      </c>
      <c r="AF454">
        <f ca="1">'ETF variations'!AF454/'ETF price'!AG455</f>
        <v>6.4604185623293814E-2</v>
      </c>
    </row>
    <row r="455" spans="1:32" x14ac:dyDescent="0.2">
      <c r="A455">
        <f ca="1">'ETF variations'!A455/'ETF price'!B456</f>
        <v>6.8847864497654024E-3</v>
      </c>
      <c r="B455">
        <f ca="1">'ETF variations'!B455/'ETF price'!C456</f>
        <v>8.8791316014147741E-3</v>
      </c>
      <c r="C455">
        <f ca="1">'ETF variations'!C455/'ETF price'!D456</f>
        <v>6.3172441022603942E-3</v>
      </c>
      <c r="D455">
        <f ca="1">'ETF variations'!D455/'ETF price'!E456</f>
        <v>1.3591976774874653E-2</v>
      </c>
      <c r="E455">
        <f ca="1">'ETF variations'!E455/'ETF price'!F456</f>
        <v>1.138147566718992E-2</v>
      </c>
      <c r="F455">
        <f ca="1">'ETF variations'!F455/'ETF price'!G456</f>
        <v>7.7753779697624075E-3</v>
      </c>
      <c r="G455">
        <f ca="1">'ETF variations'!G455/'ETF price'!H456</f>
        <v>1.1111111111111179E-2</v>
      </c>
      <c r="H455">
        <f ca="1">'ETF variations'!H455/'ETF price'!I456</f>
        <v>3.0645921735030688E-3</v>
      </c>
      <c r="I455">
        <f ca="1">'ETF variations'!I455/'ETF price'!J456</f>
        <v>4.5557098229781819E-3</v>
      </c>
      <c r="J455">
        <f ca="1">'ETF variations'!J455/'ETF price'!K456</f>
        <v>1.1463540768832945E-2</v>
      </c>
      <c r="K455">
        <f ca="1">'ETF variations'!K455/'ETF price'!L456</f>
        <v>2.4900702719217994E-2</v>
      </c>
      <c r="L455">
        <f ca="1">'ETF variations'!L455/'ETF price'!M456</f>
        <v>1.1882998171846409E-2</v>
      </c>
      <c r="M455">
        <f ca="1">'ETF variations'!M455/'ETF price'!N456</f>
        <v>4.372687521022503E-3</v>
      </c>
      <c r="N455">
        <f ca="1">'ETF variations'!N455/'ETF price'!O456</f>
        <v>1.6375545851528422E-2</v>
      </c>
      <c r="O455">
        <f ca="1">'ETF variations'!O455/'ETF price'!P456</f>
        <v>-1.4076576576576577E-2</v>
      </c>
      <c r="P455">
        <f ca="1">'ETF variations'!P455/'ETF price'!Q456</f>
        <v>-1.2299035369774928E-2</v>
      </c>
      <c r="Q455">
        <f ca="1">'ETF variations'!Q455/'ETF price'!R456</f>
        <v>1.1818426000537332E-2</v>
      </c>
      <c r="R455">
        <f ca="1">'ETF variations'!R455/'ETF price'!S456</f>
        <v>1.4621087314662291E-2</v>
      </c>
      <c r="S455">
        <f ca="1">'ETF variations'!S455/'ETF price'!T456</f>
        <v>-1.0812975570684806E-2</v>
      </c>
      <c r="T455">
        <f ca="1">'ETF variations'!T455/'ETF price'!U456</f>
        <v>-2.4844720496894332E-2</v>
      </c>
      <c r="U455">
        <f ca="1">'ETF variations'!U455/'ETF price'!V456</f>
        <v>1.327838827838824E-2</v>
      </c>
      <c r="V455">
        <f ca="1">'ETF variations'!V455/'ETF price'!W456</f>
        <v>6.8749999999999645E-3</v>
      </c>
      <c r="W455">
        <f ca="1">'ETF variations'!W455/'ETF price'!X456</f>
        <v>6.6045066045066709E-3</v>
      </c>
      <c r="X455">
        <f ca="1">'ETF variations'!X455/'ETF price'!Y456</f>
        <v>-2.3021582733812459E-3</v>
      </c>
      <c r="Y455">
        <f ca="1">'ETF variations'!Y455/'ETF price'!Z456</f>
        <v>5.1596708966671952E-3</v>
      </c>
      <c r="Z455">
        <f ca="1">'ETF variations'!Z455/'ETF price'!AA456</f>
        <v>1.26270403449339E-2</v>
      </c>
      <c r="AA455">
        <f ca="1">'ETF variations'!AA455/'ETF price'!AB456</f>
        <v>-6.1617458279846458E-3</v>
      </c>
      <c r="AB455">
        <f ca="1">'ETF variations'!AB455/'ETF price'!AC456</f>
        <v>-1.8277822908204681E-2</v>
      </c>
      <c r="AC455">
        <f ca="1">'ETF variations'!AC455/'ETF price'!AD456</f>
        <v>7.3465859982713877E-2</v>
      </c>
      <c r="AD455">
        <f ca="1">'ETF variations'!AD455/'ETF price'!AE456</f>
        <v>7.3079325421611371E-2</v>
      </c>
      <c r="AE455">
        <f ca="1">'ETF variations'!AE455/'ETF price'!AF456</f>
        <v>2.3076923076923096E-2</v>
      </c>
      <c r="AF455">
        <f ca="1">'ETF variations'!AF455/'ETF price'!AG456</f>
        <v>8.6324786324786462E-2</v>
      </c>
    </row>
    <row r="456" spans="1:32" x14ac:dyDescent="0.2">
      <c r="A456">
        <f ca="1">'ETF variations'!A456/'ETF price'!B457</f>
        <v>-1.179958852716924E-2</v>
      </c>
      <c r="B456">
        <f ca="1">'ETF variations'!B456/'ETF price'!C457</f>
        <v>-1.6513938925022328E-2</v>
      </c>
      <c r="C456">
        <f ca="1">'ETF variations'!C456/'ETF price'!D457</f>
        <v>1.1280039234918994E-2</v>
      </c>
      <c r="D456">
        <f ca="1">'ETF variations'!D456/'ETF price'!E457</f>
        <v>-4.0424423903137663E-2</v>
      </c>
      <c r="E456">
        <f ca="1">'ETF variations'!E456/'ETF price'!F457</f>
        <v>-2.095459837019787E-2</v>
      </c>
      <c r="F456">
        <f ca="1">'ETF variations'!F456/'ETF price'!G457</f>
        <v>-2.5289327046720957E-2</v>
      </c>
      <c r="G456">
        <f ca="1">'ETF variations'!G456/'ETF price'!H457</f>
        <v>-1.9864750633981354E-2</v>
      </c>
      <c r="H456">
        <f ca="1">'ETF variations'!H456/'ETF price'!I457</f>
        <v>-8.9306698002350211E-3</v>
      </c>
      <c r="I456">
        <f ca="1">'ETF variations'!I456/'ETF price'!J457</f>
        <v>-1.0581782058480493E-2</v>
      </c>
      <c r="J456">
        <f ca="1">'ETF variations'!J456/'ETF price'!K457</f>
        <v>-1.9088197699190412E-2</v>
      </c>
      <c r="K456">
        <f ca="1">'ETF variations'!K456/'ETF price'!L457</f>
        <v>-2.3699508123416355E-2</v>
      </c>
      <c r="L456">
        <f ca="1">'ETF variations'!L456/'ETF price'!M457</f>
        <v>-2.5835591689250221E-2</v>
      </c>
      <c r="M456">
        <f ca="1">'ETF variations'!M456/'ETF price'!N457</f>
        <v>-1.0549229738780901E-2</v>
      </c>
      <c r="N456">
        <f ca="1">'ETF variations'!N456/'ETF price'!O457</f>
        <v>-3.4371643394199812E-2</v>
      </c>
      <c r="O456">
        <f ca="1">'ETF variations'!O456/'ETF price'!P457</f>
        <v>-1.8275271273557579E-3</v>
      </c>
      <c r="P456">
        <f ca="1">'ETF variations'!P456/'ETF price'!Q457</f>
        <v>-2.5229917799300255E-3</v>
      </c>
      <c r="Q456">
        <f ca="1">'ETF variations'!Q456/'ETF price'!R457</f>
        <v>-1.1680382267056141E-2</v>
      </c>
      <c r="R456">
        <f ca="1">'ETF variations'!R456/'ETF price'!S457</f>
        <v>-6.6977877004263317E-3</v>
      </c>
      <c r="S456">
        <f ca="1">'ETF variations'!S456/'ETF price'!T457</f>
        <v>7.2874493927125392E-3</v>
      </c>
      <c r="T456">
        <f ca="1">'ETF variations'!T456/'ETF price'!U457</f>
        <v>1.9888210061094331E-2</v>
      </c>
      <c r="U456">
        <f ca="1">'ETF variations'!U456/'ETF price'!V457</f>
        <v>-3.6601897876186118E-2</v>
      </c>
      <c r="V456">
        <f ca="1">'ETF variations'!V456/'ETF price'!W457</f>
        <v>-3.7243947858472204E-3</v>
      </c>
      <c r="W456">
        <f ca="1">'ETF variations'!W456/'ETF price'!X457</f>
        <v>-4.245465071400981E-3</v>
      </c>
      <c r="X456">
        <f ca="1">'ETF variations'!X456/'ETF price'!Y457</f>
        <v>-4.903374675512019E-3</v>
      </c>
      <c r="Y456">
        <f ca="1">'ETF variations'!Y456/'ETF price'!Z457</f>
        <v>-4.4395116537179966E-3</v>
      </c>
      <c r="Z456">
        <f ca="1">'ETF variations'!Z456/'ETF price'!AA457</f>
        <v>-2.0985401459854159E-2</v>
      </c>
      <c r="AA456">
        <f ca="1">'ETF variations'!AA456/'ETF price'!AB457</f>
        <v>-3.6166365280289477E-3</v>
      </c>
      <c r="AB456">
        <f ca="1">'ETF variations'!AB456/'ETF price'!AC457</f>
        <v>1.7170045510963967E-2</v>
      </c>
      <c r="AC456">
        <f ca="1">'ETF variations'!AC456/'ETF price'!AD457</f>
        <v>2.9790660225442772E-2</v>
      </c>
      <c r="AD456">
        <f ca="1">'ETF variations'!AD456/'ETF price'!AE457</f>
        <v>3.2596041909196669E-2</v>
      </c>
      <c r="AE456">
        <f ca="1">'ETF variations'!AE456/'ETF price'!AF457</f>
        <v>9.3984962406015032E-2</v>
      </c>
      <c r="AF456">
        <f ca="1">'ETF variations'!AF456/'ETF price'!AG457</f>
        <v>-1.770259638080263E-2</v>
      </c>
    </row>
    <row r="457" spans="1:32" x14ac:dyDescent="0.2">
      <c r="A457">
        <f ca="1">'ETF variations'!A457/'ETF price'!B458</f>
        <v>-1.9104770069193585E-2</v>
      </c>
      <c r="B457">
        <f ca="1">'ETF variations'!B457/'ETF price'!C458</f>
        <v>-1.7700855541351139E-2</v>
      </c>
      <c r="C457">
        <f ca="1">'ETF variations'!C457/'ETF price'!D458</f>
        <v>6.0135790494665817E-3</v>
      </c>
      <c r="D457">
        <f ca="1">'ETF variations'!D457/'ETF price'!E458</f>
        <v>-5.9697442507292281E-3</v>
      </c>
      <c r="E457">
        <f ca="1">'ETF variations'!E457/'ETF price'!F458</f>
        <v>-5.5489496630995068E-3</v>
      </c>
      <c r="F457">
        <f ca="1">'ETF variations'!F457/'ETF price'!G458</f>
        <v>-1.4511873350923408E-2</v>
      </c>
      <c r="G457">
        <f ca="1">'ETF variations'!G457/'ETF price'!H458</f>
        <v>-6.4683053040104407E-3</v>
      </c>
      <c r="H457">
        <f ca="1">'ETF variations'!H457/'ETF price'!I458</f>
        <v>-9.8806418464943476E-3</v>
      </c>
      <c r="I457">
        <f ca="1">'ETF variations'!I457/'ETF price'!J458</f>
        <v>-8.9924917059542621E-3</v>
      </c>
      <c r="J457">
        <f ca="1">'ETF variations'!J457/'ETF price'!K458</f>
        <v>-5.2124055251500539E-4</v>
      </c>
      <c r="K457">
        <f ca="1">'ETF variations'!K457/'ETF price'!L458</f>
        <v>1.0381679389313081E-2</v>
      </c>
      <c r="L457">
        <f ca="1">'ETF variations'!L457/'ETF price'!M458</f>
        <v>4.8219584569732564E-3</v>
      </c>
      <c r="M457">
        <f ca="1">'ETF variations'!M457/'ETF price'!N458</f>
        <v>-9.9847689964461563E-3</v>
      </c>
      <c r="N457">
        <f ca="1">'ETF variations'!N457/'ETF price'!O458</f>
        <v>3.337041156840863E-3</v>
      </c>
      <c r="O457">
        <f ca="1">'ETF variations'!O457/'ETF price'!P458</f>
        <v>-7.7812106648358715E-3</v>
      </c>
      <c r="P457">
        <f ca="1">'ETF variations'!P457/'ETF price'!Q458</f>
        <v>-7.343342036553571E-3</v>
      </c>
      <c r="Q457">
        <f ca="1">'ETF variations'!Q457/'ETF price'!R458</f>
        <v>6.9836153639539385E-3</v>
      </c>
      <c r="R457">
        <f ca="1">'ETF variations'!R457/'ETF price'!S458</f>
        <v>1.0216591744994742E-3</v>
      </c>
      <c r="S457">
        <f ca="1">'ETF variations'!S457/'ETF price'!T458</f>
        <v>-8.4405144694532676E-3</v>
      </c>
      <c r="T457">
        <f ca="1">'ETF variations'!T457/'ETF price'!U458</f>
        <v>-2.0010196278358313E-2</v>
      </c>
      <c r="U457">
        <f ca="1">'ETF variations'!U457/'ETF price'!V458</f>
        <v>9.6153846153845361E-3</v>
      </c>
      <c r="V457">
        <f ca="1">'ETF variations'!V457/'ETF price'!W458</f>
        <v>-2.1806853582554604E-3</v>
      </c>
      <c r="W457">
        <f ca="1">'ETF variations'!W457/'ETF price'!X458</f>
        <v>5.1679586563297211E-4</v>
      </c>
      <c r="X457">
        <f ca="1">'ETF variations'!X457/'ETF price'!Y458</f>
        <v>2.6376811594202798E-2</v>
      </c>
      <c r="Y457">
        <f ca="1">'ETF variations'!Y457/'ETF price'!Z458</f>
        <v>6.2709030100332862E-3</v>
      </c>
      <c r="Z457">
        <f ca="1">'ETF variations'!Z457/'ETF price'!AA458</f>
        <v>2.1124572848710773E-2</v>
      </c>
      <c r="AA457">
        <f ca="1">'ETF variations'!AA457/'ETF price'!AB458</f>
        <v>2.9815919108115079E-2</v>
      </c>
      <c r="AB457">
        <f ca="1">'ETF variations'!AB457/'ETF price'!AC458</f>
        <v>1.016880211511084E-2</v>
      </c>
      <c r="AC457">
        <f ca="1">'ETF variations'!AC457/'ETF price'!AD458</f>
        <v>-2.2673964034401813E-2</v>
      </c>
      <c r="AD457">
        <f ca="1">'ETF variations'!AD457/'ETF price'!AE458</f>
        <v>-2.593010146561428E-2</v>
      </c>
      <c r="AE457">
        <f ca="1">'ETF variations'!AE457/'ETF price'!AF458</f>
        <v>0</v>
      </c>
      <c r="AF457">
        <f ca="1">'ETF variations'!AF457/'ETF price'!AG458</f>
        <v>-4.6856227472967492E-2</v>
      </c>
    </row>
    <row r="458" spans="1:32" x14ac:dyDescent="0.2">
      <c r="A458">
        <f ca="1">'ETF variations'!A458/'ETF price'!B459</f>
        <v>5.8056058430614073E-3</v>
      </c>
      <c r="B458">
        <f ca="1">'ETF variations'!B458/'ETF price'!C459</f>
        <v>4.1545700270297949E-3</v>
      </c>
      <c r="C458">
        <f ca="1">'ETF variations'!C458/'ETF price'!D459</f>
        <v>1.8318549942152002E-2</v>
      </c>
      <c r="D458">
        <f ca="1">'ETF variations'!D458/'ETF price'!E459</f>
        <v>1.0782774858390859E-2</v>
      </c>
      <c r="E458">
        <f ca="1">'ETF variations'!E458/'ETF price'!F459</f>
        <v>-6.1777600637704716E-3</v>
      </c>
      <c r="F458">
        <f ca="1">'ETF variations'!F458/'ETF price'!G459</f>
        <v>-3.1236055332441001E-3</v>
      </c>
      <c r="G458">
        <f ca="1">'ETF variations'!G458/'ETF price'!H459</f>
        <v>-1.4322916666666593E-2</v>
      </c>
      <c r="H458">
        <f ca="1">'ETF variations'!H458/'ETF price'!I459</f>
        <v>-1.6924796423439283E-2</v>
      </c>
      <c r="I458">
        <f ca="1">'ETF variations'!I458/'ETF price'!J459</f>
        <v>-1.7267201127654022E-2</v>
      </c>
      <c r="J458">
        <f ca="1">'ETF variations'!J458/'ETF price'!K459</f>
        <v>-2.2946544980443292E-2</v>
      </c>
      <c r="K458">
        <f ca="1">'ETF variations'!K458/'ETF price'!L459</f>
        <v>-3.1127228770021186E-2</v>
      </c>
      <c r="L458">
        <f ca="1">'ETF variations'!L458/'ETF price'!M459</f>
        <v>-3.0638612033960809E-2</v>
      </c>
      <c r="M458">
        <f ca="1">'ETF variations'!M458/'ETF price'!N459</f>
        <v>-1.6752136752136697E-2</v>
      </c>
      <c r="N458">
        <f ca="1">'ETF variations'!N458/'ETF price'!O459</f>
        <v>-2.771618625277162E-2</v>
      </c>
      <c r="O458">
        <f ca="1">'ETF variations'!O458/'ETF price'!P459</f>
        <v>-2.3988005997001481E-2</v>
      </c>
      <c r="P458">
        <f ca="1">'ETF variations'!P458/'ETF price'!Q459</f>
        <v>-2.0631267466710429E-2</v>
      </c>
      <c r="Q458">
        <f ca="1">'ETF variations'!Q458/'ETF price'!R459</f>
        <v>-4.0010669511871347E-4</v>
      </c>
      <c r="R458">
        <f ca="1">'ETF variations'!R458/'ETF price'!S459</f>
        <v>7.9608083282302622E-3</v>
      </c>
      <c r="S458">
        <f ca="1">'ETF variations'!S458/'ETF price'!T459</f>
        <v>1.3376570733684567E-2</v>
      </c>
      <c r="T458">
        <f ca="1">'ETF variations'!T458/'ETF price'!U459</f>
        <v>1.9118220834959017E-2</v>
      </c>
      <c r="U458">
        <f ca="1">'ETF variations'!U458/'ETF price'!V459</f>
        <v>-4.8780487804877919E-2</v>
      </c>
      <c r="V458">
        <f ca="1">'ETF variations'!V458/'ETF price'!W459</f>
        <v>-1.8108023727755287E-2</v>
      </c>
      <c r="W458">
        <f ca="1">'ETF variations'!W458/'ETF price'!X459</f>
        <v>-1.8982438016528911E-2</v>
      </c>
      <c r="X458">
        <f ca="1">'ETF variations'!X458/'ETF price'!Y459</f>
        <v>-2.0898051397910053E-2</v>
      </c>
      <c r="Y458">
        <f ca="1">'ETF variations'!Y458/'ETF price'!Z459</f>
        <v>-2.0911231131422115E-2</v>
      </c>
      <c r="Z458">
        <f ca="1">'ETF variations'!Z458/'ETF price'!AA459</f>
        <v>-1.5819896562214667E-2</v>
      </c>
      <c r="AA458">
        <f ca="1">'ETF variations'!AA458/'ETF price'!AB459</f>
        <v>-2.1399798590130952E-2</v>
      </c>
      <c r="AB458">
        <f ca="1">'ETF variations'!AB458/'ETF price'!AC459</f>
        <v>5.0332192470304007E-3</v>
      </c>
      <c r="AC458">
        <f ca="1">'ETF variations'!AC458/'ETF price'!AD459</f>
        <v>-1.1200000000000045E-2</v>
      </c>
      <c r="AD458">
        <f ca="1">'ETF variations'!AD458/'ETF price'!AE459</f>
        <v>-9.8379629629630604E-3</v>
      </c>
      <c r="AE458">
        <f ca="1">'ETF variations'!AE458/'ETF price'!AF459</f>
        <v>0</v>
      </c>
      <c r="AF458">
        <f ca="1">'ETF variations'!AF458/'ETF price'!AG459</f>
        <v>-2.1008403361344536E-2</v>
      </c>
    </row>
    <row r="459" spans="1:32" x14ac:dyDescent="0.2">
      <c r="A459">
        <f ca="1">'ETF variations'!A459/'ETF price'!B460</f>
        <v>1.0737338629592787E-2</v>
      </c>
      <c r="B459">
        <f ca="1">'ETF variations'!B459/'ETF price'!C460</f>
        <v>8.7981655949353789E-3</v>
      </c>
      <c r="C459">
        <f ca="1">'ETF variations'!C459/'ETF price'!D460</f>
        <v>1.5527362241999626E-2</v>
      </c>
      <c r="D459">
        <f ca="1">'ETF variations'!D459/'ETF price'!E460</f>
        <v>-1.3368442373911403E-2</v>
      </c>
      <c r="E459">
        <f ca="1">'ETF variations'!E459/'ETF price'!F460</f>
        <v>5.6145979546821968E-3</v>
      </c>
      <c r="F459">
        <f ca="1">'ETF variations'!F459/'ETF price'!G460</f>
        <v>8.5049239033125005E-3</v>
      </c>
      <c r="G459">
        <f ca="1">'ETF variations'!G459/'ETF price'!H460</f>
        <v>6.1646851607221739E-3</v>
      </c>
      <c r="H459">
        <f ca="1">'ETF variations'!H459/'ETF price'!I460</f>
        <v>5.6033782686373051E-3</v>
      </c>
      <c r="I459">
        <f ca="1">'ETF variations'!I459/'ETF price'!J460</f>
        <v>5.2442850739579383E-3</v>
      </c>
      <c r="J459">
        <f ca="1">'ETF variations'!J459/'ETF price'!K460</f>
        <v>5.5155235299350997E-3</v>
      </c>
      <c r="K459">
        <f ca="1">'ETF variations'!K459/'ETF price'!L460</f>
        <v>1.6687461010605007E-2</v>
      </c>
      <c r="L459">
        <f ca="1">'ETF variations'!L459/'ETF price'!M460</f>
        <v>8.1873571972581813E-3</v>
      </c>
      <c r="M459">
        <f ca="1">'ETF variations'!M459/'ETF price'!N460</f>
        <v>5.5632823365785863E-3</v>
      </c>
      <c r="N459">
        <f ca="1">'ETF variations'!N459/'ETF price'!O460</f>
        <v>1.2542759407069694E-2</v>
      </c>
      <c r="O459">
        <f ca="1">'ETF variations'!O459/'ETF price'!P460</f>
        <v>3.3085194375517091E-3</v>
      </c>
      <c r="P459">
        <f ca="1">'ETF variations'!P459/'ETF price'!Q460</f>
        <v>2.8535459504824942E-3</v>
      </c>
      <c r="Q459">
        <f ca="1">'ETF variations'!Q459/'ETF price'!R460</f>
        <v>1.0273515677118025E-2</v>
      </c>
      <c r="R459">
        <f ca="1">'ETF variations'!R459/'ETF price'!S460</f>
        <v>8.1004455245038184E-3</v>
      </c>
      <c r="S459">
        <f ca="1">'ETF variations'!S459/'ETF price'!T460</f>
        <v>-1.5999999999999945E-2</v>
      </c>
      <c r="T459">
        <f ca="1">'ETF variations'!T459/'ETF price'!U460</f>
        <v>-2.9479326186830045E-2</v>
      </c>
      <c r="U459">
        <f ca="1">'ETF variations'!U459/'ETF price'!V460</f>
        <v>9.7680097680097333E-3</v>
      </c>
      <c r="V459">
        <f ca="1">'ETF variations'!V459/'ETF price'!W460</f>
        <v>1.7806041335453059E-2</v>
      </c>
      <c r="W459">
        <f ca="1">'ETF variations'!W459/'ETF price'!X460</f>
        <v>1.5795708832433895E-2</v>
      </c>
      <c r="X459">
        <f ca="1">'ETF variations'!X459/'ETF price'!Y460</f>
        <v>1.2979521199884502E-2</v>
      </c>
      <c r="Y459">
        <f ca="1">'ETF variations'!Y459/'ETF price'!Z460</f>
        <v>1.6407355021216357E-2</v>
      </c>
      <c r="Z459">
        <f ca="1">'ETF variations'!Z459/'ETF price'!AA460</f>
        <v>3.0911901081916975E-3</v>
      </c>
      <c r="AA459">
        <f ca="1">'ETF variations'!AA459/'ETF price'!AB460</f>
        <v>1.4921533316182286E-2</v>
      </c>
      <c r="AB459">
        <f ca="1">'ETF variations'!AB459/'ETF price'!AC460</f>
        <v>2.8846153846153799E-2</v>
      </c>
      <c r="AC459">
        <f ca="1">'ETF variations'!AC459/'ETF price'!AD460</f>
        <v>1.9417475728155359E-2</v>
      </c>
      <c r="AD459">
        <f ca="1">'ETF variations'!AD459/'ETF price'!AE460</f>
        <v>2.4547048509643583E-2</v>
      </c>
      <c r="AE459">
        <f ca="1">'ETF variations'!AE459/'ETF price'!AF460</f>
        <v>-3.0927835051546494E-2</v>
      </c>
      <c r="AF459">
        <f ca="1">'ETF variations'!AF459/'ETF price'!AG460</f>
        <v>9.8712446351931511E-3</v>
      </c>
    </row>
    <row r="460" spans="1:32" x14ac:dyDescent="0.2">
      <c r="A460">
        <f ca="1">'ETF variations'!A460/'ETF price'!B461</f>
        <v>7.1231194350629204E-3</v>
      </c>
      <c r="B460">
        <f ca="1">'ETF variations'!B460/'ETF price'!C461</f>
        <v>7.535515750463277E-3</v>
      </c>
      <c r="C460">
        <f ca="1">'ETF variations'!C460/'ETF price'!D461</f>
        <v>1.2772701845981636E-2</v>
      </c>
      <c r="D460">
        <f ca="1">'ETF variations'!D460/'ETF price'!E461</f>
        <v>9.1014849791282593E-3</v>
      </c>
      <c r="E460">
        <f ca="1">'ETF variations'!E460/'ETF price'!F461</f>
        <v>1.615154536390832E-2</v>
      </c>
      <c r="F460">
        <f ca="1">'ETF variations'!F460/'ETF price'!G461</f>
        <v>1.0652463382157053E-2</v>
      </c>
      <c r="G460">
        <f ca="1">'ETF variations'!G460/'ETF price'!H461</f>
        <v>5.6892778993435011E-3</v>
      </c>
      <c r="H460">
        <f ca="1">'ETF variations'!H460/'ETF price'!I461</f>
        <v>5.7336671242833558E-3</v>
      </c>
      <c r="I460">
        <f ca="1">'ETF variations'!I460/'ETF price'!J461</f>
        <v>6.8221340348686901E-3</v>
      </c>
      <c r="J460">
        <f ca="1">'ETF variations'!J460/'ETF price'!K461</f>
        <v>5.7506856586747382E-3</v>
      </c>
      <c r="K460">
        <f ca="1">'ETF variations'!K460/'ETF price'!L461</f>
        <v>1.5953367080840716E-2</v>
      </c>
      <c r="L460">
        <f ca="1">'ETF variations'!L460/'ETF price'!M461</f>
        <v>1.2086874409820595E-2</v>
      </c>
      <c r="M460">
        <f ca="1">'ETF variations'!M460/'ETF price'!N461</f>
        <v>6.9156293222683018E-3</v>
      </c>
      <c r="N460">
        <f ca="1">'ETF variations'!N460/'ETF price'!O461</f>
        <v>-3.3783783783785061E-3</v>
      </c>
      <c r="O460">
        <f ca="1">'ETF variations'!O460/'ETF price'!P461</f>
        <v>3.2976092333058668E-3</v>
      </c>
      <c r="P460">
        <f ca="1">'ETF variations'!P460/'ETF price'!Q461</f>
        <v>3.7660055234747915E-3</v>
      </c>
      <c r="Q460">
        <f ca="1">'ETF variations'!Q460/'ETF price'!R461</f>
        <v>4.4902271526677685E-3</v>
      </c>
      <c r="R460">
        <f ca="1">'ETF variations'!R460/'ETF price'!S461</f>
        <v>-6.4282844515869885E-3</v>
      </c>
      <c r="S460">
        <f ca="1">'ETF variations'!S460/'ETF price'!T461</f>
        <v>-3.6585365853658478E-3</v>
      </c>
      <c r="T460">
        <f ca="1">'ETF variations'!T460/'ETF price'!U461</f>
        <v>-1.3543721236028945E-2</v>
      </c>
      <c r="U460">
        <f ca="1">'ETF variations'!U460/'ETF price'!V461</f>
        <v>1.5235792019346927E-2</v>
      </c>
      <c r="V460">
        <f ca="1">'ETF variations'!V460/'ETF price'!W461</f>
        <v>1.0934083099031598E-2</v>
      </c>
      <c r="W460">
        <f ca="1">'ETF variations'!W460/'ETF price'!X461</f>
        <v>1.0625890890242233E-2</v>
      </c>
      <c r="X460">
        <f ca="1">'ETF variations'!X460/'ETF price'!Y461</f>
        <v>5.6947608200456391E-3</v>
      </c>
      <c r="Y460">
        <f ca="1">'ETF variations'!Y460/'ETF price'!Z461</f>
        <v>9.8803228499859969E-3</v>
      </c>
      <c r="Z460">
        <f ca="1">'ETF variations'!Z460/'ETF price'!AA461</f>
        <v>2.0030816640986087E-2</v>
      </c>
      <c r="AA460">
        <f ca="1">'ETF variations'!AA460/'ETF price'!AB461</f>
        <v>5.5766793409378667E-3</v>
      </c>
      <c r="AB460">
        <f ca="1">'ETF variations'!AB460/'ETF price'!AC461</f>
        <v>1.6355140186915956E-2</v>
      </c>
      <c r="AC460">
        <f ca="1">'ETF variations'!AC460/'ETF price'!AD461</f>
        <v>4.7619047619048014E-3</v>
      </c>
      <c r="AD460">
        <f ca="1">'ETF variations'!AD460/'ETF price'!AE461</f>
        <v>3.4227039361094534E-3</v>
      </c>
      <c r="AE460">
        <f ca="1">'ETF variations'!AE460/'ETF price'!AF461</f>
        <v>7.0921985815602905E-3</v>
      </c>
      <c r="AF460">
        <f ca="1">'ETF variations'!AF460/'ETF price'!AG461</f>
        <v>2.9749256268593403E-3</v>
      </c>
    </row>
    <row r="461" spans="1:32" x14ac:dyDescent="0.2">
      <c r="A461">
        <f ca="1">'ETF variations'!A461/'ETF price'!B462</f>
        <v>1.9328089750625058E-2</v>
      </c>
      <c r="B461">
        <f ca="1">'ETF variations'!B461/'ETF price'!C462</f>
        <v>1.640510053948013E-2</v>
      </c>
      <c r="C461">
        <f ca="1">'ETF variations'!C461/'ETF price'!D462</f>
        <v>5.1551136886679762E-3</v>
      </c>
      <c r="D461">
        <f ca="1">'ETF variations'!D461/'ETF price'!E462</f>
        <v>2.3531805235318042E-2</v>
      </c>
      <c r="E461">
        <f ca="1">'ETF variations'!E461/'ETF price'!F462</f>
        <v>3.9246467817895554E-3</v>
      </c>
      <c r="F461">
        <f ca="1">'ETF variations'!F461/'ETF price'!G462</f>
        <v>1.4492753623188488E-2</v>
      </c>
      <c r="G461">
        <f ca="1">'ETF variations'!G461/'ETF price'!H462</f>
        <v>8.7032201914706586E-4</v>
      </c>
      <c r="H461">
        <f ca="1">'ETF variations'!H461/'ETF price'!I462</f>
        <v>2.0876826722337474E-3</v>
      </c>
      <c r="I461">
        <f ca="1">'ETF variations'!I461/'ETF price'!J462</f>
        <v>2.2586359610274175E-3</v>
      </c>
      <c r="J461">
        <f ca="1">'ETF variations'!J461/'ETF price'!K462</f>
        <v>1.3458831808585387E-2</v>
      </c>
      <c r="K461">
        <f ca="1">'ETF variations'!K461/'ETF price'!L462</f>
        <v>2.068548995923283E-2</v>
      </c>
      <c r="L461">
        <f ca="1">'ETF variations'!L461/'ETF price'!M462</f>
        <v>6.9042731852957161E-3</v>
      </c>
      <c r="M461">
        <f ca="1">'ETF variations'!M461/'ETF price'!N462</f>
        <v>2.0604395604395163E-3</v>
      </c>
      <c r="N461">
        <f ca="1">'ETF variations'!N461/'ETF price'!O462</f>
        <v>2.146892655367226E-2</v>
      </c>
      <c r="O461">
        <f ca="1">'ETF variations'!O461/'ETF price'!P462</f>
        <v>-2.3476933912431369E-3</v>
      </c>
      <c r="P461">
        <f ca="1">'ETF variations'!P461/'ETF price'!Q462</f>
        <v>-2.1677505419375599E-3</v>
      </c>
      <c r="Q461">
        <f ca="1">'ETF variations'!Q461/'ETF price'!R462</f>
        <v>5.259006047855909E-4</v>
      </c>
      <c r="R461">
        <f ca="1">'ETF variations'!R461/'ETF price'!S462</f>
        <v>4.0436716538616198E-3</v>
      </c>
      <c r="S461">
        <f ca="1">'ETF variations'!S461/'ETF price'!T462</f>
        <v>1.6319869441044123E-3</v>
      </c>
      <c r="T461">
        <f ca="1">'ETF variations'!T461/'ETF price'!U462</f>
        <v>-3.5990402559316985E-3</v>
      </c>
      <c r="U461">
        <f ca="1">'ETF variations'!U461/'ETF price'!V462</f>
        <v>-1.0957598856598232E-2</v>
      </c>
      <c r="V461">
        <f ca="1">'ETF variations'!V461/'ETF price'!W462</f>
        <v>6.4894932014833394E-3</v>
      </c>
      <c r="W461">
        <f ca="1">'ETF variations'!W461/'ETF price'!X462</f>
        <v>6.539299910244969E-3</v>
      </c>
      <c r="X461">
        <f ca="1">'ETF variations'!X461/'ETF price'!Y462</f>
        <v>4.81313703284263E-3</v>
      </c>
      <c r="Y461">
        <f ca="1">'ETF variations'!Y461/'ETF price'!Z462</f>
        <v>7.027697395618095E-3</v>
      </c>
      <c r="Z461">
        <f ca="1">'ETF variations'!Z461/'ETF price'!AA462</f>
        <v>5.1359516616314715E-3</v>
      </c>
      <c r="AA461">
        <f ca="1">'ETF variations'!AA461/'ETF price'!AB462</f>
        <v>4.0332745147465734E-3</v>
      </c>
      <c r="AB461">
        <f ca="1">'ETF variations'!AB461/'ETF price'!AC462</f>
        <v>-4.980842911877492E-3</v>
      </c>
      <c r="AC461">
        <f ca="1">'ETF variations'!AC461/'ETF price'!AD462</f>
        <v>8.688783570300113E-3</v>
      </c>
      <c r="AD461">
        <f ca="1">'ETF variations'!AD461/'ETF price'!AE462</f>
        <v>-3.4110289937463742E-3</v>
      </c>
      <c r="AE461">
        <f ca="1">'ETF variations'!AE461/'ETF price'!AF462</f>
        <v>-1.4084507042253534E-2</v>
      </c>
      <c r="AF461">
        <f ca="1">'ETF variations'!AF461/'ETF price'!AG462</f>
        <v>2.0762711864406713E-2</v>
      </c>
    </row>
    <row r="462" spans="1:32" x14ac:dyDescent="0.2">
      <c r="A462">
        <f ca="1">'ETF variations'!A462/'ETF price'!B463</f>
        <v>1.6927862184471731E-2</v>
      </c>
      <c r="B462">
        <f ca="1">'ETF variations'!B462/'ETF price'!C463</f>
        <v>1.7829139424352786E-2</v>
      </c>
      <c r="C462">
        <f ca="1">'ETF variations'!C462/'ETF price'!D463</f>
        <v>1.2821686967671084E-2</v>
      </c>
      <c r="D462">
        <f ca="1">'ETF variations'!D462/'ETF price'!E463</f>
        <v>2.2725766911813466E-2</v>
      </c>
      <c r="E462">
        <f ca="1">'ETF variations'!E462/'ETF price'!F463</f>
        <v>8.99139953088352E-3</v>
      </c>
      <c r="F462">
        <f ca="1">'ETF variations'!F462/'ETF price'!G463</f>
        <v>3.2467532467532464E-2</v>
      </c>
      <c r="G462">
        <f ca="1">'ETF variations'!G462/'ETF price'!H463</f>
        <v>1.3913043478260882E-2</v>
      </c>
      <c r="H462">
        <f ca="1">'ETF variations'!H462/'ETF price'!I463</f>
        <v>1.5865384615384649E-2</v>
      </c>
      <c r="I462">
        <f ca="1">'ETF variations'!I462/'ETF price'!J463</f>
        <v>1.5421324731562941E-2</v>
      </c>
      <c r="J462">
        <f ca="1">'ETF variations'!J462/'ETF price'!K463</f>
        <v>1.3974481381824491E-2</v>
      </c>
      <c r="K462">
        <f ca="1">'ETF variations'!K462/'ETF price'!L463</f>
        <v>9.7633136094676162E-3</v>
      </c>
      <c r="L462">
        <f ca="1">'ETF variations'!L462/'ETF price'!M463</f>
        <v>9.8220904373610297E-3</v>
      </c>
      <c r="M462">
        <f ca="1">'ETF variations'!M462/'ETF price'!N463</f>
        <v>1.5421521590130202E-2</v>
      </c>
      <c r="N462">
        <f ca="1">'ETF variations'!N462/'ETF price'!O463</f>
        <v>2.1017699115044391E-2</v>
      </c>
      <c r="O462">
        <f ca="1">'ETF variations'!O462/'ETF price'!P463</f>
        <v>3.0238851629603571E-2</v>
      </c>
      <c r="P462">
        <f ca="1">'ETF variations'!P462/'ETF price'!Q463</f>
        <v>3.0247326203208472E-2</v>
      </c>
      <c r="Q462">
        <f ca="1">'ETF variations'!Q462/'ETF price'!R463</f>
        <v>1.9316688567674101E-2</v>
      </c>
      <c r="R462">
        <f ca="1">'ETF variations'!R462/'ETF price'!S463</f>
        <v>2.0539669754329505E-2</v>
      </c>
      <c r="S462">
        <f ca="1">'ETF variations'!S462/'ETF price'!T463</f>
        <v>1.0590631364562036E-2</v>
      </c>
      <c r="T462">
        <f ca="1">'ETF variations'!T462/'ETF price'!U463</f>
        <v>1.9130434782608789E-2</v>
      </c>
      <c r="U462">
        <f ca="1">'ETF variations'!U462/'ETF price'!V463</f>
        <v>3.6608863198458477E-2</v>
      </c>
      <c r="V462">
        <f ca="1">'ETF variations'!V462/'ETF price'!W463</f>
        <v>2.3641387780165894E-2</v>
      </c>
      <c r="W462">
        <f ca="1">'ETF variations'!W462/'ETF price'!X463</f>
        <v>2.5222929936305784E-2</v>
      </c>
      <c r="X462">
        <f ca="1">'ETF variations'!X462/'ETF price'!Y463</f>
        <v>4.959143420681876E-2</v>
      </c>
      <c r="Y462">
        <f ca="1">'ETF variations'!Y462/'ETF price'!Z463</f>
        <v>2.4083196496989669E-2</v>
      </c>
      <c r="Z462">
        <f ca="1">'ETF variations'!Z462/'ETF price'!AA463</f>
        <v>3.0958821761346376E-2</v>
      </c>
      <c r="AA462">
        <f ca="1">'ETF variations'!AA462/'ETF price'!AB463</f>
        <v>5.6741149887019962E-2</v>
      </c>
      <c r="AB462">
        <f ca="1">'ETF variations'!AB462/'ETF price'!AC463</f>
        <v>-3.850596842509823E-4</v>
      </c>
      <c r="AC462">
        <f ca="1">'ETF variations'!AC462/'ETF price'!AD463</f>
        <v>-2.3492560689114613E-3</v>
      </c>
      <c r="AD462">
        <f ca="1">'ETF variations'!AD462/'ETF price'!AE463</f>
        <v>9.1272104962920788E-3</v>
      </c>
      <c r="AE462">
        <f ca="1">'ETF variations'!AE462/'ETF price'!AF463</f>
        <v>1.4285714285714299E-2</v>
      </c>
      <c r="AF462">
        <f ca="1">'ETF variations'!AF462/'ETF price'!AG463</f>
        <v>8.3852220838522187E-2</v>
      </c>
    </row>
    <row r="463" spans="1:32" x14ac:dyDescent="0.2">
      <c r="A463">
        <f ca="1">'ETF variations'!A463/'ETF price'!B464</f>
        <v>1.0293512146344334E-2</v>
      </c>
      <c r="B463">
        <f ca="1">'ETF variations'!B463/'ETF price'!C464</f>
        <v>1.4222053664549161E-2</v>
      </c>
      <c r="C463">
        <f ca="1">'ETF variations'!C463/'ETF price'!D464</f>
        <v>4.9733248937516693E-3</v>
      </c>
      <c r="D463">
        <f ca="1">'ETF variations'!D463/'ETF price'!E464</f>
        <v>2.6302150816273476E-2</v>
      </c>
      <c r="E463">
        <f ca="1">'ETF variations'!E463/'ETF price'!F464</f>
        <v>1.5304145679968989E-2</v>
      </c>
      <c r="F463">
        <f ca="1">'ETF variations'!F463/'ETF price'!G464</f>
        <v>2.5157232704402423E-2</v>
      </c>
      <c r="G463">
        <f ca="1">'ETF variations'!G463/'ETF price'!H464</f>
        <v>2.4013722126929617E-2</v>
      </c>
      <c r="H463">
        <f ca="1">'ETF variations'!H463/'ETF price'!I464</f>
        <v>4.9692380501656051E-3</v>
      </c>
      <c r="I463">
        <f ca="1">'ETF variations'!I463/'ETF price'!J464</f>
        <v>7.2236727589207851E-3</v>
      </c>
      <c r="J463">
        <f ca="1">'ETF variations'!J463/'ETF price'!K464</f>
        <v>2.5423728813559435E-2</v>
      </c>
      <c r="K463">
        <f ca="1">'ETF variations'!K463/'ETF price'!L464</f>
        <v>4.6879578083797079E-2</v>
      </c>
      <c r="L463">
        <f ca="1">'ETF variations'!L463/'ETF price'!M464</f>
        <v>3.1565424848596049E-2</v>
      </c>
      <c r="M463">
        <f ca="1">'ETF variations'!M463/'ETF price'!N464</f>
        <v>8.0998987512656759E-3</v>
      </c>
      <c r="N463">
        <f ca="1">'ETF variations'!N463/'ETF price'!O464</f>
        <v>6.1755146262188546E-2</v>
      </c>
      <c r="O463">
        <f ca="1">'ETF variations'!O463/'ETF price'!P464</f>
        <v>-1.0050251256281355E-2</v>
      </c>
      <c r="P463">
        <f ca="1">'ETF variations'!P463/'ETF price'!Q464</f>
        <v>-9.0024330900243272E-3</v>
      </c>
      <c r="Q463">
        <f ca="1">'ETF variations'!Q463/'ETF price'!R464</f>
        <v>1.5727729792445702E-2</v>
      </c>
      <c r="R463">
        <f ca="1">'ETF variations'!R463/'ETF price'!S464</f>
        <v>1.0260457774269991E-2</v>
      </c>
      <c r="S463">
        <f ca="1">'ETF variations'!S463/'ETF price'!T464</f>
        <v>-5.2398226521563488E-3</v>
      </c>
      <c r="T463">
        <f ca="1">'ETF variations'!T463/'ETF price'!U464</f>
        <v>-1.7458650564452775E-2</v>
      </c>
      <c r="U463">
        <f ca="1">'ETF variations'!U463/'ETF price'!V464</f>
        <v>3.8568773234200833E-2</v>
      </c>
      <c r="V463">
        <f ca="1">'ETF variations'!V463/'ETF price'!W464</f>
        <v>1.3197360527894351E-2</v>
      </c>
      <c r="W463">
        <f ca="1">'ETF variations'!W463/'ETF price'!X464</f>
        <v>1.6028827037773259E-2</v>
      </c>
      <c r="X463">
        <f ca="1">'ETF variations'!X463/'ETF price'!Y464</f>
        <v>3.2214765100671214E-2</v>
      </c>
      <c r="Y463">
        <f ca="1">'ETF variations'!Y463/'ETF price'!Z464</f>
        <v>1.5366114377338208E-2</v>
      </c>
      <c r="Z463">
        <f ca="1">'ETF variations'!Z463/'ETF price'!AA464</f>
        <v>2.3615160349854294E-2</v>
      </c>
      <c r="AA463">
        <f ca="1">'ETF variations'!AA463/'ETF price'!AB464</f>
        <v>3.6350677120456018E-2</v>
      </c>
      <c r="AB463">
        <f ca="1">'ETF variations'!AB463/'ETF price'!AC464</f>
        <v>0</v>
      </c>
      <c r="AC463">
        <f ca="1">'ETF variations'!AC463/'ETF price'!AD464</f>
        <v>-7.8492935635792495E-3</v>
      </c>
      <c r="AD463">
        <f ca="1">'ETF variations'!AD463/'ETF price'!AE464</f>
        <v>-1.4697569248162892E-2</v>
      </c>
      <c r="AE463">
        <f ca="1">'ETF variations'!AE463/'ETF price'!AF464</f>
        <v>3.5211267605633839E-2</v>
      </c>
      <c r="AF463">
        <f ca="1">'ETF variations'!AF463/'ETF price'!AG464</f>
        <v>8.4258904634239313E-3</v>
      </c>
    </row>
    <row r="464" spans="1:32" x14ac:dyDescent="0.2">
      <c r="A464">
        <f ca="1">'ETF variations'!A464/'ETF price'!B465</f>
        <v>6.5789473684210262E-3</v>
      </c>
      <c r="B464">
        <f ca="1">'ETF variations'!B464/'ETF price'!C465</f>
        <v>4.5339814901374162E-3</v>
      </c>
      <c r="C464">
        <f ca="1">'ETF variations'!C464/'ETF price'!D465</f>
        <v>-5.4885729710275281E-3</v>
      </c>
      <c r="D464">
        <f ca="1">'ETF variations'!D464/'ETF price'!E465</f>
        <v>-1.8305769473550817E-3</v>
      </c>
      <c r="E464">
        <f ca="1">'ETF variations'!E464/'ETF price'!F465</f>
        <v>-5.7240984544933635E-3</v>
      </c>
      <c r="F464">
        <f ca="1">'ETF variations'!F464/'ETF price'!G465</f>
        <v>-8.1799591002043245E-4</v>
      </c>
      <c r="G464">
        <f ca="1">'ETF variations'!G464/'ETF price'!H465</f>
        <v>-9.2127303182579084E-3</v>
      </c>
      <c r="H464">
        <f ca="1">'ETF variations'!H464/'ETF price'!I465</f>
        <v>6.6713758731653276E-3</v>
      </c>
      <c r="I464">
        <f ca="1">'ETF variations'!I464/'ETF price'!J465</f>
        <v>4.7092370171952103E-3</v>
      </c>
      <c r="J464">
        <f ca="1">'ETF variations'!J464/'ETF price'!K465</f>
        <v>-3.1722180482511866E-3</v>
      </c>
      <c r="K464">
        <f ca="1">'ETF variations'!K464/'ETF price'!L465</f>
        <v>-2.2110271480548536E-2</v>
      </c>
      <c r="L464">
        <f ca="1">'ETF variations'!L464/'ETF price'!M465</f>
        <v>-9.6068315246397289E-3</v>
      </c>
      <c r="M464">
        <f ca="1">'ETF variations'!M464/'ETF price'!N465</f>
        <v>3.5152326749246878E-3</v>
      </c>
      <c r="N464">
        <f ca="1">'ETF variations'!N464/'ETF price'!O465</f>
        <v>-1.122448979591849E-2</v>
      </c>
      <c r="O464">
        <f ca="1">'ETF variations'!O464/'ETF price'!P465</f>
        <v>-1.1305952930318457E-2</v>
      </c>
      <c r="P464">
        <f ca="1">'ETF variations'!P464/'ETF price'!Q465</f>
        <v>-1.3994598575988164E-2</v>
      </c>
      <c r="Q464">
        <f ca="1">'ETF variations'!Q464/'ETF price'!R465</f>
        <v>-4.9498667343571591E-3</v>
      </c>
      <c r="R464">
        <f ca="1">'ETF variations'!R464/'ETF price'!S465</f>
        <v>-8.7890625000000555E-3</v>
      </c>
      <c r="S464">
        <f ca="1">'ETF variations'!S464/'ETF price'!T465</f>
        <v>4.0518638573744502E-3</v>
      </c>
      <c r="T464">
        <f ca="1">'ETF variations'!T464/'ETF price'!U465</f>
        <v>8.0160320641285612E-4</v>
      </c>
      <c r="U464">
        <f ca="1">'ETF variations'!U464/'ETF price'!V465</f>
        <v>-1.834451901565996E-2</v>
      </c>
      <c r="V464">
        <f ca="1">'ETF variations'!V464/'ETF price'!W465</f>
        <v>-2.9603315571344411E-3</v>
      </c>
      <c r="W464">
        <f ca="1">'ETF variations'!W464/'ETF price'!X465</f>
        <v>-3.9134156781214773E-3</v>
      </c>
      <c r="X464">
        <f ca="1">'ETF variations'!X464/'ETF price'!Y465</f>
        <v>-1.4044213263979356E-2</v>
      </c>
      <c r="Y464">
        <f ca="1">'ETF variations'!Y464/'ETF price'!Z465</f>
        <v>-4.8690617186470638E-3</v>
      </c>
      <c r="Z464">
        <f ca="1">'ETF variations'!Z464/'ETF price'!AA465</f>
        <v>-1.3671318712617399E-2</v>
      </c>
      <c r="AA464">
        <f ca="1">'ETF variations'!AA464/'ETF price'!AB465</f>
        <v>-1.4213663457129698E-2</v>
      </c>
      <c r="AB464">
        <f ca="1">'ETF variations'!AB464/'ETF price'!AC465</f>
        <v>-5.5855161787365009E-3</v>
      </c>
      <c r="AC464">
        <f ca="1">'ETF variations'!AC464/'ETF price'!AD465</f>
        <v>3.085443037974674E-2</v>
      </c>
      <c r="AD464">
        <f ca="1">'ETF variations'!AD464/'ETF price'!AE465</f>
        <v>1.6064257028112514E-2</v>
      </c>
      <c r="AE464">
        <f ca="1">'ETF variations'!AE464/'ETF price'!AF465</f>
        <v>2.0408163265306142E-2</v>
      </c>
      <c r="AF464">
        <f ca="1">'ETF variations'!AF464/'ETF price'!AG465</f>
        <v>-2.0129130269654297E-2</v>
      </c>
    </row>
    <row r="465" spans="1:32" x14ac:dyDescent="0.2">
      <c r="A465">
        <f ca="1">'ETF variations'!A465/'ETF price'!B466</f>
        <v>1.0931806350859014E-2</v>
      </c>
      <c r="B465">
        <f ca="1">'ETF variations'!B465/'ETF price'!C466</f>
        <v>1.2121353124563724E-2</v>
      </c>
      <c r="C465">
        <f ca="1">'ETF variations'!C465/'ETF price'!D466</f>
        <v>2.5694381615850932E-2</v>
      </c>
      <c r="D465">
        <f ca="1">'ETF variations'!D465/'ETF price'!E466</f>
        <v>6.3239107063808257E-3</v>
      </c>
      <c r="E465">
        <f ca="1">'ETF variations'!E465/'ETF price'!F466</f>
        <v>1.1514104778353511E-2</v>
      </c>
      <c r="F465">
        <f ca="1">'ETF variations'!F465/'ETF price'!G466</f>
        <v>-1.6373311502250981E-3</v>
      </c>
      <c r="G465">
        <f ca="1">'ETF variations'!G465/'ETF price'!H466</f>
        <v>8.4530853761622688E-3</v>
      </c>
      <c r="H465">
        <f ca="1">'ETF variations'!H465/'ETF price'!I466</f>
        <v>7.0169967254017944E-4</v>
      </c>
      <c r="I465">
        <f ca="1">'ETF variations'!I465/'ETF price'!J466</f>
        <v>1.8060632122123737E-3</v>
      </c>
      <c r="J465">
        <f ca="1">'ETF variations'!J465/'ETF price'!K466</f>
        <v>7.4533121179130779E-3</v>
      </c>
      <c r="K465">
        <f ca="1">'ETF variations'!K465/'ETF price'!L466</f>
        <v>2.3468803663423021E-2</v>
      </c>
      <c r="L465">
        <f ca="1">'ETF variations'!L465/'ETF price'!M466</f>
        <v>1.3472247170828094E-2</v>
      </c>
      <c r="M465">
        <f ca="1">'ETF variations'!M465/'ETF price'!N466</f>
        <v>2.6688907422851805E-3</v>
      </c>
      <c r="N465">
        <f ca="1">'ETF variations'!N465/'ETF price'!O466</f>
        <v>3.7151702786377833E-2</v>
      </c>
      <c r="O465">
        <f ca="1">'ETF variations'!O465/'ETF price'!P466</f>
        <v>-2.2170361726954559E-2</v>
      </c>
      <c r="P465">
        <f ca="1">'ETF variations'!P465/'ETF price'!Q466</f>
        <v>-2.4236387782204528E-2</v>
      </c>
      <c r="Q465">
        <f ca="1">'ETF variations'!Q465/'ETF price'!R466</f>
        <v>-1.9387755102040945E-2</v>
      </c>
      <c r="R465">
        <f ca="1">'ETF variations'!R465/'ETF price'!S466</f>
        <v>-1.9310344827586146E-2</v>
      </c>
      <c r="S465">
        <f ca="1">'ETF variations'!S465/'ETF price'!T466</f>
        <v>-2.1388216303470587E-2</v>
      </c>
      <c r="T465">
        <f ca="1">'ETF variations'!T465/'ETF price'!U466</f>
        <v>-4.1516486450407147E-2</v>
      </c>
      <c r="U465">
        <f ca="1">'ETF variations'!U465/'ETF price'!V466</f>
        <v>6.8368277119402988E-4</v>
      </c>
      <c r="V465">
        <f ca="1">'ETF variations'!V465/'ETF price'!W466</f>
        <v>-1.4845605700711745E-3</v>
      </c>
      <c r="W465">
        <f ca="1">'ETF variations'!W465/'ETF price'!X466</f>
        <v>-1.473296500920866E-3</v>
      </c>
      <c r="X465">
        <f ca="1">'ETF variations'!X465/'ETF price'!Y466</f>
        <v>-8.4410445792665045E-3</v>
      </c>
      <c r="Y465">
        <f ca="1">'ETF variations'!Y465/'ETF price'!Z466</f>
        <v>-1.7191219254166841E-3</v>
      </c>
      <c r="Z465">
        <f ca="1">'ETF variations'!Z465/'ETF price'!AA466</f>
        <v>-8.3742419867166937E-3</v>
      </c>
      <c r="AA465">
        <f ca="1">'ETF variations'!AA465/'ETF price'!AB466</f>
        <v>-9.7674418604651557E-3</v>
      </c>
      <c r="AB465">
        <f ca="1">'ETF variations'!AB465/'ETF price'!AC466</f>
        <v>1.1621150493898785E-2</v>
      </c>
      <c r="AC465">
        <f ca="1">'ETF variations'!AC465/'ETF price'!AD466</f>
        <v>1.3814274750575711E-2</v>
      </c>
      <c r="AD465">
        <f ca="1">'ETF variations'!AD465/'ETF price'!AE466</f>
        <v>2.4280067758328611E-2</v>
      </c>
      <c r="AE465">
        <f ca="1">'ETF variations'!AE465/'ETF price'!AF466</f>
        <v>2.3333333333333279E-2</v>
      </c>
      <c r="AF465">
        <f ca="1">'ETF variations'!AF465/'ETF price'!AG466</f>
        <v>1.1240310077519347E-2</v>
      </c>
    </row>
    <row r="466" spans="1:32" x14ac:dyDescent="0.2">
      <c r="A466">
        <f ca="1">'ETF variations'!A466/'ETF price'!B467</f>
        <v>5.6642636457261072E-3</v>
      </c>
      <c r="B466">
        <f ca="1">'ETF variations'!B466/'ETF price'!C467</f>
        <v>4.160632600050577E-3</v>
      </c>
      <c r="C466">
        <f ca="1">'ETF variations'!C466/'ETF price'!D467</f>
        <v>-4.1457175619652366E-3</v>
      </c>
      <c r="D466">
        <f ca="1">'ETF variations'!D466/'ETF price'!E467</f>
        <v>1.0054672280525143E-3</v>
      </c>
      <c r="E466">
        <f ca="1">'ETF variations'!E466/'ETF price'!F467</f>
        <v>1.7074558907227528E-3</v>
      </c>
      <c r="F466">
        <f ca="1">'ETF variations'!F466/'ETF price'!G467</f>
        <v>-3.280032800328079E-3</v>
      </c>
      <c r="G466">
        <f ca="1">'ETF variations'!G466/'ETF price'!H467</f>
        <v>-2.9337803855825771E-3</v>
      </c>
      <c r="H466">
        <f ca="1">'ETF variations'!H466/'ETF price'!I467</f>
        <v>-1.4024152707441124E-3</v>
      </c>
      <c r="I466">
        <f ca="1">'ETF variations'!I466/'ETF price'!J467</f>
        <v>-3.648538438425524E-3</v>
      </c>
      <c r="J466">
        <f ca="1">'ETF variations'!J466/'ETF price'!K467</f>
        <v>-1.5128844555278414E-2</v>
      </c>
      <c r="K466">
        <f ca="1">'ETF variations'!K466/'ETF price'!L467</f>
        <v>-2.9222595078299628E-2</v>
      </c>
      <c r="L466">
        <f ca="1">'ETF variations'!L466/'ETF price'!M467</f>
        <v>-1.9673874512584181E-2</v>
      </c>
      <c r="M466">
        <f ca="1">'ETF variations'!M466/'ETF price'!N467</f>
        <v>-3.4935950756945743E-3</v>
      </c>
      <c r="N466">
        <f ca="1">'ETF variations'!N466/'ETF price'!O467</f>
        <v>-3.4825870646766309E-2</v>
      </c>
      <c r="O466">
        <f ca="1">'ETF variations'!O466/'ETF price'!P467</f>
        <v>-1.2529832935560826E-2</v>
      </c>
      <c r="P466">
        <f ca="1">'ETF variations'!P466/'ETF price'!Q467</f>
        <v>-1.207893841442669E-2</v>
      </c>
      <c r="Q466">
        <f ca="1">'ETF variations'!Q466/'ETF price'!R467</f>
        <v>3.1217481789803476E-3</v>
      </c>
      <c r="R466">
        <f ca="1">'ETF variations'!R466/'ETF price'!S467</f>
        <v>-6.6305003013864853E-3</v>
      </c>
      <c r="S466">
        <f ca="1">'ETF variations'!S466/'ETF price'!T467</f>
        <v>-1.1134020618556683E-2</v>
      </c>
      <c r="T466">
        <f ca="1">'ETF variations'!T466/'ETF price'!U467</f>
        <v>-2.2423398328690801E-2</v>
      </c>
      <c r="U466">
        <f ca="1">'ETF variations'!U466/'ETF price'!V467</f>
        <v>-3.1200182190844854E-2</v>
      </c>
      <c r="V466">
        <f ca="1">'ETF variations'!V466/'ETF price'!W467</f>
        <v>1.1894142134998259E-3</v>
      </c>
      <c r="W466">
        <f ca="1">'ETF variations'!W466/'ETF price'!X467</f>
        <v>3.6886757654003613E-4</v>
      </c>
      <c r="X466">
        <f ca="1">'ETF variations'!X466/'ETF price'!Y467</f>
        <v>-1.0109071561585595E-2</v>
      </c>
      <c r="Y466">
        <f ca="1">'ETF variations'!Y466/'ETF price'!Z467</f>
        <v>0</v>
      </c>
      <c r="Z466">
        <f ca="1">'ETF variations'!Z466/'ETF price'!AA467</f>
        <v>5.8241118229468754E-3</v>
      </c>
      <c r="AA466">
        <f ca="1">'ETF variations'!AA466/'ETF price'!AB467</f>
        <v>-1.315171441991534E-2</v>
      </c>
      <c r="AB466">
        <f ca="1">'ETF variations'!AB466/'ETF price'!AC467</f>
        <v>-1.3402259237985886E-3</v>
      </c>
      <c r="AC466">
        <f ca="1">'ETF variations'!AC466/'ETF price'!AD467</f>
        <v>-6.8130204390614403E-3</v>
      </c>
      <c r="AD466">
        <f ca="1">'ETF variations'!AD466/'ETF price'!AE467</f>
        <v>-7.1664829106945424E-3</v>
      </c>
      <c r="AE466">
        <f ca="1">'ETF variations'!AE466/'ETF price'!AF467</f>
        <v>-1.3029315960912065E-2</v>
      </c>
      <c r="AF466">
        <f ca="1">'ETF variations'!AF466/'ETF price'!AG467</f>
        <v>-4.7911077041011885E-2</v>
      </c>
    </row>
    <row r="467" spans="1:32" x14ac:dyDescent="0.2">
      <c r="A467">
        <f ca="1">'ETF variations'!A467/'ETF price'!B468</f>
        <v>-4.6651874608865081E-3</v>
      </c>
      <c r="B467">
        <f ca="1">'ETF variations'!B467/'ETF price'!C468</f>
        <v>-5.9976192656348961E-3</v>
      </c>
      <c r="C467">
        <f ca="1">'ETF variations'!C467/'ETF price'!D468</f>
        <v>2.1434898139946743E-2</v>
      </c>
      <c r="D467">
        <f ca="1">'ETF variations'!D467/'ETF price'!E468</f>
        <v>-4.7711720760875822E-3</v>
      </c>
      <c r="E467">
        <f ca="1">'ETF variations'!E467/'ETF price'!F468</f>
        <v>-4.1666666666666458E-3</v>
      </c>
      <c r="F467">
        <f ca="1">'ETF variations'!F467/'ETF price'!G468</f>
        <v>-4.9362402303577725E-3</v>
      </c>
      <c r="G467">
        <f ca="1">'ETF variations'!G467/'ETF price'!H468</f>
        <v>-1.0508617065994116E-2</v>
      </c>
      <c r="H467">
        <f ca="1">'ETF variations'!H467/'ETF price'!I468</f>
        <v>-2.0675665132246172E-2</v>
      </c>
      <c r="I467">
        <f ca="1">'ETF variations'!I467/'ETF price'!J468</f>
        <v>-2.175598828192319E-2</v>
      </c>
      <c r="J467">
        <f ca="1">'ETF variations'!J467/'ETF price'!K468</f>
        <v>-2.9540850776502363E-2</v>
      </c>
      <c r="K467">
        <f ca="1">'ETF variations'!K467/'ETF price'!L468</f>
        <v>-4.0904508137692683E-2</v>
      </c>
      <c r="L467">
        <f ca="1">'ETF variations'!L467/'ETF price'!M468</f>
        <v>-3.1820647260893238E-2</v>
      </c>
      <c r="M467">
        <f ca="1">'ETF variations'!M467/'ETF price'!N468</f>
        <v>-2.1869782971619286E-2</v>
      </c>
      <c r="N467">
        <f ca="1">'ETF variations'!N467/'ETF price'!O468</f>
        <v>-3.0927835051546285E-2</v>
      </c>
      <c r="O467">
        <f ca="1">'ETF variations'!O467/'ETF price'!P468</f>
        <v>-3.0211480362537764E-3</v>
      </c>
      <c r="P467">
        <f ca="1">'ETF variations'!P467/'ETF price'!Q468</f>
        <v>-2.2386774582400992E-3</v>
      </c>
      <c r="Q467">
        <f ca="1">'ETF variations'!Q467/'ETF price'!R468</f>
        <v>-8.5580912863071935E-3</v>
      </c>
      <c r="R467">
        <f ca="1">'ETF variations'!R467/'ETF price'!S468</f>
        <v>-7.6860841423947307E-3</v>
      </c>
      <c r="S467">
        <f ca="1">'ETF variations'!S467/'ETF price'!T468</f>
        <v>-2.5020850708923569E-3</v>
      </c>
      <c r="T467">
        <f ca="1">'ETF variations'!T467/'ETF price'!U468</f>
        <v>8.5482262430548901E-4</v>
      </c>
      <c r="U467">
        <f ca="1">'ETF variations'!U467/'ETF price'!V468</f>
        <v>-2.3037141513869226E-2</v>
      </c>
      <c r="V467">
        <f ca="1">'ETF variations'!V467/'ETF price'!W468</f>
        <v>-4.1580041580041747E-3</v>
      </c>
      <c r="W467">
        <f ca="1">'ETF variations'!W467/'ETF price'!X468</f>
        <v>-5.2851524090461238E-3</v>
      </c>
      <c r="X467">
        <f ca="1">'ETF variations'!X467/'ETF price'!Y468</f>
        <v>-1.4780972856759051E-2</v>
      </c>
      <c r="Y467">
        <f ca="1">'ETF variations'!Y467/'ETF price'!Z468</f>
        <v>-3.3116969134984768E-3</v>
      </c>
      <c r="Z467">
        <f ca="1">'ETF variations'!Z467/'ETF price'!AA468</f>
        <v>-1.5344528083381621E-2</v>
      </c>
      <c r="AA467">
        <f ca="1">'ETF variations'!AA467/'ETF price'!AB468</f>
        <v>-2.0942408376963411E-2</v>
      </c>
      <c r="AB467">
        <f ca="1">'ETF variations'!AB467/'ETF price'!AC468</f>
        <v>2.4731595092024661E-2</v>
      </c>
      <c r="AC467">
        <f ca="1">'ETF variations'!AC467/'ETF price'!AD468</f>
        <v>5.0304878048780505E-2</v>
      </c>
      <c r="AD467">
        <f ca="1">'ETF variations'!AD467/'ETF price'!AE468</f>
        <v>2.4430871737923247E-2</v>
      </c>
      <c r="AE467">
        <f ca="1">'ETF variations'!AE467/'ETF price'!AF468</f>
        <v>3.3003300330033767E-3</v>
      </c>
      <c r="AF467">
        <f ca="1">'ETF variations'!AF467/'ETF price'!AG468</f>
        <v>9.2592592592592761E-3</v>
      </c>
    </row>
    <row r="468" spans="1:32" x14ac:dyDescent="0.2">
      <c r="A468">
        <f ca="1">'ETF variations'!A468/'ETF price'!B469</f>
        <v>2.6121749071163314E-2</v>
      </c>
      <c r="B468">
        <f ca="1">'ETF variations'!B468/'ETF price'!C469</f>
        <v>2.6415181244530354E-2</v>
      </c>
      <c r="C468">
        <f ca="1">'ETF variations'!C468/'ETF price'!D469</f>
        <v>6.9372181755127051E-4</v>
      </c>
      <c r="D468">
        <f ca="1">'ETF variations'!D468/'ETF price'!E469</f>
        <v>4.0307828171323952E-2</v>
      </c>
      <c r="E468">
        <f ca="1">'ETF variations'!E468/'ETF price'!F469</f>
        <v>1.5405096995055198E-2</v>
      </c>
      <c r="F468">
        <f ca="1">'ETF variations'!F468/'ETF price'!G469</f>
        <v>1.5708970649028483E-2</v>
      </c>
      <c r="G468">
        <f ca="1">'ETF variations'!G468/'ETF price'!H469</f>
        <v>1.2319456244689853E-2</v>
      </c>
      <c r="H468">
        <f ca="1">'ETF variations'!H468/'ETF price'!I469</f>
        <v>5.9751434034416824E-3</v>
      </c>
      <c r="I468">
        <f ca="1">'ETF variations'!I468/'ETF price'!J469</f>
        <v>5.3287532478971597E-3</v>
      </c>
      <c r="J468">
        <f ca="1">'ETF variations'!J468/'ETF price'!K469</f>
        <v>4.7834405983649079E-3</v>
      </c>
      <c r="K468">
        <f ca="1">'ETF variations'!K468/'ETF price'!L469</f>
        <v>5.4062171497221718E-3</v>
      </c>
      <c r="L468">
        <f ca="1">'ETF variations'!L468/'ETF price'!M469</f>
        <v>6.9094304388422892E-3</v>
      </c>
      <c r="M468">
        <f ca="1">'ETF variations'!M468/'ETF price'!N469</f>
        <v>4.778972520907903E-3</v>
      </c>
      <c r="N468">
        <f ca="1">'ETF variations'!N468/'ETF price'!O469</f>
        <v>2.1276595744680396E-3</v>
      </c>
      <c r="O468">
        <f ca="1">'ETF variations'!O468/'ETF price'!P469</f>
        <v>1.1030303030302989E-2</v>
      </c>
      <c r="P468">
        <f ca="1">'ETF variations'!P468/'ETF price'!Q469</f>
        <v>9.9240593717639432E-3</v>
      </c>
      <c r="Q468">
        <f ca="1">'ETF variations'!Q468/'ETF price'!R469</f>
        <v>1.1770860580695864E-2</v>
      </c>
      <c r="R468">
        <f ca="1">'ETF variations'!R468/'ETF price'!S469</f>
        <v>5.7072971871178378E-3</v>
      </c>
      <c r="S468">
        <f ca="1">'ETF variations'!S468/'ETF price'!T469</f>
        <v>5.0167224080266484E-3</v>
      </c>
      <c r="T468">
        <f ca="1">'ETF variations'!T468/'ETF price'!U469</f>
        <v>2.1921708185053471E-2</v>
      </c>
      <c r="U468">
        <f ca="1">'ETF variations'!U468/'ETF price'!V469</f>
        <v>-3.8498556304139482E-3</v>
      </c>
      <c r="V468">
        <f ca="1">'ETF variations'!V468/'ETF price'!W469</f>
        <v>1.1333134506412032E-2</v>
      </c>
      <c r="W468">
        <f ca="1">'ETF variations'!W468/'ETF price'!X469</f>
        <v>1.1367848758185931E-2</v>
      </c>
      <c r="X468">
        <f ca="1">'ETF variations'!X468/'ETF price'!Y469</f>
        <v>8.4560829241680929E-3</v>
      </c>
      <c r="Y468">
        <f ca="1">'ETF variations'!Y468/'ETF price'!Z469</f>
        <v>1.156299840510373E-2</v>
      </c>
      <c r="Z468">
        <f ca="1">'ETF variations'!Z468/'ETF price'!AA469</f>
        <v>1.1173184357541976E-2</v>
      </c>
      <c r="AA468">
        <f ca="1">'ETF variations'!AA468/'ETF price'!AB469</f>
        <v>5.5906660184734287E-3</v>
      </c>
      <c r="AB468">
        <f ca="1">'ETF variations'!AB468/'ETF price'!AC469</f>
        <v>7.6707202993451179E-3</v>
      </c>
      <c r="AC468">
        <f ca="1">'ETF variations'!AC468/'ETF price'!AD469</f>
        <v>2.5399129172714183E-2</v>
      </c>
      <c r="AD468">
        <f ca="1">'ETF variations'!AD468/'ETF price'!AE469</f>
        <v>2.168021680216814E-2</v>
      </c>
      <c r="AE468">
        <f ca="1">'ETF variations'!AE468/'ETF price'!AF469</f>
        <v>3.2894736842104563E-3</v>
      </c>
      <c r="AF468">
        <f ca="1">'ETF variations'!AF468/'ETF price'!AG469</f>
        <v>-2.3932987634622547E-3</v>
      </c>
    </row>
    <row r="469" spans="1:32" x14ac:dyDescent="0.2">
      <c r="A469">
        <f ca="1">'ETF variations'!A469/'ETF price'!B470</f>
        <v>-5.8489304812834857E-3</v>
      </c>
      <c r="B469">
        <f ca="1">'ETF variations'!B469/'ETF price'!C470</f>
        <v>-5.0034777535955897E-3</v>
      </c>
      <c r="C469">
        <f ca="1">'ETF variations'!C469/'ETF price'!D470</f>
        <v>6.6724436741767415E-3</v>
      </c>
      <c r="D469">
        <f ca="1">'ETF variations'!D469/'ETF price'!E470</f>
        <v>-9.7016735386853889E-3</v>
      </c>
      <c r="E469">
        <f ca="1">'ETF variations'!E469/'ETF price'!F470</f>
        <v>3.3714178685146979E-3</v>
      </c>
      <c r="F469">
        <f ca="1">'ETF variations'!F469/'ETF price'!G470</f>
        <v>1.6280016280015932E-3</v>
      </c>
      <c r="G469">
        <f ca="1">'ETF variations'!G469/'ETF price'!H470</f>
        <v>-1.6785564414603085E-3</v>
      </c>
      <c r="H469">
        <f ca="1">'ETF variations'!H469/'ETF price'!I470</f>
        <v>5.7812623742773735E-3</v>
      </c>
      <c r="I469">
        <f ca="1">'ETF variations'!I469/'ETF price'!J470</f>
        <v>6.5708778692833364E-3</v>
      </c>
      <c r="J469">
        <f ca="1">'ETF variations'!J469/'ETF price'!K470</f>
        <v>-9.5213364494070314E-4</v>
      </c>
      <c r="K469">
        <f ca="1">'ETF variations'!K469/'ETF price'!L470</f>
        <v>4.9290515309932531E-3</v>
      </c>
      <c r="L469">
        <f ca="1">'ETF variations'!L469/'ETF price'!M470</f>
        <v>1.8545994065282162E-3</v>
      </c>
      <c r="M469">
        <f ca="1">'ETF variations'!M469/'ETF price'!N470</f>
        <v>6.6247664345167418E-3</v>
      </c>
      <c r="N469">
        <f ca="1">'ETF variations'!N469/'ETF price'!O470</f>
        <v>-8.492569002123149E-3</v>
      </c>
      <c r="O469">
        <f ca="1">'ETF variations'!O469/'ETF price'!P470</f>
        <v>7.1933820884787026E-3</v>
      </c>
      <c r="P469">
        <f ca="1">'ETF variations'!P469/'ETF price'!Q470</f>
        <v>7.5194394599674905E-3</v>
      </c>
      <c r="Q469">
        <f ca="1">'ETF variations'!Q469/'ETF price'!R470</f>
        <v>-1.4219234746639016E-3</v>
      </c>
      <c r="R469">
        <f ca="1">'ETF variations'!R469/'ETF price'!S470</f>
        <v>-8.1070125658707433E-4</v>
      </c>
      <c r="S469">
        <f ca="1">'ETF variations'!S469/'ETF price'!T470</f>
        <v>1.4559068219634003E-2</v>
      </c>
      <c r="T469">
        <f ca="1">'ETF variations'!T469/'ETF price'!U470</f>
        <v>1.5740353809722739E-2</v>
      </c>
      <c r="U469">
        <f ca="1">'ETF variations'!U469/'ETF price'!V470</f>
        <v>7.4879227053140651E-3</v>
      </c>
      <c r="V469">
        <f ca="1">'ETF variations'!V469/'ETF price'!W470</f>
        <v>-1.4744913005012433E-3</v>
      </c>
      <c r="W469">
        <f ca="1">'ETF variations'!W469/'ETF price'!X470</f>
        <v>-1.8326206475258581E-3</v>
      </c>
      <c r="X469">
        <f ca="1">'ETF variations'!X469/'ETF price'!Y470</f>
        <v>2.7048958615087936E-4</v>
      </c>
      <c r="Y469">
        <f ca="1">'ETF variations'!Y469/'ETF price'!Z470</f>
        <v>-1.9708316909736656E-3</v>
      </c>
      <c r="Z469">
        <f ca="1">'ETF variations'!Z469/'ETF price'!AA470</f>
        <v>-8.4326839197440863E-3</v>
      </c>
      <c r="AA469">
        <f ca="1">'ETF variations'!AA469/'ETF price'!AB470</f>
        <v>1.692047377326572E-3</v>
      </c>
      <c r="AB469">
        <f ca="1">'ETF variations'!AB469/'ETF price'!AC470</f>
        <v>1.1139992573338706E-3</v>
      </c>
      <c r="AC469">
        <f ca="1">'ETF variations'!AC469/'ETF price'!AD470</f>
        <v>-9.2002830856334587E-3</v>
      </c>
      <c r="AD469">
        <f ca="1">'ETF variations'!AD469/'ETF price'!AE470</f>
        <v>-1.6445623342175187E-2</v>
      </c>
      <c r="AE469">
        <f ca="1">'ETF variations'!AE469/'ETF price'!AF470</f>
        <v>6.5573770491803339E-3</v>
      </c>
      <c r="AF469">
        <f ca="1">'ETF variations'!AF469/'ETF price'!AG470</f>
        <v>-3.6385445821671338E-2</v>
      </c>
    </row>
    <row r="470" spans="1:32" x14ac:dyDescent="0.2">
      <c r="A470">
        <f ca="1">'ETF variations'!A470/'ETF price'!B471</f>
        <v>2.0003361909564595E-2</v>
      </c>
      <c r="B470">
        <f ca="1">'ETF variations'!B470/'ETF price'!C471</f>
        <v>2.4196094348983038E-2</v>
      </c>
      <c r="C470">
        <f ca="1">'ETF variations'!C470/'ETF price'!D471</f>
        <v>-1.7216148747525423E-3</v>
      </c>
      <c r="D470">
        <f ca="1">'ETF variations'!D470/'ETF price'!E471</f>
        <v>3.698261082537363E-2</v>
      </c>
      <c r="E470">
        <f ca="1">'ETF variations'!E470/'ETF price'!F471</f>
        <v>2.5947358596229243E-2</v>
      </c>
      <c r="F470">
        <f ca="1">'ETF variations'!F470/'ETF price'!G471</f>
        <v>3.7383177570093531E-2</v>
      </c>
      <c r="G470">
        <f ca="1">'ETF variations'!G470/'ETF price'!H471</f>
        <v>3.1946195880622176E-2</v>
      </c>
      <c r="H470">
        <f ca="1">'ETF variations'!H470/'ETF price'!I471</f>
        <v>6.7716535433070824E-3</v>
      </c>
      <c r="I470">
        <f ca="1">'ETF variations'!I470/'ETF price'!J471</f>
        <v>1.1445730698929391E-2</v>
      </c>
      <c r="J470">
        <f ca="1">'ETF variations'!J470/'ETF price'!K471</f>
        <v>2.1573384162190217E-2</v>
      </c>
      <c r="K470">
        <f ca="1">'ETF variations'!K470/'ETF price'!L471</f>
        <v>5.3953626634958313E-2</v>
      </c>
      <c r="L470">
        <f ca="1">'ETF variations'!L470/'ETF price'!M471</f>
        <v>3.2025175860792239E-2</v>
      </c>
      <c r="M470">
        <f ca="1">'ETF variations'!M470/'ETF price'!N471</f>
        <v>1.1643604454944395E-2</v>
      </c>
      <c r="N470">
        <f ca="1">'ETF variations'!N470/'ETF price'!O471</f>
        <v>6.2901498929336233E-2</v>
      </c>
      <c r="O470">
        <f ca="1">'ETF variations'!O470/'ETF price'!P471</f>
        <v>8.9275086299250087E-3</v>
      </c>
      <c r="P470">
        <f ca="1">'ETF variations'!P470/'ETF price'!Q471</f>
        <v>9.9228224917309957E-3</v>
      </c>
      <c r="Q470">
        <f ca="1">'ETF variations'!Q470/'ETF price'!R471</f>
        <v>2.9514563106796132E-2</v>
      </c>
      <c r="R470">
        <f ca="1">'ETF variations'!R470/'ETF price'!S471</f>
        <v>5.0709939148073029E-2</v>
      </c>
      <c r="S470">
        <f ca="1">'ETF variations'!S470/'ETF price'!T471</f>
        <v>-1.6400164001639666E-3</v>
      </c>
      <c r="T470">
        <f ca="1">'ETF variations'!T470/'ETF price'!U471</f>
        <v>-3.1541415249589136E-3</v>
      </c>
      <c r="U470">
        <f ca="1">'ETF variations'!U470/'ETF price'!V471</f>
        <v>0.10357228482378326</v>
      </c>
      <c r="V470">
        <f ca="1">'ETF variations'!V470/'ETF price'!W471</f>
        <v>1.8901358535144731E-2</v>
      </c>
      <c r="W470">
        <f ca="1">'ETF variations'!W470/'ETF price'!X471</f>
        <v>2.4112607099143191E-2</v>
      </c>
      <c r="X470">
        <f ca="1">'ETF variations'!X470/'ETF price'!Y471</f>
        <v>6.2466197944835114E-2</v>
      </c>
      <c r="Y470">
        <f ca="1">'ETF variations'!Y470/'ETF price'!Z471</f>
        <v>2.3038441284886784E-2</v>
      </c>
      <c r="Z470">
        <f ca="1">'ETF variations'!Z470/'ETF price'!AA471</f>
        <v>5.3958944281524819E-2</v>
      </c>
      <c r="AA470">
        <f ca="1">'ETF variations'!AA470/'ETF price'!AB471</f>
        <v>7.3600386100386203E-2</v>
      </c>
      <c r="AB470">
        <f ca="1">'ETF variations'!AB470/'ETF price'!AC471</f>
        <v>7.418397626112733E-3</v>
      </c>
      <c r="AC470">
        <f ca="1">'ETF variations'!AC470/'ETF price'!AD471</f>
        <v>-4.857142857142855E-2</v>
      </c>
      <c r="AD470">
        <f ca="1">'ETF variations'!AD470/'ETF price'!AE471</f>
        <v>-4.314994606256746E-2</v>
      </c>
      <c r="AE470">
        <f ca="1">'ETF variations'!AE470/'ETF price'!AF471</f>
        <v>-2.2801302931596039E-2</v>
      </c>
      <c r="AF470">
        <f ca="1">'ETF variations'!AF470/'ETF price'!AG471</f>
        <v>1.2863070539419033E-2</v>
      </c>
    </row>
    <row r="471" spans="1:32" x14ac:dyDescent="0.2">
      <c r="A471">
        <f ca="1">'ETF variations'!A471/'ETF price'!B472</f>
        <v>1.2634585805318512E-3</v>
      </c>
      <c r="B471">
        <f ca="1">'ETF variations'!B471/'ETF price'!C472</f>
        <v>1.2990158303793015E-3</v>
      </c>
      <c r="C471">
        <f ca="1">'ETF variations'!C471/'ETF price'!D472</f>
        <v>1.422781753901876E-2</v>
      </c>
      <c r="D471">
        <f ca="1">'ETF variations'!D471/'ETF price'!E472</f>
        <v>7.2626358053849175E-3</v>
      </c>
      <c r="E471">
        <f ca="1">'ETF variations'!E471/'ETF price'!F472</f>
        <v>-6.1863173216885623E-3</v>
      </c>
      <c r="F471">
        <f ca="1">'ETF variations'!F471/'ETF price'!G472</f>
        <v>4.3086564825695036E-3</v>
      </c>
      <c r="G471">
        <f ca="1">'ETF variations'!G471/'ETF price'!H472</f>
        <v>7.7393075356414548E-3</v>
      </c>
      <c r="H471">
        <f ca="1">'ETF variations'!H471/'ETF price'!I472</f>
        <v>7.8210542781162451E-4</v>
      </c>
      <c r="I471">
        <f ca="1">'ETF variations'!I471/'ETF price'!J472</f>
        <v>1.118712619938862E-3</v>
      </c>
      <c r="J471">
        <f ca="1">'ETF variations'!J471/'ETF price'!K472</f>
        <v>1.0177253837673186E-3</v>
      </c>
      <c r="K471">
        <f ca="1">'ETF variations'!K471/'ETF price'!L472</f>
        <v>2.6794528275278203E-3</v>
      </c>
      <c r="L471">
        <f ca="1">'ETF variations'!L471/'ETF price'!M472</f>
        <v>4.125560538116536E-3</v>
      </c>
      <c r="M471">
        <f ca="1">'ETF variations'!M471/'ETF price'!N472</f>
        <v>6.6722268557129513E-4</v>
      </c>
      <c r="N471">
        <f ca="1">'ETF variations'!N471/'ETF price'!O472</f>
        <v>1.3346764039284843E-2</v>
      </c>
      <c r="O471">
        <f ca="1">'ETF variations'!O471/'ETF price'!P472</f>
        <v>-1.8876828692780886E-3</v>
      </c>
      <c r="P471">
        <f ca="1">'ETF variations'!P471/'ETF price'!Q472</f>
        <v>-2.939200537453765E-3</v>
      </c>
      <c r="Q471">
        <f ca="1">'ETF variations'!Q471/'ETF price'!R472</f>
        <v>4.400855023261591E-3</v>
      </c>
      <c r="R471">
        <f ca="1">'ETF variations'!R471/'ETF price'!S472</f>
        <v>1.9305019305019581E-3</v>
      </c>
      <c r="S471">
        <f ca="1">'ETF variations'!S471/'ETF price'!T472</f>
        <v>-6.5708418891170482E-3</v>
      </c>
      <c r="T471">
        <f ca="1">'ETF variations'!T471/'ETF price'!U472</f>
        <v>-1.8572018159306567E-2</v>
      </c>
      <c r="U471">
        <f ca="1">'ETF variations'!U471/'ETF price'!V472</f>
        <v>1.3469476428416194E-2</v>
      </c>
      <c r="V471">
        <f ca="1">'ETF variations'!V471/'ETF price'!W472</f>
        <v>5.5072463768115285E-3</v>
      </c>
      <c r="W471">
        <f ca="1">'ETF variations'!W471/'ETF price'!X472</f>
        <v>4.9002031791561679E-3</v>
      </c>
      <c r="X471">
        <f ca="1">'ETF variations'!X471/'ETF price'!Y472</f>
        <v>1.3489437515907384E-2</v>
      </c>
      <c r="Y471">
        <f ca="1">'ETF variations'!Y471/'ETF price'!Z472</f>
        <v>4.5039248487969185E-3</v>
      </c>
      <c r="Z471">
        <f ca="1">'ETF variations'!Z471/'ETF price'!AA472</f>
        <v>2.2259321090708239E-3</v>
      </c>
      <c r="AA471">
        <f ca="1">'ETF variations'!AA471/'ETF price'!AB472</f>
        <v>1.3710946280062922E-2</v>
      </c>
      <c r="AB471">
        <f ca="1">'ETF variations'!AB471/'ETF price'!AC472</f>
        <v>3.4977908689248476E-3</v>
      </c>
      <c r="AC471">
        <f ca="1">'ETF variations'!AC471/'ETF price'!AD472</f>
        <v>5.1801801801801765E-2</v>
      </c>
      <c r="AD471">
        <f ca="1">'ETF variations'!AD471/'ETF price'!AE472</f>
        <v>7.1025930101465712E-2</v>
      </c>
      <c r="AE471">
        <f ca="1">'ETF variations'!AE471/'ETF price'!AF472</f>
        <v>-2.3333333333333279E-2</v>
      </c>
      <c r="AF471">
        <f ca="1">'ETF variations'!AF471/'ETF price'!AG472</f>
        <v>7.6607947562474438E-2</v>
      </c>
    </row>
    <row r="472" spans="1:32" x14ac:dyDescent="0.2">
      <c r="A472">
        <f ca="1">'ETF variations'!A472/'ETF price'!B473</f>
        <v>4.9925934053875924E-3</v>
      </c>
      <c r="B472">
        <f ca="1">'ETF variations'!B472/'ETF price'!C473</f>
        <v>2.2208540393158184E-3</v>
      </c>
      <c r="C472">
        <f ca="1">'ETF variations'!C472/'ETF price'!D473</f>
        <v>-6.9716034687978858E-3</v>
      </c>
      <c r="D472">
        <f ca="1">'ETF variations'!D472/'ETF price'!E473</f>
        <v>4.6896066592405232E-4</v>
      </c>
      <c r="E472">
        <f ca="1">'ETF variations'!E472/'ETF price'!F473</f>
        <v>-8.9710728670815611E-3</v>
      </c>
      <c r="F472">
        <f ca="1">'ETF variations'!F472/'ETF price'!G473</f>
        <v>1.5600624024960665E-3</v>
      </c>
      <c r="G472">
        <f ca="1">'ETF variations'!G472/'ETF price'!H473</f>
        <v>-8.8924818108326135E-3</v>
      </c>
      <c r="H472">
        <f ca="1">'ETF variations'!H472/'ETF price'!I473</f>
        <v>4.2982181931853483E-3</v>
      </c>
      <c r="I472">
        <f ca="1">'ETF variations'!I472/'ETF price'!J473</f>
        <v>2.7076975974557266E-3</v>
      </c>
      <c r="J472">
        <f ca="1">'ETF variations'!J472/'ETF price'!K473</f>
        <v>-8.4724222655257145E-3</v>
      </c>
      <c r="K472">
        <f ca="1">'ETF variations'!K472/'ETF price'!L473</f>
        <v>-1.3642756680731349E-2</v>
      </c>
      <c r="L472">
        <f ca="1">'ETF variations'!L472/'ETF price'!M473</f>
        <v>-1.1075384065737718E-2</v>
      </c>
      <c r="M472">
        <f ca="1">'ETF variations'!M472/'ETF price'!N473</f>
        <v>3.0005000833472199E-3</v>
      </c>
      <c r="N472">
        <f ca="1">'ETF variations'!N472/'ETF price'!O473</f>
        <v>-1.2425447316103379E-2</v>
      </c>
      <c r="O472">
        <f ca="1">'ETF variations'!O472/'ETF price'!P473</f>
        <v>-1.950354609929068E-2</v>
      </c>
      <c r="P472">
        <f ca="1">'ETF variations'!P472/'ETF price'!Q473</f>
        <v>-1.9792807209635378E-2</v>
      </c>
      <c r="Q472">
        <f ca="1">'ETF variations'!Q472/'ETF price'!R473</f>
        <v>3.0045067601403245E-3</v>
      </c>
      <c r="R472">
        <f ca="1">'ETF variations'!R472/'ETF price'!S473</f>
        <v>-5.0096339113679771E-3</v>
      </c>
      <c r="S472">
        <f ca="1">'ETF variations'!S472/'ETF price'!T473</f>
        <v>-2.3976849937990981E-2</v>
      </c>
      <c r="T472">
        <f ca="1">'ETF variations'!T472/'ETF price'!U473</f>
        <v>-4.6117185309784217E-2</v>
      </c>
      <c r="U472">
        <f ca="1">'ETF variations'!U472/'ETF price'!V473</f>
        <v>-2.5080385852090069E-2</v>
      </c>
      <c r="V472">
        <f ca="1">'ETF variations'!V472/'ETF price'!W473</f>
        <v>4.0357451715191863E-3</v>
      </c>
      <c r="W472">
        <f ca="1">'ETF variations'!W472/'ETF price'!X473</f>
        <v>5.9467174119882439E-4</v>
      </c>
      <c r="X472">
        <f ca="1">'ETF variations'!X472/'ETF price'!Y473</f>
        <v>-1.1300853842290378E-2</v>
      </c>
      <c r="Y472">
        <f ca="1">'ETF variations'!Y472/'ETF price'!Z473</f>
        <v>3.0745580322827939E-3</v>
      </c>
      <c r="Z472">
        <f ca="1">'ETF variations'!Z472/'ETF price'!AA473</f>
        <v>-2.77623542476544E-4</v>
      </c>
      <c r="AA472">
        <f ca="1">'ETF variations'!AA472/'ETF price'!AB473</f>
        <v>-1.2638580931263865E-2</v>
      </c>
      <c r="AB472">
        <f ca="1">'ETF variations'!AB472/'ETF price'!AC473</f>
        <v>-1.6510731975783583E-3</v>
      </c>
      <c r="AC472">
        <f ca="1">'ETF variations'!AC472/'ETF price'!AD473</f>
        <v>-4.5681655960028593E-2</v>
      </c>
      <c r="AD472">
        <f ca="1">'ETF variations'!AD472/'ETF price'!AE473</f>
        <v>-4.6842105263157928E-2</v>
      </c>
      <c r="AE472">
        <f ca="1">'ETF variations'!AE472/'ETF price'!AF473</f>
        <v>-6.8259385665529063E-3</v>
      </c>
      <c r="AF472">
        <f ca="1">'ETF variations'!AF472/'ETF price'!AG473</f>
        <v>-4.375951293759521E-2</v>
      </c>
    </row>
    <row r="473" spans="1:32" x14ac:dyDescent="0.2">
      <c r="A473">
        <f ca="1">'ETF variations'!A473/'ETF price'!B474</f>
        <v>-2.0744622775411914E-3</v>
      </c>
      <c r="B473">
        <f ca="1">'ETF variations'!B473/'ETF price'!C474</f>
        <v>4.3879856951663839E-4</v>
      </c>
      <c r="C473">
        <f ca="1">'ETF variations'!C473/'ETF price'!D474</f>
        <v>5.3082191780822307E-3</v>
      </c>
      <c r="D473">
        <f ca="1">'ETF variations'!D473/'ETF price'!E474</f>
        <v>7.0311126735806946E-3</v>
      </c>
      <c r="E473">
        <f ca="1">'ETF variations'!E473/'ETF price'!F474</f>
        <v>8.4980602253833526E-3</v>
      </c>
      <c r="F473">
        <f ca="1">'ETF variations'!F473/'ETF price'!G474</f>
        <v>6.6199376947041165E-3</v>
      </c>
      <c r="G473">
        <f ca="1">'ETF variations'!G473/'ETF price'!H474</f>
        <v>6.1174551386624035E-3</v>
      </c>
      <c r="H473">
        <f ca="1">'ETF variations'!H473/'ETF price'!I474</f>
        <v>-2.0231888568982251E-3</v>
      </c>
      <c r="I473">
        <f ca="1">'ETF variations'!I473/'ETF price'!J474</f>
        <v>-6.8581225889423488E-4</v>
      </c>
      <c r="J473">
        <f ca="1">'ETF variations'!J473/'ETF price'!K474</f>
        <v>9.1429547979150066E-3</v>
      </c>
      <c r="K473">
        <f ca="1">'ETF variations'!K473/'ETF price'!L474</f>
        <v>3.6075859118779426E-2</v>
      </c>
      <c r="L473">
        <f ca="1">'ETF variations'!L473/'ETF price'!M474</f>
        <v>1.6437861271676367E-2</v>
      </c>
      <c r="M473">
        <f ca="1">'ETF variations'!M473/'ETF price'!N474</f>
        <v>-6.6478311450887727E-4</v>
      </c>
      <c r="N473">
        <f ca="1">'ETF variations'!N473/'ETF price'!O474</f>
        <v>3.8751887267237016E-2</v>
      </c>
      <c r="O473">
        <f ca="1">'ETF variations'!O473/'ETF price'!P474</f>
        <v>2.097649186256775E-2</v>
      </c>
      <c r="P473">
        <f ca="1">'ETF variations'!P473/'ETF price'!Q474</f>
        <v>2.0536174600446818E-2</v>
      </c>
      <c r="Q473">
        <f ca="1">'ETF variations'!Q473/'ETF price'!R474</f>
        <v>1.8721917124312464E-3</v>
      </c>
      <c r="R473">
        <f ca="1">'ETF variations'!R473/'ETF price'!S474</f>
        <v>1.7815646785437678E-2</v>
      </c>
      <c r="S473">
        <f ca="1">'ETF variations'!S473/'ETF price'!T474</f>
        <v>1.4400677678949592E-2</v>
      </c>
      <c r="T473">
        <f ca="1">'ETF variations'!T473/'ETF price'!U474</f>
        <v>3.9676708302718633E-2</v>
      </c>
      <c r="U473">
        <f ca="1">'ETF variations'!U473/'ETF price'!V474</f>
        <v>3.2981530343009166E-3</v>
      </c>
      <c r="V473">
        <f ca="1">'ETF variations'!V473/'ETF price'!W474</f>
        <v>5.1679586563307418E-3</v>
      </c>
      <c r="W473">
        <f ca="1">'ETF variations'!W473/'ETF price'!X474</f>
        <v>7.1318198026864201E-3</v>
      </c>
      <c r="X473">
        <f ca="1">'ETF variations'!X473/'ETF price'!Y474</f>
        <v>1.4478028956057921E-2</v>
      </c>
      <c r="Y473">
        <f ca="1">'ETF variations'!Y473/'ETF price'!Z474</f>
        <v>5.6194125159642113E-3</v>
      </c>
      <c r="Z473">
        <f ca="1">'ETF variations'!Z473/'ETF price'!AA474</f>
        <v>-1.1108025548458526E-3</v>
      </c>
      <c r="AA473">
        <f ca="1">'ETF variations'!AA473/'ETF price'!AB474</f>
        <v>1.5270604087132263E-2</v>
      </c>
      <c r="AB473">
        <f ca="1">'ETF variations'!AB473/'ETF price'!AC474</f>
        <v>4.0426313855200088E-3</v>
      </c>
      <c r="AC473">
        <f ca="1">'ETF variations'!AC473/'ETF price'!AD474</f>
        <v>4.4876589379207552E-3</v>
      </c>
      <c r="AD473">
        <f ca="1">'ETF variations'!AD473/'ETF price'!AE474</f>
        <v>1.4908890115958012E-2</v>
      </c>
      <c r="AE473">
        <f ca="1">'ETF variations'!AE473/'ETF price'!AF474</f>
        <v>7.2164948453608227E-2</v>
      </c>
      <c r="AF473">
        <f ca="1">'ETF variations'!AF473/'ETF price'!AG474</f>
        <v>2.3079984082769671E-2</v>
      </c>
    </row>
    <row r="474" spans="1:32" x14ac:dyDescent="0.2">
      <c r="A474">
        <f ca="1">'ETF variations'!A474/'ETF price'!B475</f>
        <v>1.4496717724288715E-2</v>
      </c>
      <c r="B474">
        <f ca="1">'ETF variations'!B474/'ETF price'!C475</f>
        <v>1.4101186429526978E-2</v>
      </c>
      <c r="C474">
        <f ca="1">'ETF variations'!C474/'ETF price'!D475</f>
        <v>-2.8104241185487847E-3</v>
      </c>
      <c r="D474">
        <f ca="1">'ETF variations'!D474/'ETF price'!E475</f>
        <v>1.4720428230639442E-2</v>
      </c>
      <c r="E474">
        <f ca="1">'ETF variations'!E474/'ETF price'!F475</f>
        <v>9.159186664224217E-3</v>
      </c>
      <c r="F474">
        <f ca="1">'ETF variations'!F474/'ETF price'!G475</f>
        <v>1.470019342359764E-2</v>
      </c>
      <c r="G474">
        <f ca="1">'ETF variations'!G474/'ETF price'!H475</f>
        <v>7.2963113092825178E-3</v>
      </c>
      <c r="H474">
        <f ca="1">'ETF variations'!H474/'ETF price'!I475</f>
        <v>6.0818713450292482E-3</v>
      </c>
      <c r="I474">
        <f ca="1">'ETF variations'!I474/'ETF price'!J475</f>
        <v>6.3052243287296363E-3</v>
      </c>
      <c r="J474">
        <f ca="1">'ETF variations'!J474/'ETF price'!K475</f>
        <v>6.943268416596168E-3</v>
      </c>
      <c r="K474">
        <f ca="1">'ETF variations'!K474/'ETF price'!L475</f>
        <v>1.1423066336361112E-2</v>
      </c>
      <c r="L474">
        <f ca="1">'ETF variations'!L474/'ETF price'!M475</f>
        <v>1.0307446241336383E-2</v>
      </c>
      <c r="M474">
        <f ca="1">'ETF variations'!M474/'ETF price'!N475</f>
        <v>6.6522534508564541E-3</v>
      </c>
      <c r="N474">
        <f ca="1">'ETF variations'!N474/'ETF price'!O475</f>
        <v>2.131782945736423E-2</v>
      </c>
      <c r="O474">
        <f ca="1">'ETF variations'!O474/'ETF price'!P475</f>
        <v>1.4169323414807481E-3</v>
      </c>
      <c r="P474">
        <f ca="1">'ETF variations'!P474/'ETF price'!Q475</f>
        <v>1.0945524964217368E-3</v>
      </c>
      <c r="Q474">
        <f ca="1">'ETF variations'!Q474/'ETF price'!R475</f>
        <v>1.7441136165441706E-3</v>
      </c>
      <c r="R474">
        <f ca="1">'ETF variations'!R474/'ETF price'!S475</f>
        <v>1.9025875190257669E-3</v>
      </c>
      <c r="S474">
        <f ca="1">'ETF variations'!S474/'ETF price'!T475</f>
        <v>1.2526096033402953E-2</v>
      </c>
      <c r="T474">
        <f ca="1">'ETF variations'!T474/'ETF price'!U475</f>
        <v>2.1908127208480524E-2</v>
      </c>
      <c r="U474">
        <f ca="1">'ETF variations'!U474/'ETF price'!V475</f>
        <v>3.0681569143107573E-2</v>
      </c>
      <c r="V474">
        <f ca="1">'ETF variations'!V474/'ETF price'!W475</f>
        <v>3.9988574692945041E-3</v>
      </c>
      <c r="W474">
        <f ca="1">'ETF variations'!W474/'ETF price'!X475</f>
        <v>3.4226366104094419E-3</v>
      </c>
      <c r="X474">
        <f ca="1">'ETF variations'!X474/'ETF price'!Y475</f>
        <v>-1.0015022533800487E-3</v>
      </c>
      <c r="Y474">
        <f ca="1">'ETF variations'!Y474/'ETF price'!Z475</f>
        <v>3.3020066040132731E-3</v>
      </c>
      <c r="Z474">
        <f ca="1">'ETF variations'!Z474/'ETF price'!AA475</f>
        <v>7.784264664998642E-3</v>
      </c>
      <c r="AA474">
        <f ca="1">'ETF variations'!AA474/'ETF price'!AB475</f>
        <v>-1.1059500110595943E-3</v>
      </c>
      <c r="AB474">
        <f ca="1">'ETF variations'!AB474/'ETF price'!AC475</f>
        <v>2.3792093704246443E-3</v>
      </c>
      <c r="AC474">
        <f ca="1">'ETF variations'!AC474/'ETF price'!AD475</f>
        <v>3.6485480268056605E-2</v>
      </c>
      <c r="AD474">
        <f ca="1">'ETF variations'!AD474/'ETF price'!AE475</f>
        <v>3.1011969532100125E-2</v>
      </c>
      <c r="AE474">
        <f ca="1">'ETF variations'!AE474/'ETF price'!AF475</f>
        <v>-2.2435897435897526E-2</v>
      </c>
      <c r="AF474">
        <f ca="1">'ETF variations'!AF474/'ETF price'!AG475</f>
        <v>5.445352003111624E-2</v>
      </c>
    </row>
    <row r="475" spans="1:32" x14ac:dyDescent="0.2">
      <c r="A475">
        <f ca="1">'ETF variations'!A475/'ETF price'!B476</f>
        <v>-8.0884335400377462E-3</v>
      </c>
      <c r="B475">
        <f ca="1">'ETF variations'!B475/'ETF price'!C476</f>
        <v>-8.3041390943298984E-3</v>
      </c>
      <c r="C475">
        <f ca="1">'ETF variations'!C475/'ETF price'!D476</f>
        <v>-8.5404389785642264E-4</v>
      </c>
      <c r="D475">
        <f ca="1">'ETF variations'!D475/'ETF price'!E476</f>
        <v>-1.8692660550458824E-2</v>
      </c>
      <c r="E475">
        <f ca="1">'ETF variations'!E475/'ETF price'!F476</f>
        <v>3.2673806498457018E-3</v>
      </c>
      <c r="F475">
        <f ca="1">'ETF variations'!F475/'ETF price'!G476</f>
        <v>1.1437285550896354E-3</v>
      </c>
      <c r="G475">
        <f ca="1">'ETF variations'!G475/'ETF price'!H476</f>
        <v>-3.6217303822937566E-3</v>
      </c>
      <c r="H475">
        <f ca="1">'ETF variations'!H475/'ETF price'!I476</f>
        <v>6.0451057893513224E-3</v>
      </c>
      <c r="I475">
        <f ca="1">'ETF variations'!I475/'ETF price'!J476</f>
        <v>5.1148714888537934E-3</v>
      </c>
      <c r="J475">
        <f ca="1">'ETF variations'!J475/'ETF price'!K476</f>
        <v>-7.9885637403296576E-3</v>
      </c>
      <c r="K475">
        <f ca="1">'ETF variations'!K475/'ETF price'!L476</f>
        <v>-2.0274867328888217E-2</v>
      </c>
      <c r="L475">
        <f ca="1">'ETF variations'!L475/'ETF price'!M476</f>
        <v>-8.7950747581354433E-3</v>
      </c>
      <c r="M475">
        <f ca="1">'ETF variations'!M475/'ETF price'!N476</f>
        <v>3.6345613745250101E-3</v>
      </c>
      <c r="N475">
        <f ca="1">'ETF variations'!N475/'ETF price'!O476</f>
        <v>-2.2770398481973288E-2</v>
      </c>
      <c r="O475">
        <f ca="1">'ETF variations'!O475/'ETF price'!P476</f>
        <v>-2.2403018511967659E-3</v>
      </c>
      <c r="P475">
        <f ca="1">'ETF variations'!P475/'ETF price'!Q476</f>
        <v>-2.3549201009251566E-3</v>
      </c>
      <c r="Q475">
        <f ca="1">'ETF variations'!Q475/'ETF price'!R476</f>
        <v>3.8552418853376731E-3</v>
      </c>
      <c r="R475">
        <f ca="1">'ETF variations'!R475/'ETF price'!S476</f>
        <v>2.4686669198633227E-3</v>
      </c>
      <c r="S475">
        <f ca="1">'ETF variations'!S475/'ETF price'!T476</f>
        <v>5.7731958762886832E-3</v>
      </c>
      <c r="T475">
        <f ca="1">'ETF variations'!T475/'ETF price'!U476</f>
        <v>3.1811894882434852E-3</v>
      </c>
      <c r="U475">
        <f ca="1">'ETF variations'!U475/'ETF price'!V476</f>
        <v>-2.1050393365936677E-2</v>
      </c>
      <c r="V475">
        <f ca="1">'ETF variations'!V475/'ETF price'!W476</f>
        <v>-5.6899004267414006E-4</v>
      </c>
      <c r="W475">
        <f ca="1">'ETF variations'!W475/'ETF price'!X476</f>
        <v>-1.411432604093041E-3</v>
      </c>
      <c r="X475">
        <f ca="1">'ETF variations'!X475/'ETF price'!Y476</f>
        <v>-1.7293233082706711E-2</v>
      </c>
      <c r="Y475">
        <f ca="1">'ETF variations'!Y475/'ETF price'!Z476</f>
        <v>-1.1392405063291571E-3</v>
      </c>
      <c r="Z475">
        <f ca="1">'ETF variations'!Z475/'ETF price'!AA476</f>
        <v>-4.9655172413793029E-3</v>
      </c>
      <c r="AA475">
        <f ca="1">'ETF variations'!AA475/'ETF price'!AB476</f>
        <v>-2.2364924712134589E-2</v>
      </c>
      <c r="AB475">
        <f ca="1">'ETF variations'!AB475/'ETF price'!AC476</f>
        <v>-2.3735621690707059E-3</v>
      </c>
      <c r="AC475">
        <f ca="1">'ETF variations'!AC475/'ETF price'!AD476</f>
        <v>-1.93965517241379E-2</v>
      </c>
      <c r="AD475">
        <f ca="1">'ETF variations'!AD475/'ETF price'!AE476</f>
        <v>-2.0052770448548762E-2</v>
      </c>
      <c r="AE475">
        <f ca="1">'ETF variations'!AE475/'ETF price'!AF476</f>
        <v>-3.2786885245900941E-3</v>
      </c>
      <c r="AF475">
        <f ca="1">'ETF variations'!AF475/'ETF price'!AG476</f>
        <v>-1.5123570638140913E-2</v>
      </c>
    </row>
    <row r="476" spans="1:32" x14ac:dyDescent="0.2">
      <c r="A476">
        <f ca="1">'ETF variations'!A476/'ETF price'!B477</f>
        <v>4.457733079641325E-3</v>
      </c>
      <c r="B476">
        <f ca="1">'ETF variations'!B476/'ETF price'!C477</f>
        <v>3.6634829255528085E-3</v>
      </c>
      <c r="C476">
        <f ca="1">'ETF variations'!C476/'ETF price'!D477</f>
        <v>2.8207539105906342E-3</v>
      </c>
      <c r="D476">
        <f ca="1">'ETF variations'!D476/'ETF price'!E477</f>
        <v>3.2137431342760979E-3</v>
      </c>
      <c r="E476">
        <f ca="1">'ETF variations'!E476/'ETF price'!F477</f>
        <v>1.9902297810747136E-3</v>
      </c>
      <c r="F476">
        <f ca="1">'ETF variations'!F476/'ETF price'!G477</f>
        <v>-3.8080731150044034E-4</v>
      </c>
      <c r="G476">
        <f ca="1">'ETF variations'!G476/'ETF price'!H477</f>
        <v>6.8659127625201192E-3</v>
      </c>
      <c r="H476">
        <f ca="1">'ETF variations'!H476/'ETF price'!I477</f>
        <v>4.7762113858716938E-3</v>
      </c>
      <c r="I476">
        <f ca="1">'ETF variations'!I476/'ETF price'!J477</f>
        <v>5.0040286671473085E-3</v>
      </c>
      <c r="J476">
        <f ca="1">'ETF variations'!J476/'ETF price'!K477</f>
        <v>6.3575485292871065E-3</v>
      </c>
      <c r="K476">
        <f ca="1">'ETF variations'!K476/'ETF price'!L477</f>
        <v>1.1111111111111072E-2</v>
      </c>
      <c r="L476">
        <f ca="1">'ETF variations'!L476/'ETF price'!M477</f>
        <v>6.3886424134871238E-3</v>
      </c>
      <c r="M476">
        <f ca="1">'ETF variations'!M476/'ETF price'!N477</f>
        <v>5.7613168724280073E-3</v>
      </c>
      <c r="N476">
        <f ca="1">'ETF variations'!N476/'ETF price'!O477</f>
        <v>1.5048543689320326E-2</v>
      </c>
      <c r="O476">
        <f ca="1">'ETF variations'!O476/'ETF price'!P477</f>
        <v>-4.7270148900976423E-4</v>
      </c>
      <c r="P476">
        <f ca="1">'ETF variations'!P476/'ETF price'!Q477</f>
        <v>-7.587253414264324E-4</v>
      </c>
      <c r="Q476">
        <f ca="1">'ETF variations'!Q476/'ETF price'!R477</f>
        <v>6.1942517343901331E-4</v>
      </c>
      <c r="R476">
        <f ca="1">'ETF variations'!R476/'ETF price'!S477</f>
        <v>4.735745406326956E-3</v>
      </c>
      <c r="S476">
        <f ca="1">'ETF variations'!S476/'ETF price'!T477</f>
        <v>-8.6100861008610429E-3</v>
      </c>
      <c r="T476">
        <f ca="1">'ETF variations'!T476/'ETF price'!U477</f>
        <v>-1.2684406452502435E-2</v>
      </c>
      <c r="U476">
        <f ca="1">'ETF variations'!U476/'ETF price'!V477</f>
        <v>4.3440486533455965E-4</v>
      </c>
      <c r="V476">
        <f ca="1">'ETF variations'!V476/'ETF price'!W477</f>
        <v>3.9851978366069046E-3</v>
      </c>
      <c r="W476">
        <f ca="1">'ETF variations'!W476/'ETF price'!X477</f>
        <v>4.5936395759717382E-3</v>
      </c>
      <c r="X476">
        <f ca="1">'ETF variations'!X476/'ETF price'!Y477</f>
        <v>4.8457026268808392E-3</v>
      </c>
      <c r="Y476">
        <f ca="1">'ETF variations'!Y476/'ETF price'!Z477</f>
        <v>4.1819794702825791E-3</v>
      </c>
      <c r="Z476">
        <f ca="1">'ETF variations'!Z476/'ETF price'!AA477</f>
        <v>3.0496257277515784E-3</v>
      </c>
      <c r="AA476">
        <f ca="1">'ETF variations'!AA476/'ETF price'!AB477</f>
        <v>4.3035107587770065E-3</v>
      </c>
      <c r="AB476">
        <f ca="1">'ETF variations'!AB476/'ETF price'!AC477</f>
        <v>3.6603221083448059E-4</v>
      </c>
      <c r="AC476">
        <f ca="1">'ETF variations'!AC476/'ETF price'!AD477</f>
        <v>3.0769230769230764E-2</v>
      </c>
      <c r="AD476">
        <f ca="1">'ETF variations'!AD476/'ETF price'!AE477</f>
        <v>2.261712439418407E-2</v>
      </c>
      <c r="AE476">
        <f ca="1">'ETF variations'!AE476/'ETF price'!AF477</f>
        <v>3.6184210526315749E-2</v>
      </c>
      <c r="AF476">
        <f ca="1">'ETF variations'!AF476/'ETF price'!AG477</f>
        <v>3.3707865168539408E-2</v>
      </c>
    </row>
    <row r="477" spans="1:32" x14ac:dyDescent="0.2">
      <c r="A477">
        <f ca="1">'ETF variations'!A477/'ETF price'!B478</f>
        <v>-1.9483682415977358E-3</v>
      </c>
      <c r="B477">
        <f ca="1">'ETF variations'!B477/'ETF price'!C478</f>
        <v>-1.0863425020640508E-3</v>
      </c>
      <c r="C477">
        <f ca="1">'ETF variations'!C477/'ETF price'!D478</f>
        <v>1.2785543811797281E-3</v>
      </c>
      <c r="D477">
        <f ca="1">'ETF variations'!D477/'ETF price'!E478</f>
        <v>6.9893412545870203E-4</v>
      </c>
      <c r="E477">
        <f ca="1">'ETF variations'!E477/'ETF price'!F478</f>
        <v>6.1394005055976216E-3</v>
      </c>
      <c r="F477">
        <f ca="1">'ETF variations'!F477/'ETF price'!G478</f>
        <v>-3.8095238095244049E-4</v>
      </c>
      <c r="G477">
        <f ca="1">'ETF variations'!G477/'ETF price'!H478</f>
        <v>2.0056157240273048E-3</v>
      </c>
      <c r="H477">
        <f ca="1">'ETF variations'!H477/'ETF price'!I478</f>
        <v>5.3668634516598071E-3</v>
      </c>
      <c r="I477">
        <f ca="1">'ETF variations'!I477/'ETF price'!J478</f>
        <v>5.1057006624751237E-3</v>
      </c>
      <c r="J477">
        <f ca="1">'ETF variations'!J477/'ETF price'!K478</f>
        <v>5.3908355795148294E-3</v>
      </c>
      <c r="K477">
        <f ca="1">'ETF variations'!K477/'ETF price'!L478</f>
        <v>1.1813186813186806E-2</v>
      </c>
      <c r="L477">
        <f ca="1">'ETF variations'!L477/'ETF price'!M478</f>
        <v>2.4687004055722194E-3</v>
      </c>
      <c r="M477">
        <f ca="1">'ETF variations'!M477/'ETF price'!N478</f>
        <v>6.0556464811783537E-3</v>
      </c>
      <c r="N477">
        <f ca="1">'ETF variations'!N477/'ETF price'!O478</f>
        <v>9.5648015303682107E-3</v>
      </c>
      <c r="O477">
        <f ca="1">'ETF variations'!O477/'ETF price'!P478</f>
        <v>4.1380941120833358E-3</v>
      </c>
      <c r="P477">
        <f ca="1">'ETF variations'!P477/'ETF price'!Q478</f>
        <v>5.0620096178182255E-3</v>
      </c>
      <c r="Q477">
        <f ca="1">'ETF variations'!Q477/'ETF price'!R478</f>
        <v>4.3332920638852112E-3</v>
      </c>
      <c r="R477">
        <f ca="1">'ETF variations'!R477/'ETF price'!S478</f>
        <v>5.6561085972851484E-3</v>
      </c>
      <c r="S477">
        <f ca="1">'ETF variations'!S477/'ETF price'!T478</f>
        <v>-6.6170388751033973E-3</v>
      </c>
      <c r="T477">
        <f ca="1">'ETF variations'!T477/'ETF price'!U478</f>
        <v>-1.1031978773914345E-2</v>
      </c>
      <c r="U477">
        <f ca="1">'ETF variations'!U477/'ETF price'!V478</f>
        <v>-1.2592270950933682E-2</v>
      </c>
      <c r="V477">
        <f ca="1">'ETF variations'!V477/'ETF price'!W478</f>
        <v>3.1187978451941998E-3</v>
      </c>
      <c r="W477">
        <f ca="1">'ETF variations'!W477/'ETF price'!X478</f>
        <v>3.8691523039043061E-3</v>
      </c>
      <c r="X477">
        <f ca="1">'ETF variations'!X477/'ETF price'!Y478</f>
        <v>2.5380710659898839E-3</v>
      </c>
      <c r="Y477">
        <f ca="1">'ETF variations'!Y477/'ETF price'!Z478</f>
        <v>3.1549722362443212E-3</v>
      </c>
      <c r="Z477">
        <f ca="1">'ETF variations'!Z477/'ETF price'!AA478</f>
        <v>3.8695411829740346E-3</v>
      </c>
      <c r="AA477">
        <f ca="1">'ETF variations'!AA477/'ETF price'!AB478</f>
        <v>1.3531799729362916E-3</v>
      </c>
      <c r="AB477">
        <f ca="1">'ETF variations'!AB477/'ETF price'!AC478</f>
        <v>1.0062202707647353E-2</v>
      </c>
      <c r="AC477">
        <f ca="1">'ETF variations'!AC477/'ETF price'!AD478</f>
        <v>9.2395167022031981E-3</v>
      </c>
      <c r="AD477">
        <f ca="1">'ETF variations'!AD477/'ETF price'!AE478</f>
        <v>6.3191153238547132E-3</v>
      </c>
      <c r="AE477">
        <f ca="1">'ETF variations'!AE477/'ETF price'!AF478</f>
        <v>-2.8571428571428525E-2</v>
      </c>
      <c r="AF477">
        <f ca="1">'ETF variations'!AF477/'ETF price'!AG478</f>
        <v>5.3985507246376754E-2</v>
      </c>
    </row>
    <row r="478" spans="1:32" x14ac:dyDescent="0.2">
      <c r="A478">
        <f ca="1">'ETF variations'!A478/'ETF price'!B479</f>
        <v>-5.4226994197662305E-5</v>
      </c>
      <c r="B478">
        <f ca="1">'ETF variations'!B478/'ETF price'!C479</f>
        <v>-5.220114842526734E-4</v>
      </c>
      <c r="C478">
        <f ca="1">'ETF variations'!C478/'ETF price'!D479</f>
        <v>-1.7025623563463254E-3</v>
      </c>
      <c r="D478">
        <f ca="1">'ETF variations'!D478/'ETF price'!E479</f>
        <v>-1.396891915488092E-3</v>
      </c>
      <c r="E478">
        <f ca="1">'ETF variations'!E478/'ETF price'!F479</f>
        <v>0</v>
      </c>
      <c r="F478">
        <f ca="1">'ETF variations'!F478/'ETF price'!G479</f>
        <v>3.8109756097566935E-4</v>
      </c>
      <c r="G478">
        <f ca="1">'ETF variations'!G478/'ETF price'!H479</f>
        <v>-2.8022417934347593E-3</v>
      </c>
      <c r="H478">
        <f ca="1">'ETF variations'!H478/'ETF price'!I479</f>
        <v>-6.253336383741274E-3</v>
      </c>
      <c r="I478">
        <f ca="1">'ETF variations'!I478/'ETF price'!J479</f>
        <v>-5.5415617128463188E-3</v>
      </c>
      <c r="J478">
        <f ca="1">'ETF variations'!J478/'ETF price'!K479</f>
        <v>-6.618632707774851E-3</v>
      </c>
      <c r="K478">
        <f ca="1">'ETF variations'!K478/'ETF price'!L479</f>
        <v>-5.8376323649198024E-3</v>
      </c>
      <c r="L478">
        <f ca="1">'ETF variations'!L478/'ETF price'!M479</f>
        <v>-2.2867194371152602E-3</v>
      </c>
      <c r="M478">
        <f ca="1">'ETF variations'!M478/'ETF price'!N479</f>
        <v>-6.1818773385390506E-3</v>
      </c>
      <c r="N478">
        <f ca="1">'ETF variations'!N478/'ETF price'!O479</f>
        <v>-8.0530554239695955E-3</v>
      </c>
      <c r="O478">
        <f ca="1">'ETF variations'!O478/'ETF price'!P479</f>
        <v>-3.5323207347228462E-3</v>
      </c>
      <c r="P478">
        <f ca="1">'ETF variations'!P478/'ETF price'!Q479</f>
        <v>-4.7846889952152536E-3</v>
      </c>
      <c r="Q478">
        <f ca="1">'ETF variations'!Q478/'ETF price'!R479</f>
        <v>-1.2327416173571069E-3</v>
      </c>
      <c r="R478">
        <f ca="1">'ETF variations'!R478/'ETF price'!S479</f>
        <v>8.0614923134608111E-3</v>
      </c>
      <c r="S478">
        <f ca="1">'ETF variations'!S478/'ETF price'!T479</f>
        <v>-6.6611157368859347E-3</v>
      </c>
      <c r="T478">
        <f ca="1">'ETF variations'!T478/'ETF price'!U479</f>
        <v>-1.2143462298785646E-2</v>
      </c>
      <c r="U478">
        <f ca="1">'ETF variations'!U478/'ETF price'!V479</f>
        <v>-1.8689533861037694E-2</v>
      </c>
      <c r="V478">
        <f ca="1">'ETF variations'!V478/'ETF price'!W479</f>
        <v>-3.39174674957616E-3</v>
      </c>
      <c r="W478">
        <f ca="1">'ETF variations'!W478/'ETF price'!X479</f>
        <v>-2.6862882504088293E-3</v>
      </c>
      <c r="X478">
        <f ca="1">'ETF variations'!X478/'ETF price'!Y479</f>
        <v>-3.2911392405063937E-3</v>
      </c>
      <c r="Y478">
        <f ca="1">'ETF variations'!Y478/'ETF price'!Z479</f>
        <v>-2.0128318027424407E-3</v>
      </c>
      <c r="Z478">
        <f ca="1">'ETF variations'!Z478/'ETF price'!AA479</f>
        <v>3.5792951541850923E-3</v>
      </c>
      <c r="AA478">
        <f ca="1">'ETF variations'!AA478/'ETF price'!AB479</f>
        <v>-6.3063063063063321E-3</v>
      </c>
      <c r="AB478">
        <f ca="1">'ETF variations'!AB478/'ETF price'!AC479</f>
        <v>9.5997101974280227E-3</v>
      </c>
      <c r="AC478">
        <f ca="1">'ETF variations'!AC478/'ETF price'!AD479</f>
        <v>-4.5774647887323848E-2</v>
      </c>
      <c r="AD478">
        <f ca="1">'ETF variations'!AD478/'ETF price'!AE479</f>
        <v>-3.7153322867608626E-2</v>
      </c>
      <c r="AE478">
        <f ca="1">'ETF variations'!AE478/'ETF price'!AF479</f>
        <v>2.2875816993463999E-2</v>
      </c>
      <c r="AF478">
        <f ca="1">'ETF variations'!AF478/'ETF price'!AG479</f>
        <v>-1.7188037126160437E-3</v>
      </c>
    </row>
    <row r="479" spans="1:32" x14ac:dyDescent="0.2">
      <c r="A479">
        <f ca="1">'ETF variations'!A479/'ETF price'!B480</f>
        <v>1.8980477223427023E-3</v>
      </c>
      <c r="B479">
        <f ca="1">'ETF variations'!B479/'ETF price'!C480</f>
        <v>1.8497562674095202E-3</v>
      </c>
      <c r="C479">
        <f ca="1">'ETF variations'!C479/'ETF price'!D480</f>
        <v>3.4109320371792078E-3</v>
      </c>
      <c r="D479">
        <f ca="1">'ETF variations'!D479/'ETF price'!E480</f>
        <v>-5.8285248003730255E-3</v>
      </c>
      <c r="E479">
        <f ca="1">'ETF variations'!E479/'ETF price'!F480</f>
        <v>8.9734386216805927E-4</v>
      </c>
      <c r="F479">
        <f ca="1">'ETF variations'!F479/'ETF price'!G480</f>
        <v>-3.4285714285714232E-3</v>
      </c>
      <c r="G479">
        <f ca="1">'ETF variations'!G479/'ETF price'!H480</f>
        <v>-5.2187876354877162E-3</v>
      </c>
      <c r="H479">
        <f ca="1">'ETF variations'!H479/'ETF price'!I480</f>
        <v>-5.141585450080699E-3</v>
      </c>
      <c r="I479">
        <f ca="1">'ETF variations'!I479/'ETF price'!J480</f>
        <v>-5.699088145896633E-3</v>
      </c>
      <c r="J479">
        <f ca="1">'ETF variations'!J479/'ETF price'!K480</f>
        <v>-3.0361811588091375E-3</v>
      </c>
      <c r="K479">
        <f ca="1">'ETF variations'!K479/'ETF price'!L480</f>
        <v>-2.7311211252219422E-3</v>
      </c>
      <c r="L479">
        <f ca="1">'ETF variations'!L479/'ETF price'!M480</f>
        <v>-3.8787023977432805E-3</v>
      </c>
      <c r="M479">
        <f ca="1">'ETF variations'!M479/'ETF price'!N480</f>
        <v>-5.8929448354887301E-3</v>
      </c>
      <c r="N479">
        <f ca="1">'ETF variations'!N479/'ETF price'!O480</f>
        <v>5.2531041069722745E-3</v>
      </c>
      <c r="O479">
        <f ca="1">'ETF variations'!O479/'ETF price'!P480</f>
        <v>2.3632281696809917E-4</v>
      </c>
      <c r="P479">
        <f ca="1">'ETF variations'!P479/'ETF price'!Q480</f>
        <v>-8.4345479082364335E-5</v>
      </c>
      <c r="Q479">
        <f ca="1">'ETF variations'!Q479/'ETF price'!R480</f>
        <v>1.9748210318441227E-3</v>
      </c>
      <c r="R479">
        <f ca="1">'ETF variations'!R479/'ETF price'!S480</f>
        <v>1.1158638646084277E-3</v>
      </c>
      <c r="S479">
        <f ca="1">'ETF variations'!S479/'ETF price'!T480</f>
        <v>1.2154233025984876E-2</v>
      </c>
      <c r="T479">
        <f ca="1">'ETF variations'!T479/'ETF price'!U480</f>
        <v>1.8582046883933841E-2</v>
      </c>
      <c r="U479">
        <f ca="1">'ETF variations'!U479/'ETF price'!V480</f>
        <v>1.4788259018597278E-2</v>
      </c>
      <c r="V479">
        <f ca="1">'ETF variations'!V479/'ETF price'!W480</f>
        <v>-2.8360748723760666E-4</v>
      </c>
      <c r="W479">
        <f ca="1">'ETF variations'!W479/'ETF price'!X480</f>
        <v>-7.0265839091231141E-4</v>
      </c>
      <c r="X479">
        <f ca="1">'ETF variations'!X479/'ETF price'!Y480</f>
        <v>2.5400050800114597E-4</v>
      </c>
      <c r="Y479">
        <f ca="1">'ETF variations'!Y479/'ETF price'!Z480</f>
        <v>-2.0168914660279413E-3</v>
      </c>
      <c r="Z479">
        <f ca="1">'ETF variations'!Z479/'ETF price'!AA480</f>
        <v>5.4869684499312954E-3</v>
      </c>
      <c r="AA479">
        <f ca="1">'ETF variations'!AA479/'ETF price'!AB480</f>
        <v>-2.2665457842243906E-4</v>
      </c>
      <c r="AB479">
        <f ca="1">'ETF variations'!AB479/'ETF price'!AC480</f>
        <v>1.040545389307496E-2</v>
      </c>
      <c r="AC479">
        <f ca="1">'ETF variations'!AC479/'ETF price'!AD480</f>
        <v>4.2804428044280446E-2</v>
      </c>
      <c r="AD479">
        <f ca="1">'ETF variations'!AD479/'ETF price'!AE480</f>
        <v>4.5652173913043471E-2</v>
      </c>
      <c r="AE479">
        <f ca="1">'ETF variations'!AE479/'ETF price'!AF480</f>
        <v>-3.1948881789136702E-3</v>
      </c>
      <c r="AF479">
        <f ca="1">'ETF variations'!AF479/'ETF price'!AG480</f>
        <v>7.9201101928374679E-2</v>
      </c>
    </row>
    <row r="480" spans="1:32" x14ac:dyDescent="0.2">
      <c r="A480">
        <f ca="1">'ETF variations'!A480/'ETF price'!B481</f>
        <v>7.5778078484431042E-4</v>
      </c>
      <c r="B480">
        <f ca="1">'ETF variations'!B480/'ETF price'!C481</f>
        <v>3.8881769011882192E-3</v>
      </c>
      <c r="C480">
        <f ca="1">'ETF variations'!C480/'ETF price'!D481</f>
        <v>-1.2577547378261273E-2</v>
      </c>
      <c r="D480">
        <f ca="1">'ETF variations'!D480/'ETF price'!E481</f>
        <v>1.0845986984815585E-2</v>
      </c>
      <c r="E480">
        <f ca="1">'ETF variations'!E480/'ETF price'!F481</f>
        <v>1.6496324188631784E-2</v>
      </c>
      <c r="F480">
        <f ca="1">'ETF variations'!F480/'ETF price'!G481</f>
        <v>1.4143730886850191E-2</v>
      </c>
      <c r="G480">
        <f ca="1">'ETF variations'!G480/'ETF price'!H481</f>
        <v>7.6674737691685927E-3</v>
      </c>
      <c r="H480">
        <f ca="1">'ETF variations'!H480/'ETF price'!I481</f>
        <v>3.0854674483199988E-4</v>
      </c>
      <c r="I480">
        <f ca="1">'ETF variations'!I480/'ETF price'!J481</f>
        <v>9.3406360123975227E-4</v>
      </c>
      <c r="J480">
        <f ca="1">'ETF variations'!J480/'ETF price'!K481</f>
        <v>9.559258945943741E-3</v>
      </c>
      <c r="K480">
        <f ca="1">'ETF variations'!K480/'ETF price'!L481</f>
        <v>1.1228262357935002E-2</v>
      </c>
      <c r="L480">
        <f ca="1">'ETF variations'!L480/'ETF price'!M481</f>
        <v>9.5575221238937899E-3</v>
      </c>
      <c r="M480">
        <f ca="1">'ETF variations'!M480/'ETF price'!N481</f>
        <v>1.6466326362588742E-3</v>
      </c>
      <c r="N480">
        <f ca="1">'ETF variations'!N480/'ETF price'!O481</f>
        <v>5.2256532066508043E-3</v>
      </c>
      <c r="O480">
        <f ca="1">'ETF variations'!O480/'ETF price'!P481</f>
        <v>-7.4424099232133448E-3</v>
      </c>
      <c r="P480">
        <f ca="1">'ETF variations'!P480/'ETF price'!Q481</f>
        <v>-7.0856178827499233E-3</v>
      </c>
      <c r="Q480">
        <f ca="1">'ETF variations'!Q480/'ETF price'!R481</f>
        <v>5.1736881005172144E-3</v>
      </c>
      <c r="R480">
        <f ca="1">'ETF variations'!R480/'ETF price'!S481</f>
        <v>1.4861601337543804E-3</v>
      </c>
      <c r="S480">
        <f ca="1">'ETF variations'!S480/'ETF price'!T481</f>
        <v>7.0393374741201543E-3</v>
      </c>
      <c r="T480">
        <f ca="1">'ETF variations'!T480/'ETF price'!U481</f>
        <v>1.7681728880157042E-2</v>
      </c>
      <c r="U480">
        <f ca="1">'ETF variations'!U480/'ETF price'!V481</f>
        <v>1.2143961139324448E-2</v>
      </c>
      <c r="V480">
        <f ca="1">'ETF variations'!V480/'ETF price'!W481</f>
        <v>7.0921985815602835E-3</v>
      </c>
      <c r="W480">
        <f ca="1">'ETF variations'!W480/'ETF price'!X481</f>
        <v>8.6722137583498757E-3</v>
      </c>
      <c r="X480">
        <f ca="1">'ETF variations'!X480/'ETF price'!Y481</f>
        <v>2.0314880650076108E-2</v>
      </c>
      <c r="Y480">
        <f ca="1">'ETF variations'!Y480/'ETF price'!Z481</f>
        <v>8.7154225085259284E-3</v>
      </c>
      <c r="Z480">
        <f ca="1">'ETF variations'!Z480/'ETF price'!AA481</f>
        <v>7.6398362892224052E-3</v>
      </c>
      <c r="AA480">
        <f ca="1">'ETF variations'!AA480/'ETF price'!AB481</f>
        <v>2.085694853774658E-2</v>
      </c>
      <c r="AB480">
        <f ca="1">'ETF variations'!AB480/'ETF price'!AC481</f>
        <v>3.5511363636369188E-4</v>
      </c>
      <c r="AC480">
        <f ca="1">'ETF variations'!AC480/'ETF price'!AD481</f>
        <v>-2.4769992922859266E-2</v>
      </c>
      <c r="AD480">
        <f ca="1">'ETF variations'!AD480/'ETF price'!AE481</f>
        <v>-2.1309771309771318E-2</v>
      </c>
      <c r="AE480">
        <f ca="1">'ETF variations'!AE480/'ETF price'!AF481</f>
        <v>3.2051282051282076E-2</v>
      </c>
      <c r="AF480">
        <f ca="1">'ETF variations'!AF480/'ETF price'!AG481</f>
        <v>1.5315890236119989E-2</v>
      </c>
    </row>
    <row r="481" spans="1:32" x14ac:dyDescent="0.2">
      <c r="A481">
        <f ca="1">'ETF variations'!A481/'ETF price'!B482</f>
        <v>1.4603277624534062E-3</v>
      </c>
      <c r="B481">
        <f ca="1">'ETF variations'!B481/'ETF price'!C482</f>
        <v>-2.8128786567433849E-4</v>
      </c>
      <c r="C481">
        <f ca="1">'ETF variations'!C481/'ETF price'!D482</f>
        <v>5.422153369480983E-3</v>
      </c>
      <c r="D481">
        <f ca="1">'ETF variations'!D481/'ETF price'!E482</f>
        <v>-6.9597494490197696E-3</v>
      </c>
      <c r="E481">
        <f ca="1">'ETF variations'!E481/'ETF price'!F482</f>
        <v>1.2347856764861579E-3</v>
      </c>
      <c r="F481">
        <f ca="1">'ETF variations'!F481/'ETF price'!G482</f>
        <v>-3.7693177534866723E-3</v>
      </c>
      <c r="G481">
        <f ca="1">'ETF variations'!G481/'ETF price'!H482</f>
        <v>6.0072086503805419E-3</v>
      </c>
      <c r="H481">
        <f ca="1">'ETF variations'!H481/'ETF price'!I482</f>
        <v>1.2569401603948144E-2</v>
      </c>
      <c r="I481">
        <f ca="1">'ETF variations'!I481/'ETF price'!J482</f>
        <v>1.2089077412513232E-2</v>
      </c>
      <c r="J481">
        <f ca="1">'ETF variations'!J481/'ETF price'!K482</f>
        <v>1.3323278029160411E-2</v>
      </c>
      <c r="K481">
        <f ca="1">'ETF variations'!K481/'ETF price'!L482</f>
        <v>2.2613405551794204E-2</v>
      </c>
      <c r="L481">
        <f ca="1">'ETF variations'!L481/'ETF price'!M482</f>
        <v>2.7349228611500742E-2</v>
      </c>
      <c r="M481">
        <f ca="1">'ETF variations'!M481/'ETF price'!N482</f>
        <v>1.2000657570277889E-2</v>
      </c>
      <c r="N481">
        <f ca="1">'ETF variations'!N481/'ETF price'!O482</f>
        <v>-1.5595463137996306E-2</v>
      </c>
      <c r="O481">
        <f ca="1">'ETF variations'!O481/'ETF price'!P482</f>
        <v>6.6650797429183804E-3</v>
      </c>
      <c r="P481">
        <f ca="1">'ETF variations'!P481/'ETF price'!Q482</f>
        <v>6.8813184946054061E-3</v>
      </c>
      <c r="Q481">
        <f ca="1">'ETF variations'!Q481/'ETF price'!R482</f>
        <v>9.926470588235323E-3</v>
      </c>
      <c r="R481">
        <f ca="1">'ETF variations'!R481/'ETF price'!S482</f>
        <v>1.5581524763494777E-2</v>
      </c>
      <c r="S481">
        <f ca="1">'ETF variations'!S481/'ETF price'!T482</f>
        <v>-1.6858552631578955E-2</v>
      </c>
      <c r="T481">
        <f ca="1">'ETF variations'!T481/'ETF price'!U482</f>
        <v>-3.281853281853276E-2</v>
      </c>
      <c r="U481">
        <f ca="1">'ETF variations'!U481/'ETF price'!V482</f>
        <v>0</v>
      </c>
      <c r="V481">
        <f ca="1">'ETF variations'!V481/'ETF price'!W482</f>
        <v>1.1267605633802778E-2</v>
      </c>
      <c r="W481">
        <f ca="1">'ETF variations'!W481/'ETF price'!X482</f>
        <v>9.7594980829557743E-3</v>
      </c>
      <c r="X481">
        <f ca="1">'ETF variations'!X481/'ETF price'!Y482</f>
        <v>4.2309606769537506E-3</v>
      </c>
      <c r="Y481">
        <f ca="1">'ETF variations'!Y481/'ETF price'!Z482</f>
        <v>1.0267968945654989E-2</v>
      </c>
      <c r="Z481">
        <f ca="1">'ETF variations'!Z481/'ETF price'!AA482</f>
        <v>8.1234768480909058E-3</v>
      </c>
      <c r="AA481">
        <f ca="1">'ETF variations'!AA481/'ETF price'!AB482</f>
        <v>1.9986675549632758E-3</v>
      </c>
      <c r="AB481">
        <f ca="1">'ETF variations'!AB481/'ETF price'!AC482</f>
        <v>-4.969826056088057E-3</v>
      </c>
      <c r="AC481">
        <f ca="1">'ETF variations'!AC481/'ETF price'!AD482</f>
        <v>7.2568940493469829E-3</v>
      </c>
      <c r="AD481">
        <f ca="1">'ETF variations'!AD481/'ETF price'!AE482</f>
        <v>2.1242697822624907E-3</v>
      </c>
      <c r="AE481">
        <f ca="1">'ETF variations'!AE481/'ETF price'!AF482</f>
        <v>-6.2111801242236073E-3</v>
      </c>
      <c r="AF481">
        <f ca="1">'ETF variations'!AF481/'ETF price'!AG482</f>
        <v>-2.796983029541171E-2</v>
      </c>
    </row>
    <row r="482" spans="1:32" x14ac:dyDescent="0.2">
      <c r="A482">
        <f ca="1">'ETF variations'!A482/'ETF price'!B483</f>
        <v>2.2683084899547197E-3</v>
      </c>
      <c r="B482">
        <f ca="1">'ETF variations'!B482/'ETF price'!C483</f>
        <v>5.6706274484340947E-3</v>
      </c>
      <c r="C482">
        <f ca="1">'ETF variations'!C482/'ETF price'!D483</f>
        <v>-9.4161958568737755E-3</v>
      </c>
      <c r="D482">
        <f ca="1">'ETF variations'!D482/'ETF price'!E483</f>
        <v>4.6723513608224005E-3</v>
      </c>
      <c r="E482">
        <f ca="1">'ETF variations'!E482/'ETF price'!F483</f>
        <v>1.2861169837914094E-2</v>
      </c>
      <c r="F482">
        <f ca="1">'ETF variations'!F482/'ETF price'!G483</f>
        <v>2.2701475595913789E-2</v>
      </c>
      <c r="G482">
        <f ca="1">'ETF variations'!G482/'ETF price'!H483</f>
        <v>1.7914012738853475E-2</v>
      </c>
      <c r="H482">
        <f ca="1">'ETF variations'!H482/'ETF price'!I483</f>
        <v>3.9600944330211727E-3</v>
      </c>
      <c r="I482">
        <f ca="1">'ETF variations'!I482/'ETF price'!J483</f>
        <v>6.4962279966471557E-3</v>
      </c>
      <c r="J482">
        <f ca="1">'ETF variations'!J482/'ETF price'!K483</f>
        <v>1.3809641941619015E-2</v>
      </c>
      <c r="K482">
        <f ca="1">'ETF variations'!K482/'ETF price'!L483</f>
        <v>3.0587923728813592E-2</v>
      </c>
      <c r="L482">
        <f ca="1">'ETF variations'!L482/'ETF price'!M483</f>
        <v>1.9624573378839567E-2</v>
      </c>
      <c r="M482">
        <f ca="1">'ETF variations'!M482/'ETF price'!N483</f>
        <v>6.4977257959713871E-3</v>
      </c>
      <c r="N482">
        <f ca="1">'ETF variations'!N482/'ETF price'!O483</f>
        <v>2.7364378300528101E-2</v>
      </c>
      <c r="O482">
        <f ca="1">'ETF variations'!O482/'ETF price'!P483</f>
        <v>5.2021754551903254E-3</v>
      </c>
      <c r="P482">
        <f ca="1">'ETF variations'!P482/'ETF price'!Q483</f>
        <v>6.0749240634491979E-3</v>
      </c>
      <c r="Q482">
        <f ca="1">'ETF variations'!Q482/'ETF price'!R483</f>
        <v>1.1406382720543597E-2</v>
      </c>
      <c r="R482">
        <f ca="1">'ETF variations'!R482/'ETF price'!S483</f>
        <v>2.7397260273972601E-2</v>
      </c>
      <c r="S482">
        <f ca="1">'ETF variations'!S482/'ETF price'!T483</f>
        <v>-4.6005855290673124E-3</v>
      </c>
      <c r="T482">
        <f ca="1">'ETF variations'!T482/'ETF price'!U483</f>
        <v>-1.2831479897348242E-2</v>
      </c>
      <c r="U482">
        <f ca="1">'ETF variations'!U482/'ETF price'!V483</f>
        <v>4.4284467713786954E-2</v>
      </c>
      <c r="V482">
        <f ca="1">'ETF variations'!V482/'ETF price'!W483</f>
        <v>7.5208913649025943E-3</v>
      </c>
      <c r="W482">
        <f ca="1">'ETF variations'!W482/'ETF price'!X483</f>
        <v>1.1160971119548946E-2</v>
      </c>
      <c r="X482">
        <f ca="1">'ETF variations'!X482/'ETF price'!Y483</f>
        <v>4.1883519206939224E-2</v>
      </c>
      <c r="Y482">
        <f ca="1">'ETF variations'!Y482/'ETF price'!Z483</f>
        <v>9.7917699553791773E-3</v>
      </c>
      <c r="Z482">
        <f ca="1">'ETF variations'!Z482/'ETF price'!AA483</f>
        <v>2.0950846091861434E-2</v>
      </c>
      <c r="AA482">
        <f ca="1">'ETF variations'!AA482/'ETF price'!AB483</f>
        <v>5.1861702127659656E-2</v>
      </c>
      <c r="AB482">
        <f ca="1">'ETF variations'!AB482/'ETF price'!AC483</f>
        <v>-5.1730288976096885E-3</v>
      </c>
      <c r="AC482">
        <f ca="1">'ETF variations'!AC482/'ETF price'!AD483</f>
        <v>2.5936599423631083E-2</v>
      </c>
      <c r="AD482">
        <f ca="1">'ETF variations'!AD482/'ETF price'!AE483</f>
        <v>2.1197668256491709E-2</v>
      </c>
      <c r="AE482">
        <f ca="1">'ETF variations'!AE482/'ETF price'!AF483</f>
        <v>5.3124999999999978E-2</v>
      </c>
      <c r="AF482">
        <f ca="1">'ETF variations'!AF482/'ETF price'!AG483</f>
        <v>0.10572259941804084</v>
      </c>
    </row>
    <row r="483" spans="1:32" x14ac:dyDescent="0.2">
      <c r="A483">
        <f ca="1">'ETF variations'!A483/'ETF price'!B484</f>
        <v>-1.2178036426339148E-2</v>
      </c>
      <c r="B483">
        <f ca="1">'ETF variations'!B483/'ETF price'!C484</f>
        <v>-1.0179705154417221E-2</v>
      </c>
      <c r="C483">
        <f ca="1">'ETF variations'!C483/'ETF price'!D484</f>
        <v>1.7023850674040778E-2</v>
      </c>
      <c r="D483">
        <f ca="1">'ETF variations'!D483/'ETF price'!E484</f>
        <v>-1.1219625624927372E-2</v>
      </c>
      <c r="E483">
        <f ca="1">'ETF variations'!E483/'ETF price'!F484</f>
        <v>6.9577317794398772E-3</v>
      </c>
      <c r="F483">
        <f ca="1">'ETF variations'!F483/'ETF price'!G484</f>
        <v>-1.1468738438771818E-2</v>
      </c>
      <c r="G483">
        <f ca="1">'ETF variations'!G483/'ETF price'!H484</f>
        <v>1.9554165037153192E-3</v>
      </c>
      <c r="H483">
        <f ca="1">'ETF variations'!H483/'ETF price'!I484</f>
        <v>1.8963817037093225E-3</v>
      </c>
      <c r="I483">
        <f ca="1">'ETF variations'!I483/'ETF price'!J484</f>
        <v>3.2063293774723372E-3</v>
      </c>
      <c r="J483">
        <f ca="1">'ETF variations'!J483/'ETF price'!K484</f>
        <v>6.4437194127243578E-3</v>
      </c>
      <c r="K483">
        <f ca="1">'ETF variations'!K483/'ETF price'!L484</f>
        <v>1.7473981755107278E-2</v>
      </c>
      <c r="L483">
        <f ca="1">'ETF variations'!L483/'ETF price'!M484</f>
        <v>1.1213389121338941E-2</v>
      </c>
      <c r="M483">
        <f ca="1">'ETF variations'!M483/'ETF price'!N484</f>
        <v>2.5823111684957485E-3</v>
      </c>
      <c r="N483">
        <f ca="1">'ETF variations'!N483/'ETF price'!O484</f>
        <v>1.0280373831775814E-2</v>
      </c>
      <c r="O483">
        <f ca="1">'ETF variations'!O483/'ETF price'!P484</f>
        <v>-4.5871559633027595E-3</v>
      </c>
      <c r="P483">
        <f ca="1">'ETF variations'!P483/'ETF price'!Q484</f>
        <v>-6.9607514256960611E-3</v>
      </c>
      <c r="Q483">
        <f ca="1">'ETF variations'!Q483/'ETF price'!R484</f>
        <v>-1.1637672465506886E-2</v>
      </c>
      <c r="R483">
        <f ca="1">'ETF variations'!R483/'ETF price'!S484</f>
        <v>-9.5999999999999853E-3</v>
      </c>
      <c r="S483">
        <f ca="1">'ETF variations'!S483/'ETF price'!T484</f>
        <v>-6.7226890756302577E-3</v>
      </c>
      <c r="T483">
        <f ca="1">'ETF variations'!T483/'ETF price'!U484</f>
        <v>-1.1120739456961237E-2</v>
      </c>
      <c r="U483">
        <f ca="1">'ETF variations'!U483/'ETF price'!V484</f>
        <v>-2.7156883225401183E-3</v>
      </c>
      <c r="V483">
        <f ca="1">'ETF variations'!V483/'ETF price'!W484</f>
        <v>-1.1058888581697303E-3</v>
      </c>
      <c r="W483">
        <f ca="1">'ETF variations'!W483/'ETF price'!X484</f>
        <v>1.7068730086482213E-3</v>
      </c>
      <c r="X483">
        <f ca="1">'ETF variations'!X483/'ETF price'!Y484</f>
        <v>1.2369172216936326E-2</v>
      </c>
      <c r="Y483">
        <f ca="1">'ETF variations'!Y483/'ETF price'!Z484</f>
        <v>1.9639130968454226E-3</v>
      </c>
      <c r="Z483">
        <f ca="1">'ETF variations'!Z483/'ETF price'!AA484</f>
        <v>5.524861878453061E-3</v>
      </c>
      <c r="AA483">
        <f ca="1">'ETF variations'!AA483/'ETF price'!AB484</f>
        <v>1.3906447534766046E-2</v>
      </c>
      <c r="AB483">
        <f ca="1">'ETF variations'!AB483/'ETF price'!AC484</f>
        <v>5.917159763313579E-3</v>
      </c>
      <c r="AC483">
        <f ca="1">'ETF variations'!AC483/'ETF price'!AD484</f>
        <v>7.02247191011236E-2</v>
      </c>
      <c r="AD483">
        <f ca="1">'ETF variations'!AD483/'ETF price'!AE484</f>
        <v>7.6803321224701626E-2</v>
      </c>
      <c r="AE483">
        <f ca="1">'ETF variations'!AE483/'ETF price'!AF484</f>
        <v>1.4836795252225466E-2</v>
      </c>
      <c r="AF483">
        <f ca="1">'ETF variations'!AF483/'ETF price'!AG484</f>
        <v>8.0994152046783507E-2</v>
      </c>
    </row>
    <row r="484" spans="1:32" x14ac:dyDescent="0.2">
      <c r="A484">
        <f ca="1">'ETF variations'!A484/'ETF price'!B485</f>
        <v>6.0004363953741783E-3</v>
      </c>
      <c r="B484">
        <f ca="1">'ETF variations'!B484/'ETF price'!C485</f>
        <v>5.413985040876694E-3</v>
      </c>
      <c r="C484">
        <f ca="1">'ETF variations'!C484/'ETF price'!D485</f>
        <v>7.2223638371994945E-3</v>
      </c>
      <c r="D484">
        <f ca="1">'ETF variations'!D484/'ETF price'!E485</f>
        <v>-5.6440707860544882E-3</v>
      </c>
      <c r="E484">
        <f ca="1">'ETF variations'!E484/'ETF price'!F485</f>
        <v>-4.4912765589911561E-3</v>
      </c>
      <c r="F484">
        <f ca="1">'ETF variations'!F484/'ETF price'!G485</f>
        <v>-5.6137724550897675E-3</v>
      </c>
      <c r="G484">
        <f ca="1">'ETF variations'!G484/'ETF price'!H485</f>
        <v>-1.0928961748633923E-2</v>
      </c>
      <c r="H484">
        <f ca="1">'ETF variations'!H484/'ETF price'!I485</f>
        <v>-1.2870987280437303E-3</v>
      </c>
      <c r="I484">
        <f ca="1">'ETF variations'!I484/'ETF price'!J485</f>
        <v>-2.0338701643698351E-3</v>
      </c>
      <c r="J484">
        <f ca="1">'ETF variations'!J484/'ETF price'!K485</f>
        <v>-3.9711483912796405E-3</v>
      </c>
      <c r="K484">
        <f ca="1">'ETF variations'!K484/'ETF price'!L485</f>
        <v>-4.9248642505366914E-3</v>
      </c>
      <c r="L484">
        <f ca="1">'ETF variations'!L484/'ETF price'!M485</f>
        <v>-1.0095994703740474E-2</v>
      </c>
      <c r="M484">
        <f ca="1">'ETF variations'!M484/'ETF price'!N485</f>
        <v>-1.7707662588538223E-3</v>
      </c>
      <c r="N484">
        <f ca="1">'ETF variations'!N484/'ETF price'!O485</f>
        <v>-1.4801110083256257E-2</v>
      </c>
      <c r="O484">
        <f ca="1">'ETF variations'!O484/'ETF price'!P485</f>
        <v>-1.748788845563027E-2</v>
      </c>
      <c r="P484">
        <f ca="1">'ETF variations'!P484/'ETF price'!Q485</f>
        <v>-1.7650536272274329E-2</v>
      </c>
      <c r="Q484">
        <f ca="1">'ETF variations'!Q484/'ETF price'!R485</f>
        <v>-1.3716921582908418E-2</v>
      </c>
      <c r="R484">
        <f ca="1">'ETF variations'!R484/'ETF price'!S485</f>
        <v>-2.4771136241249374E-2</v>
      </c>
      <c r="S484">
        <f ca="1">'ETF variations'!S484/'ETF price'!T485</f>
        <v>-8.8832487309645023E-3</v>
      </c>
      <c r="T484">
        <f ca="1">'ETF variations'!T484/'ETF price'!U485</f>
        <v>-1.299839345698847E-2</v>
      </c>
      <c r="U484">
        <f ca="1">'ETF variations'!U484/'ETF price'!V485</f>
        <v>-1.0682865521575305E-2</v>
      </c>
      <c r="V484">
        <f ca="1">'ETF variations'!V484/'ETF price'!W485</f>
        <v>-4.9820094104622119E-3</v>
      </c>
      <c r="W484">
        <f ca="1">'ETF variations'!W484/'ETF price'!X485</f>
        <v>-4.8846983982733932E-3</v>
      </c>
      <c r="X484">
        <f ca="1">'ETF variations'!X484/'ETF price'!Y485</f>
        <v>-1.3627819548872306E-2</v>
      </c>
      <c r="Y484">
        <f ca="1">'ETF variations'!Y484/'ETF price'!Z485</f>
        <v>-4.7776552737964053E-3</v>
      </c>
      <c r="Z484">
        <f ca="1">'ETF variations'!Z484/'ETF price'!AA485</f>
        <v>-4.1862899005755258E-3</v>
      </c>
      <c r="AA484">
        <f ca="1">'ETF variations'!AA484/'ETF price'!AB485</f>
        <v>-1.2468827930174446E-2</v>
      </c>
      <c r="AB484">
        <f ca="1">'ETF variations'!AB484/'ETF price'!AC485</f>
        <v>6.5953654188947849E-3</v>
      </c>
      <c r="AC484">
        <f ca="1">'ETF variations'!AC484/'ETF price'!AD485</f>
        <v>3.2152230971128626E-2</v>
      </c>
      <c r="AD484">
        <f ca="1">'ETF variations'!AD484/'ETF price'!AE485</f>
        <v>4.9638554216867525E-2</v>
      </c>
      <c r="AE484">
        <f ca="1">'ETF variations'!AE484/'ETF price'!AF485</f>
        <v>-2.0467836257309895E-2</v>
      </c>
      <c r="AF484">
        <f ca="1">'ETF variations'!AF484/'ETF price'!AG485</f>
        <v>1.4876927238301441E-2</v>
      </c>
    </row>
    <row r="485" spans="1:32" x14ac:dyDescent="0.2">
      <c r="A485">
        <f ca="1">'ETF variations'!A485/'ETF price'!B486</f>
        <v>-8.4589523912806316E-3</v>
      </c>
      <c r="B485">
        <f ca="1">'ETF variations'!B485/'ETF price'!C486</f>
        <v>-8.6935836162713581E-3</v>
      </c>
      <c r="C485">
        <f ca="1">'ETF variations'!C485/'ETF price'!D486</f>
        <v>5.5677408469714572E-3</v>
      </c>
      <c r="D485">
        <f ca="1">'ETF variations'!D485/'ETF price'!E486</f>
        <v>-6.2082421805710573E-3</v>
      </c>
      <c r="E485">
        <f ca="1">'ETF variations'!E485/'ETF price'!F486</f>
        <v>-3.2968939788305539E-3</v>
      </c>
      <c r="F485">
        <f ca="1">'ETF variations'!F485/'ETF price'!G486</f>
        <v>-7.9036507339104566E-3</v>
      </c>
      <c r="G485">
        <f ca="1">'ETF variations'!G485/'ETF price'!H486</f>
        <v>-7.8926598263613157E-4</v>
      </c>
      <c r="H485">
        <f ca="1">'ETF variations'!H485/'ETF price'!I486</f>
        <v>7.5809263892043298E-4</v>
      </c>
      <c r="I485">
        <f ca="1">'ETF variations'!I485/'ETF price'!J486</f>
        <v>1.3309487168822241E-3</v>
      </c>
      <c r="J485">
        <f ca="1">'ETF variations'!J485/'ETF price'!K486</f>
        <v>7.8112286411716331E-3</v>
      </c>
      <c r="K485">
        <f ca="1">'ETF variations'!K485/'ETF price'!L486</f>
        <v>9.3908629441625518E-3</v>
      </c>
      <c r="L485">
        <f ca="1">'ETF variations'!L485/'ETF price'!M486</f>
        <v>4.0127069051997134E-3</v>
      </c>
      <c r="M485">
        <f ca="1">'ETF variations'!M485/'ETF price'!N486</f>
        <v>9.6758587324628732E-4</v>
      </c>
      <c r="N485">
        <f ca="1">'ETF variations'!N485/'ETF price'!O486</f>
        <v>7.5117370892018847E-3</v>
      </c>
      <c r="O485">
        <f ca="1">'ETF variations'!O485/'ETF price'!P486</f>
        <v>-1.491280817799169E-2</v>
      </c>
      <c r="P485">
        <f ca="1">'ETF variations'!P485/'ETF price'!Q486</f>
        <v>-1.7967675378266757E-2</v>
      </c>
      <c r="Q485">
        <f ca="1">'ETF variations'!Q485/'ETF price'!R486</f>
        <v>-2.0923076923077132E-3</v>
      </c>
      <c r="R485">
        <f ca="1">'ETF variations'!R485/'ETF price'!S486</f>
        <v>-1.1779863795324877E-2</v>
      </c>
      <c r="S485">
        <f ca="1">'ETF variations'!S485/'ETF price'!T486</f>
        <v>-2.4327784891165185E-2</v>
      </c>
      <c r="T485">
        <f ca="1">'ETF variations'!T485/'ETF price'!U486</f>
        <v>-4.1728321988753966E-2</v>
      </c>
      <c r="U485">
        <f ca="1">'ETF variations'!U485/'ETF price'!V486</f>
        <v>-1.3762439127673059E-2</v>
      </c>
      <c r="V485">
        <f ca="1">'ETF variations'!V485/'ETF price'!W486</f>
        <v>-5.0069541029207146E-3</v>
      </c>
      <c r="W485">
        <f ca="1">'ETF variations'!W485/'ETF price'!X486</f>
        <v>-4.4520547945205548E-3</v>
      </c>
      <c r="X485">
        <f ca="1">'ETF variations'!X485/'ETF price'!Y486</f>
        <v>-2.382086707955696E-4</v>
      </c>
      <c r="Y485">
        <f ca="1">'ETF variations'!Y485/'ETF price'!Z486</f>
        <v>-6.5238798621368929E-3</v>
      </c>
      <c r="Z485">
        <f ca="1">'ETF variations'!Z485/'ETF price'!AA486</f>
        <v>-3.415659485023714E-3</v>
      </c>
      <c r="AA485">
        <f ca="1">'ETF variations'!AA485/'ETF price'!AB486</f>
        <v>4.208754208753371E-4</v>
      </c>
      <c r="AB485">
        <f ca="1">'ETF variations'!AB485/'ETF price'!AC486</f>
        <v>5.1354701611474969E-3</v>
      </c>
      <c r="AC485">
        <f ca="1">'ETF variations'!AC485/'ETF price'!AD486</f>
        <v>-3.1786395422759512E-3</v>
      </c>
      <c r="AD485">
        <f ca="1">'ETF variations'!AD485/'ETF price'!AE486</f>
        <v>-2.2956841138659645E-3</v>
      </c>
      <c r="AE485">
        <f ca="1">'ETF variations'!AE485/'ETF price'!AF486</f>
        <v>0.10447761194029853</v>
      </c>
      <c r="AF485">
        <f ca="1">'ETF variations'!AF485/'ETF price'!AG486</f>
        <v>-1.1194029850746313E-2</v>
      </c>
    </row>
    <row r="486" spans="1:32" x14ac:dyDescent="0.2">
      <c r="A486">
        <f ca="1">'ETF variations'!A486/'ETF price'!B487</f>
        <v>1.2140435305698341E-2</v>
      </c>
      <c r="B486">
        <f ca="1">'ETF variations'!B486/'ETF price'!C487</f>
        <v>1.0798664892340559E-2</v>
      </c>
      <c r="C486">
        <f ca="1">'ETF variations'!C486/'ETF price'!D487</f>
        <v>5.8724832214765337E-3</v>
      </c>
      <c r="D486">
        <f ca="1">'ETF variations'!D486/'ETF price'!E487</f>
        <v>2.6832460732984238E-2</v>
      </c>
      <c r="E486">
        <f ca="1">'ETF variations'!E486/'ETF price'!F487</f>
        <v>-5.2228412256269386E-4</v>
      </c>
      <c r="F486">
        <f ca="1">'ETF variations'!F486/'ETF price'!G487</f>
        <v>7.207890743550883E-3</v>
      </c>
      <c r="G486">
        <f ca="1">'ETF variations'!G486/'ETF price'!H487</f>
        <v>3.1595576619272629E-3</v>
      </c>
      <c r="H486">
        <f ca="1">'ETF variations'!H486/'ETF price'!I487</f>
        <v>-1.2120293917127233E-3</v>
      </c>
      <c r="I486">
        <f ca="1">'ETF variations'!I486/'ETF price'!J487</f>
        <v>-9.1381100726894645E-4</v>
      </c>
      <c r="J486">
        <f ca="1">'ETF variations'!J486/'ETF price'!K487</f>
        <v>7.1047957371225207E-3</v>
      </c>
      <c r="K486">
        <f ca="1">'ETF variations'!K486/'ETF price'!L487</f>
        <v>1.2320844857932986E-2</v>
      </c>
      <c r="L486">
        <f ca="1">'ETF variations'!L486/'ETF price'!M487</f>
        <v>1.0158201498751032E-2</v>
      </c>
      <c r="M486">
        <f ca="1">'ETF variations'!M486/'ETF price'!N487</f>
        <v>0</v>
      </c>
      <c r="N486">
        <f ca="1">'ETF variations'!N486/'ETF price'!O487</f>
        <v>7.4557315936626348E-3</v>
      </c>
      <c r="O486">
        <f ca="1">'ETF variations'!O486/'ETF price'!P487</f>
        <v>-6.8367720669027261E-3</v>
      </c>
      <c r="P486">
        <f ca="1">'ETF variations'!P486/'ETF price'!Q487</f>
        <v>-5.0774752691937165E-3</v>
      </c>
      <c r="Q486">
        <f ca="1">'ETF variations'!Q486/'ETF price'!R487</f>
        <v>6.7834237789836851E-3</v>
      </c>
      <c r="R486">
        <f ca="1">'ETF variations'!R486/'ETF price'!S487</f>
        <v>4.0975973179362803E-3</v>
      </c>
      <c r="S486">
        <f ca="1">'ETF variations'!S486/'ETF price'!T487</f>
        <v>1.7497812773402952E-3</v>
      </c>
      <c r="T486">
        <f ca="1">'ETF variations'!T486/'ETF price'!U487</f>
        <v>5.4045707226682256E-3</v>
      </c>
      <c r="U486">
        <f ca="1">'ETF variations'!U486/'ETF price'!V487</f>
        <v>1.5027908973808564E-3</v>
      </c>
      <c r="V486">
        <f ca="1">'ETF variations'!V486/'ETF price'!W487</f>
        <v>4.7525859658930549E-3</v>
      </c>
      <c r="W486">
        <f ca="1">'ETF variations'!W486/'ETF price'!X487</f>
        <v>5.0452929709897025E-3</v>
      </c>
      <c r="X486">
        <f ca="1">'ETF variations'!X486/'ETF price'!Y487</f>
        <v>1.7155110793423849E-2</v>
      </c>
      <c r="Y486">
        <f ca="1">'ETF variations'!Y486/'ETF price'!Z487</f>
        <v>3.9648122909181939E-3</v>
      </c>
      <c r="Z486">
        <f ca="1">'ETF variations'!Z486/'ETF price'!AA487</f>
        <v>1.3182177695754589E-3</v>
      </c>
      <c r="AA486">
        <f ca="1">'ETF variations'!AA486/'ETF price'!AB487</f>
        <v>1.9352124526714382E-2</v>
      </c>
      <c r="AB486">
        <f ca="1">'ETF variations'!AB486/'ETF price'!AC487</f>
        <v>6.5186751233263663E-3</v>
      </c>
      <c r="AC486">
        <f ca="1">'ETF variations'!AC486/'ETF price'!AD487</f>
        <v>1.3392857142857198E-2</v>
      </c>
      <c r="AD486">
        <f ca="1">'ETF variations'!AD486/'ETF price'!AE487</f>
        <v>-1.1504832029452369E-2</v>
      </c>
      <c r="AE486">
        <f ca="1">'ETF variations'!AE486/'ETF price'!AF487</f>
        <v>4.8648648648648568E-2</v>
      </c>
      <c r="AF486">
        <f ca="1">'ETF variations'!AF486/'ETF price'!AG487</f>
        <v>-1.6172506738545086E-3</v>
      </c>
    </row>
    <row r="487" spans="1:32" x14ac:dyDescent="0.2">
      <c r="A487">
        <f ca="1">'ETF variations'!A487/'ETF price'!B488</f>
        <v>8.5368489301922632E-3</v>
      </c>
      <c r="B487">
        <f ca="1">'ETF variations'!B487/'ETF price'!C488</f>
        <v>8.9351232356369905E-3</v>
      </c>
      <c r="C487">
        <f ca="1">'ETF variations'!C487/'ETF price'!D488</f>
        <v>9.3411175979982511E-3</v>
      </c>
      <c r="D487">
        <f ca="1">'ETF variations'!D487/'ETF price'!E488</f>
        <v>7.8799466944781578E-3</v>
      </c>
      <c r="E487">
        <f ca="1">'ETF variations'!E487/'ETF price'!F488</f>
        <v>3.8320850026128893E-3</v>
      </c>
      <c r="F487">
        <f ca="1">'ETF variations'!F487/'ETF price'!G488</f>
        <v>6.4030131826741301E-3</v>
      </c>
      <c r="G487">
        <f ca="1">'ETF variations'!G487/'ETF price'!H488</f>
        <v>3.1496062992126712E-3</v>
      </c>
      <c r="H487">
        <f ca="1">'ETF variations'!H487/'ETF price'!I488</f>
        <v>1.6685627607129227E-3</v>
      </c>
      <c r="I487">
        <f ca="1">'ETF variations'!I487/'ETF price'!J488</f>
        <v>1.164095954766562E-3</v>
      </c>
      <c r="J487">
        <f ca="1">'ETF variations'!J487/'ETF price'!K488</f>
        <v>-6.8943402276735568E-3</v>
      </c>
      <c r="K487">
        <f ca="1">'ETF variations'!K487/'ETF price'!L488</f>
        <v>-1.4903129657228054E-2</v>
      </c>
      <c r="L487">
        <f ca="1">'ETF variations'!L487/'ETF price'!M488</f>
        <v>-9.7263435542366689E-3</v>
      </c>
      <c r="M487">
        <f ca="1">'ETF variations'!M487/'ETF price'!N488</f>
        <v>6.4443370388269933E-4</v>
      </c>
      <c r="N487">
        <f ca="1">'ETF variations'!N487/'ETF price'!O488</f>
        <v>-2.1276595744680889E-2</v>
      </c>
      <c r="O487">
        <f ca="1">'ETF variations'!O487/'ETF price'!P488</f>
        <v>1.0817455439459247E-2</v>
      </c>
      <c r="P487">
        <f ca="1">'ETF variations'!P487/'ETF price'!Q488</f>
        <v>1.1878574571051423E-2</v>
      </c>
      <c r="Q487">
        <f ca="1">'ETF variations'!Q487/'ETF price'!R488</f>
        <v>3.6751194413819845E-3</v>
      </c>
      <c r="R487">
        <f ca="1">'ETF variations'!R487/'ETF price'!S488</f>
        <v>1.8549434242255876E-3</v>
      </c>
      <c r="S487">
        <f ca="1">'ETF variations'!S487/'ETF price'!T488</f>
        <v>4.366812227074298E-3</v>
      </c>
      <c r="T487">
        <f ca="1">'ETF variations'!T487/'ETF price'!U488</f>
        <v>2.180924589156814E-2</v>
      </c>
      <c r="U487">
        <f ca="1">'ETF variations'!U487/'ETF price'!V488</f>
        <v>-1.779206859592708E-2</v>
      </c>
      <c r="V487">
        <f ca="1">'ETF variations'!V487/'ETF price'!W488</f>
        <v>5.2865887590429839E-3</v>
      </c>
      <c r="W487">
        <f ca="1">'ETF variations'!W487/'ETF price'!X488</f>
        <v>5.9326868225898005E-3</v>
      </c>
      <c r="X487">
        <f ca="1">'ETF variations'!X487/'ETF price'!Y488</f>
        <v>1.1009604122745348E-2</v>
      </c>
      <c r="Y487">
        <f ca="1">'ETF variations'!Y487/'ETF price'!Z488</f>
        <v>6.5407873627051846E-3</v>
      </c>
      <c r="Z487">
        <f ca="1">'ETF variations'!Z487/'ETF price'!AA488</f>
        <v>-2.1063717746181753E-3</v>
      </c>
      <c r="AA487">
        <f ca="1">'ETF variations'!AA487/'ETF price'!AB488</f>
        <v>1.0936855138258381E-2</v>
      </c>
      <c r="AB487">
        <f ca="1">'ETF variations'!AB487/'ETF price'!AC488</f>
        <v>2.0479607911780055E-2</v>
      </c>
      <c r="AC487">
        <f ca="1">'ETF variations'!AC487/'ETF price'!AD488</f>
        <v>1.8879798615481478E-2</v>
      </c>
      <c r="AD487">
        <f ca="1">'ETF variations'!AD487/'ETF price'!AE488</f>
        <v>2.8398510242085635E-2</v>
      </c>
      <c r="AE487">
        <f ca="1">'ETF variations'!AE487/'ETF price'!AF488</f>
        <v>1.546391752577321E-2</v>
      </c>
      <c r="AF487">
        <f ca="1">'ETF variations'!AF487/'ETF price'!AG488</f>
        <v>8.3963282937364991E-2</v>
      </c>
    </row>
    <row r="488" spans="1:32" x14ac:dyDescent="0.2">
      <c r="A488">
        <f ca="1">'ETF variations'!A488/'ETF price'!B489</f>
        <v>8.7324547305260656E-3</v>
      </c>
      <c r="B488">
        <f ca="1">'ETF variations'!B488/'ETF price'!C489</f>
        <v>6.887995208351096E-3</v>
      </c>
      <c r="C488">
        <f ca="1">'ETF variations'!C488/'ETF price'!D489</f>
        <v>-1.4047264914890242E-3</v>
      </c>
      <c r="D488">
        <f ca="1">'ETF variations'!D488/'ETF price'!E489</f>
        <v>3.4147743604484034E-2</v>
      </c>
      <c r="E488">
        <f ca="1">'ETF variations'!E488/'ETF price'!F489</f>
        <v>1.0064202672219301E-2</v>
      </c>
      <c r="F488">
        <f ca="1">'ETF variations'!F488/'ETF price'!G489</f>
        <v>4.4910179640718934E-3</v>
      </c>
      <c r="G488">
        <f ca="1">'ETF variations'!G488/'ETF price'!H489</f>
        <v>8.6342229199371616E-3</v>
      </c>
      <c r="H488">
        <f ca="1">'ETF variations'!H488/'ETF price'!I489</f>
        <v>6.5874157643674158E-3</v>
      </c>
      <c r="I488">
        <f ca="1">'ETF variations'!I488/'ETF price'!J489</f>
        <v>5.4399734230306147E-3</v>
      </c>
      <c r="J488">
        <f ca="1">'ETF variations'!J488/'ETF price'!K489</f>
        <v>7.1843719728769823E-3</v>
      </c>
      <c r="K488">
        <f ca="1">'ETF variations'!K488/'ETF price'!L489</f>
        <v>-5.7992939989913485E-3</v>
      </c>
      <c r="L488">
        <f ca="1">'ETF variations'!L488/'ETF price'!M489</f>
        <v>8.656567338105596E-3</v>
      </c>
      <c r="M488">
        <f ca="1">'ETF variations'!M488/'ETF price'!N489</f>
        <v>5.7961680888745683E-3</v>
      </c>
      <c r="N488">
        <f ca="1">'ETF variations'!N488/'ETF price'!O489</f>
        <v>-4.7258979206049817E-3</v>
      </c>
      <c r="O488">
        <f ca="1">'ETF variations'!O488/'ETF price'!P489</f>
        <v>1.216101179618075E-3</v>
      </c>
      <c r="P488">
        <f ca="1">'ETF variations'!P488/'ETF price'!Q489</f>
        <v>6.0869565217385368E-4</v>
      </c>
      <c r="Q488">
        <f ca="1">'ETF variations'!Q488/'ETF price'!R489</f>
        <v>7.0792139631392437E-3</v>
      </c>
      <c r="R488">
        <f ca="1">'ETF variations'!R488/'ETF price'!S489</f>
        <v>1.4812071838549417E-3</v>
      </c>
      <c r="S488">
        <f ca="1">'ETF variations'!S488/'ETF price'!T489</f>
        <v>-3.4782608695651434E-3</v>
      </c>
      <c r="T488">
        <f ca="1">'ETF variations'!T488/'ETF price'!U489</f>
        <v>4.0583195550878701E-3</v>
      </c>
      <c r="U488">
        <f ca="1">'ETF variations'!U488/'ETF price'!V489</f>
        <v>-2.1824530772584046E-4</v>
      </c>
      <c r="V488">
        <f ca="1">'ETF variations'!V488/'ETF price'!W489</f>
        <v>6.0891226127871255E-3</v>
      </c>
      <c r="W488">
        <f ca="1">'ETF variations'!W488/'ETF price'!X489</f>
        <v>6.1245321537937167E-3</v>
      </c>
      <c r="X488">
        <f ca="1">'ETF variations'!X488/'ETF price'!Y489</f>
        <v>-4.6339202965699775E-4</v>
      </c>
      <c r="Y488">
        <f ca="1">'ETF variations'!Y488/'ETF price'!Z489</f>
        <v>6.375674350171604E-3</v>
      </c>
      <c r="Z488">
        <f ca="1">'ETF variations'!Z488/'ETF price'!AA489</f>
        <v>3.4300791556728908E-3</v>
      </c>
      <c r="AA488">
        <f ca="1">'ETF variations'!AA488/'ETF price'!AB489</f>
        <v>-2.2453561951418541E-3</v>
      </c>
      <c r="AB488">
        <f ca="1">'ETF variations'!AB488/'ETF price'!AC489</f>
        <v>2.00686106346484E-2</v>
      </c>
      <c r="AC488">
        <f ca="1">'ETF variations'!AC488/'ETF price'!AD489</f>
        <v>-8.1531809759110688E-2</v>
      </c>
      <c r="AD488">
        <f ca="1">'ETF variations'!AD488/'ETF price'!AE489</f>
        <v>-8.5559076505206E-2</v>
      </c>
      <c r="AE488">
        <f ca="1">'ETF variations'!AE488/'ETF price'!AF489</f>
        <v>-2.0304568527918801E-2</v>
      </c>
      <c r="AF488">
        <f ca="1">'ETF variations'!AF488/'ETF price'!AG489</f>
        <v>-0.10958904109589038</v>
      </c>
    </row>
    <row r="489" spans="1:32" x14ac:dyDescent="0.2">
      <c r="A489">
        <f ca="1">'ETF variations'!A489/'ETF price'!B490</f>
        <v>6.638695629082798E-3</v>
      </c>
      <c r="B489">
        <f ca="1">'ETF variations'!B489/'ETF price'!C490</f>
        <v>5.9698321648608502E-3</v>
      </c>
      <c r="C489">
        <f ca="1">'ETF variations'!C489/'ETF price'!D490</f>
        <v>4.8820852296235289E-3</v>
      </c>
      <c r="D489">
        <f ca="1">'ETF variations'!D489/'ETF price'!E490</f>
        <v>7.1710489743733426E-3</v>
      </c>
      <c r="E489">
        <f ca="1">'ETF variations'!E489/'ETF price'!F490</f>
        <v>1.1166466242913564E-2</v>
      </c>
      <c r="F489">
        <f ca="1">'ETF variations'!F489/'ETF price'!G490</f>
        <v>5.2160953800298275E-3</v>
      </c>
      <c r="G489">
        <f ca="1">'ETF variations'!G489/'ETF price'!H490</f>
        <v>4.669260700389144E-3</v>
      </c>
      <c r="H489">
        <f ca="1">'ETF variations'!H489/'ETF price'!I490</f>
        <v>4.2876485632615709E-3</v>
      </c>
      <c r="I489">
        <f ca="1">'ETF variations'!I489/'ETF price'!J490</f>
        <v>6.1126714026102334E-3</v>
      </c>
      <c r="J489">
        <f ca="1">'ETF variations'!J489/'ETF price'!K490</f>
        <v>1.0900056103229938E-2</v>
      </c>
      <c r="K489">
        <f ca="1">'ETF variations'!K489/'ETF price'!L490</f>
        <v>1.5470453969059078E-2</v>
      </c>
      <c r="L489">
        <f ca="1">'ETF variations'!L489/'ETF price'!M490</f>
        <v>1.171810529790384E-2</v>
      </c>
      <c r="M489">
        <f ca="1">'ETF variations'!M489/'ETF price'!N490</f>
        <v>6.0829198015047636E-3</v>
      </c>
      <c r="N489">
        <f ca="1">'ETF variations'!N489/'ETF price'!O490</f>
        <v>7.1225071225073928E-4</v>
      </c>
      <c r="O489">
        <f ca="1">'ETF variations'!O489/'ETF price'!P490</f>
        <v>-1.3725252034495268E-2</v>
      </c>
      <c r="P489">
        <f ca="1">'ETF variations'!P489/'ETF price'!Q490</f>
        <v>-1.4773616059789595E-2</v>
      </c>
      <c r="Q489">
        <f ca="1">'ETF variations'!Q489/'ETF price'!R490</f>
        <v>5.8174766694944827E-3</v>
      </c>
      <c r="R489">
        <f ca="1">'ETF variations'!R489/'ETF price'!S490</f>
        <v>-2.0151599186541011E-2</v>
      </c>
      <c r="S489">
        <f ca="1">'ETF variations'!S489/'ETF price'!T490</f>
        <v>-1.5270506108202504E-2</v>
      </c>
      <c r="T489">
        <f ca="1">'ETF variations'!T489/'ETF price'!U490</f>
        <v>-3.8173652694610739E-2</v>
      </c>
      <c r="U489">
        <f ca="1">'ETF variations'!U489/'ETF price'!V490</f>
        <v>-2.9469548133595314E-2</v>
      </c>
      <c r="V489">
        <f ca="1">'ETF variations'!V489/'ETF price'!W490</f>
        <v>7.1526822558458875E-3</v>
      </c>
      <c r="W489">
        <f ca="1">'ETF variations'!W489/'ETF price'!X490</f>
        <v>6.3127043174388718E-3</v>
      </c>
      <c r="X489">
        <f ca="1">'ETF variations'!X489/'ETF price'!Y490</f>
        <v>-4.6360686138155506E-3</v>
      </c>
      <c r="Y489">
        <f ca="1">'ETF variations'!Y489/'ETF price'!Z490</f>
        <v>5.969785575048671E-3</v>
      </c>
      <c r="Z489">
        <f ca="1">'ETF variations'!Z489/'ETF price'!AA490</f>
        <v>-2.6295030239279545E-4</v>
      </c>
      <c r="AA489">
        <f ca="1">'ETF variations'!AA489/'ETF price'!AB490</f>
        <v>-7.774140752864209E-3</v>
      </c>
      <c r="AB489">
        <f ca="1">'ETF variations'!AB489/'ETF price'!AC490</f>
        <v>-4.3719522448292924E-3</v>
      </c>
      <c r="AC489">
        <f ca="1">'ETF variations'!AC489/'ETF price'!AD490</f>
        <v>4.0349697377270004E-3</v>
      </c>
      <c r="AD489">
        <f ca="1">'ETF variations'!AD489/'ETF price'!AE490</f>
        <v>9.4059405940594698E-3</v>
      </c>
      <c r="AE489">
        <f ca="1">'ETF variations'!AE489/'ETF price'!AF490</f>
        <v>-2.5906735751294787E-3</v>
      </c>
      <c r="AF489">
        <f ca="1">'ETF variations'!AF489/'ETF price'!AG490</f>
        <v>1.2307692307692243E-2</v>
      </c>
    </row>
    <row r="490" spans="1:32" x14ac:dyDescent="0.2">
      <c r="A490">
        <f ca="1">'ETF variations'!A490/'ETF price'!B491</f>
        <v>8.8108051071014871E-3</v>
      </c>
      <c r="B490">
        <f ca="1">'ETF variations'!B490/'ETF price'!C491</f>
        <v>1.1552026356360007E-2</v>
      </c>
      <c r="C490">
        <f ca="1">'ETF variations'!C490/'ETF price'!D491</f>
        <v>6.5876152832674336E-3</v>
      </c>
      <c r="D490">
        <f ca="1">'ETF variations'!D490/'ETF price'!E491</f>
        <v>1.5399050667844088E-2</v>
      </c>
      <c r="E490">
        <f ca="1">'ETF variations'!E490/'ETF price'!F491</f>
        <v>1.1552837240910632E-2</v>
      </c>
      <c r="F490">
        <f ca="1">'ETF variations'!F490/'ETF price'!G491</f>
        <v>1.7049666419570082E-2</v>
      </c>
      <c r="G490">
        <f ca="1">'ETF variations'!G490/'ETF price'!H491</f>
        <v>2.0526723470178199E-2</v>
      </c>
      <c r="H490">
        <f ca="1">'ETF variations'!H490/'ETF price'!I491</f>
        <v>1.8425586098419655E-2</v>
      </c>
      <c r="I490">
        <f ca="1">'ETF variations'!I490/'ETF price'!J491</f>
        <v>2.0402298850574707E-2</v>
      </c>
      <c r="J490">
        <f ca="1">'ETF variations'!J490/'ETF price'!K491</f>
        <v>4.1782288115436536E-2</v>
      </c>
      <c r="K490">
        <f ca="1">'ETF variations'!K490/'ETF price'!L491</f>
        <v>4.8326673326673383E-2</v>
      </c>
      <c r="L490">
        <f ca="1">'ETF variations'!L490/'ETF price'!M491</f>
        <v>5.1712887438825482E-2</v>
      </c>
      <c r="M490">
        <f ca="1">'ETF variations'!M490/'ETF price'!N491</f>
        <v>2.0365950676213111E-2</v>
      </c>
      <c r="N490">
        <f ca="1">'ETF variations'!N490/'ETF price'!O491</f>
        <v>5.3143534994068854E-2</v>
      </c>
      <c r="O490">
        <f ca="1">'ETF variations'!O490/'ETF price'!P491</f>
        <v>1.3916256157635412E-2</v>
      </c>
      <c r="P490">
        <f ca="1">'ETF variations'!P490/'ETF price'!Q491</f>
        <v>1.3848460792096614E-2</v>
      </c>
      <c r="Q490">
        <f ca="1">'ETF variations'!Q490/'ETF price'!R491</f>
        <v>1.2170140980841128E-2</v>
      </c>
      <c r="R490">
        <f ca="1">'ETF variations'!R490/'ETF price'!S491</f>
        <v>3.6792452830188734E-2</v>
      </c>
      <c r="S490">
        <f ca="1">'ETF variations'!S490/'ETF price'!T491</f>
        <v>1.1519716437749137E-2</v>
      </c>
      <c r="T490">
        <f ca="1">'ETF variations'!T490/'ETF price'!U491</f>
        <v>1.6809338521400752E-2</v>
      </c>
      <c r="U490">
        <f ca="1">'ETF variations'!U490/'ETF price'!V491</f>
        <v>5.5780476833108342E-2</v>
      </c>
      <c r="V490">
        <f ca="1">'ETF variations'!V490/'ETF price'!W491</f>
        <v>1.6115815350997088E-2</v>
      </c>
      <c r="W490">
        <f ca="1">'ETF variations'!W490/'ETF price'!X491</f>
        <v>1.837123333706733E-2</v>
      </c>
      <c r="X490">
        <f ca="1">'ETF variations'!X490/'ETF price'!Y491</f>
        <v>4.9371215649743935E-2</v>
      </c>
      <c r="Y490">
        <f ca="1">'ETF variations'!Y490/'ETF price'!Z491</f>
        <v>1.7318638730773973E-2</v>
      </c>
      <c r="Z490">
        <f ca="1">'ETF variations'!Z490/'ETF price'!AA491</f>
        <v>3.629668595476053E-2</v>
      </c>
      <c r="AA490">
        <f ca="1">'ETF variations'!AA490/'ETF price'!AB491</f>
        <v>5.8556701030927909E-2</v>
      </c>
      <c r="AB490">
        <f ca="1">'ETF variations'!AB490/'ETF price'!AC491</f>
        <v>1.1822327309576133E-3</v>
      </c>
      <c r="AC490">
        <f ca="1">'ETF variations'!AC490/'ETF price'!AD491</f>
        <v>3.7508372404554624E-2</v>
      </c>
      <c r="AD490">
        <f ca="1">'ETF variations'!AD490/'ETF price'!AE491</f>
        <v>4.2667974497302648E-2</v>
      </c>
      <c r="AE490">
        <f ca="1">'ETF variations'!AE490/'ETF price'!AF491</f>
        <v>2.5974025974025997E-2</v>
      </c>
      <c r="AF490">
        <f ca="1">'ETF variations'!AF490/'ETF price'!AG491</f>
        <v>9.4501243437413701E-2</v>
      </c>
    </row>
    <row r="491" spans="1:32" x14ac:dyDescent="0.2">
      <c r="A491">
        <f ca="1">'ETF variations'!A491/'ETF price'!B492</f>
        <v>-2.4580304377386062E-3</v>
      </c>
      <c r="B491">
        <f ca="1">'ETF variations'!B491/'ETF price'!C492</f>
        <v>1.9416259551547179E-3</v>
      </c>
      <c r="C491">
        <f ca="1">'ETF variations'!C491/'ETF price'!D492</f>
        <v>4.3357329842932035E-3</v>
      </c>
      <c r="D491">
        <f ca="1">'ETF variations'!D491/'ETF price'!E492</f>
        <v>2.7721911181170813E-2</v>
      </c>
      <c r="E491">
        <f ca="1">'ETF variations'!E491/'ETF price'!F492</f>
        <v>-6.7181726570371425E-4</v>
      </c>
      <c r="F491">
        <f ca="1">'ETF variations'!F491/'ETF price'!G492</f>
        <v>1.7492711370262405E-2</v>
      </c>
      <c r="G491">
        <f ca="1">'ETF variations'!G491/'ETF price'!H492</f>
        <v>1.6698292220113764E-2</v>
      </c>
      <c r="H491">
        <f ca="1">'ETF variations'!H491/'ETF price'!I492</f>
        <v>-4.8540119143928558E-3</v>
      </c>
      <c r="I491">
        <f ca="1">'ETF variations'!I491/'ETF price'!J492</f>
        <v>-2.0115058132518003E-3</v>
      </c>
      <c r="J491">
        <f ca="1">'ETF variations'!J491/'ETF price'!K492</f>
        <v>1.0273972602739682E-2</v>
      </c>
      <c r="K491">
        <f ca="1">'ETF variations'!K491/'ETF price'!L492</f>
        <v>1.822513400833831E-2</v>
      </c>
      <c r="L491">
        <f ca="1">'ETF variations'!L491/'ETF price'!M492</f>
        <v>8.8413215449047212E-3</v>
      </c>
      <c r="M491">
        <f ca="1">'ETF variations'!M491/'ETF price'!N492</f>
        <v>-2.8067986901604961E-3</v>
      </c>
      <c r="N491">
        <f ca="1">'ETF variations'!N491/'ETF price'!O492</f>
        <v>3.6945257940977708E-2</v>
      </c>
      <c r="O491">
        <f ca="1">'ETF variations'!O491/'ETF price'!P492</f>
        <v>2.9393902587149297E-2</v>
      </c>
      <c r="P491">
        <f ca="1">'ETF variations'!P491/'ETF price'!Q492</f>
        <v>3.0276666086653942E-2</v>
      </c>
      <c r="Q491">
        <f ca="1">'ETF variations'!Q491/'ETF price'!R492</f>
        <v>1.6547619047619054E-2</v>
      </c>
      <c r="R491">
        <f ca="1">'ETF variations'!R491/'ETF price'!S492</f>
        <v>3.7670609645131942E-2</v>
      </c>
      <c r="S491">
        <f ca="1">'ETF variations'!S491/'ETF price'!T492</f>
        <v>1.6644765659220438E-2</v>
      </c>
      <c r="T491">
        <f ca="1">'ETF variations'!T491/'ETF price'!U492</f>
        <v>2.8011633246594187E-2</v>
      </c>
      <c r="U491">
        <f ca="1">'ETF variations'!U491/'ETF price'!V492</f>
        <v>8.1380485726459326E-2</v>
      </c>
      <c r="V491">
        <f ca="1">'ETF variations'!V491/'ETF price'!W492</f>
        <v>9.9462365591397161E-3</v>
      </c>
      <c r="W491">
        <f ca="1">'ETF variations'!W491/'ETF price'!X492</f>
        <v>1.3089869101308962E-2</v>
      </c>
      <c r="X491">
        <f ca="1">'ETF variations'!X491/'ETF price'!Y492</f>
        <v>4.37194851309365E-2</v>
      </c>
      <c r="Y491">
        <f ca="1">'ETF variations'!Y491/'ETF price'!Z492</f>
        <v>1.6190476190476182E-2</v>
      </c>
      <c r="Z491">
        <f ca="1">'ETF variations'!Z491/'ETF price'!AA492</f>
        <v>2.7664974619289427E-2</v>
      </c>
      <c r="AA491">
        <f ca="1">'ETF variations'!AA491/'ETF price'!AB492</f>
        <v>4.83054148811842E-2</v>
      </c>
      <c r="AB491">
        <f ca="1">'ETF variations'!AB491/'ETF price'!AC492</f>
        <v>9.1093117408906736E-3</v>
      </c>
      <c r="AC491">
        <f ca="1">'ETF variations'!AC491/'ETF price'!AD492</f>
        <v>5.8102001291155496E-3</v>
      </c>
      <c r="AD491">
        <f ca="1">'ETF variations'!AD491/'ETF price'!AE492</f>
        <v>-9.4073377234257403E-4</v>
      </c>
      <c r="AE491">
        <f ca="1">'ETF variations'!AE491/'ETF price'!AF492</f>
        <v>-4.3037974683544394E-2</v>
      </c>
      <c r="AF491">
        <f ca="1">'ETF variations'!AF491/'ETF price'!AG492</f>
        <v>4.0646301439030537E-2</v>
      </c>
    </row>
    <row r="492" spans="1:32" x14ac:dyDescent="0.2">
      <c r="A492">
        <f ca="1">'ETF variations'!A492/'ETF price'!B493</f>
        <v>5.0330292544824339E-3</v>
      </c>
      <c r="B492">
        <f ca="1">'ETF variations'!B492/'ETF price'!C493</f>
        <v>4.8134025129711868E-3</v>
      </c>
      <c r="C492">
        <f ca="1">'ETF variations'!C492/'ETF price'!D493</f>
        <v>-1.4824468518367623E-2</v>
      </c>
      <c r="D492">
        <f ca="1">'ETF variations'!D492/'ETF price'!E493</f>
        <v>3.7552229333051674E-3</v>
      </c>
      <c r="E492">
        <f ca="1">'ETF variations'!E492/'ETF price'!F493</f>
        <v>7.5630252100840813E-3</v>
      </c>
      <c r="F492">
        <f ca="1">'ETF variations'!F492/'ETF price'!G493</f>
        <v>9.6704871060171761E-3</v>
      </c>
      <c r="G492">
        <f ca="1">'ETF variations'!G492/'ETF price'!H493</f>
        <v>-4.4792833146695575E-3</v>
      </c>
      <c r="H492">
        <f ca="1">'ETF variations'!H492/'ETF price'!I493</f>
        <v>-8.4990022910354426E-3</v>
      </c>
      <c r="I492">
        <f ca="1">'ETF variations'!I492/'ETF price'!J493</f>
        <v>-9.3521989760954292E-3</v>
      </c>
      <c r="J492">
        <f ca="1">'ETF variations'!J492/'ETF price'!K493</f>
        <v>-7.306967984934078E-3</v>
      </c>
      <c r="K492">
        <f ca="1">'ETF variations'!K492/'ETF price'!L493</f>
        <v>2.8076743097800055E-3</v>
      </c>
      <c r="L492">
        <f ca="1">'ETF variations'!L492/'ETF price'!M493</f>
        <v>-5.842558425584404E-3</v>
      </c>
      <c r="M492">
        <f ca="1">'ETF variations'!M492/'ETF price'!N493</f>
        <v>-1.1727912431587178E-2</v>
      </c>
      <c r="N492">
        <f ca="1">'ETF variations'!N492/'ETF price'!O493</f>
        <v>-1.5424723006734756E-2</v>
      </c>
      <c r="O492">
        <f ca="1">'ETF variations'!O492/'ETF price'!P493</f>
        <v>-5.30973451327437E-3</v>
      </c>
      <c r="P492">
        <f ca="1">'ETF variations'!P492/'ETF price'!Q493</f>
        <v>-5.9956088498565102E-3</v>
      </c>
      <c r="Q492">
        <f ca="1">'ETF variations'!Q492/'ETF price'!R493</f>
        <v>-2.5764141000116977E-3</v>
      </c>
      <c r="R492">
        <f ca="1">'ETF variations'!R492/'ETF price'!S493</f>
        <v>4.3844265170115745E-3</v>
      </c>
      <c r="S492">
        <f ca="1">'ETF variations'!S492/'ETF price'!T493</f>
        <v>1.7233950883239614E-3</v>
      </c>
      <c r="T492">
        <f ca="1">'ETF variations'!T492/'ETF price'!U493</f>
        <v>-1.4889815366275918E-4</v>
      </c>
      <c r="U492">
        <f ca="1">'ETF variations'!U492/'ETF price'!V493</f>
        <v>2.0094562647754201E-2</v>
      </c>
      <c r="V492">
        <f ca="1">'ETF variations'!V492/'ETF price'!W493</f>
        <v>-5.8557359595421575E-3</v>
      </c>
      <c r="W492">
        <f ca="1">'ETF variations'!W492/'ETF price'!X493</f>
        <v>-5.6460369163951795E-3</v>
      </c>
      <c r="X492">
        <f ca="1">'ETF variations'!X492/'ETF price'!Y493</f>
        <v>-1.3395704869232458E-2</v>
      </c>
      <c r="Y492">
        <f ca="1">'ETF variations'!Y492/'ETF price'!Z493</f>
        <v>-7.7319587628865583E-3</v>
      </c>
      <c r="Z492">
        <f ca="1">'ETF variations'!Z492/'ETF price'!AA493</f>
        <v>-1.2101753519387552E-2</v>
      </c>
      <c r="AA492">
        <f ca="1">'ETF variations'!AA492/'ETF price'!AB493</f>
        <v>-1.5979189892233361E-2</v>
      </c>
      <c r="AB492">
        <f ca="1">'ETF variations'!AB492/'ETF price'!AC493</f>
        <v>-2.2233366766967542E-2</v>
      </c>
      <c r="AC492">
        <f ca="1">'ETF variations'!AC492/'ETF price'!AD493</f>
        <v>-1.7971758664955029E-2</v>
      </c>
      <c r="AD492">
        <f ca="1">'ETF variations'!AD492/'ETF price'!AE493</f>
        <v>-1.6478342749529092E-2</v>
      </c>
      <c r="AE492">
        <f ca="1">'ETF variations'!AE492/'ETF price'!AF493</f>
        <v>-5.2910052910052959E-3</v>
      </c>
      <c r="AF492">
        <f ca="1">'ETF variations'!AF492/'ETF price'!AG493</f>
        <v>-3.3964095099466417E-3</v>
      </c>
    </row>
    <row r="493" spans="1:32" x14ac:dyDescent="0.2">
      <c r="A493">
        <f ca="1">'ETF variations'!A493/'ETF price'!B494</f>
        <v>7.8247261345855868E-4</v>
      </c>
      <c r="B493">
        <f ca="1">'ETF variations'!B493/'ETF price'!C494</f>
        <v>2.3018539255940376E-3</v>
      </c>
      <c r="C493">
        <f ca="1">'ETF variations'!C493/'ETF price'!D494</f>
        <v>1.2319140140553905E-2</v>
      </c>
      <c r="D493">
        <f ca="1">'ETF variations'!D493/'ETF price'!E494</f>
        <v>-2.7927073453472501E-3</v>
      </c>
      <c r="E493">
        <f ca="1">'ETF variations'!E493/'ETF price'!F494</f>
        <v>2.8356964136779747E-3</v>
      </c>
      <c r="F493">
        <f ca="1">'ETF variations'!F493/'ETF price'!G494</f>
        <v>2.1284143313231186E-3</v>
      </c>
      <c r="G493">
        <f ca="1">'ETF variations'!G493/'ETF price'!H494</f>
        <v>1.1248593925758373E-3</v>
      </c>
      <c r="H493">
        <f ca="1">'ETF variations'!H493/'ETF price'!I494</f>
        <v>-2.8324388789504732E-3</v>
      </c>
      <c r="I493">
        <f ca="1">'ETF variations'!I493/'ETF price'!J494</f>
        <v>1.3835198372329743E-3</v>
      </c>
      <c r="J493">
        <f ca="1">'ETF variations'!J493/'ETF price'!K494</f>
        <v>-7.2089846714219804E-3</v>
      </c>
      <c r="K493">
        <f ca="1">'ETF variations'!K493/'ETF price'!L494</f>
        <v>-1.5865608959402699E-2</v>
      </c>
      <c r="L493">
        <f ca="1">'ETF variations'!L493/'ETF price'!M494</f>
        <v>-6.8048252397153999E-3</v>
      </c>
      <c r="M493">
        <f ca="1">'ETF variations'!M493/'ETF price'!N494</f>
        <v>3.1645569620246866E-4</v>
      </c>
      <c r="N493">
        <f ca="1">'ETF variations'!N493/'ETF price'!O494</f>
        <v>-7.0609002647837663E-3</v>
      </c>
      <c r="O493">
        <f ca="1">'ETF variations'!O493/'ETF price'!P494</f>
        <v>-1.4234875444838712E-3</v>
      </c>
      <c r="P493">
        <f ca="1">'ETF variations'!P493/'ETF price'!Q494</f>
        <v>9.5149095234050175E-3</v>
      </c>
      <c r="Q493">
        <f ca="1">'ETF variations'!Q493/'ETF price'!R494</f>
        <v>-5.4009627803218024E-3</v>
      </c>
      <c r="R493">
        <f ca="1">'ETF variations'!R493/'ETF price'!S494</f>
        <v>1.414353064431631E-2</v>
      </c>
      <c r="S493">
        <f ca="1">'ETF variations'!S493/'ETF price'!T494</f>
        <v>-3.9999999999999987E-2</v>
      </c>
      <c r="T493">
        <f ca="1">'ETF variations'!T493/'ETF price'!U494</f>
        <v>1.3998510796723717E-2</v>
      </c>
      <c r="U493">
        <f ca="1">'ETF variations'!U493/'ETF price'!V494</f>
        <v>-2.2788721514098102E-2</v>
      </c>
      <c r="V493">
        <f ca="1">'ETF variations'!V493/'ETF price'!W494</f>
        <v>-1.6064257028113058E-3</v>
      </c>
      <c r="W493">
        <f ca="1">'ETF variations'!W493/'ETF price'!X494</f>
        <v>1.7471063550993295E-3</v>
      </c>
      <c r="X493">
        <f ca="1">'ETF variations'!X493/'ETF price'!Y494</f>
        <v>-1.4439655172413831E-2</v>
      </c>
      <c r="Y493">
        <f ca="1">'ETF variations'!Y493/'ETF price'!Z494</f>
        <v>2.2432113341203982E-3</v>
      </c>
      <c r="Z493">
        <f ca="1">'ETF variations'!Z493/'ETF price'!AA494</f>
        <v>-1.3250000000000029E-2</v>
      </c>
      <c r="AA493">
        <f ca="1">'ETF variations'!AA493/'ETF price'!AB494</f>
        <v>-1.8504531722054456E-2</v>
      </c>
      <c r="AB493">
        <f ca="1">'ETF variations'!AB493/'ETF price'!AC494</f>
        <v>9.9162249957257358E-3</v>
      </c>
      <c r="AC493">
        <f ca="1">'ETF variations'!AC493/'ETF price'!AD494</f>
        <v>-1.8954248366013133E-2</v>
      </c>
      <c r="AD493">
        <f ca="1">'ETF variations'!AD493/'ETF price'!AE494</f>
        <v>-6.7017711823839426E-3</v>
      </c>
      <c r="AE493">
        <f ca="1">'ETF variations'!AE493/'ETF price'!AF494</f>
        <v>6.3829787234042618E-2</v>
      </c>
      <c r="AF493">
        <f ca="1">'ETF variations'!AF493/'ETF price'!AG494</f>
        <v>4.0652385589094495E-2</v>
      </c>
    </row>
    <row r="494" spans="1:32" x14ac:dyDescent="0.2">
      <c r="A494">
        <f ca="1">'ETF variations'!A494/'ETF price'!B495</f>
        <v>3.8050560333594903E-3</v>
      </c>
      <c r="B494">
        <f ca="1">'ETF variations'!B494/'ETF price'!C495</f>
        <v>3.4551962427327417E-3</v>
      </c>
      <c r="C494">
        <f ca="1">'ETF variations'!C494/'ETF price'!D495</f>
        <v>1.3067624959163394E-3</v>
      </c>
      <c r="D494">
        <f ca="1">'ETF variations'!D494/'ETF price'!E495</f>
        <v>5.3368560105679841E-3</v>
      </c>
      <c r="E494">
        <f ca="1">'ETF variations'!E494/'ETF price'!F495</f>
        <v>7.4850299401198082E-3</v>
      </c>
      <c r="F494">
        <f ca="1">'ETF variations'!F494/'ETF price'!G495</f>
        <v>1.2035398230088491E-2</v>
      </c>
      <c r="G494">
        <f ca="1">'ETF variations'!G494/'ETF price'!H495</f>
        <v>1.273408239700374E-2</v>
      </c>
      <c r="H494">
        <f ca="1">'ETF variations'!H494/'ETF price'!I495</f>
        <v>6.7274629989535484E-3</v>
      </c>
      <c r="I494">
        <f ca="1">'ETF variations'!I494/'ETF price'!J495</f>
        <v>5.5670689585111321E-3</v>
      </c>
      <c r="J494">
        <f ca="1">'ETF variations'!J494/'ETF price'!K495</f>
        <v>1.597492929756153E-2</v>
      </c>
      <c r="K494">
        <f ca="1">'ETF variations'!K494/'ETF price'!L495</f>
        <v>2.5367472735893796E-2</v>
      </c>
      <c r="L494">
        <f ca="1">'ETF variations'!L494/'ETF price'!M495</f>
        <v>2.0554344440984234E-2</v>
      </c>
      <c r="M494">
        <f ca="1">'ETF variations'!M494/'ETF price'!N495</f>
        <v>9.3324897184435852E-3</v>
      </c>
      <c r="N494">
        <f ca="1">'ETF variations'!N494/'ETF price'!O495</f>
        <v>3.555555555555559E-2</v>
      </c>
      <c r="O494">
        <f ca="1">'ETF variations'!O494/'ETF price'!P495</f>
        <v>1.1998099311000128E-2</v>
      </c>
      <c r="P494">
        <f ca="1">'ETF variations'!P494/'ETF price'!Q495</f>
        <v>3.2819994950770057E-3</v>
      </c>
      <c r="Q494">
        <f ca="1">'ETF variations'!Q494/'ETF price'!R495</f>
        <v>9.2078857277771362E-3</v>
      </c>
      <c r="R494">
        <f ca="1">'ETF variations'!R494/'ETF price'!S495</f>
        <v>3.0991735537190156E-2</v>
      </c>
      <c r="S494">
        <f ca="1">'ETF variations'!S494/'ETF price'!T495</f>
        <v>7.6164874551970501E-3</v>
      </c>
      <c r="T494">
        <f ca="1">'ETF variations'!T494/'ETF price'!U495</f>
        <v>1.8651784402995975E-2</v>
      </c>
      <c r="U494">
        <f ca="1">'ETF variations'!U494/'ETF price'!V495</f>
        <v>4.6442687747035596E-2</v>
      </c>
      <c r="V494">
        <f ca="1">'ETF variations'!V494/'ETF price'!W495</f>
        <v>7.5087154733172743E-3</v>
      </c>
      <c r="W494">
        <f ca="1">'ETF variations'!W494/'ETF price'!X495</f>
        <v>3.8151297144103833E-3</v>
      </c>
      <c r="X494">
        <f ca="1">'ETF variations'!X494/'ETF price'!Y495</f>
        <v>1.2683140170566487E-2</v>
      </c>
      <c r="Y494">
        <f ca="1">'ETF variations'!Y494/'ETF price'!Z495</f>
        <v>8.2459653669454923E-3</v>
      </c>
      <c r="Z494">
        <f ca="1">'ETF variations'!Z494/'ETF price'!AA495</f>
        <v>6.8406384595896411E-3</v>
      </c>
      <c r="AA494">
        <f ca="1">'ETF variations'!AA494/'ETF price'!AB495</f>
        <v>1.4813389765294406E-2</v>
      </c>
      <c r="AB494">
        <f ca="1">'ETF variations'!AB494/'ETF price'!AC495</f>
        <v>3.0472320975114221E-3</v>
      </c>
      <c r="AC494">
        <f ca="1">'ETF variations'!AC494/'ETF price'!AD495</f>
        <v>-6.6622251832110506E-4</v>
      </c>
      <c r="AD494">
        <f ca="1">'ETF variations'!AD494/'ETF price'!AE495</f>
        <v>5.7831325301205298E-3</v>
      </c>
      <c r="AE494">
        <f ca="1">'ETF variations'!AE494/'ETF price'!AF495</f>
        <v>1.0000000000000009E-2</v>
      </c>
      <c r="AF494">
        <f ca="1">'ETF variations'!AF494/'ETF price'!AG495</f>
        <v>2.5497076023391893E-2</v>
      </c>
    </row>
    <row r="495" spans="1:32" x14ac:dyDescent="0.2">
      <c r="A495">
        <f ca="1">'ETF variations'!A495/'ETF price'!B496</f>
        <v>-1.5110603385606112E-2</v>
      </c>
      <c r="B495">
        <f ca="1">'ETF variations'!B495/'ETF price'!C496</f>
        <v>-1.6041237113402006E-2</v>
      </c>
      <c r="C495">
        <f ca="1">'ETF variations'!C495/'ETF price'!D496</f>
        <v>5.3017944535073873E-3</v>
      </c>
      <c r="D495">
        <f ca="1">'ETF variations'!D495/'ETF price'!E496</f>
        <v>-3.1535793125197102E-2</v>
      </c>
      <c r="E495">
        <f ca="1">'ETF variations'!E495/'ETF price'!F496</f>
        <v>-1.2877662209014382E-2</v>
      </c>
      <c r="F495">
        <f ca="1">'ETF variations'!F495/'ETF price'!G496</f>
        <v>-2.3784540048968159E-2</v>
      </c>
      <c r="G495">
        <f ca="1">'ETF variations'!G495/'ETF price'!H496</f>
        <v>-2.4408284023668646E-2</v>
      </c>
      <c r="H495">
        <f ca="1">'ETF variations'!H495/'ETF price'!I496</f>
        <v>-1.4478764478764604E-2</v>
      </c>
      <c r="I495">
        <f ca="1">'ETF variations'!I495/'ETF price'!J496</f>
        <v>-1.6649155419057645E-2</v>
      </c>
      <c r="J495">
        <f ca="1">'ETF variations'!J495/'ETF price'!K496</f>
        <v>-3.0394222088474213E-2</v>
      </c>
      <c r="K495">
        <f ca="1">'ETF variations'!K495/'ETF price'!L496</f>
        <v>-4.4393063583815069E-2</v>
      </c>
      <c r="L495">
        <f ca="1">'ETF variations'!L495/'ETF price'!M496</f>
        <v>-3.0515715593530775E-2</v>
      </c>
      <c r="M495">
        <f ca="1">'ETF variations'!M495/'ETF price'!N496</f>
        <v>-1.6611816329728919E-2</v>
      </c>
      <c r="N495">
        <f ca="1">'ETF variations'!N495/'ETF price'!O496</f>
        <v>-4.4420600858369103E-2</v>
      </c>
      <c r="O495">
        <f ca="1">'ETF variations'!O495/'ETF price'!P496</f>
        <v>-9.2733888954101666E-3</v>
      </c>
      <c r="P495">
        <f ca="1">'ETF variations'!P495/'ETF price'!Q496</f>
        <v>-1.0904210702902173E-2</v>
      </c>
      <c r="Q495">
        <f ca="1">'ETF variations'!Q495/'ETF price'!R496</f>
        <v>-1.5323429640893532E-2</v>
      </c>
      <c r="R495">
        <f ca="1">'ETF variations'!R495/'ETF price'!S496</f>
        <v>-1.8370073480293944E-2</v>
      </c>
      <c r="S495">
        <f ca="1">'ETF variations'!S495/'ETF price'!T496</f>
        <v>-1.156069364161841E-2</v>
      </c>
      <c r="T495">
        <f ca="1">'ETF variations'!T495/'ETF price'!U496</f>
        <v>-8.2179930795846772E-3</v>
      </c>
      <c r="U495">
        <f ca="1">'ETF variations'!U495/'ETF price'!V496</f>
        <v>-4.3626062322946219E-2</v>
      </c>
      <c r="V495">
        <f ca="1">'ETF variations'!V495/'ETF price'!W496</f>
        <v>-1.7833377694969437E-2</v>
      </c>
      <c r="W495">
        <f ca="1">'ETF variations'!W495/'ETF price'!X496</f>
        <v>-1.759148658920626E-2</v>
      </c>
      <c r="X495">
        <f ca="1">'ETF variations'!X495/'ETF price'!Y496</f>
        <v>-2.1377672209026172E-2</v>
      </c>
      <c r="Y495">
        <f ca="1">'ETF variations'!Y495/'ETF price'!Z496</f>
        <v>-2.20820189274448E-2</v>
      </c>
      <c r="Z495">
        <f ca="1">'ETF variations'!Z495/'ETF price'!AA496</f>
        <v>-1.2581781580271767E-2</v>
      </c>
      <c r="AA495">
        <f ca="1">'ETF variations'!AA495/'ETF price'!AB496</f>
        <v>-2.3317535545023638E-2</v>
      </c>
      <c r="AB495">
        <f ca="1">'ETF variations'!AB495/'ETF price'!AC496</f>
        <v>5.0632911392404587E-3</v>
      </c>
      <c r="AC495">
        <f ca="1">'ETF variations'!AC495/'ETF price'!AD496</f>
        <v>-0.11000000000000003</v>
      </c>
      <c r="AD495">
        <f ca="1">'ETF variations'!AD495/'ETF price'!AE496</f>
        <v>2.3957834211787252E-2</v>
      </c>
      <c r="AE495">
        <f ca="1">'ETF variations'!AE495/'ETF price'!AF496</f>
        <v>-2.2277227722772242E-2</v>
      </c>
      <c r="AF495">
        <f ca="1">'ETF variations'!AF495/'ETF price'!AG496</f>
        <v>1.0720802919708002E-2</v>
      </c>
    </row>
    <row r="496" spans="1:32" x14ac:dyDescent="0.2">
      <c r="A496">
        <f ca="1">'ETF variations'!A496/'ETF price'!B497</f>
        <v>1.123003110665906E-2</v>
      </c>
      <c r="B496">
        <f ca="1">'ETF variations'!B496/'ETF price'!C497</f>
        <v>1.2405180000838102E-2</v>
      </c>
      <c r="C496">
        <f ca="1">'ETF variations'!C496/'ETF price'!D497</f>
        <v>0</v>
      </c>
      <c r="D496">
        <f ca="1">'ETF variations'!D496/'ETF price'!E497</f>
        <v>2.7678280690329009E-2</v>
      </c>
      <c r="E496">
        <f ca="1">'ETF variations'!E496/'ETF price'!F497</f>
        <v>9.5333667837431066E-3</v>
      </c>
      <c r="F496">
        <f ca="1">'ETF variations'!F496/'ETF price'!G497</f>
        <v>2.1139376567538511E-2</v>
      </c>
      <c r="G496">
        <f ca="1">'ETF variations'!G496/'ETF price'!H497</f>
        <v>1.8195602729340427E-2</v>
      </c>
      <c r="H496">
        <f ca="1">'ETF variations'!H496/'ETF price'!I497</f>
        <v>1.2205228659685111E-2</v>
      </c>
      <c r="I496">
        <f ca="1">'ETF variations'!I496/'ETF price'!J497</f>
        <v>1.3684556587490689E-2</v>
      </c>
      <c r="J496">
        <f ca="1">'ETF variations'!J496/'ETF price'!K497</f>
        <v>1.5751086281812546E-2</v>
      </c>
      <c r="K496">
        <f ca="1">'ETF variations'!K496/'ETF price'!L497</f>
        <v>2.4316477135252906E-2</v>
      </c>
      <c r="L496">
        <f ca="1">'ETF variations'!L496/'ETF price'!M497</f>
        <v>1.8570978910922249E-2</v>
      </c>
      <c r="M496">
        <f ca="1">'ETF variations'!M496/'ETF price'!N497</f>
        <v>1.4183266932270925E-2</v>
      </c>
      <c r="N496">
        <f ca="1">'ETF variations'!N496/'ETF price'!O497</f>
        <v>2.1783067594879829E-2</v>
      </c>
      <c r="O496">
        <f ca="1">'ETF variations'!O496/'ETF price'!P497</f>
        <v>3.9099526066350507E-3</v>
      </c>
      <c r="P496">
        <f ca="1">'ETF variations'!P496/'ETF price'!Q497</f>
        <v>5.6818181818181959E-3</v>
      </c>
      <c r="Q496">
        <f ca="1">'ETF variations'!Q496/'ETF price'!R497</f>
        <v>1.0572582561178264E-2</v>
      </c>
      <c r="R496">
        <f ca="1">'ETF variations'!R496/'ETF price'!S497</f>
        <v>2.2796869683565774E-2</v>
      </c>
      <c r="S496">
        <f ca="1">'ETF variations'!S496/'ETF price'!T497</f>
        <v>1.7993702204228137E-3</v>
      </c>
      <c r="T496">
        <f ca="1">'ETF variations'!T496/'ETF price'!U497</f>
        <v>3.4888791975577101E-3</v>
      </c>
      <c r="U496">
        <f ca="1">'ETF variations'!U496/'ETF price'!V497</f>
        <v>4.77883096366509E-2</v>
      </c>
      <c r="V496">
        <f ca="1">'ETF variations'!V496/'ETF price'!W497</f>
        <v>9.7560975609755941E-3</v>
      </c>
      <c r="W496">
        <f ca="1">'ETF variations'!W496/'ETF price'!X497</f>
        <v>9.174311926605486E-3</v>
      </c>
      <c r="X496">
        <f ca="1">'ETF variations'!X496/'ETF price'!Y497</f>
        <v>9.7087378640776205E-3</v>
      </c>
      <c r="Y496">
        <f ca="1">'ETF variations'!Y496/'ETF price'!Z497</f>
        <v>7.6463560334528143E-3</v>
      </c>
      <c r="Z496">
        <f ca="1">'ETF variations'!Z496/'ETF price'!AA497</f>
        <v>8.4097859327216685E-3</v>
      </c>
      <c r="AA496">
        <f ca="1">'ETF variations'!AA496/'ETF price'!AB497</f>
        <v>1.086956521739121E-2</v>
      </c>
      <c r="AB496">
        <f ca="1">'ETF variations'!AB496/'ETF price'!AC497</f>
        <v>3.0226700251889125E-3</v>
      </c>
      <c r="AC496">
        <f ca="1">'ETF variations'!AC496/'ETF price'!AD497</f>
        <v>1.4232209737827678E-2</v>
      </c>
      <c r="AD496">
        <f ca="1">'ETF variations'!AD496/'ETF price'!AE497</f>
        <v>5.1474029012634264E-3</v>
      </c>
      <c r="AE496">
        <f ca="1">'ETF variations'!AE496/'ETF price'!AF497</f>
        <v>6.5822784810126531E-2</v>
      </c>
      <c r="AF496">
        <f ca="1">'ETF variations'!AF496/'ETF price'!AG497</f>
        <v>7.5603701196118131E-2</v>
      </c>
    </row>
    <row r="497" spans="1:32" x14ac:dyDescent="0.2">
      <c r="A497">
        <f ca="1">'ETF variations'!A497/'ETF price'!B498</f>
        <v>1.3034410844629822E-3</v>
      </c>
      <c r="B497">
        <f ca="1">'ETF variations'!B497/'ETF price'!C498</f>
        <v>9.7280291426921246E-4</v>
      </c>
      <c r="C497">
        <f ca="1">'ETF variations'!C497/'ETF price'!D498</f>
        <v>4.8681541582151945E-4</v>
      </c>
      <c r="D497">
        <f ca="1">'ETF variations'!D497/'ETF price'!E498</f>
        <v>3.1685678073510469E-3</v>
      </c>
      <c r="E497">
        <f ca="1">'ETF variations'!E497/'ETF price'!F498</f>
        <v>4.1418157720344599E-3</v>
      </c>
      <c r="F497">
        <f ca="1">'ETF variations'!F497/'ETF price'!G498</f>
        <v>-3.8596491228069978E-3</v>
      </c>
      <c r="G497">
        <f ca="1">'ETF variations'!G497/'ETF price'!H498</f>
        <v>1.8615040953090362E-3</v>
      </c>
      <c r="H497">
        <f ca="1">'ETF variations'!H497/'ETF price'!I498</f>
        <v>4.9869743208039892E-3</v>
      </c>
      <c r="I497">
        <f ca="1">'ETF variations'!I497/'ETF price'!J498</f>
        <v>6.9323387521790574E-3</v>
      </c>
      <c r="J497">
        <f ca="1">'ETF variations'!J497/'ETF price'!K498</f>
        <v>2.1847070506454919E-2</v>
      </c>
      <c r="K497">
        <f ca="1">'ETF variations'!K497/'ETF price'!L498</f>
        <v>3.4841147986299788E-2</v>
      </c>
      <c r="L497">
        <f ca="1">'ETF variations'!L497/'ETF price'!M498</f>
        <v>1.4833127317676267E-2</v>
      </c>
      <c r="M497">
        <f ca="1">'ETF variations'!M497/'ETF price'!N498</f>
        <v>7.0710245128850222E-3</v>
      </c>
      <c r="N497">
        <f ca="1">'ETF variations'!N497/'ETF price'!O498</f>
        <v>1.9780219780219748E-2</v>
      </c>
      <c r="O497">
        <f ca="1">'ETF variations'!O497/'ETF price'!P498</f>
        <v>2.9505488020771862E-3</v>
      </c>
      <c r="P497">
        <f ca="1">'ETF variations'!P497/'ETF price'!Q498</f>
        <v>2.7826966860612047E-3</v>
      </c>
      <c r="Q497">
        <f ca="1">'ETF variations'!Q497/'ETF price'!R498</f>
        <v>6.2301633948513126E-3</v>
      </c>
      <c r="R497">
        <f ca="1">'ETF variations'!R497/'ETF price'!S498</f>
        <v>1.0811709913506416E-2</v>
      </c>
      <c r="S497">
        <f ca="1">'ETF variations'!S497/'ETF price'!T498</f>
        <v>-1.7961383026492657E-3</v>
      </c>
      <c r="T497">
        <f ca="1">'ETF variations'!T497/'ETF price'!U498</f>
        <v>-4.9253947559032797E-3</v>
      </c>
      <c r="U497">
        <f ca="1">'ETF variations'!U497/'ETF price'!V498</f>
        <v>-8.8578967206935331E-3</v>
      </c>
      <c r="V497">
        <f ca="1">'ETF variations'!V497/'ETF price'!W498</f>
        <v>2.1470746108428716E-3</v>
      </c>
      <c r="W497">
        <f ca="1">'ETF variations'!W497/'ETF price'!X498</f>
        <v>3.1763417305586666E-3</v>
      </c>
      <c r="X497">
        <f ca="1">'ETF variations'!X497/'ETF price'!Y498</f>
        <v>4.5891608391608581E-3</v>
      </c>
      <c r="Y497">
        <f ca="1">'ETF variations'!Y497/'ETF price'!Z498</f>
        <v>3.6755987668959243E-3</v>
      </c>
      <c r="Z497">
        <f ca="1">'ETF variations'!Z497/'ETF price'!AA498</f>
        <v>4.0434672731866714E-3</v>
      </c>
      <c r="AA497">
        <f ca="1">'ETF variations'!AA497/'ETF price'!AB498</f>
        <v>6.3364055299538844E-3</v>
      </c>
      <c r="AB497">
        <f ca="1">'ETF variations'!AB497/'ETF price'!AC498</f>
        <v>3.5158211953792208E-3</v>
      </c>
      <c r="AC497">
        <f ca="1">'ETF variations'!AC497/'ETF price'!AD498</f>
        <v>1.6986706056130018E-2</v>
      </c>
      <c r="AD497">
        <f ca="1">'ETF variations'!AD497/'ETF price'!AE498</f>
        <v>-1.8621973929236102E-3</v>
      </c>
      <c r="AE497">
        <f ca="1">'ETF variations'!AE497/'ETF price'!AF498</f>
        <v>1.4251781472683992E-2</v>
      </c>
      <c r="AF497">
        <f ca="1">'ETF variations'!AF497/'ETF price'!AG498</f>
        <v>5.7070919009651826E-2</v>
      </c>
    </row>
    <row r="498" spans="1:32" x14ac:dyDescent="0.2">
      <c r="A498">
        <f ca="1">'ETF variations'!A498/'ETF price'!B499</f>
        <v>4.1655818797187343E-3</v>
      </c>
      <c r="B498">
        <f ca="1">'ETF variations'!B498/'ETF price'!C499</f>
        <v>4.9419987179751997E-3</v>
      </c>
      <c r="C498">
        <f ca="1">'ETF variations'!C498/'ETF price'!D499</f>
        <v>-4.5413997242721776E-3</v>
      </c>
      <c r="D498">
        <f ca="1">'ETF variations'!D498/'ETF price'!E499</f>
        <v>1.7687934301958228E-2</v>
      </c>
      <c r="E498">
        <f ca="1">'ETF variations'!E498/'ETF price'!F499</f>
        <v>5.9396139250948599E-3</v>
      </c>
      <c r="F498">
        <f ca="1">'ETF variations'!F498/'ETF price'!G499</f>
        <v>7.7492074674180645E-3</v>
      </c>
      <c r="G498">
        <f ca="1">'ETF variations'!G498/'ETF price'!H499</f>
        <v>5.9457450761798642E-3</v>
      </c>
      <c r="H498">
        <f ca="1">'ETF variations'!H498/'ETF price'!I499</f>
        <v>2.2218930528809283E-3</v>
      </c>
      <c r="I498">
        <f ca="1">'ETF variations'!I498/'ETF price'!J499</f>
        <v>3.462436589097406E-3</v>
      </c>
      <c r="J498">
        <f ca="1">'ETF variations'!J498/'ETF price'!K499</f>
        <v>9.419152276295065E-3</v>
      </c>
      <c r="K498">
        <f ca="1">'ETF variations'!K498/'ETF price'!L499</f>
        <v>2.099977174161138E-2</v>
      </c>
      <c r="L498">
        <f ca="1">'ETF variations'!L498/'ETF price'!M499</f>
        <v>8.9829476248475815E-3</v>
      </c>
      <c r="M498">
        <f ca="1">'ETF variations'!M498/'ETF price'!N499</f>
        <v>3.2766422218753898E-3</v>
      </c>
      <c r="N498">
        <f ca="1">'ETF variations'!N498/'ETF price'!O499</f>
        <v>1.2931034482758652E-2</v>
      </c>
      <c r="O498">
        <f ca="1">'ETF variations'!O498/'ETF price'!P499</f>
        <v>8.5902565309483384E-3</v>
      </c>
      <c r="P498">
        <f ca="1">'ETF variations'!P498/'ETF price'!Q499</f>
        <v>9.6703666330305374E-3</v>
      </c>
      <c r="Q498">
        <f ca="1">'ETF variations'!Q498/'ETF price'!R499</f>
        <v>4.6728971962617487E-3</v>
      </c>
      <c r="R498">
        <f ca="1">'ETF variations'!R498/'ETF price'!S499</f>
        <v>8.2277439526081946E-3</v>
      </c>
      <c r="S498">
        <f ca="1">'ETF variations'!S498/'ETF price'!T499</f>
        <v>9.8965362123256354E-3</v>
      </c>
      <c r="T498">
        <f ca="1">'ETF variations'!T498/'ETF price'!U499</f>
        <v>2.2128402969864552E-2</v>
      </c>
      <c r="U498">
        <f ca="1">'ETF variations'!U498/'ETF price'!V499</f>
        <v>2.0346073397984277E-2</v>
      </c>
      <c r="V498">
        <f ca="1">'ETF variations'!V498/'ETF price'!W499</f>
        <v>4.0171397964648787E-3</v>
      </c>
      <c r="W498">
        <f ca="1">'ETF variations'!W498/'ETF price'!X499</f>
        <v>5.4591112566874109E-3</v>
      </c>
      <c r="X498">
        <f ca="1">'ETF variations'!X498/'ETF price'!Y499</f>
        <v>1.3269523602349346E-2</v>
      </c>
      <c r="Y498">
        <f ca="1">'ETF variations'!Y498/'ETF price'!Z499</f>
        <v>5.5522740696987462E-3</v>
      </c>
      <c r="Z498">
        <f ca="1">'ETF variations'!Z498/'ETF price'!AA499</f>
        <v>7.2992700729928583E-3</v>
      </c>
      <c r="AA498">
        <f ca="1">'ETF variations'!AA498/'ETF price'!AB499</f>
        <v>1.5455065827132271E-2</v>
      </c>
      <c r="AB498">
        <f ca="1">'ETF variations'!AB498/'ETF price'!AC499</f>
        <v>-3.3366700033365991E-3</v>
      </c>
      <c r="AC498">
        <f ca="1">'ETF variations'!AC498/'ETF price'!AD499</f>
        <v>-3.9941902687000652E-2</v>
      </c>
      <c r="AD498">
        <f ca="1">'ETF variations'!AD498/'ETF price'!AE499</f>
        <v>-3.6847014925373262E-2</v>
      </c>
      <c r="AE498">
        <f ca="1">'ETF variations'!AE498/'ETF price'!AF499</f>
        <v>1.4051522248243678E-2</v>
      </c>
      <c r="AF498">
        <f ca="1">'ETF variations'!AF498/'ETF price'!AG499</f>
        <v>1.5879317189360519E-3</v>
      </c>
    </row>
    <row r="499" spans="1:32" x14ac:dyDescent="0.2">
      <c r="A499">
        <f ca="1">'ETF variations'!A499/'ETF price'!B500</f>
        <v>-5.1853772361892169E-5</v>
      </c>
      <c r="B499">
        <f ca="1">'ETF variations'!B499/'ETF price'!C500</f>
        <v>9.6707818930046768E-4</v>
      </c>
      <c r="C499">
        <f ca="1">'ETF variations'!C499/'ETF price'!D500</f>
        <v>-2.6313645621181294E-2</v>
      </c>
      <c r="D499">
        <f ca="1">'ETF variations'!D499/'ETF price'!E500</f>
        <v>2.5863852679495138E-3</v>
      </c>
      <c r="E499">
        <f ca="1">'ETF variations'!E499/'ETF price'!F500</f>
        <v>-3.2803017877644043E-3</v>
      </c>
      <c r="F499">
        <f ca="1">'ETF variations'!F499/'ETF price'!G500</f>
        <v>2.7962250961203021E-3</v>
      </c>
      <c r="G499">
        <f ca="1">'ETF variations'!G499/'ETF price'!H500</f>
        <v>1.8470631695604253E-3</v>
      </c>
      <c r="H499">
        <f ca="1">'ETF variations'!H499/'ETF price'!I500</f>
        <v>4.2122376588825984E-3</v>
      </c>
      <c r="I499">
        <f ca="1">'ETF variations'!I499/'ETF price'!J500</f>
        <v>4.9751243781093746E-3</v>
      </c>
      <c r="J499">
        <f ca="1">'ETF variations'!J499/'ETF price'!K500</f>
        <v>1.3552543879138061E-2</v>
      </c>
      <c r="K499">
        <f ca="1">'ETF variations'!K499/'ETF price'!L500</f>
        <v>1.5314106863402691E-2</v>
      </c>
      <c r="L499">
        <f ca="1">'ETF variations'!L499/'ETF price'!M500</f>
        <v>6.6395050550776781E-3</v>
      </c>
      <c r="M499">
        <f ca="1">'ETF variations'!M499/'ETF price'!N500</f>
        <v>5.2877138413686383E-3</v>
      </c>
      <c r="N499">
        <f ca="1">'ETF variations'!N499/'ETF price'!O500</f>
        <v>1.9148936170213491E-3</v>
      </c>
      <c r="O499">
        <f ca="1">'ETF variations'!O499/'ETF price'!P500</f>
        <v>-4.4335550110838349E-3</v>
      </c>
      <c r="P499">
        <f ca="1">'ETF variations'!P499/'ETF price'!Q500</f>
        <v>-5.8299325393519506E-3</v>
      </c>
      <c r="Q499">
        <f ca="1">'ETF variations'!Q499/'ETF price'!R500</f>
        <v>2.4418604651162065E-3</v>
      </c>
      <c r="R499">
        <f ca="1">'ETF variations'!R499/'ETF price'!S500</f>
        <v>2.1217561612533941E-3</v>
      </c>
      <c r="S499">
        <f ca="1">'ETF variations'!S499/'ETF price'!T500</f>
        <v>-4.4543429844097048E-3</v>
      </c>
      <c r="T499">
        <f ca="1">'ETF variations'!T499/'ETF price'!U500</f>
        <v>-1.8373451075345281E-2</v>
      </c>
      <c r="U499">
        <f ca="1">'ETF variations'!U499/'ETF price'!V500</f>
        <v>3.7271710771530239E-4</v>
      </c>
      <c r="V499">
        <f ca="1">'ETF variations'!V499/'ETF price'!W500</f>
        <v>3.2008535609495182E-3</v>
      </c>
      <c r="W499">
        <f ca="1">'ETF variations'!W499/'ETF price'!X500</f>
        <v>3.1490932783146057E-3</v>
      </c>
      <c r="X499">
        <f ca="1">'ETF variations'!X499/'ETF price'!Y500</f>
        <v>-8.5873765564618181E-4</v>
      </c>
      <c r="Y499">
        <f ca="1">'ETF variations'!Y499/'ETF price'!Z500</f>
        <v>2.7020676691728121E-3</v>
      </c>
      <c r="Z499">
        <f ca="1">'ETF variations'!Z499/'ETF price'!AA500</f>
        <v>5.7471264367815311E-3</v>
      </c>
      <c r="AA499">
        <f ca="1">'ETF variations'!AA499/'ETF price'!AB500</f>
        <v>-1.6910935738443499E-3</v>
      </c>
      <c r="AB499">
        <f ca="1">'ETF variations'!AB499/'ETF price'!AC500</f>
        <v>3.3478406427847374E-4</v>
      </c>
      <c r="AC499">
        <f ca="1">'ETF variations'!AC499/'ETF price'!AD500</f>
        <v>4.7655068078668608E-2</v>
      </c>
      <c r="AD499">
        <f ca="1">'ETF variations'!AD499/'ETF price'!AE500</f>
        <v>3.1961259079903159E-2</v>
      </c>
      <c r="AE499">
        <f ca="1">'ETF variations'!AE499/'ETF price'!AF500</f>
        <v>4.1570438799076147E-2</v>
      </c>
      <c r="AF499">
        <f ca="1">'ETF variations'!AF499/'ETF price'!AG500</f>
        <v>0.12504954419342057</v>
      </c>
    </row>
    <row r="500" spans="1:32" x14ac:dyDescent="0.2">
      <c r="A500">
        <f ca="1">'ETF variations'!A500/'ETF price'!B501</f>
        <v>1.1926986102467837E-3</v>
      </c>
      <c r="B500">
        <f ca="1">'ETF variations'!B500/'ETF price'!C501</f>
        <v>6.5780006989124334E-4</v>
      </c>
      <c r="C500">
        <f ca="1">'ETF variations'!C500/'ETF price'!D501</f>
        <v>-1.0123828647924981E-2</v>
      </c>
      <c r="D500">
        <f ca="1">'ETF variations'!D500/'ETF price'!E501</f>
        <v>-1.9089877205654966E-3</v>
      </c>
      <c r="E500">
        <f ca="1">'ETF variations'!E500/'ETF price'!F501</f>
        <v>-1.1518841533651519E-3</v>
      </c>
      <c r="F500">
        <f ca="1">'ETF variations'!F500/'ETF price'!G501</f>
        <v>1.0456605088880301E-3</v>
      </c>
      <c r="G500">
        <f ca="1">'ETF variations'!G500/'ETF price'!H501</f>
        <v>3.6873156342175556E-4</v>
      </c>
      <c r="H500">
        <f ca="1">'ETF variations'!H500/'ETF price'!I501</f>
        <v>2.5756126278609374E-3</v>
      </c>
      <c r="I500">
        <f ca="1">'ETF variations'!I500/'ETF price'!J501</f>
        <v>2.4353241775791029E-3</v>
      </c>
      <c r="J500">
        <f ca="1">'ETF variations'!J500/'ETF price'!K501</f>
        <v>1.2421452579277179E-3</v>
      </c>
      <c r="K500">
        <f ca="1">'ETF variations'!K500/'ETF price'!L501</f>
        <v>3.3028734999450773E-4</v>
      </c>
      <c r="L500">
        <f ca="1">'ETF variations'!L500/'ETF price'!M501</f>
        <v>-1.4990256333382451E-3</v>
      </c>
      <c r="M500">
        <f ca="1">'ETF variations'!M500/'ETF price'!N501</f>
        <v>1.3923267326733202E-3</v>
      </c>
      <c r="N500">
        <f ca="1">'ETF variations'!N500/'ETF price'!O501</f>
        <v>-2.1235931195593788E-4</v>
      </c>
      <c r="O500">
        <f ca="1">'ETF variations'!O500/'ETF price'!P501</f>
        <v>-1.5234970116020125E-2</v>
      </c>
      <c r="P500">
        <f ca="1">'ETF variations'!P500/'ETF price'!Q501</f>
        <v>-1.4157661053866111E-2</v>
      </c>
      <c r="Q500">
        <f ca="1">'ETF variations'!Q500/'ETF price'!R501</f>
        <v>-3.8278621969608899E-3</v>
      </c>
      <c r="R500">
        <f ca="1">'ETF variations'!R500/'ETF price'!S501</f>
        <v>-1.0749185667752388E-2</v>
      </c>
      <c r="S500">
        <f ca="1">'ETF variations'!S500/'ETF price'!T501</f>
        <v>-8.501118568232718E-3</v>
      </c>
      <c r="T500">
        <f ca="1">'ETF variations'!T500/'ETF price'!U501</f>
        <v>-2.5246662797446241E-2</v>
      </c>
      <c r="U500">
        <f ca="1">'ETF variations'!U500/'ETF price'!V501</f>
        <v>1.0059612518628896E-2</v>
      </c>
      <c r="V500">
        <f ca="1">'ETF variations'!V500/'ETF price'!W501</f>
        <v>2.9247540547726516E-3</v>
      </c>
      <c r="W500">
        <f ca="1">'ETF variations'!W500/'ETF price'!X501</f>
        <v>3.1392076206971883E-3</v>
      </c>
      <c r="X500">
        <f ca="1">'ETF variations'!X500/'ETF price'!Y501</f>
        <v>1.7189514396217941E-3</v>
      </c>
      <c r="Y500">
        <f ca="1">'ETF variations'!Y500/'ETF price'!Z501</f>
        <v>3.8664323374342415E-3</v>
      </c>
      <c r="Z500">
        <f ca="1">'ETF variations'!Z500/'ETF price'!AA501</f>
        <v>6.2111801242236021E-3</v>
      </c>
      <c r="AA500">
        <f ca="1">'ETF variations'!AA500/'ETF price'!AB501</f>
        <v>2.4468285337849696E-3</v>
      </c>
      <c r="AB500">
        <f ca="1">'ETF variations'!AB500/'ETF price'!AC501</f>
        <v>-1.070950468540831E-2</v>
      </c>
      <c r="AC500">
        <f ca="1">'ETF variations'!AC500/'ETF price'!AD501</f>
        <v>-1.2274368231046927E-2</v>
      </c>
      <c r="AD500">
        <f ca="1">'ETF variations'!AD500/'ETF price'!AE501</f>
        <v>-2.2993899577662995E-2</v>
      </c>
      <c r="AE500">
        <f ca="1">'ETF variations'!AE500/'ETF price'!AF501</f>
        <v>5.9866962305986801E-2</v>
      </c>
      <c r="AF500">
        <f ca="1">'ETF variations'!AF500/'ETF price'!AG501</f>
        <v>-7.327813986260355E-2</v>
      </c>
    </row>
    <row r="501" spans="1:32" x14ac:dyDescent="0.2">
      <c r="A501">
        <f ca="1">'ETF variations'!A501/'ETF price'!B502</f>
        <v>-3.055886466048601E-3</v>
      </c>
      <c r="B501">
        <f ca="1">'ETF variations'!B501/'ETF price'!C502</f>
        <v>-5.7314242281066175E-3</v>
      </c>
      <c r="C501">
        <f ca="1">'ETF variations'!C501/'ETF price'!D502</f>
        <v>-6.846420420928089E-3</v>
      </c>
      <c r="D501">
        <f ca="1">'ETF variations'!D501/'ETF price'!E502</f>
        <v>-7.3403980356680672E-3</v>
      </c>
      <c r="E501">
        <f ca="1">'ETF variations'!E501/'ETF price'!F502</f>
        <v>-4.7775947281714368E-3</v>
      </c>
      <c r="F501">
        <f ca="1">'ETF variations'!F501/'ETF price'!G502</f>
        <v>-7.6601671309191807E-3</v>
      </c>
      <c r="G501">
        <f ca="1">'ETF variations'!G501/'ETF price'!H502</f>
        <v>-5.1603391079985466E-3</v>
      </c>
      <c r="H501">
        <f ca="1">'ETF variations'!H501/'ETF price'!I502</f>
        <v>1.0275983558425304E-3</v>
      </c>
      <c r="I501">
        <f ca="1">'ETF variations'!I501/'ETF price'!J502</f>
        <v>-1.5532279262416456E-3</v>
      </c>
      <c r="J501">
        <f ca="1">'ETF variations'!J501/'ETF price'!K502</f>
        <v>-8.6112530102897666E-3</v>
      </c>
      <c r="K501">
        <f ca="1">'ETF variations'!K501/'ETF price'!L502</f>
        <v>-1.7279330838652799E-2</v>
      </c>
      <c r="L501">
        <f ca="1">'ETF variations'!L501/'ETF price'!M502</f>
        <v>-1.1559825851974119E-2</v>
      </c>
      <c r="M501">
        <f ca="1">'ETF variations'!M501/'ETF price'!N502</f>
        <v>-6.1795149080806817E-4</v>
      </c>
      <c r="N501">
        <f ca="1">'ETF variations'!N501/'ETF price'!O502</f>
        <v>-1.8054375531011076E-2</v>
      </c>
      <c r="O501">
        <f ca="1">'ETF variations'!O501/'ETF price'!P502</f>
        <v>-2.2610972271807418E-3</v>
      </c>
      <c r="P501">
        <f ca="1">'ETF variations'!P501/'ETF price'!Q502</f>
        <v>-3.3990482664854322E-3</v>
      </c>
      <c r="Q501">
        <f ca="1">'ETF variations'!Q501/'ETF price'!R502</f>
        <v>-3.9590125756868797E-3</v>
      </c>
      <c r="R501">
        <f ca="1">'ETF variations'!R501/'ETF price'!S502</f>
        <v>-1.4981890023049121E-2</v>
      </c>
      <c r="S501">
        <f ca="1">'ETF variations'!S501/'ETF price'!T502</f>
        <v>-5.4151624548736911E-3</v>
      </c>
      <c r="T501">
        <f ca="1">'ETF variations'!T501/'ETF price'!U502</f>
        <v>-7.8892527537957891E-3</v>
      </c>
      <c r="U501">
        <f ca="1">'ETF variations'!U501/'ETF price'!V502</f>
        <v>-1.6045739579490917E-2</v>
      </c>
      <c r="V501">
        <f ca="1">'ETF variations'!V501/'ETF price'!W502</f>
        <v>-3.1813361611876313E-3</v>
      </c>
      <c r="W501">
        <f ca="1">'ETF variations'!W501/'ETF price'!X502</f>
        <v>-4.4243012841264336E-3</v>
      </c>
      <c r="X501">
        <f ca="1">'ETF variations'!X501/'ETF price'!Y502</f>
        <v>-1.2870012870012749E-2</v>
      </c>
      <c r="Y501">
        <f ca="1">'ETF variations'!Y501/'ETF price'!Z502</f>
        <v>-3.1512605042018E-3</v>
      </c>
      <c r="Z501">
        <f ca="1">'ETF variations'!Z501/'ETF price'!AA502</f>
        <v>-1.0864197530864142E-2</v>
      </c>
      <c r="AA501">
        <f ca="1">'ETF variations'!AA501/'ETF price'!AB502</f>
        <v>-1.5583927900863655E-2</v>
      </c>
      <c r="AB501">
        <f ca="1">'ETF variations'!AB501/'ETF price'!AC502</f>
        <v>3.890392422192219E-3</v>
      </c>
      <c r="AC501">
        <f ca="1">'ETF variations'!AC501/'ETF price'!AD502</f>
        <v>-2.1929824561403431E-2</v>
      </c>
      <c r="AD501">
        <f ca="1">'ETF variations'!AD501/'ETF price'!AE502</f>
        <v>-1.5850144092219107E-2</v>
      </c>
      <c r="AE501">
        <f ca="1">'ETF variations'!AE501/'ETF price'!AF502</f>
        <v>0.10041841004184091</v>
      </c>
      <c r="AF501">
        <f ca="1">'ETF variations'!AF501/'ETF price'!AG502</f>
        <v>-0.12107964265348788</v>
      </c>
    </row>
    <row r="502" spans="1:32" x14ac:dyDescent="0.2">
      <c r="A502">
        <f ca="1">'ETF variations'!A502/'ETF price'!B503</f>
        <v>-2.6184538653366545E-2</v>
      </c>
      <c r="B502">
        <f ca="1">'ETF variations'!B502/'ETF price'!C503</f>
        <v>-2.6260330578512354E-2</v>
      </c>
      <c r="C502">
        <f ca="1">'ETF variations'!C502/'ETF price'!D503</f>
        <v>1.0212765957447196E-3</v>
      </c>
      <c r="D502">
        <f ca="1">'ETF variations'!D502/'ETF price'!E503</f>
        <v>-3.5983960839452149E-2</v>
      </c>
      <c r="E502">
        <f ca="1">'ETF variations'!E502/'ETF price'!F503</f>
        <v>-1.6884621751365604E-2</v>
      </c>
      <c r="F502">
        <f ca="1">'ETF variations'!F502/'ETF price'!G503</f>
        <v>-2.7719298245614005E-2</v>
      </c>
      <c r="G502">
        <f ca="1">'ETF variations'!G502/'ETF price'!H503</f>
        <v>-1.2967765839199626E-2</v>
      </c>
      <c r="H502">
        <f ca="1">'ETF variations'!H502/'ETF price'!I503</f>
        <v>1.7597888253409633E-2</v>
      </c>
      <c r="I502">
        <f ca="1">'ETF variations'!I502/'ETF price'!J503</f>
        <v>1.5476665337056338E-2</v>
      </c>
      <c r="J502">
        <f ca="1">'ETF variations'!J502/'ETF price'!K503</f>
        <v>1.6341553183658437E-2</v>
      </c>
      <c r="K502">
        <f ca="1">'ETF variations'!K502/'ETF price'!L503</f>
        <v>1.0527494680255321E-2</v>
      </c>
      <c r="L502">
        <f ca="1">'ETF variations'!L502/'ETF price'!M503</f>
        <v>1.1543134872417845E-2</v>
      </c>
      <c r="M502">
        <f ca="1">'ETF variations'!M502/'ETF price'!N503</f>
        <v>1.5149172978822137E-2</v>
      </c>
      <c r="N502">
        <f ca="1">'ETF variations'!N502/'ETF price'!O503</f>
        <v>1.0599178022928878E-2</v>
      </c>
      <c r="O502">
        <f ca="1">'ETF variations'!O502/'ETF price'!P503</f>
        <v>1.0734732824427379E-2</v>
      </c>
      <c r="P502">
        <f ca="1">'ETF variations'!P502/'ETF price'!Q503</f>
        <v>9.9761255115961948E-3</v>
      </c>
      <c r="Q502">
        <f ca="1">'ETF variations'!Q502/'ETF price'!R503</f>
        <v>-1.7535655833528837E-3</v>
      </c>
      <c r="R502">
        <f ca="1">'ETF variations'!R502/'ETF price'!S503</f>
        <v>-8.5241517633294003E-3</v>
      </c>
      <c r="S502">
        <f ca="1">'ETF variations'!S502/'ETF price'!T503</f>
        <v>-8.1669691470054318E-3</v>
      </c>
      <c r="T502">
        <f ca="1">'ETF variations'!T502/'ETF price'!U503</f>
        <v>-1.3203300825206446E-2</v>
      </c>
      <c r="U502">
        <f ca="1">'ETF variations'!U502/'ETF price'!V503</f>
        <v>-2.3992502343017828E-2</v>
      </c>
      <c r="V502">
        <f ca="1">'ETF variations'!V502/'ETF price'!W503</f>
        <v>4.2553191489360792E-3</v>
      </c>
      <c r="W502">
        <f ca="1">'ETF variations'!W502/'ETF price'!X503</f>
        <v>6.5033600693678801E-4</v>
      </c>
      <c r="X502">
        <f ca="1">'ETF variations'!X502/'ETF price'!Y503</f>
        <v>3.9113428943937352E-3</v>
      </c>
      <c r="Y502">
        <f ca="1">'ETF variations'!Y502/'ETF price'!Z503</f>
        <v>2.6928931038520546E-3</v>
      </c>
      <c r="Z502">
        <f ca="1">'ETF variations'!Z502/'ETF price'!AA503</f>
        <v>9.2361457813279445E-3</v>
      </c>
      <c r="AA502">
        <f ca="1">'ETF variations'!AA502/'ETF price'!AB503</f>
        <v>3.2424184627122201E-3</v>
      </c>
      <c r="AB502">
        <f ca="1">'ETF variations'!AB502/'ETF price'!AC503</f>
        <v>5.0547598989047543E-3</v>
      </c>
      <c r="AC502">
        <f ca="1">'ETF variations'!AC502/'ETF price'!AD503</f>
        <v>4.857997010463367E-2</v>
      </c>
      <c r="AD502">
        <f ca="1">'ETF variations'!AD502/'ETF price'!AE503</f>
        <v>6.8326012689116755E-2</v>
      </c>
      <c r="AE502">
        <f ca="1">'ETF variations'!AE502/'ETF price'!AF503</f>
        <v>-5.1330798479087371E-2</v>
      </c>
      <c r="AF502">
        <f ca="1">'ETF variations'!AF502/'ETF price'!AG503</f>
        <v>-3.0925605536332171E-2</v>
      </c>
    </row>
    <row r="503" spans="1:32" x14ac:dyDescent="0.2">
      <c r="A503">
        <f ca="1">'ETF variations'!A503/'ETF price'!B504</f>
        <v>-1.0189927443448552E-2</v>
      </c>
      <c r="B503">
        <f ca="1">'ETF variations'!B503/'ETF price'!C504</f>
        <v>-1.3388783975895949E-2</v>
      </c>
      <c r="C503">
        <f ca="1">'ETF variations'!C503/'ETF price'!D504</f>
        <v>2.6526101003230659E-2</v>
      </c>
      <c r="D503">
        <f ca="1">'ETF variations'!D503/'ETF price'!E504</f>
        <v>-2.1499567847882553E-2</v>
      </c>
      <c r="E503">
        <f ca="1">'ETF variations'!E503/'ETF price'!F504</f>
        <v>-1.1281360498400433E-2</v>
      </c>
      <c r="F503">
        <f ca="1">'ETF variations'!F503/'ETF price'!G504</f>
        <v>-2.8148682785997876E-2</v>
      </c>
      <c r="G503">
        <f ca="1">'ETF variations'!G503/'ETF price'!H504</f>
        <v>-1.8018018018018035E-2</v>
      </c>
      <c r="H503">
        <f ca="1">'ETF variations'!H503/'ETF price'!I504</f>
        <v>-1.6572993226688986E-3</v>
      </c>
      <c r="I503">
        <f ca="1">'ETF variations'!I503/'ETF price'!J504</f>
        <v>-3.7316364207715335E-3</v>
      </c>
      <c r="J503">
        <f ca="1">'ETF variations'!J503/'ETF price'!K504</f>
        <v>-1.5571811400014528E-2</v>
      </c>
      <c r="K503">
        <f ca="1">'ETF variations'!K503/'ETF price'!L504</f>
        <v>-2.2498060512024836E-2</v>
      </c>
      <c r="L503">
        <f ca="1">'ETF variations'!L503/'ETF price'!M504</f>
        <v>-1.2612612612612451E-2</v>
      </c>
      <c r="M503">
        <f ca="1">'ETF variations'!M503/'ETF price'!N504</f>
        <v>-4.2637429572103111E-3</v>
      </c>
      <c r="N503">
        <f ca="1">'ETF variations'!N503/'ETF price'!O504</f>
        <v>-3.3818493150684893E-2</v>
      </c>
      <c r="O503">
        <f ca="1">'ETF variations'!O503/'ETF price'!P504</f>
        <v>1.6285107387302451E-2</v>
      </c>
      <c r="P503">
        <f ca="1">'ETF variations'!P503/'ETF price'!Q504</f>
        <v>1.30856901646264E-2</v>
      </c>
      <c r="Q503">
        <f ca="1">'ETF variations'!Q503/'ETF price'!R504</f>
        <v>-1.0774095327321721E-2</v>
      </c>
      <c r="R503">
        <f ca="1">'ETF variations'!R503/'ETF price'!S504</f>
        <v>-1.9386378961564373E-2</v>
      </c>
      <c r="S503">
        <f ca="1">'ETF variations'!S503/'ETF price'!T504</f>
        <v>1.280878316559932E-2</v>
      </c>
      <c r="T503">
        <f ca="1">'ETF variations'!T503/'ETF price'!U504</f>
        <v>3.6794891287821221E-2</v>
      </c>
      <c r="U503">
        <f ca="1">'ETF variations'!U503/'ETF price'!V504</f>
        <v>-3.8217783752640712E-2</v>
      </c>
      <c r="V503">
        <f ca="1">'ETF variations'!V503/'ETF price'!W504</f>
        <v>-8.4745762711864493E-3</v>
      </c>
      <c r="W503">
        <f ca="1">'ETF variations'!W503/'ETF price'!X504</f>
        <v>-1.1156845753899339E-2</v>
      </c>
      <c r="X503">
        <f ca="1">'ETF variations'!X503/'ETF price'!Y504</f>
        <v>-2.7272727272727382E-2</v>
      </c>
      <c r="Y503">
        <f ca="1">'ETF variations'!Y503/'ETF price'!Z504</f>
        <v>-8.991125642223213E-3</v>
      </c>
      <c r="Z503">
        <f ca="1">'ETF variations'!Z503/'ETF price'!AA504</f>
        <v>-2.3744744001978749E-2</v>
      </c>
      <c r="AA503">
        <f ca="1">'ETF variations'!AA503/'ETF price'!AB504</f>
        <v>-3.2889733840304254E-2</v>
      </c>
      <c r="AB503">
        <f ca="1">'ETF variations'!AB503/'ETF price'!AC504</f>
        <v>6.0352053646269815E-3</v>
      </c>
      <c r="AC503">
        <f ca="1">'ETF variations'!AC503/'ETF price'!AD504</f>
        <v>-5.559515324305056E-2</v>
      </c>
      <c r="AD503">
        <f ca="1">'ETF variations'!AD503/'ETF price'!AE504</f>
        <v>-4.9794426678848779E-2</v>
      </c>
      <c r="AE503">
        <f ca="1">'ETF variations'!AE503/'ETF price'!AF504</f>
        <v>-3.4068136272545076E-2</v>
      </c>
      <c r="AF503">
        <f ca="1">'ETF variations'!AF503/'ETF price'!AG504</f>
        <v>-2.9680874804731205E-2</v>
      </c>
    </row>
    <row r="504" spans="1:32" x14ac:dyDescent="0.2">
      <c r="A504">
        <f ca="1">'ETF variations'!A504/'ETF price'!B505</f>
        <v>-7.3303508866491328E-3</v>
      </c>
      <c r="B504">
        <f ca="1">'ETF variations'!B504/'ETF price'!C505</f>
        <v>-6.021764376962474E-3</v>
      </c>
      <c r="C504">
        <f ca="1">'ETF variations'!C504/'ETF price'!D505</f>
        <v>3.1472585721385596E-3</v>
      </c>
      <c r="D504">
        <f ca="1">'ETF variations'!D504/'ETF price'!E505</f>
        <v>-8.3912995473113712E-3</v>
      </c>
      <c r="E504">
        <f ca="1">'ETF variations'!E504/'ETF price'!F505</f>
        <v>-3.0653950953678428E-3</v>
      </c>
      <c r="F504">
        <f ca="1">'ETF variations'!F504/'ETF price'!G505</f>
        <v>-2.2279985146676094E-3</v>
      </c>
      <c r="G504">
        <f ca="1">'ETF variations'!G504/'ETF price'!H505</f>
        <v>-3.0581039755352389E-3</v>
      </c>
      <c r="H504">
        <f ca="1">'ETF variations'!H504/'ETF price'!I505</f>
        <v>4.980151569830369E-3</v>
      </c>
      <c r="I504">
        <f ca="1">'ETF variations'!I504/'ETF price'!J505</f>
        <v>4.7707290147064934E-3</v>
      </c>
      <c r="J504">
        <f ca="1">'ETF variations'!J504/'ETF price'!K505</f>
        <v>4.4143613890525518E-3</v>
      </c>
      <c r="K504">
        <f ca="1">'ETF variations'!K504/'ETF price'!L505</f>
        <v>1.4172335600907028E-2</v>
      </c>
      <c r="L504">
        <f ca="1">'ETF variations'!L504/'ETF price'!M505</f>
        <v>-2.2810218978103051E-3</v>
      </c>
      <c r="M504">
        <f ca="1">'ETF variations'!M504/'ETF price'!N505</f>
        <v>4.8937146352652271E-3</v>
      </c>
      <c r="N504">
        <f ca="1">'ETF variations'!N504/'ETF price'!O505</f>
        <v>3.9875941515285715E-3</v>
      </c>
      <c r="O504">
        <f ca="1">'ETF variations'!O504/'ETF price'!P505</f>
        <v>-1.7533673943334941E-2</v>
      </c>
      <c r="P504">
        <f ca="1">'ETF variations'!P504/'ETF price'!Q505</f>
        <v>-1.5916666666666638E-2</v>
      </c>
      <c r="Q504">
        <f ca="1">'ETF variations'!Q504/'ETF price'!R505</f>
        <v>-3.1964010891440279E-3</v>
      </c>
      <c r="R504">
        <f ca="1">'ETF variations'!R504/'ETF price'!S505</f>
        <v>2.0629190304280115E-3</v>
      </c>
      <c r="S504">
        <f ca="1">'ETF variations'!S504/'ETF price'!T505</f>
        <v>-5.4200542005420505E-3</v>
      </c>
      <c r="T504">
        <f ca="1">'ETF variations'!T504/'ETF price'!U505</f>
        <v>-9.0922422642616893E-3</v>
      </c>
      <c r="U504">
        <f ca="1">'ETF variations'!U504/'ETF price'!V505</f>
        <v>-2.6158146964856136E-2</v>
      </c>
      <c r="V504">
        <f ca="1">'ETF variations'!V504/'ETF price'!W505</f>
        <v>4.0064102564104087E-3</v>
      </c>
      <c r="W504">
        <f ca="1">'ETF variations'!W504/'ETF price'!X505</f>
        <v>3.6148537627341249E-3</v>
      </c>
      <c r="X504">
        <f ca="1">'ETF variations'!X504/'ETF price'!Y505</f>
        <v>6.0080106809079475E-3</v>
      </c>
      <c r="Y504">
        <f ca="1">'ETF variations'!Y504/'ETF price'!Z505</f>
        <v>3.4169906916459531E-3</v>
      </c>
      <c r="Z504">
        <f ca="1">'ETF variations'!Z504/'ETF price'!AA505</f>
        <v>-2.5335697998480219E-3</v>
      </c>
      <c r="AA504">
        <f ca="1">'ETF variations'!AA504/'ETF price'!AB505</f>
        <v>4.9144879103597411E-3</v>
      </c>
      <c r="AB504">
        <f ca="1">'ETF variations'!AB504/'ETF price'!AC505</f>
        <v>-7.4987502082985462E-3</v>
      </c>
      <c r="AC504">
        <f ca="1">'ETF variations'!AC504/'ETF price'!AD505</f>
        <v>2.9433962264150987E-2</v>
      </c>
      <c r="AD504">
        <f ca="1">'ETF variations'!AD504/'ETF price'!AE505</f>
        <v>3.4615384615384562E-2</v>
      </c>
      <c r="AE504">
        <f ca="1">'ETF variations'!AE504/'ETF price'!AF505</f>
        <v>-6.8464730290456438E-2</v>
      </c>
      <c r="AF504">
        <f ca="1">'ETF variations'!AF504/'ETF price'!AG505</f>
        <v>4.8988040478380929E-2</v>
      </c>
    </row>
    <row r="505" spans="1:32" x14ac:dyDescent="0.2">
      <c r="A505">
        <f ca="1">'ETF variations'!A505/'ETF price'!B506</f>
        <v>-2.7148829885422681E-4</v>
      </c>
      <c r="B505">
        <f ca="1">'ETF variations'!B505/'ETF price'!C506</f>
        <v>2.3800250984467878E-4</v>
      </c>
      <c r="C505">
        <f ca="1">'ETF variations'!C505/'ETF price'!D506</f>
        <v>9.5772787318361662E-3</v>
      </c>
      <c r="D505">
        <f ca="1">'ETF variations'!D505/'ETF price'!E506</f>
        <v>5.5116356753146037E-3</v>
      </c>
      <c r="E505">
        <f ca="1">'ETF variations'!E505/'ETF price'!F506</f>
        <v>-2.0498804236419106E-3</v>
      </c>
      <c r="F505">
        <f ca="1">'ETF variations'!F505/'ETF price'!G506</f>
        <v>-1.1164867882397147E-3</v>
      </c>
      <c r="G505">
        <f ca="1">'ETF variations'!G505/'ETF price'!H506</f>
        <v>7.6687116564429171E-4</v>
      </c>
      <c r="H505">
        <f ca="1">'ETF variations'!H505/'ETF price'!I506</f>
        <v>-8.6182131571390795E-4</v>
      </c>
      <c r="I505">
        <f ca="1">'ETF variations'!I505/'ETF price'!J506</f>
        <v>-7.4556584523621772E-4</v>
      </c>
      <c r="J505">
        <f ca="1">'ETF variations'!J505/'ETF price'!K506</f>
        <v>-2.9299736302373694E-3</v>
      </c>
      <c r="K505">
        <f ca="1">'ETF variations'!K505/'ETF price'!L506</f>
        <v>-1.6769144773617181E-3</v>
      </c>
      <c r="L505">
        <f ca="1">'ETF variations'!L505/'ETF price'!M506</f>
        <v>-7.6207895137936294E-3</v>
      </c>
      <c r="M505">
        <f ca="1">'ETF variations'!M505/'ETF price'!N506</f>
        <v>-6.087353523054641E-4</v>
      </c>
      <c r="N505">
        <f ca="1">'ETF variations'!N505/'ETF price'!O506</f>
        <v>-8.8261253309795116E-4</v>
      </c>
      <c r="O505">
        <f ca="1">'ETF variations'!O505/'ETF price'!P506</f>
        <v>8.2732537525123965E-4</v>
      </c>
      <c r="P505">
        <f ca="1">'ETF variations'!P505/'ETF price'!Q506</f>
        <v>1.1855364552460035E-3</v>
      </c>
      <c r="Q505">
        <f ca="1">'ETF variations'!Q505/'ETF price'!R506</f>
        <v>1.6627078384798166E-3</v>
      </c>
      <c r="R505">
        <f ca="1">'ETF variations'!R505/'ETF price'!S506</f>
        <v>-2.0586721564590398E-3</v>
      </c>
      <c r="S505">
        <f ca="1">'ETF variations'!S505/'ETF price'!T506</f>
        <v>4.9954586739327624E-3</v>
      </c>
      <c r="T505">
        <f ca="1">'ETF variations'!T505/'ETF price'!U506</f>
        <v>2.1607222140003081E-2</v>
      </c>
      <c r="U505">
        <f ca="1">'ETF variations'!U505/'ETF price'!V506</f>
        <v>-9.8421160549518952E-3</v>
      </c>
      <c r="V505">
        <f ca="1">'ETF variations'!V505/'ETF price'!W506</f>
        <v>4.2564511838253946E-3</v>
      </c>
      <c r="W505">
        <f ca="1">'ETF variations'!W505/'ETF price'!X506</f>
        <v>5.4573237284435711E-3</v>
      </c>
      <c r="X505">
        <f ca="1">'ETF variations'!X505/'ETF price'!Y506</f>
        <v>1.0174740101747419E-2</v>
      </c>
      <c r="Y505">
        <f ca="1">'ETF variations'!Y505/'ETF price'!Z506</f>
        <v>5.8713010803193993E-3</v>
      </c>
      <c r="Z505">
        <f ca="1">'ETF variations'!Z505/'ETF price'!AA506</f>
        <v>-2.0320040640080849E-3</v>
      </c>
      <c r="AA505">
        <f ca="1">'ETF variations'!AA505/'ETF price'!AB506</f>
        <v>1.1932707355242557E-2</v>
      </c>
      <c r="AB505">
        <f ca="1">'ETF variations'!AB505/'ETF price'!AC506</f>
        <v>6.7159167226324955E-4</v>
      </c>
      <c r="AC505">
        <f ca="1">'ETF variations'!AC505/'ETF price'!AD506</f>
        <v>-1.026392961876837E-2</v>
      </c>
      <c r="AD505">
        <f ca="1">'ETF variations'!AD505/'ETF price'!AE506</f>
        <v>-5.1115241635687472E-3</v>
      </c>
      <c r="AE505">
        <f ca="1">'ETF variations'!AE505/'ETF price'!AF506</f>
        <v>-3.563474387527843E-2</v>
      </c>
      <c r="AF505">
        <f ca="1">'ETF variations'!AF505/'ETF price'!AG506</f>
        <v>-4.7796535847401879E-2</v>
      </c>
    </row>
    <row r="506" spans="1:32" x14ac:dyDescent="0.2">
      <c r="A506">
        <f ca="1">'ETF variations'!A506/'ETF price'!B507</f>
        <v>2.509233108842062E-2</v>
      </c>
      <c r="B506">
        <f ca="1">'ETF variations'!B506/'ETF price'!C507</f>
        <v>2.5460208959743845E-2</v>
      </c>
      <c r="C506">
        <f ca="1">'ETF variations'!C506/'ETF price'!D507</f>
        <v>4.4160942100097481E-3</v>
      </c>
      <c r="D506">
        <f ca="1">'ETF variations'!D506/'ETF price'!E507</f>
        <v>3.2611704778251406E-2</v>
      </c>
      <c r="E506">
        <f ca="1">'ETF variations'!E506/'ETF price'!F507</f>
        <v>1.9856213625470669E-2</v>
      </c>
      <c r="F506">
        <f ca="1">'ETF variations'!F506/'ETF price'!G507</f>
        <v>3.204172876304022E-2</v>
      </c>
      <c r="G506">
        <f ca="1">'ETF variations'!G506/'ETF price'!H507</f>
        <v>1.6091954022988433E-2</v>
      </c>
      <c r="H506">
        <f ca="1">'ETF variations'!H506/'ETF price'!I507</f>
        <v>8.8412880966071711E-3</v>
      </c>
      <c r="I506">
        <f ca="1">'ETF variations'!I506/'ETF price'!J507</f>
        <v>1.1034753583349592E-2</v>
      </c>
      <c r="J506">
        <f ca="1">'ETF variations'!J506/'ETF price'!K507</f>
        <v>2.4022920952100953E-2</v>
      </c>
      <c r="K506">
        <f ca="1">'ETF variations'!K506/'ETF price'!L507</f>
        <v>4.6136618141097478E-2</v>
      </c>
      <c r="L506">
        <f ca="1">'ETF variations'!L506/'ETF price'!M507</f>
        <v>2.3498694516971296E-2</v>
      </c>
      <c r="M506">
        <f ca="1">'ETF variations'!M506/'ETF price'!N507</f>
        <v>1.1725293132328247E-2</v>
      </c>
      <c r="N506">
        <f ca="1">'ETF variations'!N506/'ETF price'!O507</f>
        <v>3.2685512367491093E-2</v>
      </c>
      <c r="O506">
        <f ca="1">'ETF variations'!O506/'ETF price'!P507</f>
        <v>-1.1572980632971231E-2</v>
      </c>
      <c r="P506">
        <f ca="1">'ETF variations'!P506/'ETF price'!Q507</f>
        <v>-1.1418421720375611E-2</v>
      </c>
      <c r="Q506">
        <f ca="1">'ETF variations'!Q506/'ETF price'!R507</f>
        <v>4.2684372776855516E-3</v>
      </c>
      <c r="R506">
        <f ca="1">'ETF variations'!R506/'ETF price'!S507</f>
        <v>5.8449372528794272E-3</v>
      </c>
      <c r="S506">
        <f ca="1">'ETF variations'!S506/'ETF price'!T507</f>
        <v>-1.4460009037505661E-2</v>
      </c>
      <c r="T506">
        <f ca="1">'ETF variations'!T506/'ETF price'!U507</f>
        <v>-3.809937708242786E-2</v>
      </c>
      <c r="U506">
        <f ca="1">'ETF variations'!U506/'ETF price'!V507</f>
        <v>0</v>
      </c>
      <c r="V506">
        <f ca="1">'ETF variations'!V506/'ETF price'!W507</f>
        <v>6.357615894039788E-3</v>
      </c>
      <c r="W506">
        <f ca="1">'ETF variations'!W506/'ETF price'!X507</f>
        <v>6.6217976552322994E-3</v>
      </c>
      <c r="X506">
        <f ca="1">'ETF variations'!X506/'ETF price'!Y507</f>
        <v>9.1964090212393618E-3</v>
      </c>
      <c r="Y506">
        <f ca="1">'ETF variations'!Y506/'ETF price'!Z507</f>
        <v>4.9031053000233686E-3</v>
      </c>
      <c r="Z506">
        <f ca="1">'ETF variations'!Z506/'ETF price'!AA507</f>
        <v>1.3743955204886717E-2</v>
      </c>
      <c r="AA506">
        <f ca="1">'ETF variations'!AA506/'ETF price'!AB507</f>
        <v>9.2789483858496807E-3</v>
      </c>
      <c r="AB506">
        <f ca="1">'ETF variations'!AB506/'ETF price'!AC507</f>
        <v>-5.7046979865772382E-3</v>
      </c>
      <c r="AC506">
        <f ca="1">'ETF variations'!AC506/'ETF price'!AD507</f>
        <v>5.7037037037037004E-2</v>
      </c>
      <c r="AD506">
        <f ca="1">'ETF variations'!AD506/'ETF price'!AE507</f>
        <v>6.7258290518449379E-2</v>
      </c>
      <c r="AE506">
        <f ca="1">'ETF variations'!AE506/'ETF price'!AF507</f>
        <v>3.0023094688221685E-2</v>
      </c>
      <c r="AF506">
        <f ca="1">'ETF variations'!AF506/'ETF price'!AG507</f>
        <v>5.1346995164632668E-2</v>
      </c>
    </row>
    <row r="507" spans="1:32" x14ac:dyDescent="0.2">
      <c r="A507">
        <f ca="1">'ETF variations'!A507/'ETF price'!B508</f>
        <v>1.5894881848044025E-3</v>
      </c>
      <c r="B507">
        <f ca="1">'ETF variations'!B507/'ETF price'!C508</f>
        <v>1.7719276041006939E-3</v>
      </c>
      <c r="C507">
        <f ca="1">'ETF variations'!C507/'ETF price'!D508</f>
        <v>2.6054388536069649E-3</v>
      </c>
      <c r="D507">
        <f ca="1">'ETF variations'!D507/'ETF price'!E508</f>
        <v>3.2171581769438218E-4</v>
      </c>
      <c r="E507">
        <f ca="1">'ETF variations'!E507/'ETF price'!F508</f>
        <v>1.4266532393420635E-2</v>
      </c>
      <c r="F507">
        <f ca="1">'ETF variations'!F507/'ETF price'!G508</f>
        <v>1.0830324909747702E-3</v>
      </c>
      <c r="G507">
        <f ca="1">'ETF variations'!G507/'ETF price'!H508</f>
        <v>-4.1478129713423614E-3</v>
      </c>
      <c r="H507">
        <f ca="1">'ETF variations'!H507/'ETF price'!I508</f>
        <v>-1.4250089063043685E-4</v>
      </c>
      <c r="I507">
        <f ca="1">'ETF variations'!I507/'ETF price'!J508</f>
        <v>3.4956886506654175E-4</v>
      </c>
      <c r="J507">
        <f ca="1">'ETF variations'!J507/'ETF price'!K508</f>
        <v>-3.228352105602903E-3</v>
      </c>
      <c r="K507">
        <f ca="1">'ETF variations'!K507/'ETF price'!L508</f>
        <v>1.9267822736030037E-3</v>
      </c>
      <c r="L507">
        <f ca="1">'ETF variations'!L507/'ETF price'!M508</f>
        <v>-3.3013205282112672E-3</v>
      </c>
      <c r="M507">
        <f ca="1">'ETF variations'!M507/'ETF price'!N508</f>
        <v>-6.020469596627339E-4</v>
      </c>
      <c r="N507">
        <f ca="1">'ETF variations'!N507/'ETF price'!O508</f>
        <v>-4.2771599657826292E-3</v>
      </c>
      <c r="O507">
        <f ca="1">'ETF variations'!O507/'ETF price'!P508</f>
        <v>-1.6009557945041858E-2</v>
      </c>
      <c r="P507">
        <f ca="1">'ETF variations'!P507/'ETF price'!Q508</f>
        <v>-1.5485968514715969E-2</v>
      </c>
      <c r="Q507">
        <f ca="1">'ETF variations'!Q507/'ETF price'!R508</f>
        <v>-1.1452184179456893E-2</v>
      </c>
      <c r="R507">
        <f ca="1">'ETF variations'!R507/'ETF price'!S508</f>
        <v>-1.4527431208340479E-2</v>
      </c>
      <c r="S507">
        <f ca="1">'ETF variations'!S507/'ETF price'!T508</f>
        <v>7.3360843649702039E-3</v>
      </c>
      <c r="T507">
        <f ca="1">'ETF variations'!T507/'ETF price'!U508</f>
        <v>1.490963855421679E-2</v>
      </c>
      <c r="U507">
        <f ca="1">'ETF variations'!U507/'ETF price'!V508</f>
        <v>-7.8691240422448239E-3</v>
      </c>
      <c r="V507">
        <f ca="1">'ETF variations'!V507/'ETF price'!W508</f>
        <v>-6.3174519610424314E-3</v>
      </c>
      <c r="W507">
        <f ca="1">'ETF variations'!W507/'ETF price'!X508</f>
        <v>-7.6566375498760691E-3</v>
      </c>
      <c r="X507">
        <f ca="1">'ETF variations'!X507/'ETF price'!Y508</f>
        <v>-1.1716207420264834E-2</v>
      </c>
      <c r="Y507">
        <f ca="1">'ETF variations'!Y507/'ETF price'!Z508</f>
        <v>-8.3643122676579796E-3</v>
      </c>
      <c r="Z507">
        <f ca="1">'ETF variations'!Z507/'ETF price'!AA508</f>
        <v>-7.0298769771529289E-3</v>
      </c>
      <c r="AA507">
        <f ca="1">'ETF variations'!AA507/'ETF price'!AB508</f>
        <v>-1.1300517142309967E-2</v>
      </c>
      <c r="AB507">
        <f ca="1">'ETF variations'!AB507/'ETF price'!AC508</f>
        <v>-4.5561930475868382E-3</v>
      </c>
      <c r="AC507">
        <f ca="1">'ETF variations'!AC507/'ETF price'!AD508</f>
        <v>-2.3826208829712675E-2</v>
      </c>
      <c r="AD507">
        <f ca="1">'ETF variations'!AD507/'ETF price'!AE508</f>
        <v>-5.6892778993436564E-3</v>
      </c>
      <c r="AE507">
        <f ca="1">'ETF variations'!AE507/'ETF price'!AF508</f>
        <v>-3.8116591928251106E-2</v>
      </c>
      <c r="AF507">
        <f ca="1">'ETF variations'!AF507/'ETF price'!AG508</f>
        <v>-2.1681997371878994E-2</v>
      </c>
    </row>
    <row r="508" spans="1:32" x14ac:dyDescent="0.2">
      <c r="A508">
        <f ca="1">'ETF variations'!A508/'ETF price'!B509</f>
        <v>8.5167160389336312E-3</v>
      </c>
      <c r="B508">
        <f ca="1">'ETF variations'!B508/'ETF price'!C509</f>
        <v>8.4859970520110121E-3</v>
      </c>
      <c r="C508">
        <f ca="1">'ETF variations'!C508/'ETF price'!D509</f>
        <v>1.7865843755075432E-3</v>
      </c>
      <c r="D508">
        <f ca="1">'ETF variations'!D508/'ETF price'!E509</f>
        <v>-3.376929674099461E-3</v>
      </c>
      <c r="E508">
        <f ca="1">'ETF variations'!E508/'ETF price'!F509</f>
        <v>1.4562303491643266E-2</v>
      </c>
      <c r="F508">
        <f ca="1">'ETF variations'!F508/'ETF price'!G509</f>
        <v>2.4522178146411819E-2</v>
      </c>
      <c r="G508">
        <f ca="1">'ETF variations'!G508/'ETF price'!H509</f>
        <v>0</v>
      </c>
      <c r="H508">
        <f ca="1">'ETF variations'!H508/'ETF price'!I509</f>
        <v>4.5606784009120382E-3</v>
      </c>
      <c r="I508">
        <f ca="1">'ETF variations'!I508/'ETF price'!J509</f>
        <v>3.1450203843913891E-3</v>
      </c>
      <c r="J508">
        <f ca="1">'ETF variations'!J508/'ETF price'!K509</f>
        <v>-7.0534043472001567E-3</v>
      </c>
      <c r="K508">
        <f ca="1">'ETF variations'!K508/'ETF price'!L509</f>
        <v>-1.143162393162386E-2</v>
      </c>
      <c r="L508">
        <f ca="1">'ETF variations'!L508/'ETF price'!M509</f>
        <v>-1.2646793134598064E-2</v>
      </c>
      <c r="M508">
        <f ca="1">'ETF variations'!M508/'ETF price'!N509</f>
        <v>3.6144578313252237E-3</v>
      </c>
      <c r="N508">
        <f ca="1">'ETF variations'!N508/'ETF price'!O509</f>
        <v>-1.71821305841936E-3</v>
      </c>
      <c r="O508">
        <f ca="1">'ETF variations'!O508/'ETF price'!P509</f>
        <v>-9.8348712967460204E-3</v>
      </c>
      <c r="P508">
        <f ca="1">'ETF variations'!P508/'ETF price'!Q509</f>
        <v>-1.0167723994090445E-2</v>
      </c>
      <c r="Q508">
        <f ca="1">'ETF variations'!Q508/'ETF price'!R509</f>
        <v>-1.3137465663441948E-3</v>
      </c>
      <c r="R508">
        <f ca="1">'ETF variations'!R508/'ETF price'!S509</f>
        <v>-8.8449531737772816E-3</v>
      </c>
      <c r="S508">
        <f ca="1">'ETF variations'!S508/'ETF price'!T509</f>
        <v>-6.8274920345925616E-3</v>
      </c>
      <c r="T508">
        <f ca="1">'ETF variations'!T508/'ETF price'!U509</f>
        <v>-1.2316367413562818E-2</v>
      </c>
      <c r="U508">
        <f ca="1">'ETF variations'!U508/'ETF price'!V509</f>
        <v>7.3053642245877988E-3</v>
      </c>
      <c r="V508">
        <f ca="1">'ETF variations'!V508/'ETF price'!W509</f>
        <v>1.5894039735099941E-3</v>
      </c>
      <c r="W508">
        <f ca="1">'ETF variations'!W508/'ETF price'!X509</f>
        <v>2.282112584220908E-3</v>
      </c>
      <c r="X508">
        <f ca="1">'ETF variations'!X508/'ETF price'!Y509</f>
        <v>2.4149286498353333E-3</v>
      </c>
      <c r="Y508">
        <f ca="1">'ETF variations'!Y508/'ETF price'!Z509</f>
        <v>2.2258669165885394E-3</v>
      </c>
      <c r="Z508">
        <f ca="1">'ETF variations'!Z508/'ETF price'!AA509</f>
        <v>1.517067003792725E-3</v>
      </c>
      <c r="AA508">
        <f ca="1">'ETF variations'!AA508/'ETF price'!AB509</f>
        <v>2.3246803564510761E-3</v>
      </c>
      <c r="AB508">
        <f ca="1">'ETF variations'!AB508/'ETF price'!AC509</f>
        <v>-7.6284115951856723E-3</v>
      </c>
      <c r="AC508">
        <f ca="1">'ETF variations'!AC508/'ETF price'!AD509</f>
        <v>4.2354630294328781E-2</v>
      </c>
      <c r="AD508">
        <f ca="1">'ETF variations'!AD508/'ETF price'!AE509</f>
        <v>-1.5845070422535187E-2</v>
      </c>
      <c r="AE508">
        <f ca="1">'ETF variations'!AE508/'ETF price'!AF509</f>
        <v>5.3613053613053505E-2</v>
      </c>
      <c r="AF508">
        <f ca="1">'ETF variations'!AF508/'ETF price'!AG509</f>
        <v>-4.0295500335795773E-3</v>
      </c>
    </row>
    <row r="509" spans="1:32" x14ac:dyDescent="0.2">
      <c r="A509">
        <f ca="1">'ETF variations'!A509/'ETF price'!B510</f>
        <v>5.087857330186199E-3</v>
      </c>
      <c r="B509">
        <f ca="1">'ETF variations'!B509/'ETF price'!C510</f>
        <v>3.5078195143340503E-3</v>
      </c>
      <c r="C509">
        <f ca="1">'ETF variations'!C509/'ETF price'!D510</f>
        <v>-5.3501945525291552E-3</v>
      </c>
      <c r="D509">
        <f ca="1">'ETF variations'!D509/'ETF price'!E510</f>
        <v>3.7110740601301443E-3</v>
      </c>
      <c r="E509">
        <f ca="1">'ETF variations'!E509/'ETF price'!F510</f>
        <v>5.3824824661555743E-3</v>
      </c>
      <c r="F509">
        <f ca="1">'ETF variations'!F509/'ETF price'!G510</f>
        <v>9.5036958817317687E-3</v>
      </c>
      <c r="G509">
        <f ca="1">'ETF variations'!G509/'ETF price'!H510</f>
        <v>-1.893222264293855E-3</v>
      </c>
      <c r="H509">
        <f ca="1">'ETF variations'!H509/'ETF price'!I510</f>
        <v>-7.0937078811090528E-4</v>
      </c>
      <c r="I509">
        <f ca="1">'ETF variations'!I509/'ETF price'!J510</f>
        <v>-2.0126954636942198E-3</v>
      </c>
      <c r="J509">
        <f ca="1">'ETF variations'!J509/'ETF price'!K510</f>
        <v>-7.8283560452305917E-3</v>
      </c>
      <c r="K509">
        <f ca="1">'ETF variations'!K509/'ETF price'!L510</f>
        <v>-2.2263049821679478E-2</v>
      </c>
      <c r="L509">
        <f ca="1">'ETF variations'!L509/'ETF price'!M510</f>
        <v>-3.8121378469045441E-3</v>
      </c>
      <c r="M509">
        <f ca="1">'ETF variations'!M509/'ETF price'!N510</f>
        <v>-1.500600240095953E-3</v>
      </c>
      <c r="N509">
        <f ca="1">'ETF variations'!N509/'ETF price'!O510</f>
        <v>-1.2908777969018811E-2</v>
      </c>
      <c r="O509">
        <f ca="1">'ETF variations'!O509/'ETF price'!P510</f>
        <v>2.5751072961374367E-3</v>
      </c>
      <c r="P509">
        <f ca="1">'ETF variations'!P509/'ETF price'!Q510</f>
        <v>1.0535557506583875E-3</v>
      </c>
      <c r="Q509">
        <f ca="1">'ETF variations'!Q509/'ETF price'!R510</f>
        <v>-2.98971537909591E-3</v>
      </c>
      <c r="R509">
        <f ca="1">'ETF variations'!R509/'ETF price'!S510</f>
        <v>-3.4995625546805904E-3</v>
      </c>
      <c r="S509">
        <f ca="1">'ETF variations'!S509/'ETF price'!T510</f>
        <v>7.332722273143911E-3</v>
      </c>
      <c r="T509">
        <f ca="1">'ETF variations'!T509/'ETF price'!U510</f>
        <v>1.6376201923076972E-2</v>
      </c>
      <c r="U509">
        <f ca="1">'ETF variations'!U509/'ETF price'!V510</f>
        <v>-2.590136759220887E-2</v>
      </c>
      <c r="V509">
        <f ca="1">'ETF variations'!V509/'ETF price'!W510</f>
        <v>-3.7027241470510594E-3</v>
      </c>
      <c r="W509">
        <f ca="1">'ETF variations'!W509/'ETF price'!X510</f>
        <v>-4.9875311720699112E-3</v>
      </c>
      <c r="X509">
        <f ca="1">'ETF variations'!X509/'ETF price'!Y510</f>
        <v>-1.0512483574244348E-2</v>
      </c>
      <c r="Y509">
        <f ca="1">'ETF variations'!Y509/'ETF price'!Z510</f>
        <v>-5.7276446522500869E-3</v>
      </c>
      <c r="Z509">
        <f ca="1">'ETF variations'!Z509/'ETF price'!AA510</f>
        <v>-9.3410754859883215E-3</v>
      </c>
      <c r="AA509">
        <f ca="1">'ETF variations'!AA509/'ETF price'!AB510</f>
        <v>-1.3142636258214142E-2</v>
      </c>
      <c r="AB509">
        <f ca="1">'ETF variations'!AB509/'ETF price'!AC510</f>
        <v>-3.4164673727365177E-3</v>
      </c>
      <c r="AC509">
        <f ca="1">'ETF variations'!AC509/'ETF price'!AD510</f>
        <v>2.8925619834710741E-2</v>
      </c>
      <c r="AD509">
        <f ca="1">'ETF variations'!AD509/'ETF price'!AE510</f>
        <v>-1.3416815742397646E-3</v>
      </c>
      <c r="AE509">
        <f ca="1">'ETF variations'!AE509/'ETF price'!AF510</f>
        <v>-2.4336283185840586E-2</v>
      </c>
      <c r="AF509">
        <f ca="1">'ETF variations'!AF509/'ETF price'!AG510</f>
        <v>-8.5637221847606249E-2</v>
      </c>
    </row>
    <row r="510" spans="1:32" x14ac:dyDescent="0.2">
      <c r="A510">
        <f ca="1">'ETF variations'!A510/'ETF price'!B511</f>
        <v>3.2355703997495279E-3</v>
      </c>
      <c r="B510">
        <f ca="1">'ETF variations'!B510/'ETF price'!C511</f>
        <v>2.2263373629345896E-3</v>
      </c>
      <c r="C510">
        <f ca="1">'ETF variations'!C510/'ETF price'!D511</f>
        <v>1.9233903830480844E-2</v>
      </c>
      <c r="D510">
        <f ca="1">'ETF variations'!D510/'ETF price'!E511</f>
        <v>-4.3939556317650471E-3</v>
      </c>
      <c r="E510">
        <f ca="1">'ETF variations'!E510/'ETF price'!F511</f>
        <v>7.1382219338091777E-3</v>
      </c>
      <c r="F510">
        <f ca="1">'ETF variations'!F510/'ETF price'!G511</f>
        <v>3.8354253835425184E-3</v>
      </c>
      <c r="G510">
        <f ca="1">'ETF variations'!G510/'ETF price'!H511</f>
        <v>-4.5523520485584593E-3</v>
      </c>
      <c r="H510">
        <f ca="1">'ETF variations'!H510/'ETF price'!I511</f>
        <v>-2.4845602328387472E-3</v>
      </c>
      <c r="I510">
        <f ca="1">'ETF variations'!I510/'ETF price'!J511</f>
        <v>-2.4821594787464568E-3</v>
      </c>
      <c r="J510">
        <f ca="1">'ETF variations'!J510/'ETF price'!K511</f>
        <v>1.8264172998246639E-3</v>
      </c>
      <c r="K510">
        <f ca="1">'ETF variations'!K510/'ETF price'!L511</f>
        <v>-5.5266939316897491E-4</v>
      </c>
      <c r="L510">
        <f ca="1">'ETF variations'!L510/'ETF price'!M511</f>
        <v>-5.0512781264349963E-3</v>
      </c>
      <c r="M510">
        <f ca="1">'ETF variations'!M510/'ETF price'!N511</f>
        <v>-3.1559963931470985E-3</v>
      </c>
      <c r="N510">
        <f ca="1">'ETF variations'!N510/'ETF price'!O511</f>
        <v>-1.1333914559721079E-2</v>
      </c>
      <c r="O510">
        <f ca="1">'ETF variations'!O510/'ETF price'!P511</f>
        <v>1.1252446183953053E-2</v>
      </c>
      <c r="P510">
        <f ca="1">'ETF variations'!P510/'ETF price'!Q511</f>
        <v>1.324329065076307E-2</v>
      </c>
      <c r="Q510">
        <f ca="1">'ETF variations'!Q510/'ETF price'!R511</f>
        <v>9.5957778577423884E-4</v>
      </c>
      <c r="R510">
        <f ca="1">'ETF variations'!R510/'ETF price'!S511</f>
        <v>1.0184372256365202E-2</v>
      </c>
      <c r="S510">
        <f ca="1">'ETF variations'!S510/'ETF price'!T511</f>
        <v>3.6396724294812692E-3</v>
      </c>
      <c r="T510">
        <f ca="1">'ETF variations'!T510/'ETF price'!U511</f>
        <v>5.4693274205467896E-3</v>
      </c>
      <c r="U510">
        <f ca="1">'ETF variations'!U510/'ETF price'!V511</f>
        <v>-1.1912359072537656E-2</v>
      </c>
      <c r="V510">
        <f ca="1">'ETF variations'!V510/'ETF price'!W511</f>
        <v>-1.8582426333952822E-3</v>
      </c>
      <c r="W510">
        <f ca="1">'ETF variations'!W510/'ETF price'!X511</f>
        <v>-2.6152337365151455E-3</v>
      </c>
      <c r="X510">
        <f ca="1">'ETF variations'!X510/'ETF price'!Y511</f>
        <v>-8.4108012394865546E-3</v>
      </c>
      <c r="Y510">
        <f ca="1">'ETF variations'!Y510/'ETF price'!Z511</f>
        <v>-2.7039736656478248E-3</v>
      </c>
      <c r="Z510">
        <f ca="1">'ETF variations'!Z510/'ETF price'!AA511</f>
        <v>7.6452599388378475E-3</v>
      </c>
      <c r="AA510">
        <f ca="1">'ETF variations'!AA510/'ETF price'!AB511</f>
        <v>-1.3121817469643589E-2</v>
      </c>
      <c r="AB510">
        <f ca="1">'ETF variations'!AB510/'ETF price'!AC511</f>
        <v>1.8854988001371174E-3</v>
      </c>
      <c r="AC510">
        <f ca="1">'ETF variations'!AC510/'ETF price'!AD511</f>
        <v>-3.7483266398928967E-2</v>
      </c>
      <c r="AD510">
        <f ca="1">'ETF variations'!AD510/'ETF price'!AE511</f>
        <v>-5.6874160322436168E-2</v>
      </c>
      <c r="AE510">
        <f ca="1">'ETF variations'!AE510/'ETF price'!AF511</f>
        <v>5.8956916099773195E-2</v>
      </c>
      <c r="AF510">
        <f ca="1">'ETF variations'!AF510/'ETF price'!AG511</f>
        <v>-9.2674532940019747E-2</v>
      </c>
    </row>
    <row r="511" spans="1:32" x14ac:dyDescent="0.2">
      <c r="A511">
        <f ca="1">'ETF variations'!A511/'ETF price'!B512</f>
        <v>2.4968789013732301E-3</v>
      </c>
      <c r="B511">
        <f ca="1">'ETF variations'!B511/'ETF price'!C512</f>
        <v>1.47400763992688E-3</v>
      </c>
      <c r="C511">
        <f ca="1">'ETF variations'!C511/'ETF price'!D512</f>
        <v>2.3748600671677587E-2</v>
      </c>
      <c r="D511">
        <f ca="1">'ETF variations'!D511/'ETF price'!E512</f>
        <v>1.4155005382131299E-2</v>
      </c>
      <c r="E511">
        <f ca="1">'ETF variations'!E511/'ETF price'!F512</f>
        <v>-4.3492268041236473E-3</v>
      </c>
      <c r="F511">
        <f ca="1">'ETF variations'!F511/'ETF price'!G512</f>
        <v>-6.9468565474122713E-3</v>
      </c>
      <c r="G511">
        <f ca="1">'ETF variations'!G511/'ETF price'!H512</f>
        <v>-9.5274390243902437E-3</v>
      </c>
      <c r="H511">
        <f ca="1">'ETF variations'!H511/'ETF price'!I512</f>
        <v>-5.9777967549103569E-3</v>
      </c>
      <c r="I511">
        <f ca="1">'ETF variations'!I511/'ETF price'!J512</f>
        <v>-5.5598755832036491E-3</v>
      </c>
      <c r="J511">
        <f ca="1">'ETF variations'!J511/'ETF price'!K512</f>
        <v>-8.7508203894114244E-3</v>
      </c>
      <c r="K511">
        <f ca="1">'ETF variations'!K511/'ETF price'!L512</f>
        <v>-1.5040920150409195E-2</v>
      </c>
      <c r="L511">
        <f ca="1">'ETF variations'!L511/'ETF price'!M512</f>
        <v>-1.6923076923076835E-3</v>
      </c>
      <c r="M511">
        <f ca="1">'ETF variations'!M511/'ETF price'!N512</f>
        <v>-5.1258857229006995E-3</v>
      </c>
      <c r="N511">
        <f ca="1">'ETF variations'!N511/'ETF price'!O512</f>
        <v>-1.7636684303350907E-2</v>
      </c>
      <c r="O511">
        <f ca="1">'ETF variations'!O511/'ETF price'!P512</f>
        <v>-2.3826802128689078E-2</v>
      </c>
      <c r="P511">
        <f ca="1">'ETF variations'!P511/'ETF price'!Q512</f>
        <v>-2.3630225915346699E-2</v>
      </c>
      <c r="Q511">
        <f ca="1">'ETF variations'!Q511/'ETF price'!R512</f>
        <v>-1.1503894547633408E-2</v>
      </c>
      <c r="R511">
        <f ca="1">'ETF variations'!R511/'ETF price'!S512</f>
        <v>-2.6073353033200068E-2</v>
      </c>
      <c r="S511">
        <f ca="1">'ETF variations'!S511/'ETF price'!T512</f>
        <v>-8.6128739800542947E-3</v>
      </c>
      <c r="T511">
        <f ca="1">'ETF variations'!T511/'ETF price'!U512</f>
        <v>-1.1320199941193709E-2</v>
      </c>
      <c r="U511">
        <f ca="1">'ETF variations'!U511/'ETF price'!V512</f>
        <v>-4.6932185145317537E-2</v>
      </c>
      <c r="V511">
        <f ca="1">'ETF variations'!V511/'ETF price'!W512</f>
        <v>-6.9148936170212233E-3</v>
      </c>
      <c r="W511">
        <f ca="1">'ETF variations'!W511/'ETF price'!X512</f>
        <v>-6.9922429804435762E-3</v>
      </c>
      <c r="X511">
        <f ca="1">'ETF variations'!X511/'ETF price'!Y512</f>
        <v>-1.4732142857142782E-2</v>
      </c>
      <c r="Y511">
        <f ca="1">'ETF variations'!Y511/'ETF price'!Z512</f>
        <v>-7.3087351172934642E-3</v>
      </c>
      <c r="Z511">
        <f ca="1">'ETF variations'!Z511/'ETF price'!AA512</f>
        <v>-6.0698027314112796E-3</v>
      </c>
      <c r="AA511">
        <f ca="1">'ETF variations'!AA511/'ETF price'!AB512</f>
        <v>-1.6868426275054603E-2</v>
      </c>
      <c r="AB511">
        <f ca="1">'ETF variations'!AB511/'ETF price'!AC512</f>
        <v>1.5739948674080316E-2</v>
      </c>
      <c r="AC511">
        <f ca="1">'ETF variations'!AC511/'ETF price'!AD512</f>
        <v>-3.4770514603616625E-3</v>
      </c>
      <c r="AD511">
        <f ca="1">'ETF variations'!AD511/'ETF price'!AE512</f>
        <v>-7.1225071225070559E-3</v>
      </c>
      <c r="AE511">
        <f ca="1">'ETF variations'!AE511/'ETF price'!AF512</f>
        <v>-0.11991434689507487</v>
      </c>
      <c r="AF511">
        <f ca="1">'ETF variations'!AF511/'ETF price'!AG512</f>
        <v>-4.7141696017339342E-2</v>
      </c>
    </row>
    <row r="512" spans="1:32" x14ac:dyDescent="0.2">
      <c r="A512">
        <f ca="1">'ETF variations'!A512/'ETF price'!B513</f>
        <v>-4.9294312992942541E-3</v>
      </c>
      <c r="B512">
        <f ca="1">'ETF variations'!B512/'ETF price'!C513</f>
        <v>-5.4727502643089334E-3</v>
      </c>
      <c r="C512">
        <f ca="1">'ETF variations'!C512/'ETF price'!D513</f>
        <v>4.2177614621572443E-3</v>
      </c>
      <c r="D512">
        <f ca="1">'ETF variations'!D512/'ETF price'!E513</f>
        <v>-9.1811282704453538E-3</v>
      </c>
      <c r="E512">
        <f ca="1">'ETF variations'!E512/'ETF price'!F513</f>
        <v>-6.6332308687915174E-3</v>
      </c>
      <c r="F512">
        <f ca="1">'ETF variations'!F512/'ETF price'!G513</f>
        <v>-1.573976915005244E-2</v>
      </c>
      <c r="G512">
        <f ca="1">'ETF variations'!G512/'ETF price'!H513</f>
        <v>-7.3105040400153034E-3</v>
      </c>
      <c r="H512">
        <f ca="1">'ETF variations'!H512/'ETF price'!I513</f>
        <v>-2.004581901489126E-3</v>
      </c>
      <c r="I512">
        <f ca="1">'ETF variations'!I512/'ETF price'!J513</f>
        <v>-3.4405911561169169E-3</v>
      </c>
      <c r="J512">
        <f ca="1">'ETF variations'!J512/'ETF price'!K513</f>
        <v>-6.6946222320311667E-3</v>
      </c>
      <c r="K512">
        <f ca="1">'ETF variations'!K512/'ETF price'!L513</f>
        <v>-8.0844374578935424E-3</v>
      </c>
      <c r="L512">
        <f ca="1">'ETF variations'!L512/'ETF price'!M513</f>
        <v>-7.3971336107259049E-3</v>
      </c>
      <c r="M512">
        <f ca="1">'ETF variations'!M512/'ETF price'!N513</f>
        <v>-3.0307622367023584E-3</v>
      </c>
      <c r="N512">
        <f ca="1">'ETF variations'!N512/'ETF price'!O513</f>
        <v>-1.7728904847396747E-2</v>
      </c>
      <c r="O512">
        <f ca="1">'ETF variations'!O512/'ETF price'!P513</f>
        <v>-8.3013257341096221E-3</v>
      </c>
      <c r="P512">
        <f ca="1">'ETF variations'!P512/'ETF price'!Q513</f>
        <v>-8.1560283687943415E-3</v>
      </c>
      <c r="Q512">
        <f ca="1">'ETF variations'!Q512/'ETF price'!R513</f>
        <v>-7.2736089222935427E-3</v>
      </c>
      <c r="R512">
        <f ca="1">'ETF variations'!R512/'ETF price'!S513</f>
        <v>-7.6744601106550009E-3</v>
      </c>
      <c r="S512">
        <f ca="1">'ETF variations'!S512/'ETF price'!T513</f>
        <v>-1.3717421124829052E-3</v>
      </c>
      <c r="T512">
        <f ca="1">'ETF variations'!T512/'ETF price'!U513</f>
        <v>1.0260223048327103E-2</v>
      </c>
      <c r="U512">
        <f ca="1">'ETF variations'!U512/'ETF price'!V513</f>
        <v>-3.1172351479557318E-2</v>
      </c>
      <c r="V512">
        <f ca="1">'ETF variations'!V512/'ETF price'!W513</f>
        <v>-1.8746652383503021E-3</v>
      </c>
      <c r="W512">
        <f ca="1">'ETF variations'!W512/'ETF price'!X513</f>
        <v>-2.970623831004467E-3</v>
      </c>
      <c r="X512">
        <f ca="1">'ETF variations'!X512/'ETF price'!Y513</f>
        <v>-4.3044857272314845E-3</v>
      </c>
      <c r="Y512">
        <f ca="1">'ETF variations'!Y512/'ETF price'!Z513</f>
        <v>-3.5625222657641275E-3</v>
      </c>
      <c r="Z512">
        <f ca="1">'ETF variations'!Z512/'ETF price'!AA513</f>
        <v>-1.8320610687022874E-2</v>
      </c>
      <c r="AA512">
        <f ca="1">'ETF variations'!AA512/'ETF price'!AB513</f>
        <v>-4.2389987888575061E-3</v>
      </c>
      <c r="AB512">
        <f ca="1">'ETF variations'!AB512/'ETF price'!AC513</f>
        <v>5.5583628094998385E-3</v>
      </c>
      <c r="AC512">
        <f ca="1">'ETF variations'!AC512/'ETF price'!AD513</f>
        <v>-1.3956734124214883E-2</v>
      </c>
      <c r="AD512">
        <f ca="1">'ETF variations'!AD512/'ETF price'!AE513</f>
        <v>-1.0999521759923503E-2</v>
      </c>
      <c r="AE512">
        <f ca="1">'ETF variations'!AE512/'ETF price'!AF513</f>
        <v>-9.2457420924574291E-2</v>
      </c>
      <c r="AF512">
        <f ca="1">'ETF variations'!AF512/'ETF price'!AG513</f>
        <v>-3.5825988058004125E-2</v>
      </c>
    </row>
    <row r="513" spans="1:32" x14ac:dyDescent="0.2">
      <c r="A513">
        <f ca="1">'ETF variations'!A513/'ETF price'!B514</f>
        <v>2.0284716066120801E-2</v>
      </c>
      <c r="B513">
        <f ca="1">'ETF variations'!B513/'ETF price'!C514</f>
        <v>1.9447628973423624E-2</v>
      </c>
      <c r="C513">
        <f ca="1">'ETF variations'!C513/'ETF price'!D514</f>
        <v>4.122268025200289E-3</v>
      </c>
      <c r="D513">
        <f ca="1">'ETF variations'!D513/'ETF price'!E514</f>
        <v>3.3047670058918135E-2</v>
      </c>
      <c r="E513">
        <f ca="1">'ETF variations'!E513/'ETF price'!F514</f>
        <v>9.2833876221498426E-3</v>
      </c>
      <c r="F513">
        <f ca="1">'ETF variations'!F513/'ETF price'!G514</f>
        <v>1.1016346837242313E-2</v>
      </c>
      <c r="G513">
        <f ca="1">'ETF variations'!G513/'ETF price'!H514</f>
        <v>9.6899224806201549E-3</v>
      </c>
      <c r="H513">
        <f ca="1">'ETF variations'!H513/'ETF price'!I514</f>
        <v>-1.4347202295559707E-4</v>
      </c>
      <c r="I513">
        <f ca="1">'ETF variations'!I513/'ETF price'!J514</f>
        <v>3.9232610145561905E-4</v>
      </c>
      <c r="J513">
        <f ca="1">'ETF variations'!J513/'ETF price'!K514</f>
        <v>-3.4809657828469768E-3</v>
      </c>
      <c r="K513">
        <f ca="1">'ETF variations'!K513/'ETF price'!L514</f>
        <v>-1.4489472492642076E-2</v>
      </c>
      <c r="L513">
        <f ca="1">'ETF variations'!L513/'ETF price'!M514</f>
        <v>-2.0183201366246774E-3</v>
      </c>
      <c r="M513">
        <f ca="1">'ETF variations'!M513/'ETF price'!N514</f>
        <v>-9.11992704058402E-4</v>
      </c>
      <c r="N513">
        <f ca="1">'ETF variations'!N513/'ETF price'!O514</f>
        <v>-6.6255426090931283E-3</v>
      </c>
      <c r="O513">
        <f ca="1">'ETF variations'!O513/'ETF price'!P514</f>
        <v>-1.6241879060470972E-3</v>
      </c>
      <c r="P513">
        <f ca="1">'ETF variations'!P513/'ETF price'!Q514</f>
        <v>-9.8319628173042044E-4</v>
      </c>
      <c r="Q513">
        <f ca="1">'ETF variations'!Q513/'ETF price'!R514</f>
        <v>3.1749908413726356E-3</v>
      </c>
      <c r="R513">
        <f ca="1">'ETF variations'!R513/'ETF price'!S514</f>
        <v>1.1151079136690601E-2</v>
      </c>
      <c r="S513">
        <f ca="1">'ETF variations'!S513/'ETF price'!T514</f>
        <v>6.4102564102564361E-3</v>
      </c>
      <c r="T513">
        <f ca="1">'ETF variations'!T513/'ETF price'!U514</f>
        <v>1.6485133941713345E-2</v>
      </c>
      <c r="U513">
        <f ca="1">'ETF variations'!U513/'ETF price'!V514</f>
        <v>8.8598740965260565E-3</v>
      </c>
      <c r="V513">
        <f ca="1">'ETF variations'!V513/'ETF price'!W514</f>
        <v>1.6098738932115687E-3</v>
      </c>
      <c r="W513">
        <f ca="1">'ETF variations'!W513/'ETF price'!X514</f>
        <v>2.5380710659897348E-3</v>
      </c>
      <c r="X513">
        <f ca="1">'ETF variations'!X513/'ETF price'!Y514</f>
        <v>5.2332195676904857E-3</v>
      </c>
      <c r="Y513">
        <f ca="1">'ETF variations'!Y513/'ETF price'!Z514</f>
        <v>1.7876296031462959E-3</v>
      </c>
      <c r="Z513">
        <f ca="1">'ETF variations'!Z513/'ETF price'!AA514</f>
        <v>-6.4800414722654227E-3</v>
      </c>
      <c r="AA513">
        <f ca="1">'ETF variations'!AA513/'ETF price'!AB514</f>
        <v>8.9195215892966719E-3</v>
      </c>
      <c r="AB513">
        <f ca="1">'ETF variations'!AB513/'ETF price'!AC514</f>
        <v>1.0050251256280597E-3</v>
      </c>
      <c r="AC513">
        <f ca="1">'ETF variations'!AC513/'ETF price'!AD514</f>
        <v>-3.9631988676574699E-2</v>
      </c>
      <c r="AD513">
        <f ca="1">'ETF variations'!AD513/'ETF price'!AE514</f>
        <v>-4.6421663442940082E-2</v>
      </c>
      <c r="AE513">
        <f ca="1">'ETF variations'!AE513/'ETF price'!AF514</f>
        <v>2.6809651474531452E-3</v>
      </c>
      <c r="AF513">
        <f ca="1">'ETF variations'!AF513/'ETF price'!AG514</f>
        <v>-5.603066941905039E-2</v>
      </c>
    </row>
    <row r="514" spans="1:32" x14ac:dyDescent="0.2">
      <c r="A514">
        <f ca="1">'ETF variations'!A514/'ETF price'!B515</f>
        <v>2.3050189103546923E-2</v>
      </c>
      <c r="B514">
        <f ca="1">'ETF variations'!B514/'ETF price'!C515</f>
        <v>2.17142389793081E-2</v>
      </c>
      <c r="C514">
        <f ca="1">'ETF variations'!C514/'ETF price'!D515</f>
        <v>7.2037180480248398E-3</v>
      </c>
      <c r="D514">
        <f ca="1">'ETF variations'!D514/'ETF price'!E515</f>
        <v>3.9093690050292902E-2</v>
      </c>
      <c r="E514">
        <f ca="1">'ETF variations'!E514/'ETF price'!F515</f>
        <v>5.0024205260610338E-3</v>
      </c>
      <c r="F514">
        <f ca="1">'ETF variations'!F514/'ETF price'!G515</f>
        <v>9.1388400702988246E-3</v>
      </c>
      <c r="G514">
        <f ca="1">'ETF variations'!G514/'ETF price'!H515</f>
        <v>1.0748560460652498E-2</v>
      </c>
      <c r="H514">
        <f ca="1">'ETF variations'!H514/'ETF price'!I515</f>
        <v>5.7397044052240288E-4</v>
      </c>
      <c r="I514">
        <f ca="1">'ETF variations'!I514/'ETF price'!J515</f>
        <v>1.0980822777363862E-3</v>
      </c>
      <c r="J514">
        <f ca="1">'ETF variations'!J514/'ETF price'!K515</f>
        <v>4.6822742474916046E-3</v>
      </c>
      <c r="K514">
        <f ca="1">'ETF variations'!K514/'ETF price'!L515</f>
        <v>-1.1486331265799581E-4</v>
      </c>
      <c r="L514">
        <f ca="1">'ETF variations'!L514/'ETF price'!M515</f>
        <v>3.2669570628499336E-3</v>
      </c>
      <c r="M514">
        <f ca="1">'ETF variations'!M514/'ETF price'!N515</f>
        <v>9.128251939753883E-4</v>
      </c>
      <c r="N514">
        <f ca="1">'ETF variations'!N514/'ETF price'!O515</f>
        <v>-1.8399264029438432E-3</v>
      </c>
      <c r="O514">
        <f ca="1">'ETF variations'!O514/'ETF price'!P515</f>
        <v>3.2536603679139673E-3</v>
      </c>
      <c r="P514">
        <f ca="1">'ETF variations'!P514/'ETF price'!Q515</f>
        <v>2.5051444931555975E-3</v>
      </c>
      <c r="Q514">
        <f ca="1">'ETF variations'!Q514/'ETF price'!R515</f>
        <v>9.7382836275104431E-4</v>
      </c>
      <c r="R514">
        <f ca="1">'ETF variations'!R514/'ETF price'!S515</f>
        <v>3.379580220562037E-3</v>
      </c>
      <c r="S514">
        <f ca="1">'ETF variations'!S514/'ETF price'!T515</f>
        <v>-1.8198362147406346E-3</v>
      </c>
      <c r="T514">
        <f ca="1">'ETF variations'!T514/'ETF price'!U515</f>
        <v>-3.4752389226760656E-3</v>
      </c>
      <c r="U514">
        <f ca="1">'ETF variations'!U514/'ETF price'!V515</f>
        <v>-8.5509590940606537E-3</v>
      </c>
      <c r="V514">
        <f ca="1">'ETF variations'!V514/'ETF price'!W515</f>
        <v>1.6072863648540086E-2</v>
      </c>
      <c r="W514">
        <f ca="1">'ETF variations'!W514/'ETF price'!X515</f>
        <v>1.7061089708310526E-2</v>
      </c>
      <c r="X514">
        <f ca="1">'ETF variations'!X514/'ETF price'!Y515</f>
        <v>2.4445450430058812E-2</v>
      </c>
      <c r="Y514">
        <f ca="1">'ETF variations'!Y514/'ETF price'!Z515</f>
        <v>1.7487508922198417E-2</v>
      </c>
      <c r="Z514">
        <f ca="1">'ETF variations'!Z514/'ETF price'!AA515</f>
        <v>9.6530133055049462E-3</v>
      </c>
      <c r="AA514">
        <f ca="1">'ETF variations'!AA514/'ETF price'!AB515</f>
        <v>2.531645569620249E-2</v>
      </c>
      <c r="AB514">
        <f ca="1">'ETF variations'!AB514/'ETF price'!AC515</f>
        <v>4.5180722891566792E-3</v>
      </c>
      <c r="AC514">
        <f ca="1">'ETF variations'!AC514/'ETF price'!AD515</f>
        <v>1.4001473839351474E-2</v>
      </c>
      <c r="AD514">
        <f ca="1">'ETF variations'!AD514/'ETF price'!AE515</f>
        <v>1.876267748478707E-2</v>
      </c>
      <c r="AE514">
        <f ca="1">'ETF variations'!AE514/'ETF price'!AF515</f>
        <v>-1.0695187165775409E-2</v>
      </c>
      <c r="AF514">
        <f ca="1">'ETF variations'!AF514/'ETF price'!AG515</f>
        <v>-1.562011871290133E-3</v>
      </c>
    </row>
    <row r="515" spans="1:32" x14ac:dyDescent="0.2">
      <c r="A515">
        <f ca="1">'ETF variations'!A515/'ETF price'!B516</f>
        <v>4.3962631763002644E-3</v>
      </c>
      <c r="B515">
        <f ca="1">'ETF variations'!B515/'ETF price'!C516</f>
        <v>6.5239143486091472E-3</v>
      </c>
      <c r="C515">
        <f ca="1">'ETF variations'!C515/'ETF price'!D516</f>
        <v>4.4605091132816467E-3</v>
      </c>
      <c r="D515">
        <f ca="1">'ETF variations'!D515/'ETF price'!E516</f>
        <v>3.2932488398782324E-3</v>
      </c>
      <c r="E515">
        <f ca="1">'ETF variations'!E515/'ETF price'!F516</f>
        <v>1.7822736030828509E-2</v>
      </c>
      <c r="F515">
        <f ca="1">'ETF variations'!F515/'ETF price'!G516</f>
        <v>1.2539184952978037E-2</v>
      </c>
      <c r="G515">
        <f ca="1">'ETF variations'!G515/'ETF price'!H516</f>
        <v>1.1014052411697787E-2</v>
      </c>
      <c r="H515">
        <f ca="1">'ETF variations'!H515/'ETF price'!I516</f>
        <v>4.3740140542089861E-3</v>
      </c>
      <c r="I515">
        <f ca="1">'ETF variations'!I515/'ETF price'!J516</f>
        <v>5.131821208915947E-3</v>
      </c>
      <c r="J515">
        <f ca="1">'ETF variations'!J515/'ETF price'!K516</f>
        <v>3.2549193667702151E-3</v>
      </c>
      <c r="K515">
        <f ca="1">'ETF variations'!K515/'ETF price'!L516</f>
        <v>2.2515795519816289E-2</v>
      </c>
      <c r="L515">
        <f ca="1">'ETF variations'!L515/'ETF price'!M516</f>
        <v>1.6746782446890967E-2</v>
      </c>
      <c r="M515">
        <f ca="1">'ETF variations'!M515/'ETF price'!N516</f>
        <v>5.4719562243501964E-3</v>
      </c>
      <c r="N515">
        <f ca="1">'ETF variations'!N515/'ETF price'!O516</f>
        <v>1.8433179723502401E-2</v>
      </c>
      <c r="O515">
        <f ca="1">'ETF variations'!O515/'ETF price'!P516</f>
        <v>3.7420481476861315E-3</v>
      </c>
      <c r="P515">
        <f ca="1">'ETF variations'!P515/'ETF price'!Q516</f>
        <v>4.0160642570281381E-3</v>
      </c>
      <c r="Q515">
        <f ca="1">'ETF variations'!Q515/'ETF price'!R516</f>
        <v>2.9186428310834837E-3</v>
      </c>
      <c r="R515">
        <f ca="1">'ETF variations'!R515/'ETF price'!S516</f>
        <v>7.445488388583615E-3</v>
      </c>
      <c r="S515">
        <f ca="1">'ETF variations'!S515/'ETF price'!T516</f>
        <v>4.1020966271649887E-3</v>
      </c>
      <c r="T515">
        <f ca="1">'ETF variations'!T515/'ETF price'!U516</f>
        <v>1.264167393199658E-2</v>
      </c>
      <c r="U515">
        <f ca="1">'ETF variations'!U515/'ETF price'!V516</f>
        <v>1.538461538461547E-2</v>
      </c>
      <c r="V515">
        <f ca="1">'ETF variations'!V515/'ETF price'!W516</f>
        <v>4.7455839704719149E-3</v>
      </c>
      <c r="W515">
        <f ca="1">'ETF variations'!W515/'ETF price'!X516</f>
        <v>6.2770562770562586E-3</v>
      </c>
      <c r="X515">
        <f ca="1">'ETF variations'!X515/'ETF price'!Y516</f>
        <v>1.5908086610693744E-2</v>
      </c>
      <c r="Y515">
        <f ca="1">'ETF variations'!Y515/'ETF price'!Z516</f>
        <v>4.5598035776920447E-3</v>
      </c>
      <c r="Z515">
        <f ca="1">'ETF variations'!Z515/'ETF price'!AA516</f>
        <v>4.6511627906976665E-3</v>
      </c>
      <c r="AA515">
        <f ca="1">'ETF variations'!AA515/'ETF price'!AB516</f>
        <v>2.2143836958651682E-2</v>
      </c>
      <c r="AB515">
        <f ca="1">'ETF variations'!AB515/'ETF price'!AC516</f>
        <v>7.8294186240213028E-3</v>
      </c>
      <c r="AC515">
        <f ca="1">'ETF variations'!AC515/'ETF price'!AD516</f>
        <v>-4.5784883720930161E-2</v>
      </c>
      <c r="AD515">
        <f ca="1">'ETF variations'!AD515/'ETF price'!AE516</f>
        <v>-3.4843205574912856E-2</v>
      </c>
      <c r="AE515">
        <f ca="1">'ETF variations'!AE515/'ETF price'!AF516</f>
        <v>-1.8918918918918996E-2</v>
      </c>
      <c r="AF515">
        <f ca="1">'ETF variations'!AF515/'ETF price'!AG516</f>
        <v>1.7209011264080011E-2</v>
      </c>
    </row>
    <row r="516" spans="1:32" x14ac:dyDescent="0.2">
      <c r="A516">
        <f ca="1">'ETF variations'!A516/'ETF price'!B517</f>
        <v>4.0288485451380361E-3</v>
      </c>
      <c r="B516">
        <f ca="1">'ETF variations'!B516/'ETF price'!C517</f>
        <v>4.1554000318117382E-3</v>
      </c>
      <c r="C516">
        <f ca="1">'ETF variations'!C516/'ETF price'!D517</f>
        <v>-9.2642217288110233E-3</v>
      </c>
      <c r="D516">
        <f ca="1">'ETF variations'!D516/'ETF price'!E517</f>
        <v>6.6146118267270725E-3</v>
      </c>
      <c r="E516">
        <f ca="1">'ETF variations'!E516/'ETF price'!F517</f>
        <v>-4.7326076668245996E-4</v>
      </c>
      <c r="F516">
        <f ca="1">'ETF variations'!F516/'ETF price'!G517</f>
        <v>-6.8799449604401699E-4</v>
      </c>
      <c r="G516">
        <f ca="1">'ETF variations'!G516/'ETF price'!H517</f>
        <v>6.0105184072126276E-3</v>
      </c>
      <c r="H516">
        <f ca="1">'ETF variations'!H516/'ETF price'!I517</f>
        <v>-7.1392874991071833E-4</v>
      </c>
      <c r="I516">
        <f ca="1">'ETF variations'!I516/'ETF price'!J517</f>
        <v>-8.1845818068430724E-4</v>
      </c>
      <c r="J516">
        <f ca="1">'ETF variations'!J516/'ETF price'!K517</f>
        <v>5.4564223565846419E-3</v>
      </c>
      <c r="K516">
        <f ca="1">'ETF variations'!K516/'ETF price'!L517</f>
        <v>2.4716324008538237E-3</v>
      </c>
      <c r="L516">
        <f ca="1">'ETF variations'!L516/'ETF price'!M517</f>
        <v>2.1351227695592585E-3</v>
      </c>
      <c r="M516">
        <f ca="1">'ETF variations'!M516/'ETF price'!N517</f>
        <v>-4.535147392290421E-4</v>
      </c>
      <c r="N516">
        <f ca="1">'ETF variations'!N516/'ETF price'!O517</f>
        <v>5.4298642533935487E-3</v>
      </c>
      <c r="O516">
        <f ca="1">'ETF variations'!O516/'ETF price'!P517</f>
        <v>2.1125885423139272E-3</v>
      </c>
      <c r="P516">
        <f ca="1">'ETF variations'!P516/'ETF price'!Q517</f>
        <v>3.0222222222222525E-3</v>
      </c>
      <c r="Q516">
        <f ca="1">'ETF variations'!Q516/'ETF price'!R517</f>
        <v>3.2739177882866017E-3</v>
      </c>
      <c r="R516">
        <f ca="1">'ETF variations'!R516/'ETF price'!S517</f>
        <v>1.0557803976772856E-2</v>
      </c>
      <c r="S516">
        <f ca="1">'ETF variations'!S516/'ETF price'!T517</f>
        <v>5.4471175669540371E-3</v>
      </c>
      <c r="T516">
        <f ca="1">'ETF variations'!T516/'ETF price'!U517</f>
        <v>-4.3047783039175115E-4</v>
      </c>
      <c r="U516">
        <f ca="1">'ETF variations'!U516/'ETF price'!V517</f>
        <v>3.0532598714416857E-2</v>
      </c>
      <c r="V516">
        <f ca="1">'ETF variations'!V516/'ETF price'!W517</f>
        <v>1.5743899239045467E-3</v>
      </c>
      <c r="W516">
        <f ca="1">'ETF variations'!W516/'ETF price'!X517</f>
        <v>-6.4530006453003086E-4</v>
      </c>
      <c r="X516">
        <f ca="1">'ETF variations'!X516/'ETF price'!Y517</f>
        <v>-8.2644628099172567E-3</v>
      </c>
      <c r="Y516">
        <f ca="1">'ETF variations'!Y516/'ETF price'!Z517</f>
        <v>8.1471135940401748E-4</v>
      </c>
      <c r="Z516">
        <f ca="1">'ETF variations'!Z516/'ETF price'!AA517</f>
        <v>-5.401234567901256E-3</v>
      </c>
      <c r="AA516">
        <f ca="1">'ETF variations'!AA516/'ETF price'!AB517</f>
        <v>-9.5858895705521474E-3</v>
      </c>
      <c r="AB516">
        <f ca="1">'ETF variations'!AB516/'ETF price'!AC517</f>
        <v>2.9752066115702434E-3</v>
      </c>
      <c r="AC516">
        <f ca="1">'ETF variations'!AC516/'ETF price'!AD517</f>
        <v>-4.3412033511043432E-2</v>
      </c>
      <c r="AD516">
        <f ca="1">'ETF variations'!AD516/'ETF price'!AE517</f>
        <v>-2.4239298607529595E-2</v>
      </c>
      <c r="AE516">
        <f ca="1">'ETF variations'!AE516/'ETF price'!AF517</f>
        <v>-4.4077134986225813E-2</v>
      </c>
      <c r="AF516">
        <f ca="1">'ETF variations'!AF516/'ETF price'!AG517</f>
        <v>-2.3069824669332405E-2</v>
      </c>
    </row>
    <row r="517" spans="1:32" x14ac:dyDescent="0.2">
      <c r="A517">
        <f ca="1">'ETF variations'!A517/'ETF price'!B518</f>
        <v>6.8859605667293483E-3</v>
      </c>
      <c r="B517">
        <f ca="1">'ETF variations'!B517/'ETF price'!C518</f>
        <v>4.791604791604823E-3</v>
      </c>
      <c r="C517">
        <f ca="1">'ETF variations'!C517/'ETF price'!D518</f>
        <v>1.0896445131375552E-2</v>
      </c>
      <c r="D517">
        <f ca="1">'ETF variations'!D517/'ETF price'!E518</f>
        <v>1.4575098814229193E-2</v>
      </c>
      <c r="E517">
        <f ca="1">'ETF variations'!E517/'ETF price'!F518</f>
        <v>-3.1565656565657016E-3</v>
      </c>
      <c r="F517">
        <f ca="1">'ETF variations'!F517/'ETF price'!G518</f>
        <v>-6.5404475043029696E-3</v>
      </c>
      <c r="G517">
        <f ca="1">'ETF variations'!G517/'ETF price'!H518</f>
        <v>-5.9746079163554939E-3</v>
      </c>
      <c r="H517">
        <f ca="1">'ETF variations'!H517/'ETF price'!I518</f>
        <v>-9.1448167464456744E-3</v>
      </c>
      <c r="I517">
        <f ca="1">'ETF variations'!I517/'ETF price'!J518</f>
        <v>-9.0104146350977188E-3</v>
      </c>
      <c r="J517">
        <f ca="1">'ETF variations'!J517/'ETF price'!K518</f>
        <v>-1.144030507480201E-2</v>
      </c>
      <c r="K517">
        <f ca="1">'ETF variations'!K517/'ETF price'!L518</f>
        <v>-1.6922559677238654E-2</v>
      </c>
      <c r="L517">
        <f ca="1">'ETF variations'!L517/'ETF price'!M518</f>
        <v>-1.3087810074570072E-2</v>
      </c>
      <c r="M517">
        <f ca="1">'ETF variations'!M517/'ETF price'!N518</f>
        <v>-8.4694494857834573E-3</v>
      </c>
      <c r="N517">
        <f ca="1">'ETF variations'!N517/'ETF price'!O518</f>
        <v>-1.5301530153015296E-2</v>
      </c>
      <c r="O517">
        <f ca="1">'ETF variations'!O517/'ETF price'!P518</f>
        <v>1.4260912698412769E-2</v>
      </c>
      <c r="P517">
        <f ca="1">'ETF variations'!P517/'ETF price'!Q518</f>
        <v>1.4445232187167631E-2</v>
      </c>
      <c r="Q517">
        <f ca="1">'ETF variations'!Q517/'ETF price'!R518</f>
        <v>-1.3536379018612404E-2</v>
      </c>
      <c r="R517">
        <f ca="1">'ETF variations'!R517/'ETF price'!S518</f>
        <v>-4.8755006094375964E-3</v>
      </c>
      <c r="S517">
        <f ca="1">'ETF variations'!S517/'ETF price'!T518</f>
        <v>8.5778781038375294E-3</v>
      </c>
      <c r="T517">
        <f ca="1">'ETF variations'!T517/'ETF price'!U518</f>
        <v>1.2632787826586415E-2</v>
      </c>
      <c r="U517">
        <f ca="1">'ETF variations'!U517/'ETF price'!V518</f>
        <v>-1.915794163510803E-2</v>
      </c>
      <c r="V517">
        <f ca="1">'ETF variations'!V517/'ETF price'!W518</f>
        <v>3.9297877914592234E-3</v>
      </c>
      <c r="W517">
        <f ca="1">'ETF variations'!W517/'ETF price'!X518</f>
        <v>3.9819199311235962E-3</v>
      </c>
      <c r="X517">
        <f ca="1">'ETF variations'!X517/'ETF price'!Y518</f>
        <v>9.8684210526314847E-3</v>
      </c>
      <c r="Y517">
        <f ca="1">'ETF variations'!Y517/'ETF price'!Z518</f>
        <v>5.6983370159321908E-3</v>
      </c>
      <c r="Z517">
        <f ca="1">'ETF variations'!Z517/'ETF price'!AA518</f>
        <v>-1.3705715024566877E-2</v>
      </c>
      <c r="AA517">
        <f ca="1">'ETF variations'!AA517/'ETF price'!AB518</f>
        <v>1.1614401858304325E-2</v>
      </c>
      <c r="AB517">
        <f ca="1">'ETF variations'!AB517/'ETF price'!AC518</f>
        <v>5.6031641397495616E-3</v>
      </c>
      <c r="AC517">
        <f ca="1">'ETF variations'!AC517/'ETF price'!AD518</f>
        <v>7.1656050955413893E-3</v>
      </c>
      <c r="AD517">
        <f ca="1">'ETF variations'!AD517/'ETF price'!AE518</f>
        <v>1.0042283298097131E-2</v>
      </c>
      <c r="AE517">
        <f ca="1">'ETF variations'!AE517/'ETF price'!AF518</f>
        <v>-8.6455331412104465E-3</v>
      </c>
      <c r="AF517">
        <f ca="1">'ETF variations'!AF517/'ETF price'!AG518</f>
        <v>-1.6372795969773396E-2</v>
      </c>
    </row>
    <row r="518" spans="1:32" x14ac:dyDescent="0.2">
      <c r="A518">
        <f ca="1">'ETF variations'!A518/'ETF price'!B519</f>
        <v>4.1820418204181762E-3</v>
      </c>
      <c r="B518">
        <f ca="1">'ETF variations'!B518/'ETF price'!C519</f>
        <v>2.3843774016197596E-3</v>
      </c>
      <c r="C518">
        <f ca="1">'ETF variations'!C518/'ETF price'!D519</f>
        <v>-8.4855897867136577E-3</v>
      </c>
      <c r="D518">
        <f ca="1">'ETF variations'!D518/'ETF price'!E519</f>
        <v>-2.7757487216946344E-3</v>
      </c>
      <c r="E518">
        <f ca="1">'ETF variations'!E518/'ETF price'!F519</f>
        <v>-4.749841671943324E-4</v>
      </c>
      <c r="F518">
        <f ca="1">'ETF variations'!F518/'ETF price'!G519</f>
        <v>4.8510048510048706E-3</v>
      </c>
      <c r="G518">
        <f ca="1">'ETF variations'!G518/'ETF price'!H519</f>
        <v>6.3861758076633416E-3</v>
      </c>
      <c r="H518">
        <f ca="1">'ETF variations'!H518/'ETF price'!I519</f>
        <v>-1.5141682889898908E-3</v>
      </c>
      <c r="I518">
        <f ca="1">'ETF variations'!I518/'ETF price'!J519</f>
        <v>-1.0233803038651929E-3</v>
      </c>
      <c r="J518">
        <f ca="1">'ETF variations'!J518/'ETF price'!K519</f>
        <v>6.6023738872402543E-3</v>
      </c>
      <c r="K518">
        <f ca="1">'ETF variations'!K518/'ETF price'!L519</f>
        <v>8.8919288645690972E-3</v>
      </c>
      <c r="L518">
        <f ca="1">'ETF variations'!L518/'ETF price'!M519</f>
        <v>3.2382420971473857E-3</v>
      </c>
      <c r="M518">
        <f ca="1">'ETF variations'!M518/'ETF price'!N519</f>
        <v>-1.9829164124465443E-3</v>
      </c>
      <c r="N518">
        <f ca="1">'ETF variations'!N518/'ETF price'!O519</f>
        <v>7.3126142595978131E-3</v>
      </c>
      <c r="O518">
        <f ca="1">'ETF variations'!O518/'ETF price'!P519</f>
        <v>2.2496637730773799E-2</v>
      </c>
      <c r="P518">
        <f ca="1">'ETF variations'!P518/'ETF price'!Q519</f>
        <v>2.0005241548003899E-2</v>
      </c>
      <c r="Q518">
        <f ca="1">'ETF variations'!Q518/'ETF price'!R519</f>
        <v>1.0536633178142605E-2</v>
      </c>
      <c r="R518">
        <f ca="1">'ETF variations'!R518/'ETF price'!S519</f>
        <v>-8.0489938757655442E-3</v>
      </c>
      <c r="S518">
        <f ca="1">'ETF variations'!S518/'ETF price'!T519</f>
        <v>7.6096687555954213E-3</v>
      </c>
      <c r="T518">
        <f ca="1">'ETF variations'!T518/'ETF price'!U519</f>
        <v>2.3958037992628262E-2</v>
      </c>
      <c r="U518">
        <f ca="1">'ETF variations'!U518/'ETF price'!V519</f>
        <v>-3.4067681126504334E-3</v>
      </c>
      <c r="V518">
        <f ca="1">'ETF variations'!V518/'ETF price'!W519</f>
        <v>4.958246346555264E-3</v>
      </c>
      <c r="W518">
        <f ca="1">'ETF variations'!W518/'ETF price'!X519</f>
        <v>4.3948976310429471E-3</v>
      </c>
      <c r="X518">
        <f ca="1">'ETF variations'!X518/'ETF price'!Y519</f>
        <v>-2.605863192182355E-3</v>
      </c>
      <c r="Y518">
        <f ca="1">'ETF variations'!Y518/'ETF price'!Z519</f>
        <v>6.3598519888991342E-3</v>
      </c>
      <c r="Z518">
        <f ca="1">'ETF variations'!Z518/'ETF price'!AA519</f>
        <v>1.3633980073413635E-2</v>
      </c>
      <c r="AA518">
        <f ca="1">'ETF variations'!AA518/'ETF price'!AB519</f>
        <v>-6.1232300038270241E-3</v>
      </c>
      <c r="AB518">
        <f ca="1">'ETF variations'!AB518/'ETF price'!AC519</f>
        <v>1.1963290724352619E-2</v>
      </c>
      <c r="AC518">
        <f ca="1">'ETF variations'!AC518/'ETF price'!AD519</f>
        <v>5.5335968379446867E-3</v>
      </c>
      <c r="AD518">
        <f ca="1">'ETF variations'!AD518/'ETF price'!AE519</f>
        <v>5.7561486132914411E-3</v>
      </c>
      <c r="AE518">
        <f ca="1">'ETF variations'!AE518/'ETF price'!AF519</f>
        <v>2.9069767441861137E-3</v>
      </c>
      <c r="AF518">
        <f ca="1">'ETF variations'!AF518/'ETF price'!AG519</f>
        <v>2.8169014084507012E-2</v>
      </c>
    </row>
    <row r="519" spans="1:32" x14ac:dyDescent="0.2">
      <c r="A519">
        <f ca="1">'ETF variations'!A519/'ETF price'!B520</f>
        <v>-1.1513963743263078E-2</v>
      </c>
      <c r="B519">
        <f ca="1">'ETF variations'!B519/'ETF price'!C520</f>
        <v>-1.0379806558150566E-2</v>
      </c>
      <c r="C519">
        <f ca="1">'ETF variations'!C519/'ETF price'!D520</f>
        <v>-2.5828835774865031E-2</v>
      </c>
      <c r="D519">
        <f ca="1">'ETF variations'!D519/'ETF price'!E520</f>
        <v>-2.6955757398183466E-2</v>
      </c>
      <c r="E519">
        <f ca="1">'ETF variations'!E519/'ETF price'!F520</f>
        <v>4.1184856645017903E-3</v>
      </c>
      <c r="F519">
        <f ca="1">'ETF variations'!F519/'ETF price'!G520</f>
        <v>6.8965517241379067E-3</v>
      </c>
      <c r="G519">
        <f ca="1">'ETF variations'!G519/'ETF price'!H520</f>
        <v>-4.1060097051138274E-3</v>
      </c>
      <c r="H519">
        <f ca="1">'ETF variations'!H519/'ETF price'!I520</f>
        <v>5.7047949162335396E-3</v>
      </c>
      <c r="I519">
        <f ca="1">'ETF variations'!I519/'ETF price'!J520</f>
        <v>4.7281323877068106E-3</v>
      </c>
      <c r="J519">
        <f ca="1">'ETF variations'!J519/'ETF price'!K520</f>
        <v>-2.5057115483823672E-3</v>
      </c>
      <c r="K519">
        <f ca="1">'ETF variations'!K519/'ETF price'!L520</f>
        <v>-2.9378531073446907E-3</v>
      </c>
      <c r="L519">
        <f ca="1">'ETF variations'!L519/'ETF price'!M520</f>
        <v>-3.9963110974485872E-3</v>
      </c>
      <c r="M519">
        <f ca="1">'ETF variations'!M519/'ETF price'!N520</f>
        <v>5.0435580009169836E-3</v>
      </c>
      <c r="N519">
        <f ca="1">'ETF variations'!N519/'ETF price'!O520</f>
        <v>-1.1796733212341108E-2</v>
      </c>
      <c r="O519">
        <f ca="1">'ETF variations'!O519/'ETF price'!P520</f>
        <v>7.4136075570967906E-3</v>
      </c>
      <c r="P519">
        <f ca="1">'ETF variations'!P519/'ETF price'!Q520</f>
        <v>7.793764988009563E-3</v>
      </c>
      <c r="Q519">
        <f ca="1">'ETF variations'!Q519/'ETF price'!R520</f>
        <v>3.6372453928226403E-4</v>
      </c>
      <c r="R519">
        <f ca="1">'ETF variations'!R519/'ETF price'!S520</f>
        <v>6.5267242899983164E-3</v>
      </c>
      <c r="S519">
        <f ca="1">'ETF variations'!S519/'ETF price'!T520</f>
        <v>4.4424700133273154E-3</v>
      </c>
      <c r="T519">
        <f ca="1">'ETF variations'!T519/'ETF price'!U520</f>
        <v>1.2044856707739032E-2</v>
      </c>
      <c r="U519">
        <f ca="1">'ETF variations'!U519/'ETF price'!V520</f>
        <v>-1.5724703737465925E-2</v>
      </c>
      <c r="V519">
        <f ca="1">'ETF variations'!V519/'ETF price'!W520</f>
        <v>3.6354193715918094E-3</v>
      </c>
      <c r="W519">
        <f ca="1">'ETF variations'!W519/'ETF price'!X520</f>
        <v>3.4151547491995003E-3</v>
      </c>
      <c r="X519">
        <f ca="1">'ETF variations'!X519/'ETF price'!Y520</f>
        <v>5.0076202917482444E-3</v>
      </c>
      <c r="Y519">
        <f ca="1">'ETF variations'!Y519/'ETF price'!Z520</f>
        <v>2.0682523267837828E-3</v>
      </c>
      <c r="Z519">
        <f ca="1">'ETF variations'!Z519/'ETF price'!AA520</f>
        <v>-4.397309881013829E-3</v>
      </c>
      <c r="AA519">
        <f ca="1">'ETF variations'!AA519/'ETF price'!AB520</f>
        <v>3.6580670003851529E-3</v>
      </c>
      <c r="AB519">
        <f ca="1">'ETF variations'!AB519/'ETF price'!AC520</f>
        <v>-1.4736842105263102E-2</v>
      </c>
      <c r="AC519">
        <f ca="1">'ETF variations'!AC519/'ETF price'!AD520</f>
        <v>4.0094339622641494E-2</v>
      </c>
      <c r="AD519">
        <f ca="1">'ETF variations'!AD519/'ETF price'!AE520</f>
        <v>5.6191467221644219E-2</v>
      </c>
      <c r="AE519">
        <f ca="1">'ETF variations'!AE519/'ETF price'!AF520</f>
        <v>-2.898550724637748E-3</v>
      </c>
      <c r="AF519">
        <f ca="1">'ETF variations'!AF519/'ETF price'!AG520</f>
        <v>7.565379825653798E-2</v>
      </c>
    </row>
    <row r="520" spans="1:32" x14ac:dyDescent="0.2">
      <c r="A520">
        <f ca="1">'ETF variations'!A520/'ETF price'!B521</f>
        <v>9.1697645600991046E-3</v>
      </c>
      <c r="B520">
        <f ca="1">'ETF variations'!B520/'ETF price'!C521</f>
        <v>1.1680572109654341E-2</v>
      </c>
      <c r="C520">
        <f ca="1">'ETF variations'!C520/'ETF price'!D521</f>
        <v>1.2109220419469737E-2</v>
      </c>
      <c r="D520">
        <f ca="1">'ETF variations'!D520/'ETF price'!E521</f>
        <v>1.038843721770562E-2</v>
      </c>
      <c r="E520">
        <f ca="1">'ETF variations'!E520/'ETF price'!F521</f>
        <v>1.3093547878214202E-2</v>
      </c>
      <c r="F520">
        <f ca="1">'ETF variations'!F520/'ETF price'!G521</f>
        <v>1.2328767123287652E-2</v>
      </c>
      <c r="G520">
        <f ca="1">'ETF variations'!G520/'ETF price'!H521</f>
        <v>1.3118440779610248E-2</v>
      </c>
      <c r="H520">
        <f ca="1">'ETF variations'!H520/'ETF price'!I521</f>
        <v>7.0366913190205334E-3</v>
      </c>
      <c r="I520">
        <f ca="1">'ETF variations'!I520/'ETF price'!J521</f>
        <v>8.4313725490195186E-3</v>
      </c>
      <c r="J520">
        <f ca="1">'ETF variations'!J520/'ETF price'!K521</f>
        <v>1.5810860731437126E-2</v>
      </c>
      <c r="K520">
        <f ca="1">'ETF variations'!K520/'ETF price'!L521</f>
        <v>2.9011786038077997E-2</v>
      </c>
      <c r="L520">
        <f ca="1">'ETF variations'!L520/'ETF price'!M521</f>
        <v>1.6666666666666642E-2</v>
      </c>
      <c r="M520">
        <f ca="1">'ETF variations'!M520/'ETF price'!N521</f>
        <v>9.2761557177615476E-3</v>
      </c>
      <c r="N520">
        <f ca="1">'ETF variations'!N520/'ETF price'!O521</f>
        <v>3.1221303948576661E-2</v>
      </c>
      <c r="O520">
        <f ca="1">'ETF variations'!O520/'ETF price'!P521</f>
        <v>-1.4243323442137039E-3</v>
      </c>
      <c r="P520">
        <f ca="1">'ETF variations'!P520/'ETF price'!Q521</f>
        <v>-5.0990056938898852E-4</v>
      </c>
      <c r="Q520">
        <f ca="1">'ETF variations'!Q520/'ETF price'!R521</f>
        <v>4.969094655193268E-3</v>
      </c>
      <c r="R520">
        <f ca="1">'ETF variations'!R520/'ETF price'!S521</f>
        <v>1.2968804766911932E-2</v>
      </c>
      <c r="S520">
        <f ca="1">'ETF variations'!S520/'ETF price'!T521</f>
        <v>-8.4033613445377141E-3</v>
      </c>
      <c r="T520">
        <f ca="1">'ETF variations'!T520/'ETF price'!U521</f>
        <v>-1.436388508891925E-2</v>
      </c>
      <c r="U520">
        <f ca="1">'ETF variations'!U520/'ETF price'!V521</f>
        <v>1.9912016670525574E-2</v>
      </c>
      <c r="V520">
        <f ca="1">'ETF variations'!V520/'ETF price'!W521</f>
        <v>2.5873221216041768E-3</v>
      </c>
      <c r="W520">
        <f ca="1">'ETF variations'!W520/'ETF price'!X521</f>
        <v>5.5307381408212109E-3</v>
      </c>
      <c r="X520">
        <f ca="1">'ETF variations'!X520/'ETF price'!Y521</f>
        <v>1.2781629116117925E-2</v>
      </c>
      <c r="Y520">
        <f ca="1">'ETF variations'!Y520/'ETF price'!Z521</f>
        <v>2.1786492374729037E-3</v>
      </c>
      <c r="Z520">
        <f ca="1">'ETF variations'!Z520/'ETF price'!AA521</f>
        <v>7.2746167835801802E-3</v>
      </c>
      <c r="AA520">
        <f ca="1">'ETF variations'!AA520/'ETF price'!AB521</f>
        <v>1.6689046614233597E-2</v>
      </c>
      <c r="AB520">
        <f ca="1">'ETF variations'!AB520/'ETF price'!AC521</f>
        <v>1.3149243918474406E-3</v>
      </c>
      <c r="AC520">
        <f ca="1">'ETF variations'!AC520/'ETF price'!AD521</f>
        <v>2.1919879062736139E-2</v>
      </c>
      <c r="AD520">
        <f ca="1">'ETF variations'!AD520/'ETF price'!AE521</f>
        <v>2.6600985221674835E-2</v>
      </c>
      <c r="AE520">
        <f ca="1">'ETF variations'!AE520/'ETF price'!AF521</f>
        <v>-2.9069767441860492E-2</v>
      </c>
      <c r="AF520">
        <f ca="1">'ETF variations'!AF520/'ETF price'!AG521</f>
        <v>4.9204052098408189E-2</v>
      </c>
    </row>
    <row r="521" spans="1:32" x14ac:dyDescent="0.2">
      <c r="A521">
        <f ca="1">'ETF variations'!A521/'ETF price'!B522</f>
        <v>-8.2514734774067136E-3</v>
      </c>
      <c r="B521">
        <f ca="1">'ETF variations'!B521/'ETF price'!C522</f>
        <v>-9.6214263273640774E-3</v>
      </c>
      <c r="C521">
        <f ca="1">'ETF variations'!C521/'ETF price'!D522</f>
        <v>1.8689396309039839E-2</v>
      </c>
      <c r="D521">
        <f ca="1">'ETF variations'!D521/'ETF price'!E522</f>
        <v>-1.5447275617146046E-2</v>
      </c>
      <c r="E521">
        <f ca="1">'ETF variations'!E521/'ETF price'!F522</f>
        <v>3.1142946122697014E-4</v>
      </c>
      <c r="F521">
        <f ca="1">'ETF variations'!F521/'ETF price'!G522</f>
        <v>-1.1163734776725246E-2</v>
      </c>
      <c r="G521">
        <f ca="1">'ETF variations'!G521/'ETF price'!H522</f>
        <v>-7.3991860895302568E-3</v>
      </c>
      <c r="H521">
        <f ca="1">'ETF variations'!H521/'ETF price'!I522</f>
        <v>2.2816399286987037E-3</v>
      </c>
      <c r="I521">
        <f ca="1">'ETF variations'!I521/'ETF price'!J522</f>
        <v>3.4999027804795581E-4</v>
      </c>
      <c r="J521">
        <f ca="1">'ETF variations'!J521/'ETF price'!K522</f>
        <v>-6.6186631755036475E-3</v>
      </c>
      <c r="K521">
        <f ca="1">'ETF variations'!K521/'ETF price'!L522</f>
        <v>-2.2356828193832612E-2</v>
      </c>
      <c r="L521">
        <f ca="1">'ETF variations'!L521/'ETF price'!M522</f>
        <v>-8.5003035822708312E-3</v>
      </c>
      <c r="M521">
        <f ca="1">'ETF variations'!M521/'ETF price'!N522</f>
        <v>1.5067048365211547E-4</v>
      </c>
      <c r="N521">
        <f ca="1">'ETF variations'!N521/'ETF price'!O522</f>
        <v>-2.2261798753339269E-2</v>
      </c>
      <c r="O521">
        <f ca="1">'ETF variations'!O521/'ETF price'!P522</f>
        <v>1.0341138713895217E-2</v>
      </c>
      <c r="P521">
        <f ca="1">'ETF variations'!P521/'ETF price'!Q522</f>
        <v>9.3529461780460354E-3</v>
      </c>
      <c r="Q521">
        <f ca="1">'ETF variations'!Q521/'ETF price'!R522</f>
        <v>4.5827303424987387E-3</v>
      </c>
      <c r="R521">
        <f ca="1">'ETF variations'!R521/'ETF price'!S522</f>
        <v>5.3633217993079981E-3</v>
      </c>
      <c r="S521">
        <f ca="1">'ETF variations'!S521/'ETF price'!T522</f>
        <v>6.6904549509365996E-3</v>
      </c>
      <c r="T521">
        <f ca="1">'ETF variations'!T521/'ETF price'!U522</f>
        <v>1.0548230395558711E-2</v>
      </c>
      <c r="U521">
        <f ca="1">'ETF variations'!U521/'ETF price'!V522</f>
        <v>-1.8842224744608362E-2</v>
      </c>
      <c r="V521">
        <f ca="1">'ETF variations'!V521/'ETF price'!W522</f>
        <v>1.2645161290322633E-2</v>
      </c>
      <c r="W521">
        <f ca="1">'ETF variations'!W521/'ETF price'!X522</f>
        <v>9.8371059868837801E-3</v>
      </c>
      <c r="X521">
        <f ca="1">'ETF variations'!X521/'ETF price'!Y522</f>
        <v>4.2780748663108292E-4</v>
      </c>
      <c r="Y521">
        <f ca="1">'ETF variations'!Y521/'ETF price'!Z522</f>
        <v>1.0983981693363773E-2</v>
      </c>
      <c r="Z521">
        <f ca="1">'ETF variations'!Z521/'ETF price'!AA522</f>
        <v>-9.2855300490071319E-3</v>
      </c>
      <c r="AA521">
        <f ca="1">'ETF variations'!AA521/'ETF price'!AB522</f>
        <v>-3.9622641509434123E-3</v>
      </c>
      <c r="AB521">
        <f ca="1">'ETF variations'!AB521/'ETF price'!AC522</f>
        <v>7.0584372948128641E-3</v>
      </c>
      <c r="AC521">
        <f ca="1">'ETF variations'!AC521/'ETF price'!AD522</f>
        <v>2.218934911242609E-2</v>
      </c>
      <c r="AD521">
        <f ca="1">'ETF variations'!AD521/'ETF price'!AE522</f>
        <v>8.6372360844529615E-3</v>
      </c>
      <c r="AE521">
        <f ca="1">'ETF variations'!AE521/'ETF price'!AF522</f>
        <v>0.10179640718562884</v>
      </c>
      <c r="AF521">
        <f ca="1">'ETF variations'!AF521/'ETF price'!AG522</f>
        <v>-2.0413793103448329E-2</v>
      </c>
    </row>
    <row r="522" spans="1:32" x14ac:dyDescent="0.2">
      <c r="A522">
        <f ca="1">'ETF variations'!A522/'ETF price'!B523</f>
        <v>-2.0998415213946024E-2</v>
      </c>
      <c r="B522">
        <f ca="1">'ETF variations'!B522/'ETF price'!C523</f>
        <v>-2.0758158531266051E-2</v>
      </c>
      <c r="C522">
        <f ca="1">'ETF variations'!C522/'ETF price'!D523</f>
        <v>9.2116373685404253E-4</v>
      </c>
      <c r="D522">
        <f ca="1">'ETF variations'!D522/'ETF price'!E523</f>
        <v>-1.4478861870648797E-2</v>
      </c>
      <c r="E522">
        <f ca="1">'ETF variations'!E522/'ETF price'!F523</f>
        <v>-2.7397260273972573E-2</v>
      </c>
      <c r="F522">
        <f ca="1">'ETF variations'!F522/'ETF price'!G523</f>
        <v>-2.2237427300718513E-2</v>
      </c>
      <c r="G522">
        <f ca="1">'ETF variations'!G522/'ETF price'!H523</f>
        <v>-1.3790532985463939E-2</v>
      </c>
      <c r="H522">
        <f ca="1">'ETF variations'!H522/'ETF price'!I523</f>
        <v>-1.3516397524364924E-3</v>
      </c>
      <c r="I522">
        <f ca="1">'ETF variations'!I522/'ETF price'!J523</f>
        <v>-2.3324521847303014E-3</v>
      </c>
      <c r="J522">
        <f ca="1">'ETF variations'!J522/'ETF price'!K523</f>
        <v>-1.6107775662615439E-2</v>
      </c>
      <c r="K522">
        <f ca="1">'ETF variations'!K522/'ETF price'!L523</f>
        <v>-1.5095189816379287E-2</v>
      </c>
      <c r="L522">
        <f ca="1">'ETF variations'!L522/'ETF price'!M523</f>
        <v>-1.546233925290862E-2</v>
      </c>
      <c r="M522">
        <f ca="1">'ETF variations'!M522/'ETF price'!N523</f>
        <v>-2.7116601385958517E-3</v>
      </c>
      <c r="N522">
        <f ca="1">'ETF variations'!N522/'ETF price'!O523</f>
        <v>-2.0947176684881642E-2</v>
      </c>
      <c r="O522">
        <f ca="1">'ETF variations'!O522/'ETF price'!P523</f>
        <v>-1.8705882352941218E-2</v>
      </c>
      <c r="P522">
        <f ca="1">'ETF variations'!P522/'ETF price'!Q523</f>
        <v>-1.9796141858310121E-2</v>
      </c>
      <c r="Q522">
        <f ca="1">'ETF variations'!Q522/'ETF price'!R523</f>
        <v>-1.3085234093637496E-2</v>
      </c>
      <c r="R522">
        <f ca="1">'ETF variations'!R522/'ETF price'!S523</f>
        <v>-1.6004130098089826E-2</v>
      </c>
      <c r="S522">
        <f ca="1">'ETF variations'!S522/'ETF price'!T523</f>
        <v>-1.0633584404076295E-2</v>
      </c>
      <c r="T522">
        <f ca="1">'ETF variations'!T522/'ETF price'!U523</f>
        <v>-2.5957972805933257E-2</v>
      </c>
      <c r="U522">
        <f ca="1">'ETF variations'!U522/'ETF price'!V523</f>
        <v>-1.9666820916242514E-2</v>
      </c>
      <c r="V522">
        <f ca="1">'ETF variations'!V522/'ETF price'!W523</f>
        <v>-1.2232415902140773E-2</v>
      </c>
      <c r="W522">
        <f ca="1">'ETF variations'!W522/'ETF price'!X523</f>
        <v>-1.5606996962396511E-2</v>
      </c>
      <c r="X522">
        <f ca="1">'ETF variations'!X522/'ETF price'!Y523</f>
        <v>-4.2548642292067604E-2</v>
      </c>
      <c r="Y522">
        <f ca="1">'ETF variations'!Y522/'ETF price'!Z523</f>
        <v>-1.4825712992304237E-2</v>
      </c>
      <c r="Z522">
        <f ca="1">'ETF variations'!Z522/'ETF price'!AA523</f>
        <v>-7.2897682895077861E-3</v>
      </c>
      <c r="AA522">
        <f ca="1">'ETF variations'!AA522/'ETF price'!AB523</f>
        <v>-5.8533813222201109E-2</v>
      </c>
      <c r="AB522">
        <f ca="1">'ETF variations'!AB522/'ETF price'!AC523</f>
        <v>-8.9649551752241929E-3</v>
      </c>
      <c r="AC522">
        <f ca="1">'ETF variations'!AC522/'ETF price'!AD523</f>
        <v>-3.1837916063675795E-2</v>
      </c>
      <c r="AD522">
        <f ca="1">'ETF variations'!AD522/'ETF price'!AE523</f>
        <v>-2.3786869647954331E-2</v>
      </c>
      <c r="AE522">
        <f ca="1">'ETF variations'!AE522/'ETF price'!AF523</f>
        <v>4.0760869565217364E-2</v>
      </c>
      <c r="AF522">
        <f ca="1">'ETF variations'!AF522/'ETF price'!AG523</f>
        <v>-4.0833568009011431E-2</v>
      </c>
    </row>
    <row r="523" spans="1:32" x14ac:dyDescent="0.2">
      <c r="A523">
        <f ca="1">'ETF variations'!A523/'ETF price'!B524</f>
        <v>1.2596114933225317E-2</v>
      </c>
      <c r="B523">
        <f ca="1">'ETF variations'!B523/'ETF price'!C524</f>
        <v>1.2897086513737215E-2</v>
      </c>
      <c r="C523">
        <f ca="1">'ETF variations'!C523/'ETF price'!D524</f>
        <v>-3.6812639006057967E-3</v>
      </c>
      <c r="D523">
        <f ca="1">'ETF variations'!D523/'ETF price'!E524</f>
        <v>4.965446634246219E-3</v>
      </c>
      <c r="E523">
        <f ca="1">'ETF variations'!E523/'ETF price'!F524</f>
        <v>1.360435339308581E-2</v>
      </c>
      <c r="F523">
        <f ca="1">'ETF variations'!F523/'ETF price'!G524</f>
        <v>1.9244226731980431E-2</v>
      </c>
      <c r="G523">
        <f ca="1">'ETF variations'!G523/'ETF price'!H524</f>
        <v>1.3227513227513147E-2</v>
      </c>
      <c r="H523">
        <f ca="1">'ETF variations'!H523/'ETF price'!I524</f>
        <v>1.2964809801966045E-2</v>
      </c>
      <c r="I523">
        <f ca="1">'ETF variations'!I523/'ETF price'!J524</f>
        <v>1.3092269326683345E-2</v>
      </c>
      <c r="J523">
        <f ca="1">'ETF variations'!J523/'ETF price'!K524</f>
        <v>1.3915761273999142E-2</v>
      </c>
      <c r="K523">
        <f ca="1">'ETF variations'!K523/'ETF price'!L524</f>
        <v>1.7614091273018322E-2</v>
      </c>
      <c r="L523">
        <f ca="1">'ETF variations'!L523/'ETF price'!M524</f>
        <v>8.3968278650286433E-3</v>
      </c>
      <c r="M523">
        <f ca="1">'ETF variations'!M523/'ETF price'!N524</f>
        <v>1.2990936555891229E-2</v>
      </c>
      <c r="N523">
        <f ca="1">'ETF variations'!N523/'ETF price'!O524</f>
        <v>1.8604651162790631E-2</v>
      </c>
      <c r="O523">
        <f ca="1">'ETF variations'!O523/'ETF price'!P524</f>
        <v>-1.1988970147453429E-4</v>
      </c>
      <c r="P523">
        <f ca="1">'ETF variations'!P523/'ETF price'!Q524</f>
        <v>-1.0312822275696507E-3</v>
      </c>
      <c r="Q523">
        <f ca="1">'ETF variations'!Q523/'ETF price'!R524</f>
        <v>1.6664639338280073E-2</v>
      </c>
      <c r="R523">
        <f ca="1">'ETF variations'!R523/'ETF price'!S524</f>
        <v>1.0668065757257773E-2</v>
      </c>
      <c r="S523">
        <f ca="1">'ETF variations'!S523/'ETF price'!T524</f>
        <v>-1.2091356918943108E-2</v>
      </c>
      <c r="T523">
        <f ca="1">'ETF variations'!T523/'ETF price'!U524</f>
        <v>-2.6085730400451333E-2</v>
      </c>
      <c r="U523">
        <f ca="1">'ETF variations'!U523/'ETF price'!V524</f>
        <v>2.4781685154590616E-2</v>
      </c>
      <c r="V523">
        <f ca="1">'ETF variations'!V523/'ETF price'!W524</f>
        <v>1.5479876160991298E-3</v>
      </c>
      <c r="W523">
        <f ca="1">'ETF variations'!W523/'ETF price'!X524</f>
        <v>5.320280910831789E-4</v>
      </c>
      <c r="X523">
        <f ca="1">'ETF variations'!X523/'ETF price'!Y524</f>
        <v>-2.1438142027690951E-2</v>
      </c>
      <c r="Y523">
        <f ca="1">'ETF variations'!Y523/'ETF price'!Z524</f>
        <v>-3.7909247558874015E-3</v>
      </c>
      <c r="Z523">
        <f ca="1">'ETF variations'!Z523/'ETF price'!AA524</f>
        <v>1.7571466037240874E-2</v>
      </c>
      <c r="AA523">
        <f ca="1">'ETF variations'!AA523/'ETF price'!AB524</f>
        <v>-3.1187122736418594E-2</v>
      </c>
      <c r="AB523">
        <f ca="1">'ETF variations'!AB523/'ETF price'!AC524</f>
        <v>2.3026315789473777E-3</v>
      </c>
      <c r="AC523">
        <f ca="1">'ETF variations'!AC523/'ETF price'!AD524</f>
        <v>5.2316890881912185E-3</v>
      </c>
      <c r="AD523">
        <f ca="1">'ETF variations'!AD523/'ETF price'!AE524</f>
        <v>-6.3352826510720767E-3</v>
      </c>
      <c r="AE523">
        <f ca="1">'ETF variations'!AE523/'ETF price'!AF524</f>
        <v>-2.6109660574412556E-2</v>
      </c>
      <c r="AF523">
        <f ca="1">'ETF variations'!AF523/'ETF price'!AG524</f>
        <v>2.2019964768056368E-2</v>
      </c>
    </row>
    <row r="524" spans="1:32" x14ac:dyDescent="0.2">
      <c r="A524">
        <f ca="1">'ETF variations'!A524/'ETF price'!B525</f>
        <v>1.0341209971524313E-2</v>
      </c>
      <c r="B524">
        <f ca="1">'ETF variations'!B524/'ETF price'!C525</f>
        <v>9.7545374590230528E-3</v>
      </c>
      <c r="C524">
        <f ca="1">'ETF variations'!C524/'ETF price'!D525</f>
        <v>1.5164344546224302E-2</v>
      </c>
      <c r="D524">
        <f ca="1">'ETF variations'!D524/'ETF price'!E525</f>
        <v>1.2734311328443357E-2</v>
      </c>
      <c r="E524">
        <f ca="1">'ETF variations'!E524/'ETF price'!F525</f>
        <v>3.473867045633963E-3</v>
      </c>
      <c r="F524">
        <f ca="1">'ETF variations'!F524/'ETF price'!G525</f>
        <v>8.9255063508411111E-3</v>
      </c>
      <c r="G524">
        <f ca="1">'ETF variations'!G524/'ETF price'!H525</f>
        <v>-4.8489369638194339E-3</v>
      </c>
      <c r="H524">
        <f ca="1">'ETF variations'!H524/'ETF price'!I525</f>
        <v>-1.4767932489450038E-3</v>
      </c>
      <c r="I524">
        <f ca="1">'ETF variations'!I524/'ETF price'!J525</f>
        <v>-1.9615384615384265E-3</v>
      </c>
      <c r="J524">
        <f ca="1">'ETF variations'!J524/'ETF price'!K525</f>
        <v>-1.2110091743119307E-2</v>
      </c>
      <c r="K524">
        <f ca="1">'ETF variations'!K524/'ETF price'!L525</f>
        <v>-1.1239743733842868E-2</v>
      </c>
      <c r="L524">
        <f ca="1">'ETF variations'!L524/'ETF price'!M525</f>
        <v>-1.1102544333076314E-2</v>
      </c>
      <c r="M524">
        <f ca="1">'ETF variations'!M524/'ETF price'!N525</f>
        <v>-2.3859230539814581E-3</v>
      </c>
      <c r="N524">
        <f ca="1">'ETF variations'!N524/'ETF price'!O525</f>
        <v>-1.4611872146118735E-2</v>
      </c>
      <c r="O524">
        <f ca="1">'ETF variations'!O524/'ETF price'!P525</f>
        <v>1.4388489208631934E-3</v>
      </c>
      <c r="P524">
        <f ca="1">'ETF variations'!P524/'ETF price'!Q525</f>
        <v>-1.8066070199586524E-3</v>
      </c>
      <c r="Q524">
        <f ca="1">'ETF variations'!Q524/'ETF price'!R525</f>
        <v>-5.862646566164093E-3</v>
      </c>
      <c r="R524">
        <f ca="1">'ETF variations'!R524/'ETF price'!S525</f>
        <v>-7.959854646132563E-3</v>
      </c>
      <c r="S524">
        <f ca="1">'ETF variations'!S524/'ETF price'!T525</f>
        <v>-1.1332728921124207E-2</v>
      </c>
      <c r="T524">
        <f ca="1">'ETF variations'!T524/'ETF price'!U525</f>
        <v>-2.2585782539452558E-2</v>
      </c>
      <c r="U524">
        <f ca="1">'ETF variations'!U524/'ETF price'!V525</f>
        <v>-2.625518194380471E-2</v>
      </c>
      <c r="V524">
        <f ca="1">'ETF variations'!V524/'ETF price'!W525</f>
        <v>4.1215868109221168E-3</v>
      </c>
      <c r="W524">
        <f ca="1">'ETF variations'!W524/'ETF price'!X525</f>
        <v>4.5730086142719622E-3</v>
      </c>
      <c r="X524">
        <f ca="1">'ETF variations'!X524/'ETF price'!Y525</f>
        <v>4.3359196713828778E-3</v>
      </c>
      <c r="Y524">
        <f ca="1">'ETF variations'!Y524/'ETF price'!Z525</f>
        <v>5.8809963099631588E-3</v>
      </c>
      <c r="Z524">
        <f ca="1">'ETF variations'!Z524/'ETF price'!AA525</f>
        <v>-1.2628865979381312E-2</v>
      </c>
      <c r="AA524">
        <f ca="1">'ETF variations'!AA524/'ETF price'!AB525</f>
        <v>4.5690550363447326E-3</v>
      </c>
      <c r="AB524">
        <f ca="1">'ETF variations'!AB524/'ETF price'!AC525</f>
        <v>6.8920249425664867E-3</v>
      </c>
      <c r="AC524">
        <f ca="1">'ETF variations'!AC524/'ETF price'!AD525</f>
        <v>1.4869888475837435E-3</v>
      </c>
      <c r="AD524">
        <f ca="1">'ETF variations'!AD524/'ETF price'!AE525</f>
        <v>-1.9617459538989281E-3</v>
      </c>
      <c r="AE524">
        <f ca="1">'ETF variations'!AE524/'ETF price'!AF525</f>
        <v>-2.1447721179624683E-2</v>
      </c>
      <c r="AF524">
        <f ca="1">'ETF variations'!AF524/'ETF price'!AG525</f>
        <v>-1.4363688595231254E-2</v>
      </c>
    </row>
    <row r="525" spans="1:32" x14ac:dyDescent="0.2">
      <c r="A525">
        <f ca="1">'ETF variations'!A525/'ETF price'!B526</f>
        <v>2.2745253164555947E-3</v>
      </c>
      <c r="B525">
        <f ca="1">'ETF variations'!B525/'ETF price'!C526</f>
        <v>4.7509699897052863E-4</v>
      </c>
      <c r="C525">
        <f ca="1">'ETF variations'!C525/'ETF price'!D526</f>
        <v>4.3979375189567224E-3</v>
      </c>
      <c r="D525">
        <f ca="1">'ETF variations'!D525/'ETF price'!E526</f>
        <v>1.3680716225731812E-2</v>
      </c>
      <c r="E525">
        <f ca="1">'ETF variations'!E525/'ETF price'!F526</f>
        <v>-1.0228166797796989E-2</v>
      </c>
      <c r="F525">
        <f ca="1">'ETF variations'!F525/'ETF price'!G526</f>
        <v>-3.0622660768968987E-3</v>
      </c>
      <c r="G525">
        <f ca="1">'ETF variations'!G525/'ETF price'!H526</f>
        <v>-2.9985007496251236E-3</v>
      </c>
      <c r="H525">
        <f ca="1">'ETF variations'!H525/'ETF price'!I526</f>
        <v>3.0988097753362749E-3</v>
      </c>
      <c r="I525">
        <f ca="1">'ETF variations'!I525/'ETF price'!J526</f>
        <v>2.1966164399398556E-3</v>
      </c>
      <c r="J525">
        <f ca="1">'ETF variations'!J525/'ETF price'!K526</f>
        <v>1.8573551263001487E-3</v>
      </c>
      <c r="K525">
        <f ca="1">'ETF variations'!K525/'ETF price'!L526</f>
        <v>5.001705126747729E-3</v>
      </c>
      <c r="L525">
        <f ca="1">'ETF variations'!L525/'ETF price'!M526</f>
        <v>-6.081397162014556E-3</v>
      </c>
      <c r="M525">
        <f ca="1">'ETF variations'!M525/'ETF price'!N526</f>
        <v>2.989536621823447E-3</v>
      </c>
      <c r="N525">
        <f ca="1">'ETF variations'!N525/'ETF price'!O526</f>
        <v>9.2678405931432477E-4</v>
      </c>
      <c r="O525">
        <f ca="1">'ETF variations'!O525/'ETF price'!P526</f>
        <v>-2.5143678160918794E-3</v>
      </c>
      <c r="P525">
        <f ca="1">'ETF variations'!P525/'ETF price'!Q526</f>
        <v>-3.7059381194519247E-3</v>
      </c>
      <c r="Q525">
        <f ca="1">'ETF variations'!Q525/'ETF price'!R526</f>
        <v>-2.5394150920688401E-2</v>
      </c>
      <c r="R525">
        <f ca="1">'ETF variations'!R525/'ETF price'!S526</f>
        <v>-2.8257456828885356E-2</v>
      </c>
      <c r="S525">
        <f ca="1">'ETF variations'!S525/'ETF price'!T526</f>
        <v>4.1265474552957294E-3</v>
      </c>
      <c r="T525">
        <f ca="1">'ETF variations'!T525/'ETF price'!U526</f>
        <v>9.9244556362020689E-3</v>
      </c>
      <c r="U525">
        <f ca="1">'ETF variations'!U525/'ETF price'!V526</f>
        <v>-2.7909176915799423E-2</v>
      </c>
      <c r="V525">
        <f ca="1">'ETF variations'!V525/'ETF price'!W526</f>
        <v>-5.9004617752692889E-3</v>
      </c>
      <c r="W525">
        <f ca="1">'ETF variations'!W525/'ETF price'!X526</f>
        <v>-8.1515985602370958E-3</v>
      </c>
      <c r="X525">
        <f ca="1">'ETF variations'!X525/'ETF price'!Y526</f>
        <v>-1.5223812769824917E-2</v>
      </c>
      <c r="Y525">
        <f ca="1">'ETF variations'!Y525/'ETF price'!Z526</f>
        <v>-6.1905307806947862E-3</v>
      </c>
      <c r="Z525">
        <f ca="1">'ETF variations'!Z525/'ETF price'!AA526</f>
        <v>-1.9838162359697341E-2</v>
      </c>
      <c r="AA525">
        <f ca="1">'ETF variations'!AA525/'ETF price'!AB526</f>
        <v>-1.6539177175935438E-2</v>
      </c>
      <c r="AB525">
        <f ca="1">'ETF variations'!AB525/'ETF price'!AC526</f>
        <v>-2.1186440677966518E-3</v>
      </c>
      <c r="AC525">
        <f ca="1">'ETF variations'!AC525/'ETF price'!AD526</f>
        <v>-9.6510764662212905E-3</v>
      </c>
      <c r="AD525">
        <f ca="1">'ETF variations'!AD525/'ETF price'!AE526</f>
        <v>-1.4742014742014775E-2</v>
      </c>
      <c r="AE525">
        <f ca="1">'ETF variations'!AE525/'ETF price'!AF526</f>
        <v>2.4657534246575425E-2</v>
      </c>
      <c r="AF525">
        <f ca="1">'ETF variations'!AF525/'ETF price'!AG526</f>
        <v>-7.2573593704459399E-2</v>
      </c>
    </row>
    <row r="526" spans="1:32" x14ac:dyDescent="0.2">
      <c r="A526">
        <f ca="1">'ETF variations'!A526/'ETF price'!B527</f>
        <v>-4.588061174148882E-3</v>
      </c>
      <c r="B526">
        <f ca="1">'ETF variations'!B526/'ETF price'!C527</f>
        <v>-1.7016224772456606E-3</v>
      </c>
      <c r="C526">
        <f ca="1">'ETF variations'!C526/'ETF price'!D527</f>
        <v>1.5023403291559569E-2</v>
      </c>
      <c r="D526">
        <f ca="1">'ETF variations'!D526/'ETF price'!E527</f>
        <v>-1.1660216334226429E-2</v>
      </c>
      <c r="E526">
        <f ca="1">'ETF variations'!E526/'ETF price'!F527</f>
        <v>5.2464228934816903E-3</v>
      </c>
      <c r="F526">
        <f ca="1">'ETF variations'!F526/'ETF price'!G527</f>
        <v>-7.8498293515358499E-3</v>
      </c>
      <c r="G526">
        <f ca="1">'ETF variations'!G526/'ETF price'!H527</f>
        <v>1.240601503759392E-2</v>
      </c>
      <c r="H526">
        <f ca="1">'ETF variations'!H526/'ETF price'!I527</f>
        <v>1.0882538790984926E-2</v>
      </c>
      <c r="I526">
        <f ca="1">'ETF variations'!I526/'ETF price'!J527</f>
        <v>1.1881873413827482E-2</v>
      </c>
      <c r="J526">
        <f ca="1">'ETF variations'!J526/'ETF price'!K527</f>
        <v>9.5661846496106206E-3</v>
      </c>
      <c r="K526">
        <f ca="1">'ETF variations'!K526/'ETF price'!L527</f>
        <v>1.5269765863590188E-2</v>
      </c>
      <c r="L526">
        <f ca="1">'ETF variations'!L526/'ETF price'!M527</f>
        <v>1.50611860684029E-2</v>
      </c>
      <c r="M526">
        <f ca="1">'ETF variations'!M526/'ETF price'!N527</f>
        <v>1.1922503725782584E-2</v>
      </c>
      <c r="N526">
        <f ca="1">'ETF variations'!N526/'ETF price'!O527</f>
        <v>3.518518518518509E-2</v>
      </c>
      <c r="O526">
        <f ca="1">'ETF variations'!O526/'ETF price'!P527</f>
        <v>3.2409074540870964E-3</v>
      </c>
      <c r="P526">
        <f ca="1">'ETF variations'!P526/'ETF price'!Q527</f>
        <v>5.4498269896194607E-3</v>
      </c>
      <c r="Q526">
        <f ca="1">'ETF variations'!Q526/'ETF price'!R527</f>
        <v>1.7658681155840857E-2</v>
      </c>
      <c r="R526">
        <f ca="1">'ETF variations'!R526/'ETF price'!S527</f>
        <v>1.4360078980434085E-3</v>
      </c>
      <c r="S526">
        <f ca="1">'ETF variations'!S526/'ETF price'!T527</f>
        <v>3.6529680365297648E-3</v>
      </c>
      <c r="T526">
        <f ca="1">'ETF variations'!T526/'ETF price'!U527</f>
        <v>9.2402464065707741E-3</v>
      </c>
      <c r="U526">
        <f ca="1">'ETF variations'!U526/'ETF price'!V527</f>
        <v>2.8710462287104613E-2</v>
      </c>
      <c r="V526">
        <f ca="1">'ETF variations'!V526/'ETF price'!W527</f>
        <v>2.0645161290322139E-3</v>
      </c>
      <c r="W526">
        <f ca="1">'ETF variations'!W526/'ETF price'!X527</f>
        <v>2.9885793574554505E-3</v>
      </c>
      <c r="X526">
        <f ca="1">'ETF variations'!X526/'ETF price'!Y527</f>
        <v>-6.9220119981542282E-3</v>
      </c>
      <c r="Y526">
        <f ca="1">'ETF variations'!Y526/'ETF price'!Z527</f>
        <v>2.7684854077749347E-3</v>
      </c>
      <c r="Z526">
        <f ca="1">'ETF variations'!Z526/'ETF price'!AA527</f>
        <v>1.5179760319573909E-2</v>
      </c>
      <c r="AA526">
        <f ca="1">'ETF variations'!AA526/'ETF price'!AB527</f>
        <v>-1.2612991381122585E-2</v>
      </c>
      <c r="AB526">
        <f ca="1">'ETF variations'!AB526/'ETF price'!AC527</f>
        <v>3.9196472317491755E-3</v>
      </c>
      <c r="AC526">
        <f ca="1">'ETF variations'!AC526/'ETF price'!AD527</f>
        <v>2.923538230884562E-2</v>
      </c>
      <c r="AD526">
        <f ca="1">'ETF variations'!AD526/'ETF price'!AE527</f>
        <v>1.8453865336658402E-2</v>
      </c>
      <c r="AE526">
        <f ca="1">'ETF variations'!AE526/'ETF price'!AF527</f>
        <v>-2.1390374331550818E-2</v>
      </c>
      <c r="AF526">
        <f ca="1">'ETF variations'!AF526/'ETF price'!AG527</f>
        <v>4.5568824638592166E-2</v>
      </c>
    </row>
    <row r="527" spans="1:32" x14ac:dyDescent="0.2">
      <c r="A527">
        <f ca="1">'ETF variations'!A527/'ETF price'!B528</f>
        <v>1.3232888932943387E-2</v>
      </c>
      <c r="B527">
        <f ca="1">'ETF variations'!B527/'ETF price'!C528</f>
        <v>1.2922662226978994E-2</v>
      </c>
      <c r="C527">
        <f ca="1">'ETF variations'!C527/'ETF price'!D528</f>
        <v>-7.8095946448492604E-3</v>
      </c>
      <c r="D527">
        <f ca="1">'ETF variations'!D527/'ETF price'!E528</f>
        <v>1.5312013655304038E-2</v>
      </c>
      <c r="E527">
        <f ca="1">'ETF variations'!E527/'ETF price'!F528</f>
        <v>2.293215245927582E-2</v>
      </c>
      <c r="F527">
        <f ca="1">'ETF variations'!F527/'ETF price'!G528</f>
        <v>8.5999312005503956E-3</v>
      </c>
      <c r="G527">
        <f ca="1">'ETF variations'!G527/'ETF price'!H528</f>
        <v>1.4853323431117396E-3</v>
      </c>
      <c r="H527">
        <f ca="1">'ETF variations'!H527/'ETF price'!I528</f>
        <v>2.7087095429921852E-3</v>
      </c>
      <c r="I527">
        <f ca="1">'ETF variations'!I527/'ETF price'!J528</f>
        <v>1.368041041231289E-3</v>
      </c>
      <c r="J527">
        <f ca="1">'ETF variations'!J527/'ETF price'!K528</f>
        <v>-1.7775819009842719E-2</v>
      </c>
      <c r="K527">
        <f ca="1">'ETF variations'!K527/'ETF price'!L528</f>
        <v>-1.8827985739750579E-2</v>
      </c>
      <c r="L527">
        <f ca="1">'ETF variations'!L527/'ETF price'!M528</f>
        <v>-1.7774343122102097E-2</v>
      </c>
      <c r="M527">
        <f ca="1">'ETF variations'!M527/'ETF price'!N528</f>
        <v>7.3637702503677688E-4</v>
      </c>
      <c r="N527">
        <f ca="1">'ETF variations'!N527/'ETF price'!O528</f>
        <v>-1.6994633273702996E-2</v>
      </c>
      <c r="O527">
        <f ca="1">'ETF variations'!O527/'ETF price'!P528</f>
        <v>2.0339794209141148E-3</v>
      </c>
      <c r="P527">
        <f ca="1">'ETF variations'!P527/'ETF price'!Q528</f>
        <v>1.7207261464338194E-3</v>
      </c>
      <c r="Q527">
        <f ca="1">'ETF variations'!Q527/'ETF price'!R528</f>
        <v>8.0087368037859066E-3</v>
      </c>
      <c r="R527">
        <f ca="1">'ETF variations'!R527/'ETF price'!S528</f>
        <v>5.1980641692059354E-3</v>
      </c>
      <c r="S527">
        <f ca="1">'ETF variations'!S527/'ETF price'!T528</f>
        <v>4.5495905368515867E-3</v>
      </c>
      <c r="T527">
        <f ca="1">'ETF variations'!T527/'ETF price'!U528</f>
        <v>8.8649905536985815E-3</v>
      </c>
      <c r="U527">
        <f ca="1">'ETF variations'!U527/'ETF price'!V528</f>
        <v>4.4465468306527797E-2</v>
      </c>
      <c r="V527">
        <f ca="1">'ETF variations'!V527/'ETF price'!W528</f>
        <v>7.4684522276590049E-3</v>
      </c>
      <c r="W527">
        <f ca="1">'ETF variations'!W527/'ETF price'!X528</f>
        <v>5.9593487283175726E-3</v>
      </c>
      <c r="X527">
        <f ca="1">'ETF variations'!X527/'ETF price'!Y528</f>
        <v>-4.6468401486979603E-4</v>
      </c>
      <c r="Y527">
        <f ca="1">'ETF variations'!Y527/'ETF price'!Z528</f>
        <v>6.9021051420682647E-3</v>
      </c>
      <c r="Z527">
        <f ca="1">'ETF variations'!Z527/'ETF price'!AA528</f>
        <v>-5.2465897166831114E-4</v>
      </c>
      <c r="AA527">
        <f ca="1">'ETF variations'!AA527/'ETF price'!AB528</f>
        <v>-2.5548222269533203E-3</v>
      </c>
      <c r="AB527">
        <f ca="1">'ETF variations'!AB527/'ETF price'!AC528</f>
        <v>5.5311534081666407E-3</v>
      </c>
      <c r="AC527">
        <f ca="1">'ETF variations'!AC527/'ETF price'!AD528</f>
        <v>2.4034959941733436E-2</v>
      </c>
      <c r="AD527">
        <f ca="1">'ETF variations'!AD527/'ETF price'!AE528</f>
        <v>2.5954946131243758E-2</v>
      </c>
      <c r="AE527">
        <f ca="1">'ETF variations'!AE527/'ETF price'!AF528</f>
        <v>-4.3715846994535554E-2</v>
      </c>
      <c r="AF527">
        <f ca="1">'ETF variations'!AF527/'ETF price'!AG528</f>
        <v>3.4265103697024145E-2</v>
      </c>
    </row>
    <row r="528" spans="1:32" x14ac:dyDescent="0.2">
      <c r="A528">
        <f ca="1">'ETF variations'!A528/'ETF price'!B529</f>
        <v>3.1305028370182683E-3</v>
      </c>
      <c r="B528">
        <f ca="1">'ETF variations'!B528/'ETF price'!C529</f>
        <v>5.0678980941571928E-3</v>
      </c>
      <c r="C528">
        <f ca="1">'ETF variations'!C528/'ETF price'!D529</f>
        <v>0</v>
      </c>
      <c r="D528">
        <f ca="1">'ETF variations'!D528/'ETF price'!E529</f>
        <v>1.7157832278481007E-2</v>
      </c>
      <c r="E528">
        <f ca="1">'ETF variations'!E528/'ETF price'!F529</f>
        <v>1.1904761904761842E-2</v>
      </c>
      <c r="F528">
        <f ca="1">'ETF variations'!F528/'ETF price'!G529</f>
        <v>1.7053206002728754E-3</v>
      </c>
      <c r="G528">
        <f ca="1">'ETF variations'!G528/'ETF price'!H529</f>
        <v>1.1494252873563303E-2</v>
      </c>
      <c r="H528">
        <f ca="1">'ETF variations'!H528/'ETF price'!I529</f>
        <v>-1.731661702569786E-3</v>
      </c>
      <c r="I528">
        <f ca="1">'ETF variations'!I528/'ETF price'!J529</f>
        <v>-2.276953436302314E-4</v>
      </c>
      <c r="J528">
        <f ca="1">'ETF variations'!J528/'ETF price'!K529</f>
        <v>3.9635058330840644E-3</v>
      </c>
      <c r="K528">
        <f ca="1">'ETF variations'!K528/'ETF price'!L529</f>
        <v>1.3057794935846551E-2</v>
      </c>
      <c r="L528">
        <f ca="1">'ETF variations'!L528/'ETF price'!M529</f>
        <v>5.1927616050354902E-3</v>
      </c>
      <c r="M528">
        <f ca="1">'ETF variations'!M528/'ETF price'!N529</f>
        <v>0</v>
      </c>
      <c r="N528">
        <f ca="1">'ETF variations'!N528/'ETF price'!O529</f>
        <v>1.0009099181073651E-2</v>
      </c>
      <c r="O528">
        <f ca="1">'ETF variations'!O528/'ETF price'!P529</f>
        <v>1.0268656716417903E-2</v>
      </c>
      <c r="P528">
        <f ca="1">'ETF variations'!P528/'ETF price'!Q529</f>
        <v>1.0736064588164562E-2</v>
      </c>
      <c r="Q528">
        <f ca="1">'ETF variations'!Q528/'ETF price'!R529</f>
        <v>-1.3241844227759652E-3</v>
      </c>
      <c r="R528">
        <f ca="1">'ETF variations'!R528/'ETF price'!S529</f>
        <v>2.6747503566333557E-3</v>
      </c>
      <c r="S528">
        <f ca="1">'ETF variations'!S528/'ETF price'!T529</f>
        <v>5.434782608695698E-3</v>
      </c>
      <c r="T528">
        <f ca="1">'ETF variations'!T528/'ETF price'!U529</f>
        <v>3.0250648228176236E-2</v>
      </c>
      <c r="U528">
        <f ca="1">'ETF variations'!U528/'ETF price'!V529</f>
        <v>-1.3586956521738037E-3</v>
      </c>
      <c r="V528">
        <f ca="1">'ETF variations'!V528/'ETF price'!W529</f>
        <v>-3.8343558282208229E-3</v>
      </c>
      <c r="W528">
        <f ca="1">'ETF variations'!W528/'ETF price'!X529</f>
        <v>-2.1157304559399435E-3</v>
      </c>
      <c r="X528">
        <f ca="1">'ETF variations'!X528/'ETF price'!Y529</f>
        <v>3.0218503021849242E-3</v>
      </c>
      <c r="Y528">
        <f ca="1">'ETF variations'!Y528/'ETF price'!Z529</f>
        <v>-1.2567119844624636E-3</v>
      </c>
      <c r="Z528">
        <f ca="1">'ETF variations'!Z528/'ETF price'!AA529</f>
        <v>5.5118110236220697E-3</v>
      </c>
      <c r="AA528">
        <f ca="1">'ETF variations'!AA528/'ETF price'!AB529</f>
        <v>4.0554962646744443E-3</v>
      </c>
      <c r="AB528">
        <f ca="1">'ETF variations'!AB528/'ETF price'!AC529</f>
        <v>0</v>
      </c>
      <c r="AC528">
        <f ca="1">'ETF variations'!AC528/'ETF price'!AD529</f>
        <v>1.5647226173541882E-2</v>
      </c>
      <c r="AD528">
        <f ca="1">'ETF variations'!AD528/'ETF price'!AE529</f>
        <v>3.0071599045346016E-2</v>
      </c>
      <c r="AE528">
        <f ca="1">'ETF variations'!AE528/'ETF price'!AF529</f>
        <v>1.4285714285714235E-2</v>
      </c>
      <c r="AF528">
        <f ca="1">'ETF variations'!AF528/'ETF price'!AG529</f>
        <v>0.11421098517872733</v>
      </c>
    </row>
    <row r="529" spans="1:32" x14ac:dyDescent="0.2">
      <c r="A529">
        <f ca="1">'ETF variations'!A529/'ETF price'!B530</f>
        <v>1.3458162668226989E-2</v>
      </c>
      <c r="B529">
        <f ca="1">'ETF variations'!B529/'ETF price'!C530</f>
        <v>1.5165969045069751E-2</v>
      </c>
      <c r="C529">
        <f ca="1">'ETF variations'!C529/'ETF price'!D530</f>
        <v>-5.1724137931034309E-3</v>
      </c>
      <c r="D529">
        <f ca="1">'ETF variations'!D529/'ETF price'!E530</f>
        <v>1.993097078411353E-2</v>
      </c>
      <c r="E529">
        <f ca="1">'ETF variations'!E529/'ETF price'!F530</f>
        <v>2.6585179526355918E-2</v>
      </c>
      <c r="F529">
        <f ca="1">'ETF variations'!F529/'ETF price'!G530</f>
        <v>1.8386108273748692E-2</v>
      </c>
      <c r="G529">
        <f ca="1">'ETF variations'!G529/'ETF price'!H530</f>
        <v>8.7976539589442234E-3</v>
      </c>
      <c r="H529">
        <f ca="1">'ETF variations'!H529/'ETF price'!I530</f>
        <v>-7.6325284485160726E-4</v>
      </c>
      <c r="I529">
        <f ca="1">'ETF variations'!I529/'ETF price'!J530</f>
        <v>0</v>
      </c>
      <c r="J529">
        <f ca="1">'ETF variations'!J529/'ETF price'!K530</f>
        <v>2.5325884543761891E-3</v>
      </c>
      <c r="K529">
        <f ca="1">'ETF variations'!K529/'ETF price'!L530</f>
        <v>2.0399013674064194E-2</v>
      </c>
      <c r="L529">
        <f ca="1">'ETF variations'!L529/'ETF price'!M530</f>
        <v>4.2266750156544006E-3</v>
      </c>
      <c r="M529">
        <f ca="1">'ETF variations'!M529/'ETF price'!N530</f>
        <v>-2.9433406916844771E-4</v>
      </c>
      <c r="N529">
        <f ca="1">'ETF variations'!N529/'ETF price'!O530</f>
        <v>9.9099099099100186E-3</v>
      </c>
      <c r="O529">
        <f ca="1">'ETF variations'!O529/'ETF price'!P530</f>
        <v>-1.5364614111807081E-2</v>
      </c>
      <c r="P529">
        <f ca="1">'ETF variations'!P529/'ETF price'!Q530</f>
        <v>-1.4191026512576492E-2</v>
      </c>
      <c r="Q529">
        <f ca="1">'ETF variations'!Q529/'ETF price'!R530</f>
        <v>2.1697203471553379E-3</v>
      </c>
      <c r="R529">
        <f ca="1">'ETF variations'!R529/'ETF price'!S530</f>
        <v>-7.1136404054773523E-4</v>
      </c>
      <c r="S529">
        <f ca="1">'ETF variations'!S529/'ETF price'!T530</f>
        <v>2.7027027027028052E-3</v>
      </c>
      <c r="T529">
        <f ca="1">'ETF variations'!T529/'ETF price'!U530</f>
        <v>2.0973154362416905E-3</v>
      </c>
      <c r="U529">
        <f ca="1">'ETF variations'!U529/'ETF price'!V530</f>
        <v>3.1519274376417244E-2</v>
      </c>
      <c r="V529">
        <f ca="1">'ETF variations'!V529/'ETF price'!W530</f>
        <v>2.8226841159866419E-3</v>
      </c>
      <c r="W529">
        <f ca="1">'ETF variations'!W529/'ETF price'!X530</f>
        <v>4.4524541503233508E-3</v>
      </c>
      <c r="X529">
        <f ca="1">'ETF variations'!X529/'ETF price'!Y530</f>
        <v>1.2977983777520331E-2</v>
      </c>
      <c r="Y529">
        <f ca="1">'ETF variations'!Y529/'ETF price'!Z530</f>
        <v>4.4612216884008299E-3</v>
      </c>
      <c r="Z529">
        <f ca="1">'ETF variations'!Z529/'ETF price'!AA530</f>
        <v>2.6102845210126419E-3</v>
      </c>
      <c r="AA529">
        <f ca="1">'ETF variations'!AA529/'ETF price'!AB530</f>
        <v>1.7644557823129216E-2</v>
      </c>
      <c r="AB529">
        <f ca="1">'ETF variations'!AB529/'ETF price'!AC530</f>
        <v>-5.8243002750363922E-3</v>
      </c>
      <c r="AC529">
        <f ca="1">'ETF variations'!AC529/'ETF price'!AD530</f>
        <v>3.5014005602240897E-2</v>
      </c>
      <c r="AD529">
        <f ca="1">'ETF variations'!AD529/'ETF price'!AE530</f>
        <v>4.4485634847080673E-2</v>
      </c>
      <c r="AE529">
        <f ca="1">'ETF variations'!AE529/'ETF price'!AF530</f>
        <v>3.6619718309859252E-2</v>
      </c>
      <c r="AF529">
        <f ca="1">'ETF variations'!AF529/'ETF price'!AG530</f>
        <v>0.11893583724569626</v>
      </c>
    </row>
    <row r="530" spans="1:32" x14ac:dyDescent="0.2">
      <c r="A530">
        <f ca="1">'ETF variations'!A530/'ETF price'!B531</f>
        <v>-7.6020015396459414E-3</v>
      </c>
      <c r="B530">
        <f ca="1">'ETF variations'!B530/'ETF price'!C531</f>
        <v>-6.2327401043264802E-3</v>
      </c>
      <c r="C530">
        <f ca="1">'ETF variations'!C530/'ETF price'!D531</f>
        <v>-2.1852158842590643E-3</v>
      </c>
      <c r="D530">
        <f ca="1">'ETF variations'!D530/'ETF price'!E531</f>
        <v>-1.811162480339333E-3</v>
      </c>
      <c r="E530">
        <f ca="1">'ETF variations'!E530/'ETF price'!F531</f>
        <v>-7.8880785831225049E-3</v>
      </c>
      <c r="F530">
        <f ca="1">'ETF variations'!F530/'ETF price'!G531</f>
        <v>2.6746907388832597E-3</v>
      </c>
      <c r="G530">
        <f ca="1">'ETF variations'!G530/'ETF price'!H531</f>
        <v>5.0872093023256017E-3</v>
      </c>
      <c r="H530">
        <f ca="1">'ETF variations'!H530/'ETF price'!I531</f>
        <v>1.3193528227206288E-3</v>
      </c>
      <c r="I530">
        <f ca="1">'ETF variations'!I530/'ETF price'!J531</f>
        <v>3.0366293414310548E-3</v>
      </c>
      <c r="J530">
        <f ca="1">'ETF variations'!J530/'ETF price'!K531</f>
        <v>8.6930678356489152E-3</v>
      </c>
      <c r="K530">
        <f ca="1">'ETF variations'!K530/'ETF price'!L531</f>
        <v>2.2627416520210764E-2</v>
      </c>
      <c r="L530">
        <f ca="1">'ETF variations'!L530/'ETF price'!M531</f>
        <v>8.7295401402959945E-3</v>
      </c>
      <c r="M530">
        <f ca="1">'ETF variations'!M530/'ETF price'!N531</f>
        <v>3.6802590902399526E-3</v>
      </c>
      <c r="N530">
        <f ca="1">'ETF variations'!N530/'ETF price'!O531</f>
        <v>2.6761819803746558E-2</v>
      </c>
      <c r="O530">
        <f ca="1">'ETF variations'!O530/'ETF price'!P531</f>
        <v>1.1043092065778437E-2</v>
      </c>
      <c r="P530">
        <f ca="1">'ETF variations'!P530/'ETF price'!Q531</f>
        <v>1.1378329454357324E-2</v>
      </c>
      <c r="Q530">
        <f ca="1">'ETF variations'!Q530/'ETF price'!R531</f>
        <v>7.9384171277363073E-3</v>
      </c>
      <c r="R530">
        <f ca="1">'ETF variations'!R530/'ETF price'!S531</f>
        <v>1.1033991813490027E-2</v>
      </c>
      <c r="S530">
        <f ca="1">'ETF variations'!S530/'ETF price'!T531</f>
        <v>4.4923629829281264E-4</v>
      </c>
      <c r="T530">
        <f ca="1">'ETF variations'!T530/'ETF price'!U531</f>
        <v>6.1392493372400964E-3</v>
      </c>
      <c r="U530">
        <f ca="1">'ETF variations'!U530/'ETF price'!V531</f>
        <v>3.9788964607605962E-2</v>
      </c>
      <c r="V530">
        <f ca="1">'ETF variations'!V530/'ETF price'!W531</f>
        <v>4.6059365404298802E-3</v>
      </c>
      <c r="W530">
        <f ca="1">'ETF variations'!W530/'ETF price'!X531</f>
        <v>6.649076517150348E-3</v>
      </c>
      <c r="X530">
        <f ca="1">'ETF variations'!X530/'ETF price'!Y531</f>
        <v>1.6700983756577369E-2</v>
      </c>
      <c r="Y530">
        <f ca="1">'ETF variations'!Y530/'ETF price'!Z531</f>
        <v>6.8329347454731161E-3</v>
      </c>
      <c r="Z530">
        <f ca="1">'ETF variations'!Z530/'ETF price'!AA531</f>
        <v>-3.1241864097890509E-3</v>
      </c>
      <c r="AA530">
        <f ca="1">'ETF variations'!AA530/'ETF price'!AB531</f>
        <v>2.1516607478587867E-2</v>
      </c>
      <c r="AB530">
        <f ca="1">'ETF variations'!AB530/'ETF price'!AC531</f>
        <v>1.7575264442636261E-2</v>
      </c>
      <c r="AC530">
        <f ca="1">'ETF variations'!AC530/'ETF price'!AD531</f>
        <v>5.6156968876860627E-2</v>
      </c>
      <c r="AD530">
        <f ca="1">'ETF variations'!AD530/'ETF price'!AE531</f>
        <v>5.6787932564330131E-2</v>
      </c>
      <c r="AE530">
        <f ca="1">'ETF variations'!AE530/'ETF price'!AF531</f>
        <v>0.11413043478260855</v>
      </c>
      <c r="AF530">
        <f ca="1">'ETF variations'!AF530/'ETF price'!AG531</f>
        <v>0.1009324009324009</v>
      </c>
    </row>
    <row r="531" spans="1:32" x14ac:dyDescent="0.2">
      <c r="A531">
        <f ca="1">'ETF variations'!A531/'ETF price'!B532</f>
        <v>-1.6968874236400661E-2</v>
      </c>
      <c r="B531">
        <f ca="1">'ETF variations'!B531/'ETF price'!C532</f>
        <v>-1.9548814141531198E-2</v>
      </c>
      <c r="C531">
        <f ca="1">'ETF variations'!C531/'ETF price'!D532</f>
        <v>-1.1101042138649743E-2</v>
      </c>
      <c r="D531">
        <f ca="1">'ETF variations'!D531/'ETF price'!E532</f>
        <v>-2.0531919973260808E-2</v>
      </c>
      <c r="E531">
        <f ca="1">'ETF variations'!E531/'ETF price'!F532</f>
        <v>-1.5601560156015482E-2</v>
      </c>
      <c r="F531">
        <f ca="1">'ETF variations'!F531/'ETF price'!G532</f>
        <v>-2.3674558186061932E-2</v>
      </c>
      <c r="G531">
        <f ca="1">'ETF variations'!G531/'ETF price'!H532</f>
        <v>-1.8076644974692697E-2</v>
      </c>
      <c r="H531">
        <f ca="1">'ETF variations'!H531/'ETF price'!I532</f>
        <v>-9.2926490984741681E-3</v>
      </c>
      <c r="I531">
        <f ca="1">'ETF variations'!I531/'ETF price'!J532</f>
        <v>-1.0974456007568504E-2</v>
      </c>
      <c r="J531">
        <f ca="1">'ETF variations'!J531/'ETF price'!K532</f>
        <v>-2.5486152032999261E-2</v>
      </c>
      <c r="K531">
        <f ca="1">'ETF variations'!K531/'ETF price'!L532</f>
        <v>-4.7046186895810908E-2</v>
      </c>
      <c r="L531">
        <f ca="1">'ETF variations'!L531/'ETF price'!M532</f>
        <v>-3.5852263946839644E-2</v>
      </c>
      <c r="M531">
        <f ca="1">'ETF variations'!M531/'ETF price'!N532</f>
        <v>-1.1880316808448258E-2</v>
      </c>
      <c r="N531">
        <f ca="1">'ETF variations'!N531/'ETF price'!O532</f>
        <v>-5.3866203301476907E-2</v>
      </c>
      <c r="O531">
        <f ca="1">'ETF variations'!O531/'ETF price'!P532</f>
        <v>-1.0091416359966859E-2</v>
      </c>
      <c r="P531">
        <f ca="1">'ETF variations'!P531/'ETF price'!Q532</f>
        <v>-1.0738941447200249E-2</v>
      </c>
      <c r="Q531">
        <f ca="1">'ETF variations'!Q531/'ETF price'!R532</f>
        <v>-1.408114558472545E-2</v>
      </c>
      <c r="R531">
        <f ca="1">'ETF variations'!R531/'ETF price'!S532</f>
        <v>-3.8725576483013599E-2</v>
      </c>
      <c r="S531">
        <f ca="1">'ETF variations'!S531/'ETF price'!T532</f>
        <v>-5.8374494836101933E-3</v>
      </c>
      <c r="T531">
        <f ca="1">'ETF variations'!T531/'ETF price'!U532</f>
        <v>7.488559145749636E-3</v>
      </c>
      <c r="U531">
        <f ca="1">'ETF variations'!U531/'ETF price'!V532</f>
        <v>-5.9408033826638382E-2</v>
      </c>
      <c r="V531">
        <f ca="1">'ETF variations'!V531/'ETF price'!W532</f>
        <v>-1.3499745287824787E-2</v>
      </c>
      <c r="W531">
        <f ca="1">'ETF variations'!W531/'ETF price'!X532</f>
        <v>-1.5726567414552316E-2</v>
      </c>
      <c r="X531">
        <f ca="1">'ETF variations'!X531/'ETF price'!Y532</f>
        <v>-3.5778577857785696E-2</v>
      </c>
      <c r="Y531">
        <f ca="1">'ETF variations'!Y531/'ETF price'!Z532</f>
        <v>-1.6627078384798089E-2</v>
      </c>
      <c r="Z531">
        <f ca="1">'ETF variations'!Z531/'ETF price'!AA532</f>
        <v>-1.8281535648994405E-2</v>
      </c>
      <c r="AA531">
        <f ca="1">'ETF variations'!AA531/'ETF price'!AB532</f>
        <v>-4.2331288343558288E-2</v>
      </c>
      <c r="AB531">
        <f ca="1">'ETF variations'!AB531/'ETF price'!AC532</f>
        <v>-1.919078842155838E-3</v>
      </c>
      <c r="AC531">
        <f ca="1">'ETF variations'!AC531/'ETF price'!AD532</f>
        <v>-9.6092248558615357E-3</v>
      </c>
      <c r="AD531">
        <f ca="1">'ETF variations'!AD531/'ETF price'!AE532</f>
        <v>-1.6372795969773323E-2</v>
      </c>
      <c r="AE531">
        <f ca="1">'ETF variations'!AE531/'ETF price'!AF532</f>
        <v>5.6097560975609868E-2</v>
      </c>
      <c r="AF531">
        <f ca="1">'ETF variations'!AF531/'ETF price'!AG532</f>
        <v>-4.2345966546686431E-2</v>
      </c>
    </row>
    <row r="532" spans="1:32" x14ac:dyDescent="0.2">
      <c r="A532">
        <f ca="1">'ETF variations'!A532/'ETF price'!B533</f>
        <v>1.0455711185638216E-2</v>
      </c>
      <c r="B532">
        <f ca="1">'ETF variations'!B532/'ETF price'!C533</f>
        <v>1.3364563240562179E-2</v>
      </c>
      <c r="C532">
        <f ca="1">'ETF variations'!C532/'ETF price'!D533</f>
        <v>-1.0003818251240949E-2</v>
      </c>
      <c r="D532">
        <f ca="1">'ETF variations'!D532/'ETF price'!E533</f>
        <v>2.2571052503290574E-2</v>
      </c>
      <c r="E532">
        <f ca="1">'ETF variations'!E532/'ETF price'!F533</f>
        <v>1.6458396830234659E-2</v>
      </c>
      <c r="F532">
        <f ca="1">'ETF variations'!F532/'ETF price'!G533</f>
        <v>2.0833333333333315E-2</v>
      </c>
      <c r="G532">
        <f ca="1">'ETF variations'!G532/'ETF price'!H533</f>
        <v>1.9513991163475741E-2</v>
      </c>
      <c r="H532">
        <f ca="1">'ETF variations'!H532/'ETF price'!I533</f>
        <v>8.679826403471794E-3</v>
      </c>
      <c r="I532">
        <f ca="1">'ETF variations'!I532/'ETF price'!J533</f>
        <v>9.603979338052385E-3</v>
      </c>
      <c r="J532">
        <f ca="1">'ETF variations'!J532/'ETF price'!K533</f>
        <v>1.8896447467876037E-2</v>
      </c>
      <c r="K532">
        <f ca="1">'ETF variations'!K532/'ETF price'!L533</f>
        <v>2.7276825969341768E-2</v>
      </c>
      <c r="L532">
        <f ca="1">'ETF variations'!L532/'ETF price'!M533</f>
        <v>1.8111876903349935E-2</v>
      </c>
      <c r="M532">
        <f ca="1">'ETF variations'!M532/'ETF price'!N533</f>
        <v>1.0093513433278797E-2</v>
      </c>
      <c r="N532">
        <f ca="1">'ETF variations'!N532/'ETF price'!O533</f>
        <v>3.3057851239669367E-2</v>
      </c>
      <c r="O532">
        <f ca="1">'ETF variations'!O532/'ETF price'!P533</f>
        <v>-9.5946270088748261E-4</v>
      </c>
      <c r="P532">
        <f ca="1">'ETF variations'!P532/'ETF price'!Q533</f>
        <v>-9.4770397174118583E-4</v>
      </c>
      <c r="Q532">
        <f ca="1">'ETF variations'!Q532/'ETF price'!R533</f>
        <v>6.4149116436698272E-3</v>
      </c>
      <c r="R532">
        <f ca="1">'ETF variations'!R532/'ETF price'!S533</f>
        <v>1.8861014466214999E-2</v>
      </c>
      <c r="S532">
        <f ca="1">'ETF variations'!S532/'ETF price'!T533</f>
        <v>-9.4850948509485472E-3</v>
      </c>
      <c r="T532">
        <f ca="1">'ETF variations'!T532/'ETF price'!U533</f>
        <v>-1.514108740536832E-2</v>
      </c>
      <c r="U532">
        <f ca="1">'ETF variations'!U532/'ETF price'!V533</f>
        <v>4.8100696785794574E-2</v>
      </c>
      <c r="V532">
        <f ca="1">'ETF variations'!V532/'ETF price'!W533</f>
        <v>9.5533178414666815E-3</v>
      </c>
      <c r="W532">
        <f ca="1">'ETF variations'!W532/'ETF price'!X533</f>
        <v>1.1184490839369529E-2</v>
      </c>
      <c r="X532">
        <f ca="1">'ETF variations'!X532/'ETF price'!Y533</f>
        <v>1.9136522753792306E-2</v>
      </c>
      <c r="Y532">
        <f ca="1">'ETF variations'!Y532/'ETF price'!Z533</f>
        <v>1.0927076144467482E-2</v>
      </c>
      <c r="Z532">
        <f ca="1">'ETF variations'!Z532/'ETF price'!AA533</f>
        <v>6.6507049747273209E-3</v>
      </c>
      <c r="AA532">
        <f ca="1">'ETF variations'!AA532/'ETF price'!AB533</f>
        <v>1.8577834721332578E-2</v>
      </c>
      <c r="AB532">
        <f ca="1">'ETF variations'!AB532/'ETF price'!AC533</f>
        <v>-4.0057683063611602E-3</v>
      </c>
      <c r="AC532">
        <f ca="1">'ETF variations'!AC532/'ETF price'!AD533</f>
        <v>4.9805950840879659E-2</v>
      </c>
      <c r="AD532">
        <f ca="1">'ETF variations'!AD532/'ETF price'!AE533</f>
        <v>4.822876653862565E-2</v>
      </c>
      <c r="AE532">
        <f ca="1">'ETF variations'!AE532/'ETF price'!AF533</f>
        <v>7.8521939953810585E-2</v>
      </c>
      <c r="AF532">
        <f ca="1">'ETF variations'!AF532/'ETF price'!AG533</f>
        <v>0.12491709042670807</v>
      </c>
    </row>
    <row r="533" spans="1:32" x14ac:dyDescent="0.2">
      <c r="A533">
        <f ca="1">'ETF variations'!A533/'ETF price'!B534</f>
        <v>-2.0987895353377921E-3</v>
      </c>
      <c r="B533">
        <f ca="1">'ETF variations'!B533/'ETF price'!C534</f>
        <v>-7.7692531805375784E-4</v>
      </c>
      <c r="C533">
        <f ca="1">'ETF variations'!C533/'ETF price'!D534</f>
        <v>-7.7136686207960516E-3</v>
      </c>
      <c r="D533">
        <f ca="1">'ETF variations'!D533/'ETF price'!E534</f>
        <v>-9.5347063310444625E-4</v>
      </c>
      <c r="E533">
        <f ca="1">'ETF variations'!E533/'ETF price'!F534</f>
        <v>-1.0344827586206862E-2</v>
      </c>
      <c r="F533">
        <f ca="1">'ETF variations'!F533/'ETF price'!G534</f>
        <v>8.3640013382402147E-3</v>
      </c>
      <c r="G533">
        <f ca="1">'ETF variations'!G533/'ETF price'!H534</f>
        <v>1.8779342723004678E-2</v>
      </c>
      <c r="H533">
        <f ca="1">'ETF variations'!H533/'ETF price'!I534</f>
        <v>7.2866065232478237E-3</v>
      </c>
      <c r="I533">
        <f ca="1">'ETF variations'!I533/'ETF price'!J534</f>
        <v>8.0724626695974962E-3</v>
      </c>
      <c r="J533">
        <f ca="1">'ETF variations'!J533/'ETF price'!K534</f>
        <v>1.2759643916913936E-2</v>
      </c>
      <c r="K533">
        <f ca="1">'ETF variations'!K533/'ETF price'!L534</f>
        <v>2.3370638578011801E-2</v>
      </c>
      <c r="L533">
        <f ca="1">'ETF variations'!L533/'ETF price'!M534</f>
        <v>2.2827455919395397E-2</v>
      </c>
      <c r="M533">
        <f ca="1">'ETF variations'!M533/'ETF price'!N534</f>
        <v>7.3475385745775165E-3</v>
      </c>
      <c r="N533">
        <f ca="1">'ETF variations'!N533/'ETF price'!O534</f>
        <v>1.6888888888888846E-2</v>
      </c>
      <c r="O533">
        <f ca="1">'ETF variations'!O533/'ETF price'!P534</f>
        <v>2.7851140456182564E-2</v>
      </c>
      <c r="P533">
        <f ca="1">'ETF variations'!P533/'ETF price'!Q534</f>
        <v>2.8199379096240172E-2</v>
      </c>
      <c r="Q533">
        <f ca="1">'ETF variations'!Q533/'ETF price'!R534</f>
        <v>1.8881539386650548E-2</v>
      </c>
      <c r="R533">
        <f ca="1">'ETF variations'!R533/'ETF price'!S534</f>
        <v>2.624011502516177E-2</v>
      </c>
      <c r="S533">
        <f ca="1">'ETF variations'!S533/'ETF price'!T534</f>
        <v>2.2799817601459513E-3</v>
      </c>
      <c r="T533">
        <f ca="1">'ETF variations'!T533/'ETF price'!U534</f>
        <v>1.802935010482189E-2</v>
      </c>
      <c r="U533">
        <f ca="1">'ETF variations'!U533/'ETF price'!V534</f>
        <v>1.6512974479948445E-2</v>
      </c>
      <c r="V533">
        <f ca="1">'ETF variations'!V533/'ETF price'!W534</f>
        <v>1.7135549872122804E-2</v>
      </c>
      <c r="W533">
        <f ca="1">'ETF variations'!W533/'ETF price'!X534</f>
        <v>1.7591909828294401E-2</v>
      </c>
      <c r="X533">
        <f ca="1">'ETF variations'!X533/'ETF price'!Y534</f>
        <v>2.6791847950538166E-2</v>
      </c>
      <c r="Y533">
        <f ca="1">'ETF variations'!Y533/'ETF price'!Z534</f>
        <v>1.8090795312322258E-2</v>
      </c>
      <c r="Z533">
        <f ca="1">'ETF variations'!Z533/'ETF price'!AA534</f>
        <v>2.4048625792811747E-2</v>
      </c>
      <c r="AA533">
        <f ca="1">'ETF variations'!AA533/'ETF price'!AB534</f>
        <v>3.1865828092243101E-2</v>
      </c>
      <c r="AB533">
        <f ca="1">'ETF variations'!AB533/'ETF price'!AC534</f>
        <v>2.4131274131275046E-3</v>
      </c>
      <c r="AC533">
        <f ca="1">'ETF variations'!AC533/'ETF price'!AD534</f>
        <v>1.1706715958102359E-2</v>
      </c>
      <c r="AD533">
        <f ca="1">'ETF variations'!AD533/'ETF price'!AE534</f>
        <v>0</v>
      </c>
      <c r="AE533">
        <f ca="1">'ETF variations'!AE533/'ETF price'!AF534</f>
        <v>-3.4261241970021443E-2</v>
      </c>
      <c r="AF533">
        <f ca="1">'ETF variations'!AF533/'ETF price'!AG534</f>
        <v>-2.0636792452830271E-2</v>
      </c>
    </row>
    <row r="534" spans="1:32" x14ac:dyDescent="0.2">
      <c r="A534">
        <f ca="1">'ETF variations'!A534/'ETF price'!B535</f>
        <v>-9.1954022988505538E-3</v>
      </c>
      <c r="B534">
        <f ca="1">'ETF variations'!B534/'ETF price'!C535</f>
        <v>-1.0593838079502468E-2</v>
      </c>
      <c r="C534">
        <f ca="1">'ETF variations'!C534/'ETF price'!D535</f>
        <v>3.3504353233830865E-2</v>
      </c>
      <c r="D534">
        <f ca="1">'ETF variations'!D534/'ETF price'!E535</f>
        <v>-5.6785646115670822E-3</v>
      </c>
      <c r="E534">
        <f ca="1">'ETF variations'!E534/'ETF price'!F535</f>
        <v>-1.3937282229965181E-2</v>
      </c>
      <c r="F534">
        <f ca="1">'ETF variations'!F534/'ETF price'!G535</f>
        <v>-5.6403450564035075E-3</v>
      </c>
      <c r="G534">
        <f ca="1">'ETF variations'!G534/'ETF price'!H535</f>
        <v>-1.5242821694434586E-2</v>
      </c>
      <c r="H534">
        <f ca="1">'ETF variations'!H534/'ETF price'!I535</f>
        <v>3.2380296245263442E-3</v>
      </c>
      <c r="I534">
        <f ca="1">'ETF variations'!I534/'ETF price'!J535</f>
        <v>2.5188916876574905E-3</v>
      </c>
      <c r="J534">
        <f ca="1">'ETF variations'!J534/'ETF price'!K535</f>
        <v>-5.7866979197188717E-3</v>
      </c>
      <c r="K534">
        <f ca="1">'ETF variations'!K534/'ETF price'!L535</f>
        <v>-1.2865873271147245E-3</v>
      </c>
      <c r="L534">
        <f ca="1">'ETF variations'!L534/'ETF price'!M535</f>
        <v>-5.079267354163434E-3</v>
      </c>
      <c r="M534">
        <f ca="1">'ETF variations'!M534/'ETF price'!N535</f>
        <v>3.3552151714077898E-3</v>
      </c>
      <c r="N534">
        <f ca="1">'ETF variations'!N534/'ETF price'!O535</f>
        <v>-8.7412587412585548E-4</v>
      </c>
      <c r="O534">
        <f ca="1">'ETF variations'!O534/'ETF price'!P535</f>
        <v>-5.8397570661073773E-4</v>
      </c>
      <c r="P534">
        <f ca="1">'ETF variations'!P534/'ETF price'!Q535</f>
        <v>4.1935754424219708E-4</v>
      </c>
      <c r="Q534">
        <f ca="1">'ETF variations'!Q534/'ETF price'!R535</f>
        <v>5.3116147308782209E-3</v>
      </c>
      <c r="R534">
        <f ca="1">'ETF variations'!R534/'ETF price'!S535</f>
        <v>-7.7057793345009602E-3</v>
      </c>
      <c r="S534">
        <f ca="1">'ETF variations'!S534/'ETF price'!T535</f>
        <v>2.274795268425874E-3</v>
      </c>
      <c r="T534">
        <f ca="1">'ETF variations'!T534/'ETF price'!U535</f>
        <v>7.8253706754529539E-3</v>
      </c>
      <c r="U534">
        <f ca="1">'ETF variations'!U534/'ETF price'!V535</f>
        <v>-1.1392405063291122E-2</v>
      </c>
      <c r="V534">
        <f ca="1">'ETF variations'!V534/'ETF price'!W535</f>
        <v>-3.5202413879809043E-3</v>
      </c>
      <c r="W534">
        <f ca="1">'ETF variations'!W534/'ETF price'!X535</f>
        <v>-3.4161490683229639E-3</v>
      </c>
      <c r="X534">
        <f ca="1">'ETF variations'!X534/'ETF price'!Y535</f>
        <v>-8.9206066012490117E-3</v>
      </c>
      <c r="Y534">
        <f ca="1">'ETF variations'!Y534/'ETF price'!Z535</f>
        <v>-2.0116227089853242E-3</v>
      </c>
      <c r="Z534">
        <f ca="1">'ETF variations'!Z534/'ETF price'!AA535</f>
        <v>-1.0322580645161254E-2</v>
      </c>
      <c r="AA534">
        <f ca="1">'ETF variations'!AA534/'ETF price'!AB535</f>
        <v>-1.0361641609101951E-2</v>
      </c>
      <c r="AB534">
        <f ca="1">'ETF variations'!AB534/'ETF price'!AC535</f>
        <v>1.4122933718504179E-2</v>
      </c>
      <c r="AC534">
        <f ca="1">'ETF variations'!AC534/'ETF price'!AD535</f>
        <v>-9.1352009744215656E-3</v>
      </c>
      <c r="AD534">
        <f ca="1">'ETF variations'!AD534/'ETF price'!AE535</f>
        <v>2.0358306188925372E-3</v>
      </c>
      <c r="AE534">
        <f ca="1">'ETF variations'!AE534/'ETF price'!AF535</f>
        <v>0.13525498891352558</v>
      </c>
      <c r="AF534">
        <f ca="1">'ETF variations'!AF534/'ETF price'!AG535</f>
        <v>1.2040939193257104E-2</v>
      </c>
    </row>
    <row r="535" spans="1:32" x14ac:dyDescent="0.2">
      <c r="A535">
        <f ca="1">'ETF variations'!A535/'ETF price'!B536</f>
        <v>-1.0169324184232623E-2</v>
      </c>
      <c r="B535">
        <f ca="1">'ETF variations'!B535/'ETF price'!C536</f>
        <v>-1.1807465618860494E-2</v>
      </c>
      <c r="C535">
        <f ca="1">'ETF variations'!C535/'ETF price'!D536</f>
        <v>-2.0308386611506721E-3</v>
      </c>
      <c r="D535">
        <f ca="1">'ETF variations'!D535/'ETF price'!E536</f>
        <v>-1.6797043720305226E-2</v>
      </c>
      <c r="E535">
        <f ca="1">'ETF variations'!E535/'ETF price'!F536</f>
        <v>-9.9861729912429816E-3</v>
      </c>
      <c r="F535">
        <f ca="1">'ETF variations'!F535/'ETF price'!G536</f>
        <v>-5.0050050050049581E-3</v>
      </c>
      <c r="G535">
        <f ca="1">'ETF variations'!G535/'ETF price'!H536</f>
        <v>-7.1994240460764155E-3</v>
      </c>
      <c r="H535">
        <f ca="1">'ETF variations'!H535/'ETF price'!I536</f>
        <v>-3.3649224007691876E-3</v>
      </c>
      <c r="I535">
        <f ca="1">'ETF variations'!I535/'ETF price'!J536</f>
        <v>-4.4626115652891237E-3</v>
      </c>
      <c r="J535">
        <f ca="1">'ETF variations'!J535/'ETF price'!K536</f>
        <v>-6.3361084506003487E-3</v>
      </c>
      <c r="K535">
        <f ca="1">'ETF variations'!K535/'ETF price'!L536</f>
        <v>-8.266237251744607E-3</v>
      </c>
      <c r="L535">
        <f ca="1">'ETF variations'!L535/'ETF price'!M536</f>
        <v>-9.282178217821695E-3</v>
      </c>
      <c r="M535">
        <f ca="1">'ETF variations'!M535/'ETF price'!N536</f>
        <v>-4.7979063681302453E-3</v>
      </c>
      <c r="N535">
        <f ca="1">'ETF variations'!N535/'ETF price'!O536</f>
        <v>-1.487314085739282E-2</v>
      </c>
      <c r="O535">
        <f ca="1">'ETF variations'!O535/'ETF price'!P536</f>
        <v>-9.1153441626736827E-3</v>
      </c>
      <c r="P535">
        <f ca="1">'ETF variations'!P535/'ETF price'!Q536</f>
        <v>-9.3058350100603572E-3</v>
      </c>
      <c r="Q535">
        <f ca="1">'ETF variations'!Q535/'ETF price'!R536</f>
        <v>-2.1134202183868359E-3</v>
      </c>
      <c r="R535">
        <f ca="1">'ETF variations'!R535/'ETF price'!S536</f>
        <v>-2.0120014119308041E-2</v>
      </c>
      <c r="S535">
        <f ca="1">'ETF variations'!S535/'ETF price'!T536</f>
        <v>-5.4471175669541985E-3</v>
      </c>
      <c r="T535">
        <f ca="1">'ETF variations'!T535/'ETF price'!U536</f>
        <v>-1.348590110339184E-2</v>
      </c>
      <c r="U535">
        <f ca="1">'ETF variations'!U535/'ETF price'!V536</f>
        <v>-2.2407170294494176E-2</v>
      </c>
      <c r="V535">
        <f ca="1">'ETF variations'!V535/'ETF price'!W536</f>
        <v>-2.7756749936916334E-3</v>
      </c>
      <c r="W535">
        <f ca="1">'ETF variations'!W535/'ETF price'!X536</f>
        <v>-4.0511062636335365E-3</v>
      </c>
      <c r="X535">
        <f ca="1">'ETF variations'!X535/'ETF price'!Y536</f>
        <v>-6.5256525652565064E-3</v>
      </c>
      <c r="Y535">
        <f ca="1">'ETF variations'!Y535/'ETF price'!Z536</f>
        <v>-1.1198208286673497E-3</v>
      </c>
      <c r="Z535">
        <f ca="1">'ETF variations'!Z535/'ETF price'!AA536</f>
        <v>-1.5645371577575559E-3</v>
      </c>
      <c r="AA535">
        <f ca="1">'ETF variations'!AA535/'ETF price'!AB536</f>
        <v>-7.8012728392527729E-3</v>
      </c>
      <c r="AB535">
        <f ca="1">'ETF variations'!AB535/'ETF price'!AC536</f>
        <v>2.690299097958565E-3</v>
      </c>
      <c r="AC535">
        <f ca="1">'ETF variations'!AC535/'ETF price'!AD536</f>
        <v>3.626306084818684E-2</v>
      </c>
      <c r="AD535">
        <f ca="1">'ETF variations'!AD535/'ETF price'!AE536</f>
        <v>2.0316944331572819E-3</v>
      </c>
      <c r="AE535">
        <f ca="1">'ETF variations'!AE535/'ETF price'!AF536</f>
        <v>-2.1484375000000062E-2</v>
      </c>
      <c r="AF535">
        <f ca="1">'ETF variations'!AF535/'ETF price'!AG536</f>
        <v>-5.6117390442197074E-2</v>
      </c>
    </row>
    <row r="536" spans="1:32" x14ac:dyDescent="0.2">
      <c r="A536">
        <f ca="1">'ETF variations'!A536/'ETF price'!B537</f>
        <v>-6.2839758615529945E-3</v>
      </c>
      <c r="B536">
        <f ca="1">'ETF variations'!B536/'ETF price'!C537</f>
        <v>-8.5289966003300674E-3</v>
      </c>
      <c r="C536">
        <f ca="1">'ETF variations'!C536/'ETF price'!D537</f>
        <v>-2.4118179077479134E-3</v>
      </c>
      <c r="D536">
        <f ca="1">'ETF variations'!D536/'ETF price'!E537</f>
        <v>-2.2941377458876307E-3</v>
      </c>
      <c r="E536">
        <f ca="1">'ETF variations'!E536/'ETF price'!F537</f>
        <v>-4.9813780260707652E-2</v>
      </c>
      <c r="F536">
        <f ca="1">'ETF variations'!F536/'ETF price'!G537</f>
        <v>-1.2072434607645855E-2</v>
      </c>
      <c r="G536">
        <f ca="1">'ETF variations'!G536/'ETF price'!H537</f>
        <v>-4.7135605511239671E-3</v>
      </c>
      <c r="H536">
        <f ca="1">'ETF variations'!H536/'ETF price'!I537</f>
        <v>2.2049197271411369E-3</v>
      </c>
      <c r="I536">
        <f ca="1">'ETF variations'!I536/'ETF price'!J537</f>
        <v>2.2224733491542355E-3</v>
      </c>
      <c r="J536">
        <f ca="1">'ETF variations'!J536/'ETF price'!K537</f>
        <v>2.891673463334962E-3</v>
      </c>
      <c r="K536">
        <f ca="1">'ETF variations'!K536/'ETF price'!L537</f>
        <v>9.7423684780259165E-4</v>
      </c>
      <c r="L536">
        <f ca="1">'ETF variations'!L536/'ETF price'!M537</f>
        <v>-7.0268582136165337E-3</v>
      </c>
      <c r="M536">
        <f ca="1">'ETF variations'!M536/'ETF price'!N537</f>
        <v>2.337472607742828E-3</v>
      </c>
      <c r="N536">
        <f ca="1">'ETF variations'!N536/'ETF price'!O537</f>
        <v>8.8809946714030078E-4</v>
      </c>
      <c r="O536">
        <f ca="1">'ETF variations'!O536/'ETF price'!P537</f>
        <v>1.8752211345677429E-2</v>
      </c>
      <c r="P536">
        <f ca="1">'ETF variations'!P536/'ETF price'!Q537</f>
        <v>1.9971227892019966E-2</v>
      </c>
      <c r="Q536">
        <f ca="1">'ETF variations'!Q536/'ETF price'!R537</f>
        <v>5.5300623602776667E-3</v>
      </c>
      <c r="R536">
        <f ca="1">'ETF variations'!R536/'ETF price'!S537</f>
        <v>8.465417867435137E-3</v>
      </c>
      <c r="S536">
        <f ca="1">'ETF variations'!S536/'ETF price'!T537</f>
        <v>4.1077133728890849E-3</v>
      </c>
      <c r="T536">
        <f ca="1">'ETF variations'!T536/'ETF price'!U537</f>
        <v>1.0770505385252708E-2</v>
      </c>
      <c r="U536">
        <f ca="1">'ETF variations'!U536/'ETF price'!V537</f>
        <v>-2.2920759659463091E-2</v>
      </c>
      <c r="V536">
        <f ca="1">'ETF variations'!V536/'ETF price'!W537</f>
        <v>3.0364372469634977E-3</v>
      </c>
      <c r="W536">
        <f ca="1">'ETF variations'!W536/'ETF price'!X537</f>
        <v>1.1472674176053342E-3</v>
      </c>
      <c r="X536">
        <f ca="1">'ETF variations'!X536/'ETF price'!Y537</f>
        <v>-4.3035107587768451E-3</v>
      </c>
      <c r="Y536">
        <f ca="1">'ETF variations'!Y536/'ETF price'!Z537</f>
        <v>1.2331838565022358E-3</v>
      </c>
      <c r="Z536">
        <f ca="1">'ETF variations'!Z536/'ETF price'!AA537</f>
        <v>7.3126142595978357E-3</v>
      </c>
      <c r="AA536">
        <f ca="1">'ETF variations'!AA536/'ETF price'!AB537</f>
        <v>-6.621146285950761E-3</v>
      </c>
      <c r="AB536">
        <f ca="1">'ETF variations'!AB536/'ETF price'!AC537</f>
        <v>-4.1035353535353218E-3</v>
      </c>
      <c r="AC536">
        <f ca="1">'ETF variations'!AC536/'ETF price'!AD537</f>
        <v>-2.7283511269276445E-2</v>
      </c>
      <c r="AD536">
        <f ca="1">'ETF variations'!AD536/'ETF price'!AE537</f>
        <v>-2.2708840227088349E-2</v>
      </c>
      <c r="AE536">
        <f ca="1">'ETF variations'!AE536/'ETF price'!AF537</f>
        <v>-3.193612774451101E-2</v>
      </c>
      <c r="AF536">
        <f ca="1">'ETF variations'!AF536/'ETF price'!AG537</f>
        <v>-5.7563025210084072E-2</v>
      </c>
    </row>
    <row r="537" spans="1:32" x14ac:dyDescent="0.2">
      <c r="A537">
        <f ca="1">'ETF variations'!A537/'ETF price'!B538</f>
        <v>3.2722710163111721E-2</v>
      </c>
      <c r="B537">
        <f ca="1">'ETF variations'!B537/'ETF price'!C538</f>
        <v>3.2524563866051674E-2</v>
      </c>
      <c r="C537">
        <f ca="1">'ETF variations'!C537/'ETF price'!D538</f>
        <v>2.4932003626472049E-3</v>
      </c>
      <c r="D537">
        <f ca="1">'ETF variations'!D537/'ETF price'!E538</f>
        <v>4.9266144814089988E-2</v>
      </c>
      <c r="E537">
        <f ca="1">'ETF variations'!E537/'ETF price'!F538</f>
        <v>2.6130981544994308E-2</v>
      </c>
      <c r="F537">
        <f ca="1">'ETF variations'!F537/'ETF price'!G538</f>
        <v>4.4127630685675517E-2</v>
      </c>
      <c r="G537">
        <f ca="1">'ETF variations'!G537/'ETF price'!H538</f>
        <v>2.2222222222222202E-2</v>
      </c>
      <c r="H537">
        <f ca="1">'ETF variations'!H537/'ETF price'!I538</f>
        <v>1.1756617394293628E-2</v>
      </c>
      <c r="I537">
        <f ca="1">'ETF variations'!I537/'ETF price'!J538</f>
        <v>1.1576336164774803E-2</v>
      </c>
      <c r="J537">
        <f ca="1">'ETF variations'!J537/'ETF price'!K538</f>
        <v>1.4120952240130095E-2</v>
      </c>
      <c r="K537">
        <f ca="1">'ETF variations'!K537/'ETF price'!L538</f>
        <v>1.8168054504163585E-2</v>
      </c>
      <c r="L537">
        <f ca="1">'ETF variations'!L537/'ETF price'!M538</f>
        <v>6.2902972165434588E-3</v>
      </c>
      <c r="M537">
        <f ca="1">'ETF variations'!M537/'ETF price'!N538</f>
        <v>1.1368605159597743E-2</v>
      </c>
      <c r="N537">
        <f ca="1">'ETF variations'!N537/'ETF price'!O538</f>
        <v>1.6858917480035606E-2</v>
      </c>
      <c r="O537">
        <f ca="1">'ETF variations'!O537/'ETF price'!P538</f>
        <v>1.7365130817319483E-3</v>
      </c>
      <c r="P537">
        <f ca="1">'ETF variations'!P537/'ETF price'!Q538</f>
        <v>9.1263585829253651E-4</v>
      </c>
      <c r="Q537">
        <f ca="1">'ETF variations'!Q537/'ETF price'!R538</f>
        <v>1.0063187456119817E-2</v>
      </c>
      <c r="R537">
        <f ca="1">'ETF variations'!R537/'ETF price'!S538</f>
        <v>1.2502232541525323E-3</v>
      </c>
      <c r="S537">
        <f ca="1">'ETF variations'!S537/'ETF price'!T538</f>
        <v>2.7272727272726689E-3</v>
      </c>
      <c r="T537">
        <f ca="1">'ETF variations'!T537/'ETF price'!U538</f>
        <v>5.4644808743168228E-3</v>
      </c>
      <c r="U537">
        <f ca="1">'ETF variations'!U537/'ETF price'!V538</f>
        <v>-4.7140303842716703E-2</v>
      </c>
      <c r="V537">
        <f ca="1">'ETF variations'!V537/'ETF price'!W538</f>
        <v>1.1604439959636751E-2</v>
      </c>
      <c r="W537">
        <f ca="1">'ETF variations'!W537/'ETF price'!X538</f>
        <v>1.2292947181998196E-2</v>
      </c>
      <c r="X537">
        <f ca="1">'ETF variations'!X537/'ETF price'!Y538</f>
        <v>2.274795268425874E-3</v>
      </c>
      <c r="Y537">
        <f ca="1">'ETF variations'!Y537/'ETF price'!Z538</f>
        <v>1.0861045795543599E-2</v>
      </c>
      <c r="Z537">
        <f ca="1">'ETF variations'!Z537/'ETF price'!AA538</f>
        <v>2.5926886180970034E-3</v>
      </c>
      <c r="AA537">
        <f ca="1">'ETF variations'!AA537/'ETF price'!AB538</f>
        <v>-8.331597583836523E-4</v>
      </c>
      <c r="AB537">
        <f ca="1">'ETF variations'!AB537/'ETF price'!AC538</f>
        <v>2.8526148969889018E-3</v>
      </c>
      <c r="AC537">
        <f ca="1">'ETF variations'!AC537/'ETF price'!AD538</f>
        <v>3.1707317073170926E-2</v>
      </c>
      <c r="AD537">
        <f ca="1">'ETF variations'!AD537/'ETF price'!AE538</f>
        <v>2.0746887966804978E-2</v>
      </c>
      <c r="AE537">
        <f ca="1">'ETF variations'!AE537/'ETF price'!AF538</f>
        <v>-4.1237113402060981E-3</v>
      </c>
      <c r="AF537">
        <f ca="1">'ETF variations'!AF537/'ETF price'!AG538</f>
        <v>4.7481052162282718E-2</v>
      </c>
    </row>
    <row r="538" spans="1:32" x14ac:dyDescent="0.2">
      <c r="A538">
        <f ca="1">'ETF variations'!A538/'ETF price'!B539</f>
        <v>-2.3327015599942567E-3</v>
      </c>
      <c r="B538">
        <f ca="1">'ETF variations'!B538/'ETF price'!C539</f>
        <v>-3.3791656956420595E-3</v>
      </c>
      <c r="C538">
        <f ca="1">'ETF variations'!C538/'ETF price'!D539</f>
        <v>-6.7073630266032587E-3</v>
      </c>
      <c r="D538">
        <f ca="1">'ETF variations'!D538/'ETF price'!E539</f>
        <v>-1.0770737166037219E-2</v>
      </c>
      <c r="E538">
        <f ca="1">'ETF variations'!E538/'ETF price'!F539</f>
        <v>9.3904185898456699E-3</v>
      </c>
      <c r="F538">
        <f ca="1">'ETF variations'!F538/'ETF price'!G539</f>
        <v>-9.7529258777636978E-4</v>
      </c>
      <c r="G538">
        <f ca="1">'ETF variations'!G538/'ETF price'!H539</f>
        <v>-3.9201710620099589E-3</v>
      </c>
      <c r="H538">
        <f ca="1">'ETF variations'!H538/'ETF price'!I539</f>
        <v>4.756727371568477E-3</v>
      </c>
      <c r="I538">
        <f ca="1">'ETF variations'!I538/'ETF price'!J539</f>
        <v>4.7930445121498865E-3</v>
      </c>
      <c r="J538">
        <f ca="1">'ETF variations'!J538/'ETF price'!K539</f>
        <v>7.4360282860684579E-3</v>
      </c>
      <c r="K538">
        <f ca="1">'ETF variations'!K538/'ETF price'!L539</f>
        <v>6.3728093467869812E-3</v>
      </c>
      <c r="L538">
        <f ca="1">'ETF variations'!L538/'ETF price'!M539</f>
        <v>9.5327394905452782E-3</v>
      </c>
      <c r="M538">
        <f ca="1">'ETF variations'!M538/'ETF price'!N539</f>
        <v>3.8910505836575304E-3</v>
      </c>
      <c r="N538">
        <f ca="1">'ETF variations'!N538/'ETF price'!O539</f>
        <v>0</v>
      </c>
      <c r="O538">
        <f ca="1">'ETF variations'!O538/'ETF price'!P539</f>
        <v>-6.5873107592743256E-3</v>
      </c>
      <c r="P538">
        <f ca="1">'ETF variations'!P538/'ETF price'!Q539</f>
        <v>-6.3826259946949274E-3</v>
      </c>
      <c r="Q538">
        <f ca="1">'ETF variations'!Q538/'ETF price'!R539</f>
        <v>5.9082483781279557E-3</v>
      </c>
      <c r="R538">
        <f ca="1">'ETF variations'!R538/'ETF price'!S539</f>
        <v>1.07028184088468E-3</v>
      </c>
      <c r="S538">
        <f ca="1">'ETF variations'!S538/'ETF price'!T539</f>
        <v>-1.4505893019038998E-2</v>
      </c>
      <c r="T538">
        <f ca="1">'ETF variations'!T538/'ETF price'!U539</f>
        <v>-2.2826086956521642E-2</v>
      </c>
      <c r="U538">
        <f ca="1">'ETF variations'!U538/'ETF price'!V539</f>
        <v>-1.5474794841734973E-2</v>
      </c>
      <c r="V538">
        <f ca="1">'ETF variations'!V538/'ETF price'!W539</f>
        <v>4.9875311720697186E-3</v>
      </c>
      <c r="W538">
        <f ca="1">'ETF variations'!W538/'ETF price'!X539</f>
        <v>3.7048471750540232E-3</v>
      </c>
      <c r="X538">
        <f ca="1">'ETF variations'!X538/'ETF price'!Y539</f>
        <v>6.8088969586929497E-4</v>
      </c>
      <c r="Y538">
        <f ca="1">'ETF variations'!Y538/'ETF price'!Z539</f>
        <v>3.1014621178555731E-3</v>
      </c>
      <c r="Z538">
        <f ca="1">'ETF variations'!Z538/'ETF price'!AA539</f>
        <v>1.2929919834496291E-3</v>
      </c>
      <c r="AA538">
        <f ca="1">'ETF variations'!AA538/'ETF price'!AB539</f>
        <v>-2.0846362309777239E-3</v>
      </c>
      <c r="AB538">
        <f ca="1">'ETF variations'!AB538/'ETF price'!AC539</f>
        <v>3.9506953223767379E-3</v>
      </c>
      <c r="AC538">
        <f ca="1">'ETF variations'!AC538/'ETF price'!AD539</f>
        <v>-1.8912529550827437E-2</v>
      </c>
      <c r="AD538">
        <f ca="1">'ETF variations'!AD538/'ETF price'!AE539</f>
        <v>-1.8292682926829382E-2</v>
      </c>
      <c r="AE538">
        <f ca="1">'ETF variations'!AE538/'ETF price'!AF539</f>
        <v>-3.7267080745341553E-2</v>
      </c>
      <c r="AF538">
        <f ca="1">'ETF variations'!AF538/'ETF price'!AG539</f>
        <v>-3.4901042775058531E-2</v>
      </c>
    </row>
    <row r="539" spans="1:32" x14ac:dyDescent="0.2">
      <c r="A539">
        <f ca="1">'ETF variations'!A539/'ETF price'!B540</f>
        <v>9.7423157484542386E-4</v>
      </c>
      <c r="B539">
        <f ca="1">'ETF variations'!B539/'ETF price'!C540</f>
        <v>2.6111695701314004E-3</v>
      </c>
      <c r="C539">
        <f ca="1">'ETF variations'!C539/'ETF price'!D540</f>
        <v>1.1305007587253267E-2</v>
      </c>
      <c r="D539">
        <f ca="1">'ETF variations'!D539/'ETF price'!E540</f>
        <v>9.8510558069381769E-3</v>
      </c>
      <c r="E539">
        <f ca="1">'ETF variations'!E539/'ETF price'!F540</f>
        <v>1.0564490696941055E-2</v>
      </c>
      <c r="F539">
        <f ca="1">'ETF variations'!F539/'ETF price'!G540</f>
        <v>9.1116173120729307E-3</v>
      </c>
      <c r="G539">
        <f ca="1">'ETF variations'!G539/'ETF price'!H540</f>
        <v>-1.0733452593916846E-3</v>
      </c>
      <c r="H539">
        <f ca="1">'ETF variations'!H539/'ETF price'!I540</f>
        <v>-5.1399972947383963E-3</v>
      </c>
      <c r="I539">
        <f ca="1">'ETF variations'!I539/'ETF price'!J540</f>
        <v>-4.2155086343970208E-3</v>
      </c>
      <c r="J539">
        <f ca="1">'ETF variations'!J539/'ETF price'!K540</f>
        <v>7.0193212244011784E-3</v>
      </c>
      <c r="K539">
        <f ca="1">'ETF variations'!K539/'ETF price'!L540</f>
        <v>2.7335092348284996E-2</v>
      </c>
      <c r="L539">
        <f ca="1">'ETF variations'!L539/'ETF price'!M540</f>
        <v>1.9969040247678118E-2</v>
      </c>
      <c r="M539">
        <f ca="1">'ETF variations'!M539/'ETF price'!N540</f>
        <v>-2.4404249210451005E-3</v>
      </c>
      <c r="N539">
        <f ca="1">'ETF variations'!N539/'ETF price'!O540</f>
        <v>2.0942408376963213E-2</v>
      </c>
      <c r="O539">
        <f ca="1">'ETF variations'!O539/'ETF price'!P540</f>
        <v>3.4899953466730037E-3</v>
      </c>
      <c r="P539">
        <f ca="1">'ETF variations'!P539/'ETF price'!Q540</f>
        <v>3.2535246517060193E-3</v>
      </c>
      <c r="Q539">
        <f ca="1">'ETF variations'!Q539/'ETF price'!R540</f>
        <v>-5.9887135782563175E-3</v>
      </c>
      <c r="R539">
        <f ca="1">'ETF variations'!R539/'ETF price'!S540</f>
        <v>5.3456878118318656E-3</v>
      </c>
      <c r="S539">
        <f ca="1">'ETF variations'!S539/'ETF price'!T540</f>
        <v>9.1996320147195425E-3</v>
      </c>
      <c r="T539">
        <f ca="1">'ETF variations'!T539/'ETF price'!U540</f>
        <v>1.2096774193548449E-2</v>
      </c>
      <c r="U539">
        <f ca="1">'ETF variations'!U539/'ETF price'!V540</f>
        <v>-2.3815194093844048E-4</v>
      </c>
      <c r="V539">
        <f ca="1">'ETF variations'!V539/'ETF price'!W540</f>
        <v>-4.9627791563274376E-3</v>
      </c>
      <c r="W539">
        <f ca="1">'ETF variations'!W539/'ETF price'!X540</f>
        <v>-2.9734440684918103E-3</v>
      </c>
      <c r="X539">
        <f ca="1">'ETF variations'!X539/'ETF price'!Y540</f>
        <v>-8.6187344068950449E-3</v>
      </c>
      <c r="Y539">
        <f ca="1">'ETF variations'!Y539/'ETF price'!Z540</f>
        <v>-4.196113074204897E-3</v>
      </c>
      <c r="Z539">
        <f ca="1">'ETF variations'!Z539/'ETF price'!AA540</f>
        <v>-1.1363636363636305E-2</v>
      </c>
      <c r="AA539">
        <f ca="1">'ETF variations'!AA539/'ETF price'!AB540</f>
        <v>-9.400459578023726E-3</v>
      </c>
      <c r="AB539">
        <f ca="1">'ETF variations'!AB539/'ETF price'!AC540</f>
        <v>2.2036832992287196E-3</v>
      </c>
      <c r="AC539">
        <f ca="1">'ETF variations'!AC539/'ETF price'!AD540</f>
        <v>7.5301204819277101E-2</v>
      </c>
      <c r="AD539">
        <f ca="1">'ETF variations'!AD539/'ETF price'!AE540</f>
        <v>6.8322981366459715E-2</v>
      </c>
      <c r="AE539">
        <f ca="1">'ETF variations'!AE539/'ETF price'!AF540</f>
        <v>-1.935483870967758E-2</v>
      </c>
      <c r="AF539">
        <f ca="1">'ETF variations'!AF539/'ETF price'!AG540</f>
        <v>0.16824696802646075</v>
      </c>
    </row>
    <row r="540" spans="1:32" x14ac:dyDescent="0.2">
      <c r="A540">
        <f ca="1">'ETF variations'!A540/'ETF price'!B541</f>
        <v>8.7595503430813368E-4</v>
      </c>
      <c r="B540">
        <f ca="1">'ETF variations'!B540/'ETF price'!C541</f>
        <v>1.4576692839928477E-3</v>
      </c>
      <c r="C540">
        <f ca="1">'ETF variations'!C540/'ETF price'!D541</f>
        <v>1.5905169179983528E-2</v>
      </c>
      <c r="D540">
        <f ca="1">'ETF variations'!D540/'ETF price'!E541</f>
        <v>-9.801633605601304E-4</v>
      </c>
      <c r="E540">
        <f ca="1">'ETF variations'!E540/'ETF price'!F541</f>
        <v>3.7447339678576201E-3</v>
      </c>
      <c r="F540">
        <f ca="1">'ETF variations'!F540/'ETF price'!G541</f>
        <v>4.1921960657851981E-3</v>
      </c>
      <c r="G540">
        <f ca="1">'ETF variations'!G540/'ETF price'!H541</f>
        <v>5.0143266475643627E-3</v>
      </c>
      <c r="H540">
        <f ca="1">'ETF variations'!H540/'ETF price'!I541</f>
        <v>-2.4473147518693761E-3</v>
      </c>
      <c r="I540">
        <f ca="1">'ETF variations'!I540/'ETF price'!J541</f>
        <v>1.2254446878828924E-3</v>
      </c>
      <c r="J540">
        <f ca="1">'ETF variations'!J540/'ETF price'!K541</f>
        <v>1.2431733256682882E-2</v>
      </c>
      <c r="K540">
        <f ca="1">'ETF variations'!K540/'ETF price'!L541</f>
        <v>5.7016642695705742E-2</v>
      </c>
      <c r="L540">
        <f ca="1">'ETF variations'!L540/'ETF price'!M541</f>
        <v>1.183791167096678E-2</v>
      </c>
      <c r="M540">
        <f ca="1">'ETF variations'!M540/'ETF price'!N541</f>
        <v>-4.3171679378329459E-4</v>
      </c>
      <c r="N540">
        <f ca="1">'ETF variations'!N540/'ETF price'!O541</f>
        <v>4.5299145299145402E-2</v>
      </c>
      <c r="O540">
        <f ca="1">'ETF variations'!O540/'ETF price'!P541</f>
        <v>-4.2893577556225894E-3</v>
      </c>
      <c r="P540">
        <f ca="1">'ETF variations'!P540/'ETF price'!Q541</f>
        <v>-3.6587393979711619E-3</v>
      </c>
      <c r="Q540">
        <f ca="1">'ETF variations'!Q540/'ETF price'!R541</f>
        <v>3.7075657513612925E-3</v>
      </c>
      <c r="R540">
        <f ca="1">'ETF variations'!R540/'ETF price'!S541</f>
        <v>1.0811768876284995E-2</v>
      </c>
      <c r="S540">
        <f ca="1">'ETF variations'!S540/'ETF price'!T541</f>
        <v>7.7484047402004621E-3</v>
      </c>
      <c r="T540">
        <f ca="1">'ETF variations'!T540/'ETF price'!U541</f>
        <v>1.4562439895589889E-2</v>
      </c>
      <c r="U540">
        <f ca="1">'ETF variations'!U540/'ETF price'!V541</f>
        <v>1.3816102906145914E-2</v>
      </c>
      <c r="V540">
        <f ca="1">'ETF variations'!V540/'ETF price'!W541</f>
        <v>2.7431421446383899E-3</v>
      </c>
      <c r="W540">
        <f ca="1">'ETF variations'!W540/'ETF price'!X541</f>
        <v>3.4965034965035316E-3</v>
      </c>
      <c r="X540">
        <f ca="1">'ETF variations'!X540/'ETF price'!Y541</f>
        <v>1.098146877144811E-2</v>
      </c>
      <c r="Y540">
        <f ca="1">'ETF variations'!Y540/'ETF price'!Z541</f>
        <v>3.6593479707251971E-3</v>
      </c>
      <c r="Z540">
        <f ca="1">'ETF variations'!Z540/'ETF price'!AA541</f>
        <v>7.836990595611582E-4</v>
      </c>
      <c r="AA540">
        <f ca="1">'ETF variations'!AA540/'ETF price'!AB541</f>
        <v>1.2442007591733367E-2</v>
      </c>
      <c r="AB540">
        <f ca="1">'ETF variations'!AB540/'ETF price'!AC541</f>
        <v>-1.7276582377885885E-3</v>
      </c>
      <c r="AC540">
        <f ca="1">'ETF variations'!AC540/'ETF price'!AD541</f>
        <v>2.7450980392156772E-2</v>
      </c>
      <c r="AD540">
        <f ca="1">'ETF variations'!AD540/'ETF price'!AE541</f>
        <v>4.3798449612403062E-2</v>
      </c>
      <c r="AE540">
        <f ca="1">'ETF variations'!AE540/'ETF price'!AF541</f>
        <v>-1.3157894736842021E-2</v>
      </c>
      <c r="AF540">
        <f ca="1">'ETF variations'!AF540/'ETF price'!AG541</f>
        <v>1.4156285390713478E-2</v>
      </c>
    </row>
    <row r="541" spans="1:32" x14ac:dyDescent="0.2">
      <c r="A541">
        <f ca="1">'ETF variations'!A541/'ETF price'!B542</f>
        <v>-4.7162930908737242E-3</v>
      </c>
      <c r="B541">
        <f ca="1">'ETF variations'!B541/'ETF price'!C542</f>
        <v>-4.6383449453684215E-3</v>
      </c>
      <c r="C541">
        <f ca="1">'ETF variations'!C541/'ETF price'!D542</f>
        <v>-2.7324422125397279E-3</v>
      </c>
      <c r="D541">
        <f ca="1">'ETF variations'!D541/'ETF price'!E542</f>
        <v>-1.1259577649037547E-2</v>
      </c>
      <c r="E541">
        <f ca="1">'ETF variations'!E541/'ETF price'!F542</f>
        <v>-7.7724234416286589E-4</v>
      </c>
      <c r="F541">
        <f ca="1">'ETF variations'!F541/'ETF price'!G542</f>
        <v>-1.0597302504817014E-2</v>
      </c>
      <c r="G541">
        <f ca="1">'ETF variations'!G541/'ETF price'!H542</f>
        <v>-3.5637918745544503E-3</v>
      </c>
      <c r="H541">
        <f ca="1">'ETF variations'!H541/'ETF price'!I542</f>
        <v>-4.9747853346055479E-3</v>
      </c>
      <c r="I541">
        <f ca="1">'ETF variations'!I541/'ETF price'!J542</f>
        <v>-6.1197240560788412E-3</v>
      </c>
      <c r="J541">
        <f ca="1">'ETF variations'!J541/'ETF price'!K542</f>
        <v>-1.0433671658740854E-2</v>
      </c>
      <c r="K541">
        <f ca="1">'ETF variations'!K541/'ETF price'!L542</f>
        <v>-1.3217999805617645E-2</v>
      </c>
      <c r="L541">
        <f ca="1">'ETF variations'!L541/'ETF price'!M542</f>
        <v>-4.199790010499492E-3</v>
      </c>
      <c r="M541">
        <f ca="1">'ETF variations'!M541/'ETF price'!N542</f>
        <v>-6.0466455513963078E-3</v>
      </c>
      <c r="N541">
        <f ca="1">'ETF variations'!N541/'ETF price'!O542</f>
        <v>-8.1766148814389099E-4</v>
      </c>
      <c r="O541">
        <f ca="1">'ETF variations'!O541/'ETF price'!P542</f>
        <v>-1.9792758179066447E-3</v>
      </c>
      <c r="P541">
        <f ca="1">'ETF variations'!P541/'ETF price'!Q542</f>
        <v>-2.086463027875146E-3</v>
      </c>
      <c r="Q541">
        <f ca="1">'ETF variations'!Q541/'ETF price'!R542</f>
        <v>3.116703220593446E-3</v>
      </c>
      <c r="R541">
        <f ca="1">'ETF variations'!R541/'ETF price'!S542</f>
        <v>-2.5775907417148847E-2</v>
      </c>
      <c r="S541">
        <f ca="1">'ETF variations'!S541/'ETF price'!T542</f>
        <v>-4.0705563093622731E-3</v>
      </c>
      <c r="T541">
        <f ca="1">'ETF variations'!T541/'ETF price'!U542</f>
        <v>-3.1144211238996588E-3</v>
      </c>
      <c r="U541">
        <f ca="1">'ETF variations'!U541/'ETF price'!V542</f>
        <v>-1.2922932330827168E-2</v>
      </c>
      <c r="V541">
        <f ca="1">'ETF variations'!V541/'ETF price'!W542</f>
        <v>3.7304153195722102E-3</v>
      </c>
      <c r="W541">
        <f ca="1">'ETF variations'!W541/'ETF price'!X542</f>
        <v>2.7669604427136302E-3</v>
      </c>
      <c r="X541">
        <f ca="1">'ETF variations'!X541/'ETF price'!Y542</f>
        <v>-7.0151618013124051E-3</v>
      </c>
      <c r="Y541">
        <f ca="1">'ETF variations'!Y541/'ETF price'!Z542</f>
        <v>3.0935808197989296E-3</v>
      </c>
      <c r="Z541">
        <f ca="1">'ETF variations'!Z541/'ETF price'!AA542</f>
        <v>1.2790394152962539E-2</v>
      </c>
      <c r="AA541">
        <f ca="1">'ETF variations'!AA541/'ETF price'!AB542</f>
        <v>-1.0831076858987628E-2</v>
      </c>
      <c r="AB541">
        <f ca="1">'ETF variations'!AB541/'ETF price'!AC542</f>
        <v>2.8319697923222106E-3</v>
      </c>
      <c r="AC541">
        <f ca="1">'ETF variations'!AC541/'ETF price'!AD542</f>
        <v>3.4896401308615078E-2</v>
      </c>
      <c r="AD541">
        <f ca="1">'ETF variations'!AD541/'ETF price'!AE542</f>
        <v>5.6442629038247295E-2</v>
      </c>
      <c r="AE541">
        <f ca="1">'ETF variations'!AE541/'ETF price'!AF542</f>
        <v>-1.3333333333333246E-2</v>
      </c>
      <c r="AF541">
        <f ca="1">'ETF variations'!AF541/'ETF price'!AG542</f>
        <v>-4.6342825237297505E-2</v>
      </c>
    </row>
    <row r="542" spans="1:32" x14ac:dyDescent="0.2">
      <c r="A542">
        <f ca="1">'ETF variations'!A542/'ETF price'!B543</f>
        <v>1.1138251099169523E-2</v>
      </c>
      <c r="B542">
        <f ca="1">'ETF variations'!B542/'ETF price'!C543</f>
        <v>9.5733894868194665E-3</v>
      </c>
      <c r="C542">
        <f ca="1">'ETF variations'!C542/'ETF price'!D543</f>
        <v>-2.3474526066350618E-2</v>
      </c>
      <c r="D542">
        <f ca="1">'ETF variations'!D542/'ETF price'!E543</f>
        <v>2.7075556395596174E-2</v>
      </c>
      <c r="E542">
        <f ca="1">'ETF variations'!E542/'ETF price'!F543</f>
        <v>1.4623522090852485E-2</v>
      </c>
      <c r="F542">
        <f ca="1">'ETF variations'!F542/'ETF price'!G543</f>
        <v>1.2009087958455079E-2</v>
      </c>
      <c r="G542">
        <f ca="1">'ETF variations'!G542/'ETF price'!H543</f>
        <v>8.583690987124408E-3</v>
      </c>
      <c r="H542">
        <f ca="1">'ETF variations'!H542/'ETF price'!I543</f>
        <v>-8.1501267036504198E-3</v>
      </c>
      <c r="I542">
        <f ca="1">'ETF variations'!I542/'ETF price'!J543</f>
        <v>-9.5533082061424867E-3</v>
      </c>
      <c r="J542">
        <f ca="1">'ETF variations'!J542/'ETF price'!K543</f>
        <v>-1.8505235977621461E-2</v>
      </c>
      <c r="K542">
        <f ca="1">'ETF variations'!K542/'ETF price'!L543</f>
        <v>-3.0631340490495415E-2</v>
      </c>
      <c r="L542">
        <f ca="1">'ETF variations'!L542/'ETF price'!M543</f>
        <v>-1.2501882813676733E-2</v>
      </c>
      <c r="M542">
        <f ca="1">'ETF variations'!M542/'ETF price'!N543</f>
        <v>-9.2699884125144912E-3</v>
      </c>
      <c r="N542">
        <f ca="1">'ETF variations'!N542/'ETF price'!O543</f>
        <v>-1.9639934533551572E-2</v>
      </c>
      <c r="O542">
        <f ca="1">'ETF variations'!O542/'ETF price'!P543</f>
        <v>4.8996733551096797E-3</v>
      </c>
      <c r="P542">
        <f ca="1">'ETF variations'!P542/'ETF price'!Q543</f>
        <v>4.2652839340972248E-3</v>
      </c>
      <c r="Q542">
        <f ca="1">'ETF variations'!Q542/'ETF price'!R543</f>
        <v>7.5949367088607202E-3</v>
      </c>
      <c r="R542">
        <f ca="1">'ETF variations'!R542/'ETF price'!S543</f>
        <v>1.6738660907127424E-2</v>
      </c>
      <c r="S542">
        <f ca="1">'ETF variations'!S542/'ETF price'!T543</f>
        <v>-1.3623978201635393E-3</v>
      </c>
      <c r="T542">
        <f ca="1">'ETF variations'!T542/'ETF price'!U543</f>
        <v>-3.5316490084216939E-3</v>
      </c>
      <c r="U542">
        <f ca="1">'ETF variations'!U542/'ETF price'!V543</f>
        <v>2.7136396096167595E-2</v>
      </c>
      <c r="V542">
        <f ca="1">'ETF variations'!V542/'ETF price'!W543</f>
        <v>-4.9554013875114029E-4</v>
      </c>
      <c r="W542">
        <f ca="1">'ETF variations'!W542/'ETF price'!X543</f>
        <v>8.175779253961422E-4</v>
      </c>
      <c r="X542">
        <f ca="1">'ETF variations'!X542/'ETF price'!Y543</f>
        <v>1.2306289881494965E-2</v>
      </c>
      <c r="Y542">
        <f ca="1">'ETF variations'!Y542/'ETF price'!Z543</f>
        <v>2.3130300693908331E-3</v>
      </c>
      <c r="Z542">
        <f ca="1">'ETF variations'!Z542/'ETF price'!AA543</f>
        <v>7.9896907216495429E-3</v>
      </c>
      <c r="AA542">
        <f ca="1">'ETF variations'!AA542/'ETF price'!AB543</f>
        <v>1.3687092019372469E-2</v>
      </c>
      <c r="AB542">
        <f ca="1">'ETF variations'!AB542/'ETF price'!AC543</f>
        <v>3.1377470975833105E-4</v>
      </c>
      <c r="AC542">
        <f ca="1">'ETF variations'!AC542/'ETF price'!AD543</f>
        <v>3.1612223393045195E-2</v>
      </c>
      <c r="AD542">
        <f ca="1">'ETF variations'!AD542/'ETF price'!AE543</f>
        <v>2.7416520210896349E-2</v>
      </c>
      <c r="AE542">
        <f ca="1">'ETF variations'!AE542/'ETF price'!AF543</f>
        <v>0.15765765765765749</v>
      </c>
      <c r="AF542">
        <f ca="1">'ETF variations'!AF542/'ETF price'!AG543</f>
        <v>-8.2552693208430991E-2</v>
      </c>
    </row>
    <row r="543" spans="1:32" x14ac:dyDescent="0.2">
      <c r="A543">
        <f ca="1">'ETF variations'!A543/'ETF price'!B544</f>
        <v>1.8262634070924735E-2</v>
      </c>
      <c r="B543">
        <f ca="1">'ETF variations'!B543/'ETF price'!C544</f>
        <v>1.8540334884798903E-2</v>
      </c>
      <c r="C543">
        <f ca="1">'ETF variations'!C543/'ETF price'!D544</f>
        <v>8.9482065670736851E-3</v>
      </c>
      <c r="D543">
        <f ca="1">'ETF variations'!D543/'ETF price'!E544</f>
        <v>4.255612808244387E-2</v>
      </c>
      <c r="E543">
        <f ca="1">'ETF variations'!E543/'ETF price'!F544</f>
        <v>1.68659920269855E-3</v>
      </c>
      <c r="F543">
        <f ca="1">'ETF variations'!F543/'ETF price'!G544</f>
        <v>1.796023091725461E-2</v>
      </c>
      <c r="G543">
        <f ca="1">'ETF variations'!G543/'ETF price'!H544</f>
        <v>1.4184397163120643E-2</v>
      </c>
      <c r="H543">
        <f ca="1">'ETF variations'!H543/'ETF price'!I544</f>
        <v>1.0495787874603027E-2</v>
      </c>
      <c r="I543">
        <f ca="1">'ETF variations'!I543/'ETF price'!J544</f>
        <v>1.1642364643381841E-2</v>
      </c>
      <c r="J543">
        <f ca="1">'ETF variations'!J543/'ETF price'!K544</f>
        <v>2.1704180064308673E-2</v>
      </c>
      <c r="K543">
        <f ca="1">'ETF variations'!K543/'ETF price'!L544</f>
        <v>3.1599268441373701E-2</v>
      </c>
      <c r="L543">
        <f ca="1">'ETF variations'!L543/'ETF price'!M544</f>
        <v>2.6388041488712689E-2</v>
      </c>
      <c r="M543">
        <f ca="1">'ETF variations'!M543/'ETF price'!N544</f>
        <v>1.2134502923976583E-2</v>
      </c>
      <c r="N543">
        <f ca="1">'ETF variations'!N543/'ETF price'!O544</f>
        <v>2.5876460767946471E-2</v>
      </c>
      <c r="O543">
        <f ca="1">'ETF variations'!O543/'ETF price'!P544</f>
        <v>1.1609008590666357E-2</v>
      </c>
      <c r="P543">
        <f ca="1">'ETF variations'!P543/'ETF price'!Q544</f>
        <v>1.3324450366422456E-2</v>
      </c>
      <c r="Q543">
        <f ca="1">'ETF variations'!Q543/'ETF price'!R544</f>
        <v>4.5682960255823604E-3</v>
      </c>
      <c r="R543">
        <f ca="1">'ETF variations'!R543/'ETF price'!S544</f>
        <v>1.5577978403257132E-2</v>
      </c>
      <c r="S543">
        <f ca="1">'ETF variations'!S543/'ETF price'!T544</f>
        <v>5.0022737608004996E-3</v>
      </c>
      <c r="T543">
        <f ca="1">'ETF variations'!T543/'ETF price'!U544</f>
        <v>2.1810250817884329E-2</v>
      </c>
      <c r="U543">
        <f ca="1">'ETF variations'!U543/'ETF price'!V544</f>
        <v>2.3870220162224825E-2</v>
      </c>
      <c r="V543">
        <f ca="1">'ETF variations'!V543/'ETF price'!W544</f>
        <v>-1.2394645513139381E-3</v>
      </c>
      <c r="W543">
        <f ca="1">'ETF variations'!W543/'ETF price'!X544</f>
        <v>-2.0422750944562679E-4</v>
      </c>
      <c r="X543">
        <f ca="1">'ETF variations'!X543/'ETF price'!Y544</f>
        <v>-7.4290859972984758E-3</v>
      </c>
      <c r="Y543">
        <f ca="1">'ETF variations'!Y543/'ETF price'!Z544</f>
        <v>-2.307692307692239E-3</v>
      </c>
      <c r="Z543">
        <f ca="1">'ETF variations'!Z543/'ETF price'!AA544</f>
        <v>1.0994630529276394E-2</v>
      </c>
      <c r="AA543">
        <f ca="1">'ETF variations'!AA543/'ETF price'!AB544</f>
        <v>-1.1009555463232262E-2</v>
      </c>
      <c r="AB543">
        <f ca="1">'ETF variations'!AB543/'ETF price'!AC544</f>
        <v>3.2936010037641289E-3</v>
      </c>
      <c r="AC543">
        <f ca="1">'ETF variations'!AC543/'ETF price'!AD544</f>
        <v>1.6343207354443324E-2</v>
      </c>
      <c r="AD543">
        <f ca="1">'ETF variations'!AD543/'ETF price'!AE544</f>
        <v>-7.868628121792693E-3</v>
      </c>
      <c r="AE543">
        <f ca="1">'ETF variations'!AE543/'ETF price'!AF544</f>
        <v>1.167315175097286E-2</v>
      </c>
      <c r="AF543">
        <f ca="1">'ETF variations'!AF543/'ETF price'!AG544</f>
        <v>3.3822590938098349E-2</v>
      </c>
    </row>
    <row r="544" spans="1:32" x14ac:dyDescent="0.2">
      <c r="A544">
        <f ca="1">'ETF variations'!A544/'ETF price'!B545</f>
        <v>0</v>
      </c>
      <c r="B544">
        <f ca="1">'ETF variations'!B544/'ETF price'!C545</f>
        <v>1.8582073986992893E-3</v>
      </c>
      <c r="C544">
        <f ca="1">'ETF variations'!C544/'ETF price'!D545</f>
        <v>1.7812852311161035E-2</v>
      </c>
      <c r="D544">
        <f ca="1">'ETF variations'!D544/'ETF price'!E545</f>
        <v>9.8406954679845973E-3</v>
      </c>
      <c r="E544">
        <f ca="1">'ETF variations'!E544/'ETF price'!F545</f>
        <v>6.1227613653767421E-4</v>
      </c>
      <c r="F544">
        <f ca="1">'ETF variations'!F544/'ETF price'!G545</f>
        <v>7.2463768115942169E-3</v>
      </c>
      <c r="G544">
        <f ca="1">'ETF variations'!G544/'ETF price'!H545</f>
        <v>3.4965034965034219E-3</v>
      </c>
      <c r="H544">
        <f ca="1">'ETF variations'!H544/'ETF price'!I545</f>
        <v>-1.5033483668169937E-3</v>
      </c>
      <c r="I544">
        <f ca="1">'ETF variations'!I544/'ETF price'!J545</f>
        <v>-2.1601489757913745E-3</v>
      </c>
      <c r="J544">
        <f ca="1">'ETF variations'!J544/'ETF price'!K545</f>
        <v>-9.2983334525428181E-3</v>
      </c>
      <c r="K544">
        <f ca="1">'ETF variations'!K544/'ETF price'!L545</f>
        <v>-7.8794444991627816E-3</v>
      </c>
      <c r="L544">
        <f ca="1">'ETF variations'!L544/'ETF price'!M545</f>
        <v>-8.1735770545402191E-3</v>
      </c>
      <c r="M544">
        <f ca="1">'ETF variations'!M544/'ETF price'!N545</f>
        <v>-1.8777986422072752E-3</v>
      </c>
      <c r="N544">
        <f ca="1">'ETF variations'!N544/'ETF price'!O545</f>
        <v>-1.7900732302685018E-2</v>
      </c>
      <c r="O544">
        <f ca="1">'ETF variations'!O544/'ETF price'!P545</f>
        <v>-1.0672481064953027E-2</v>
      </c>
      <c r="P544">
        <f ca="1">'ETF variations'!P544/'ETF price'!Q545</f>
        <v>-1.1259040105193989E-2</v>
      </c>
      <c r="Q544">
        <f ca="1">'ETF variations'!Q544/'ETF price'!R545</f>
        <v>7.2760345611641722E-3</v>
      </c>
      <c r="R544">
        <f ca="1">'ETF variations'!R544/'ETF price'!S545</f>
        <v>2.4402998082621681E-3</v>
      </c>
      <c r="S544">
        <f ca="1">'ETF variations'!S544/'ETF price'!T545</f>
        <v>3.1674208144796506E-3</v>
      </c>
      <c r="T544">
        <f ca="1">'ETF variations'!T544/'ETF price'!U545</f>
        <v>-1.267342582710764E-2</v>
      </c>
      <c r="U544">
        <f ca="1">'ETF variations'!U544/'ETF price'!V545</f>
        <v>-1.7881394296061549E-2</v>
      </c>
      <c r="V544">
        <f ca="1">'ETF variations'!V544/'ETF price'!W545</f>
        <v>2.4820054604120481E-3</v>
      </c>
      <c r="W544">
        <f ca="1">'ETF variations'!W544/'ETF price'!X545</f>
        <v>1.736288428148317E-3</v>
      </c>
      <c r="X544">
        <f ca="1">'ETF variations'!X544/'ETF price'!Y545</f>
        <v>9.0723520072576874E-4</v>
      </c>
      <c r="Y544">
        <f ca="1">'ETF variations'!Y544/'ETF price'!Z545</f>
        <v>6.2782244740609448E-3</v>
      </c>
      <c r="Z544">
        <f ca="1">'ETF variations'!Z544/'ETF price'!AA545</f>
        <v>1.1380880121396127E-2</v>
      </c>
      <c r="AA544">
        <f ca="1">'ETF variations'!AA544/'ETF price'!AB545</f>
        <v>-2.1003990758239888E-4</v>
      </c>
      <c r="AB544">
        <f ca="1">'ETF variations'!AB544/'ETF price'!AC545</f>
        <v>-9.3793965921529275E-4</v>
      </c>
      <c r="AC544">
        <f ca="1">'ETF variations'!AC544/'ETF price'!AD545</f>
        <v>5.5778894472361965E-2</v>
      </c>
      <c r="AD544">
        <f ca="1">'ETF variations'!AD544/'ETF price'!AE545</f>
        <v>7.3793103448275887E-2</v>
      </c>
      <c r="AE544">
        <f ca="1">'ETF variations'!AE544/'ETF price'!AF545</f>
        <v>9.6153846153845812E-3</v>
      </c>
      <c r="AF544">
        <f ca="1">'ETF variations'!AF544/'ETF price'!AG545</f>
        <v>-2.3868312757201721E-2</v>
      </c>
    </row>
    <row r="545" spans="1:32" x14ac:dyDescent="0.2">
      <c r="A545">
        <f ca="1">'ETF variations'!A545/'ETF price'!B546</f>
        <v>-2.4577718732207147E-2</v>
      </c>
      <c r="B545">
        <f ca="1">'ETF variations'!B545/'ETF price'!C546</f>
        <v>-2.4017260631754366E-2</v>
      </c>
      <c r="C545">
        <f ca="1">'ETF variations'!C545/'ETF price'!D546</f>
        <v>-1.4104268202628835E-2</v>
      </c>
      <c r="D545">
        <f ca="1">'ETF variations'!D545/'ETF price'!E546</f>
        <v>-1.9620695682573016E-2</v>
      </c>
      <c r="E545">
        <f ca="1">'ETF variations'!E545/'ETF price'!F546</f>
        <v>-2.677068991892316E-2</v>
      </c>
      <c r="F545">
        <f ca="1">'ETF variations'!F545/'ETF price'!G546</f>
        <v>-8.4454175789802806E-3</v>
      </c>
      <c r="G545">
        <f ca="1">'ETF variations'!G545/'ETF price'!H546</f>
        <v>-1.2891986062717804E-2</v>
      </c>
      <c r="H545">
        <f ca="1">'ETF variations'!H545/'ETF price'!I546</f>
        <v>-7.4596222283055255E-3</v>
      </c>
      <c r="I545">
        <f ca="1">'ETF variations'!I545/'ETF price'!J546</f>
        <v>-8.0621080919678449E-3</v>
      </c>
      <c r="J545">
        <f ca="1">'ETF variations'!J545/'ETF price'!K546</f>
        <v>-8.4470435347627441E-3</v>
      </c>
      <c r="K545">
        <f ca="1">'ETF variations'!K545/'ETF price'!L546</f>
        <v>-1.2607961878288595E-2</v>
      </c>
      <c r="L545">
        <f ca="1">'ETF variations'!L545/'ETF price'!M546</f>
        <v>-6.2930776146239396E-3</v>
      </c>
      <c r="M545">
        <f ca="1">'ETF variations'!M545/'ETF price'!N546</f>
        <v>-7.670043415340104E-3</v>
      </c>
      <c r="N545">
        <f ca="1">'ETF variations'!N545/'ETF price'!O546</f>
        <v>-1.4913007456503704E-2</v>
      </c>
      <c r="O545">
        <f ca="1">'ETF variations'!O545/'ETF price'!P546</f>
        <v>7.4237327456211644E-3</v>
      </c>
      <c r="P545">
        <f ca="1">'ETF variations'!P545/'ETF price'!Q546</f>
        <v>6.7326074308037762E-3</v>
      </c>
      <c r="Q545">
        <f ca="1">'ETF variations'!Q545/'ETF price'!R546</f>
        <v>-5.3047404063205289E-3</v>
      </c>
      <c r="R545">
        <f ca="1">'ETF variations'!R545/'ETF price'!S546</f>
        <v>-1.3910624239262688E-2</v>
      </c>
      <c r="S545">
        <f ca="1">'ETF variations'!S545/'ETF price'!T546</f>
        <v>-7.6680198466396792E-3</v>
      </c>
      <c r="T545">
        <f ca="1">'ETF variations'!T545/'ETF price'!U546</f>
        <v>-7.5665450614782089E-3</v>
      </c>
      <c r="U545">
        <f ca="1">'ETF variations'!U545/'ETF price'!V546</f>
        <v>-8.9882461396635291E-3</v>
      </c>
      <c r="V545">
        <f ca="1">'ETF variations'!V545/'ETF price'!W546</f>
        <v>2.4758603614751201E-4</v>
      </c>
      <c r="W545">
        <f ca="1">'ETF variations'!W545/'ETF price'!X546</f>
        <v>1.9371941272430437E-3</v>
      </c>
      <c r="X545">
        <f ca="1">'ETF variations'!X545/'ETF price'!Y546</f>
        <v>3.0138227962837032E-2</v>
      </c>
      <c r="Y545">
        <f ca="1">'ETF variations'!Y545/'ETF price'!Z546</f>
        <v>1.2040280210157555E-3</v>
      </c>
      <c r="Z545">
        <f ca="1">'ETF variations'!Z545/'ETF price'!AA546</f>
        <v>-1.2753188297074397E-2</v>
      </c>
      <c r="AA545">
        <f ca="1">'ETF variations'!AA545/'ETF price'!AB546</f>
        <v>4.033613445378155E-2</v>
      </c>
      <c r="AB545">
        <f ca="1">'ETF variations'!AB545/'ETF price'!AC546</f>
        <v>2.0341104678455587E-3</v>
      </c>
      <c r="AC545">
        <f ca="1">'ETF variations'!AC545/'ETF price'!AD546</f>
        <v>-7.091861018562598E-2</v>
      </c>
      <c r="AD545">
        <f ca="1">'ETF variations'!AD545/'ETF price'!AE546</f>
        <v>-8.6062941554271022E-2</v>
      </c>
      <c r="AE545">
        <f ca="1">'ETF variations'!AE545/'ETF price'!AF546</f>
        <v>-7.0476190476190498E-2</v>
      </c>
      <c r="AF545">
        <f ca="1">'ETF variations'!AF545/'ETF price'!AG546</f>
        <v>-6.9983136593591913E-2</v>
      </c>
    </row>
    <row r="546" spans="1:32" x14ac:dyDescent="0.2">
      <c r="A546">
        <f ca="1">'ETF variations'!A546/'ETF price'!B547</f>
        <v>7.9287868469695277E-3</v>
      </c>
      <c r="B546">
        <f ca="1">'ETF variations'!B546/'ETF price'!C547</f>
        <v>1.1092150170648518E-2</v>
      </c>
      <c r="C546">
        <f ca="1">'ETF variations'!C546/'ETF price'!D547</f>
        <v>-4.194442363867892E-3</v>
      </c>
      <c r="D546">
        <f ca="1">'ETF variations'!D546/'ETF price'!E547</f>
        <v>2.4604412747938537E-2</v>
      </c>
      <c r="E546">
        <f ca="1">'ETF variations'!E546/'ETF price'!F547</f>
        <v>1.1631562401760484E-2</v>
      </c>
      <c r="F546">
        <f ca="1">'ETF variations'!F546/'ETF price'!G547</f>
        <v>2.0504731861198805E-2</v>
      </c>
      <c r="G546">
        <f ca="1">'ETF variations'!G546/'ETF price'!H547</f>
        <v>1.0236498411577928E-2</v>
      </c>
      <c r="H546">
        <f ca="1">'ETF variations'!H546/'ETF price'!I547</f>
        <v>6.8261738950562579E-3</v>
      </c>
      <c r="I546">
        <f ca="1">'ETF variations'!I546/'ETF price'!J547</f>
        <v>6.8859121011438295E-3</v>
      </c>
      <c r="J546">
        <f ca="1">'ETF variations'!J546/'ETF price'!K547</f>
        <v>3.8590359691277206E-3</v>
      </c>
      <c r="K546">
        <f ca="1">'ETF variations'!K546/'ETF price'!L547</f>
        <v>6.6358335009049953E-3</v>
      </c>
      <c r="L546">
        <f ca="1">'ETF variations'!L546/'ETF price'!M547</f>
        <v>-1.3570566948128649E-3</v>
      </c>
      <c r="M546">
        <f ca="1">'ETF variations'!M546/'ETF price'!N547</f>
        <v>7.1459822079627993E-3</v>
      </c>
      <c r="N546">
        <f ca="1">'ETF variations'!N546/'ETF price'!O547</f>
        <v>5.0462573591252072E-3</v>
      </c>
      <c r="O546">
        <f ca="1">'ETF variations'!O546/'ETF price'!P547</f>
        <v>3.1088082901555582E-3</v>
      </c>
      <c r="P546">
        <f ca="1">'ETF variations'!P546/'ETF price'!Q547</f>
        <v>2.9722589167767454E-3</v>
      </c>
      <c r="Q546">
        <f ca="1">'ETF variations'!Q546/'ETF price'!R547</f>
        <v>7.3754680585499345E-3</v>
      </c>
      <c r="R546">
        <f ca="1">'ETF variations'!R546/'ETF price'!S547</f>
        <v>1.3930523717157453E-2</v>
      </c>
      <c r="S546">
        <f ca="1">'ETF variations'!S546/'ETF price'!T547</f>
        <v>8.1818181818181686E-3</v>
      </c>
      <c r="T546">
        <f ca="1">'ETF variations'!T546/'ETF price'!U547</f>
        <v>1.2117086453369647E-2</v>
      </c>
      <c r="U546">
        <f ca="1">'ETF variations'!U546/'ETF price'!V547</f>
        <v>2.1860465116279017E-2</v>
      </c>
      <c r="V546">
        <f ca="1">'ETF variations'!V546/'ETF price'!W547</f>
        <v>5.1980198019802191E-3</v>
      </c>
      <c r="W546">
        <f ca="1">'ETF variations'!W546/'ETF price'!X547</f>
        <v>5.1897832502290136E-3</v>
      </c>
      <c r="X546">
        <f ca="1">'ETF variations'!X546/'ETF price'!Y547</f>
        <v>-2.4197096348438064E-3</v>
      </c>
      <c r="Y546">
        <f ca="1">'ETF variations'!Y546/'ETF price'!Z547</f>
        <v>5.6849240188039359E-3</v>
      </c>
      <c r="Z546">
        <f ca="1">'ETF variations'!Z546/'ETF price'!AA547</f>
        <v>5.57244174265466E-3</v>
      </c>
      <c r="AA546">
        <f ca="1">'ETF variations'!AA546/'ETF price'!AB547</f>
        <v>-1.2116316639741978E-3</v>
      </c>
      <c r="AB546">
        <f ca="1">'ETF variations'!AB546/'ETF price'!AC547</f>
        <v>6.2460961898800813E-4</v>
      </c>
      <c r="AC546">
        <f ca="1">'ETF variations'!AC546/'ETF price'!AD547</f>
        <v>0.11065573770491804</v>
      </c>
      <c r="AD546">
        <f ca="1">'ETF variations'!AD546/'ETF price'!AE547</f>
        <v>8.3274771609276085E-2</v>
      </c>
      <c r="AE546">
        <f ca="1">'ETF variations'!AE546/'ETF price'!AF547</f>
        <v>4.0983606557377088E-2</v>
      </c>
      <c r="AF546">
        <f ca="1">'ETF variations'!AF546/'ETF price'!AG547</f>
        <v>4.8277425203989179E-2</v>
      </c>
    </row>
    <row r="547" spans="1:32" x14ac:dyDescent="0.2">
      <c r="A547">
        <f ca="1">'ETF variations'!A547/'ETF price'!B548</f>
        <v>1.5781091646155983E-2</v>
      </c>
      <c r="B547">
        <f ca="1">'ETF variations'!B547/'ETF price'!C548</f>
        <v>1.6800920598388936E-2</v>
      </c>
      <c r="C547">
        <f ca="1">'ETF variations'!C547/'ETF price'!D548</f>
        <v>1.9932305377961684E-2</v>
      </c>
      <c r="D547">
        <f ca="1">'ETF variations'!D547/'ETF price'!E548</f>
        <v>3.4280245356070806E-2</v>
      </c>
      <c r="E547">
        <f ca="1">'ETF variations'!E547/'ETF price'!F548</f>
        <v>1.3517712865133693E-2</v>
      </c>
      <c r="F547">
        <f ca="1">'ETF variations'!F547/'ETF price'!G548</f>
        <v>1.6692426584234903E-2</v>
      </c>
      <c r="G547">
        <f ca="1">'ETF variations'!G547/'ETF price'!H548</f>
        <v>1.1879804332634516E-2</v>
      </c>
      <c r="H547">
        <f ca="1">'ETF variations'!H547/'ETF price'!I548</f>
        <v>4.6568963155730605E-3</v>
      </c>
      <c r="I547">
        <f ca="1">'ETF variations'!I547/'ETF price'!J548</f>
        <v>5.3066258081393772E-3</v>
      </c>
      <c r="J547">
        <f ca="1">'ETF variations'!J547/'ETF price'!K548</f>
        <v>3.2639442953506102E-3</v>
      </c>
      <c r="K547">
        <f ca="1">'ETF variations'!K547/'ETF price'!L548</f>
        <v>-1.3284059129045128E-2</v>
      </c>
      <c r="L547">
        <f ca="1">'ETF variations'!L547/'ETF price'!M548</f>
        <v>6.7945040012079546E-3</v>
      </c>
      <c r="M547">
        <f ca="1">'ETF variations'!M547/'ETF price'!N548</f>
        <v>4.6336518969011461E-3</v>
      </c>
      <c r="N547">
        <f ca="1">'ETF variations'!N547/'ETF price'!O548</f>
        <v>-2.5104602510459717E-3</v>
      </c>
      <c r="O547">
        <f ca="1">'ETF variations'!O547/'ETF price'!P548</f>
        <v>8.4940312213038893E-3</v>
      </c>
      <c r="P547">
        <f ca="1">'ETF variations'!P547/'ETF price'!Q548</f>
        <v>8.4787619361211819E-3</v>
      </c>
      <c r="Q547">
        <f ca="1">'ETF variations'!Q547/'ETF price'!R548</f>
        <v>1.227753998648348E-2</v>
      </c>
      <c r="R547">
        <f ca="1">'ETF variations'!R547/'ETF price'!S548</f>
        <v>2.5913043478260903E-2</v>
      </c>
      <c r="S547">
        <f ca="1">'ETF variations'!S547/'ETF price'!T548</f>
        <v>2.7051397655544962E-3</v>
      </c>
      <c r="T547">
        <f ca="1">'ETF variations'!T547/'ETF price'!U548</f>
        <v>-1.4796879203658787E-3</v>
      </c>
      <c r="U547">
        <f ca="1">'ETF variations'!U547/'ETF price'!V548</f>
        <v>2.3441055985434712E-2</v>
      </c>
      <c r="V547">
        <f ca="1">'ETF variations'!V547/'ETF price'!W548</f>
        <v>-1.4774686037922254E-3</v>
      </c>
      <c r="W547">
        <f ca="1">'ETF variations'!W547/'ETF price'!X548</f>
        <v>-9.1111561044749355E-4</v>
      </c>
      <c r="X547">
        <f ca="1">'ETF variations'!X547/'ETF price'!Y548</f>
        <v>1.5435501653803811E-3</v>
      </c>
      <c r="Y547">
        <f ca="1">'ETF variations'!Y547/'ETF price'!Z548</f>
        <v>-4.3482987281217569E-4</v>
      </c>
      <c r="Z547">
        <f ca="1">'ETF variations'!Z547/'ETF price'!AA548</f>
        <v>0</v>
      </c>
      <c r="AA547">
        <f ca="1">'ETF variations'!AA547/'ETF price'!AB548</f>
        <v>1.415285078851603E-3</v>
      </c>
      <c r="AB547">
        <f ca="1">'ETF variations'!AB547/'ETF price'!AC548</f>
        <v>4.213483146067354E-3</v>
      </c>
      <c r="AC547">
        <f ca="1">'ETF variations'!AC547/'ETF price'!AD548</f>
        <v>1.5221402214022225E-2</v>
      </c>
      <c r="AD547">
        <f ca="1">'ETF variations'!AD547/'ETF price'!AE548</f>
        <v>9.0820629257217372E-3</v>
      </c>
      <c r="AE547">
        <f ca="1">'ETF variations'!AE547/'ETF price'!AF548</f>
        <v>1.9685039370078319E-3</v>
      </c>
      <c r="AF547">
        <f ca="1">'ETF variations'!AF547/'ETF price'!AG548</f>
        <v>5.1891891891892323E-3</v>
      </c>
    </row>
    <row r="548" spans="1:32" x14ac:dyDescent="0.2">
      <c r="A548">
        <f ca="1">'ETF variations'!A548/'ETF price'!B549</f>
        <v>-1.4870771569745323E-2</v>
      </c>
      <c r="B548">
        <f ca="1">'ETF variations'!B548/'ETF price'!C549</f>
        <v>-1.6353553644182811E-2</v>
      </c>
      <c r="C548">
        <f ca="1">'ETF variations'!C548/'ETF price'!D549</f>
        <v>-8.7758112094395123E-3</v>
      </c>
      <c r="D548">
        <f ca="1">'ETF variations'!D548/'ETF price'!E549</f>
        <v>-4.0462670872765526E-2</v>
      </c>
      <c r="E548">
        <f ca="1">'ETF variations'!E548/'ETF price'!F549</f>
        <v>-1.0884562317951985E-2</v>
      </c>
      <c r="F548">
        <f ca="1">'ETF variations'!F548/'ETF price'!G549</f>
        <v>-1.5506232897537185E-2</v>
      </c>
      <c r="G548">
        <f ca="1">'ETF variations'!G548/'ETF price'!H549</f>
        <v>-4.8342541436464286E-3</v>
      </c>
      <c r="H548">
        <f ca="1">'ETF variations'!H548/'ETF price'!I549</f>
        <v>-1.8404907975458885E-3</v>
      </c>
      <c r="I548">
        <f ca="1">'ETF variations'!I548/'ETF price'!J549</f>
        <v>-1.7843202854913134E-3</v>
      </c>
      <c r="J548">
        <f ca="1">'ETF variations'!J548/'ETF price'!K549</f>
        <v>2.3857721226143184E-3</v>
      </c>
      <c r="K548">
        <f ca="1">'ETF variations'!K548/'ETF price'!L549</f>
        <v>1.6195971252150681E-3</v>
      </c>
      <c r="L548">
        <f ca="1">'ETF variations'!L548/'ETF price'!M549</f>
        <v>2.9994001199758341E-3</v>
      </c>
      <c r="M548">
        <f ca="1">'ETF variations'!M548/'ETF price'!N549</f>
        <v>-1.8737388296338347E-3</v>
      </c>
      <c r="N548">
        <f ca="1">'ETF variations'!N548/'ETF price'!O549</f>
        <v>-8.3892617449662639E-4</v>
      </c>
      <c r="O548">
        <f ca="1">'ETF variations'!O548/'ETF price'!P549</f>
        <v>3.5283405417710252E-3</v>
      </c>
      <c r="P548">
        <f ca="1">'ETF variations'!P548/'ETF price'!Q549</f>
        <v>3.2650395886049421E-3</v>
      </c>
      <c r="Q548">
        <f ca="1">'ETF variations'!Q548/'ETF price'!R549</f>
        <v>-5.7861355290976992E-3</v>
      </c>
      <c r="R548">
        <f ca="1">'ETF variations'!R548/'ETF price'!S549</f>
        <v>-7.1198508221732787E-3</v>
      </c>
      <c r="S548">
        <f ca="1">'ETF variations'!S548/'ETF price'!T549</f>
        <v>-3.1474820143883426E-3</v>
      </c>
      <c r="T548">
        <f ca="1">'ETF variations'!T548/'ETF price'!U549</f>
        <v>-1.1720328708069574E-2</v>
      </c>
      <c r="U548">
        <f ca="1">'ETF variations'!U548/'ETF price'!V549</f>
        <v>1.7789637536135296E-2</v>
      </c>
      <c r="V548">
        <f ca="1">'ETF variations'!V548/'ETF price'!W549</f>
        <v>1.7262638717632623E-3</v>
      </c>
      <c r="W548">
        <f ca="1">'ETF variations'!W548/'ETF price'!X549</f>
        <v>2.3305299422434287E-3</v>
      </c>
      <c r="X548">
        <f ca="1">'ETF variations'!X548/'ETF price'!Y549</f>
        <v>-4.4033465433736518E-4</v>
      </c>
      <c r="Y548">
        <f ca="1">'ETF variations'!Y548/'ETF price'!Z549</f>
        <v>2.1750951604128352E-4</v>
      </c>
      <c r="Z548">
        <f ca="1">'ETF variations'!Z548/'ETF price'!AA549</f>
        <v>1.1838790931989895E-2</v>
      </c>
      <c r="AA548">
        <f ca="1">'ETF variations'!AA548/'ETF price'!AB549</f>
        <v>8.0759135877244391E-4</v>
      </c>
      <c r="AB548">
        <f ca="1">'ETF variations'!AB548/'ETF price'!AC549</f>
        <v>5.1282051282053234E-3</v>
      </c>
      <c r="AC548">
        <f ca="1">'ETF variations'!AC548/'ETF price'!AD549</f>
        <v>1.3175829168559706E-2</v>
      </c>
      <c r="AD548">
        <f ca="1">'ETF variations'!AD548/'ETF price'!AE549</f>
        <v>2.2179363548698209E-2</v>
      </c>
      <c r="AE548">
        <f ca="1">'ETF variations'!AE548/'ETF price'!AF549</f>
        <v>-5.5009823182711248E-2</v>
      </c>
      <c r="AF548">
        <f ca="1">'ETF variations'!AF548/'ETF price'!AG549</f>
        <v>6.7756506775650649E-2</v>
      </c>
    </row>
    <row r="549" spans="1:32" x14ac:dyDescent="0.2">
      <c r="A549">
        <f ca="1">'ETF variations'!A549/'ETF price'!B550</f>
        <v>-2.7489751627682332E-3</v>
      </c>
      <c r="B549">
        <f ca="1">'ETF variations'!B549/'ETF price'!C550</f>
        <v>-4.2762085562523117E-3</v>
      </c>
      <c r="C549">
        <f ca="1">'ETF variations'!C549/'ETF price'!D550</f>
        <v>8.1839148872861879E-4</v>
      </c>
      <c r="D549">
        <f ca="1">'ETF variations'!D549/'ETF price'!E550</f>
        <v>-1.3281900670670237E-2</v>
      </c>
      <c r="E549">
        <f ca="1">'ETF variations'!E549/'ETF price'!F550</f>
        <v>9.2994420334783438E-4</v>
      </c>
      <c r="F549">
        <f ca="1">'ETF variations'!F549/'ETF price'!G550</f>
        <v>-1.667696108709088E-2</v>
      </c>
      <c r="G549">
        <f ca="1">'ETF variations'!G549/'ETF price'!H550</f>
        <v>-1.7349063150590115E-3</v>
      </c>
      <c r="H549">
        <f ca="1">'ETF variations'!H549/'ETF price'!I550</f>
        <v>-5.4633613330610186E-4</v>
      </c>
      <c r="I549">
        <f ca="1">'ETF variations'!I549/'ETF price'!J550</f>
        <v>-2.085428071351229E-3</v>
      </c>
      <c r="J549">
        <f ca="1">'ETF variations'!J549/'ETF price'!K550</f>
        <v>3.6062026685887449E-4</v>
      </c>
      <c r="K549">
        <f ca="1">'ETF variations'!K549/'ETF price'!L550</f>
        <v>-2.1424962102071798E-2</v>
      </c>
      <c r="L549">
        <f ca="1">'ETF variations'!L549/'ETF price'!M550</f>
        <v>-1.1662679425837338E-2</v>
      </c>
      <c r="M549">
        <f ca="1">'ETF variations'!M549/'ETF price'!N550</f>
        <v>-2.7436823104692813E-3</v>
      </c>
      <c r="N549">
        <f ca="1">'ETF variations'!N549/'ETF price'!O550</f>
        <v>-5.8774139378673625E-3</v>
      </c>
      <c r="O549">
        <f ca="1">'ETF variations'!O549/'ETF price'!P550</f>
        <v>1.0320970851763599E-2</v>
      </c>
      <c r="P549">
        <f ca="1">'ETF variations'!P549/'ETF price'!Q550</f>
        <v>1.0170043120982833E-2</v>
      </c>
      <c r="Q549">
        <f ca="1">'ETF variations'!Q549/'ETF price'!R550</f>
        <v>1.1303861219921715E-2</v>
      </c>
      <c r="R549">
        <f ca="1">'ETF variations'!R549/'ETF price'!S550</f>
        <v>-8.7075294519378173E-3</v>
      </c>
      <c r="S549">
        <f ca="1">'ETF variations'!S549/'ETF price'!T550</f>
        <v>8.5701398285970998E-3</v>
      </c>
      <c r="T549">
        <f ca="1">'ETF variations'!T549/'ETF price'!U550</f>
        <v>3.5441657579062856E-3</v>
      </c>
      <c r="U549">
        <f ca="1">'ETF variations'!U549/'ETF price'!V550</f>
        <v>1.3327507100720982E-2</v>
      </c>
      <c r="V549">
        <f ca="1">'ETF variations'!V549/'ETF price'!W550</f>
        <v>1.723289020187107E-3</v>
      </c>
      <c r="W549">
        <f ca="1">'ETF variations'!W549/'ETF price'!X550</f>
        <v>1.2131014961585579E-3</v>
      </c>
      <c r="X549">
        <f ca="1">'ETF variations'!X549/'ETF price'!Y550</f>
        <v>6.6079295154187524E-4</v>
      </c>
      <c r="Y549">
        <f ca="1">'ETF variations'!Y549/'ETF price'!Z550</f>
        <v>2.7182776992497556E-3</v>
      </c>
      <c r="Z549">
        <f ca="1">'ETF variations'!Z549/'ETF price'!AA550</f>
        <v>-4.9788399302963119E-3</v>
      </c>
      <c r="AA549">
        <f ca="1">'ETF variations'!AA549/'ETF price'!AB550</f>
        <v>-5.0433730078676617E-3</v>
      </c>
      <c r="AB549">
        <f ca="1">'ETF variations'!AB549/'ETF price'!AC550</f>
        <v>-1.0049474335188708E-2</v>
      </c>
      <c r="AC549">
        <f ca="1">'ETF variations'!AC549/'ETF price'!AD550</f>
        <v>3.0493273542600882E-2</v>
      </c>
      <c r="AD549">
        <f ca="1">'ETF variations'!AD549/'ETF price'!AE550</f>
        <v>4.308176100628934E-2</v>
      </c>
      <c r="AE549">
        <f ca="1">'ETF variations'!AE549/'ETF price'!AF550</f>
        <v>-4.1580041580040698E-3</v>
      </c>
      <c r="AF549">
        <f ca="1">'ETF variations'!AF549/'ETF price'!AG550</f>
        <v>-7.7759871071716349E-2</v>
      </c>
    </row>
    <row r="550" spans="1:32" x14ac:dyDescent="0.2">
      <c r="A550">
        <f ca="1">'ETF variations'!A550/'ETF price'!B551</f>
        <v>2.0504884418222308E-2</v>
      </c>
      <c r="B550">
        <f ca="1">'ETF variations'!B550/'ETF price'!C551</f>
        <v>2.0683280052382253E-2</v>
      </c>
      <c r="C550">
        <f ca="1">'ETF variations'!C550/'ETF price'!D551</f>
        <v>-1.5536723163841831E-2</v>
      </c>
      <c r="D550">
        <f ca="1">'ETF variations'!D550/'ETF price'!E551</f>
        <v>2.0746334962239075E-2</v>
      </c>
      <c r="E550">
        <f ca="1">'ETF variations'!E550/'ETF price'!F551</f>
        <v>4.9550944564881912E-3</v>
      </c>
      <c r="F550">
        <f ca="1">'ETF variations'!F550/'ETF price'!G551</f>
        <v>1.6017587939698541E-2</v>
      </c>
      <c r="G550">
        <f ca="1">'ETF variations'!G550/'ETF price'!H551</f>
        <v>5.5613486270420631E-3</v>
      </c>
      <c r="H550">
        <f ca="1">'ETF variations'!H550/'ETF price'!I551</f>
        <v>4.6463956269218098E-3</v>
      </c>
      <c r="I550">
        <f ca="1">'ETF variations'!I550/'ETF price'!J551</f>
        <v>3.8437138485650359E-3</v>
      </c>
      <c r="J550">
        <f ca="1">'ETF variations'!J550/'ETF price'!K551</f>
        <v>-4.7584715212689015E-3</v>
      </c>
      <c r="K550">
        <f ca="1">'ETF variations'!K550/'ETF price'!L551</f>
        <v>-6.5062480636166008E-3</v>
      </c>
      <c r="L550">
        <f ca="1">'ETF variations'!L550/'ETF price'!M551</f>
        <v>-9.6822995461422184E-3</v>
      </c>
      <c r="M550">
        <f ca="1">'ETF variations'!M550/'ETF price'!N551</f>
        <v>3.9096437880103679E-3</v>
      </c>
      <c r="N550">
        <f ca="1">'ETF variations'!N550/'ETF price'!O551</f>
        <v>-1.8581081081081134E-2</v>
      </c>
      <c r="O550">
        <f ca="1">'ETF variations'!O550/'ETF price'!P551</f>
        <v>-1.5716210148181474E-3</v>
      </c>
      <c r="P550">
        <f ca="1">'ETF variations'!P550/'ETF price'!Q551</f>
        <v>-1.3692010309278488E-3</v>
      </c>
      <c r="Q550">
        <f ca="1">'ETF variations'!Q550/'ETF price'!R551</f>
        <v>-1.1066843736172108E-4</v>
      </c>
      <c r="R550">
        <f ca="1">'ETF variations'!R550/'ETF price'!S551</f>
        <v>-1.7395797450912936E-2</v>
      </c>
      <c r="S550">
        <f ca="1">'ETF variations'!S550/'ETF price'!T551</f>
        <v>-2.6833631484793705E-3</v>
      </c>
      <c r="T550">
        <f ca="1">'ETF variations'!T550/'ETF price'!U551</f>
        <v>-3.6674816625918258E-3</v>
      </c>
      <c r="U550">
        <f ca="1">'ETF variations'!U550/'ETF price'!V551</f>
        <v>-3.7947391116860824E-2</v>
      </c>
      <c r="V550">
        <f ca="1">'ETF variations'!V550/'ETF price'!W551</f>
        <v>4.1779306955026223E-3</v>
      </c>
      <c r="W550">
        <f ca="1">'ETF variations'!W550/'ETF price'!X551</f>
        <v>3.6348949919224496E-3</v>
      </c>
      <c r="X550">
        <f ca="1">'ETF variations'!X550/'ETF price'!Y551</f>
        <v>-5.0627338762931299E-3</v>
      </c>
      <c r="Y550">
        <f ca="1">'ETF variations'!Y550/'ETF price'!Z551</f>
        <v>2.4940360008675342E-3</v>
      </c>
      <c r="Z550">
        <f ca="1">'ETF variations'!Z550/'ETF price'!AA551</f>
        <v>-2.5018764073055149E-3</v>
      </c>
      <c r="AA550">
        <f ca="1">'ETF variations'!AA550/'ETF price'!AB551</f>
        <v>-9.9351175993512165E-3</v>
      </c>
      <c r="AB550">
        <f ca="1">'ETF variations'!AB550/'ETF price'!AC551</f>
        <v>1.5617679212876956E-4</v>
      </c>
      <c r="AC550">
        <f ca="1">'ETF variations'!AC550/'ETF price'!AD551</f>
        <v>-1.3925152306353362E-2</v>
      </c>
      <c r="AD550">
        <f ca="1">'ETF variations'!AD550/'ETF price'!AE551</f>
        <v>-1.1456135061802911E-2</v>
      </c>
      <c r="AE550">
        <f ca="1">'ETF variations'!AE550/'ETF price'!AF551</f>
        <v>4.175365344467552E-3</v>
      </c>
      <c r="AF550">
        <f ca="1">'ETF variations'!AF550/'ETF price'!AG551</f>
        <v>-1.7911751856705991E-2</v>
      </c>
    </row>
    <row r="551" spans="1:32" x14ac:dyDescent="0.2">
      <c r="A551">
        <f ca="1">'ETF variations'!A551/'ETF price'!B552</f>
        <v>-1.0804663065112316E-2</v>
      </c>
      <c r="B551">
        <f ca="1">'ETF variations'!B551/'ETF price'!C552</f>
        <v>-1.0584905660377385E-2</v>
      </c>
      <c r="C551">
        <f ca="1">'ETF variations'!C551/'ETF price'!D552</f>
        <v>8.3062750132144852E-3</v>
      </c>
      <c r="D551">
        <f ca="1">'ETF variations'!D551/'ETF price'!E552</f>
        <v>-2.4372198285241863E-2</v>
      </c>
      <c r="E551">
        <f ca="1">'ETF variations'!E551/'ETF price'!F552</f>
        <v>-2.4653312788907671E-3</v>
      </c>
      <c r="F551">
        <f ca="1">'ETF variations'!F551/'ETF price'!G552</f>
        <v>-8.3462132921175609E-3</v>
      </c>
      <c r="G551">
        <f ca="1">'ETF variations'!G551/'ETF price'!H552</f>
        <v>0</v>
      </c>
      <c r="H551">
        <f ca="1">'ETF variations'!H551/'ETF price'!I552</f>
        <v>-3.8767598449295599E-3</v>
      </c>
      <c r="I551">
        <f ca="1">'ETF variations'!I551/'ETF price'!J552</f>
        <v>-3.605947955390436E-3</v>
      </c>
      <c r="J551">
        <f ca="1">'ETF variations'!J551/'ETF price'!K552</f>
        <v>1.5937409446537155E-3</v>
      </c>
      <c r="K551">
        <f ca="1">'ETF variations'!K551/'ETF price'!L552</f>
        <v>9.3555093555092658E-3</v>
      </c>
      <c r="L551">
        <f ca="1">'ETF variations'!L551/'ETF price'!M552</f>
        <v>-7.638252367857801E-4</v>
      </c>
      <c r="M551">
        <f ca="1">'ETF variations'!M551/'ETF price'!N552</f>
        <v>-2.163565556036225E-3</v>
      </c>
      <c r="N551">
        <f ca="1">'ETF variations'!N551/'ETF price'!O552</f>
        <v>1.2048192771084387E-2</v>
      </c>
      <c r="O551">
        <f ca="1">'ETF variations'!O551/'ETF price'!P552</f>
        <v>1.5965819653699143E-2</v>
      </c>
      <c r="P551">
        <f ca="1">'ETF variations'!P551/'ETF price'!Q552</f>
        <v>1.5323816436809466E-2</v>
      </c>
      <c r="Q551">
        <f ca="1">'ETF variations'!Q551/'ETF price'!R552</f>
        <v>9.8505810736026628E-3</v>
      </c>
      <c r="R551">
        <f ca="1">'ETF variations'!R551/'ETF price'!S552</f>
        <v>5.2585451358459485E-4</v>
      </c>
      <c r="S551">
        <f ca="1">'ETF variations'!S551/'ETF price'!T552</f>
        <v>1.3901345291479763E-2</v>
      </c>
      <c r="T551">
        <f ca="1">'ETF variations'!T551/'ETF price'!U552</f>
        <v>2.3721881390593173E-2</v>
      </c>
      <c r="U551">
        <f ca="1">'ETF variations'!U551/'ETF price'!V552</f>
        <v>-1.6808606006275213E-2</v>
      </c>
      <c r="V551">
        <f ca="1">'ETF variations'!V551/'ETF price'!W552</f>
        <v>7.3421439060204884E-3</v>
      </c>
      <c r="W551">
        <f ca="1">'ETF variations'!W551/'ETF price'!X552</f>
        <v>5.1307847082494055E-3</v>
      </c>
      <c r="X551">
        <f ca="1">'ETF variations'!X551/'ETF price'!Y552</f>
        <v>2.2123893805308477E-3</v>
      </c>
      <c r="Y551">
        <f ca="1">'ETF variations'!Y551/'ETF price'!Z552</f>
        <v>5.3001622498647363E-3</v>
      </c>
      <c r="Z551">
        <f ca="1">'ETF variations'!Z551/'ETF price'!AA552</f>
        <v>-6.2703787308753456E-3</v>
      </c>
      <c r="AA551">
        <f ca="1">'ETF variations'!AA551/'ETF price'!AB552</f>
        <v>1.0239606799099788E-3</v>
      </c>
      <c r="AB551">
        <f ca="1">'ETF variations'!AB551/'ETF price'!AC552</f>
        <v>4.2161149281698309E-3</v>
      </c>
      <c r="AC551">
        <f ca="1">'ETF variations'!AC551/'ETF price'!AD552</f>
        <v>1.8093556928508392E-2</v>
      </c>
      <c r="AD551">
        <f ca="1">'ETF variations'!AD551/'ETF price'!AE552</f>
        <v>2.6227508386703246E-2</v>
      </c>
      <c r="AE551">
        <f ca="1">'ETF variations'!AE551/'ETF price'!AF552</f>
        <v>5.4054054054054196E-2</v>
      </c>
      <c r="AF551">
        <f ca="1">'ETF variations'!AF551/'ETF price'!AG552</f>
        <v>8.0071174377224063E-3</v>
      </c>
    </row>
    <row r="552" spans="1:32" x14ac:dyDescent="0.2">
      <c r="A552">
        <f ca="1">'ETF variations'!A552/'ETF price'!B553</f>
        <v>1.9162594615307099E-4</v>
      </c>
      <c r="B552">
        <f ca="1">'ETF variations'!B552/'ETF price'!C553</f>
        <v>-3.7567459333702536E-3</v>
      </c>
      <c r="C552">
        <f ca="1">'ETF variations'!C552/'ETF price'!D553</f>
        <v>4.5682618138244979E-3</v>
      </c>
      <c r="D552">
        <f ca="1">'ETF variations'!D552/'ETF price'!E553</f>
        <v>-1.7085247803006576E-2</v>
      </c>
      <c r="E552">
        <f ca="1">'ETF variations'!E552/'ETF price'!F553</f>
        <v>-1.3592832869941235E-2</v>
      </c>
      <c r="F552">
        <f ca="1">'ETF variations'!F552/'ETF price'!G553</f>
        <v>-1.6209476309226919E-2</v>
      </c>
      <c r="G552">
        <f ca="1">'ETF variations'!G552/'ETF price'!H553</f>
        <v>-1.4172139647424824E-2</v>
      </c>
      <c r="H552">
        <f ca="1">'ETF variations'!H552/'ETF price'!I553</f>
        <v>-3.5504574627885444E-3</v>
      </c>
      <c r="I552">
        <f ca="1">'ETF variations'!I552/'ETF price'!J553</f>
        <v>-4.9621311047270238E-3</v>
      </c>
      <c r="J552">
        <f ca="1">'ETF variations'!J552/'ETF price'!K553</f>
        <v>-1.8443512223347194E-2</v>
      </c>
      <c r="K552">
        <f ca="1">'ETF variations'!K552/'ETF price'!L553</f>
        <v>-2.7291452111225453E-2</v>
      </c>
      <c r="L552">
        <f ca="1">'ETF variations'!L552/'ETF price'!M553</f>
        <v>-2.0944809662131025E-2</v>
      </c>
      <c r="M552">
        <f ca="1">'ETF variations'!M552/'ETF price'!N553</f>
        <v>-5.92656837236211E-3</v>
      </c>
      <c r="N552">
        <f ca="1">'ETF variations'!N552/'ETF price'!O553</f>
        <v>-3.31632653061225E-2</v>
      </c>
      <c r="O552">
        <f ca="1">'ETF variations'!O552/'ETF price'!P553</f>
        <v>1.029216467463487E-2</v>
      </c>
      <c r="P552">
        <f ca="1">'ETF variations'!P552/'ETF price'!Q553</f>
        <v>1.0247041067598746E-2</v>
      </c>
      <c r="Q552">
        <f ca="1">'ETF variations'!Q552/'ETF price'!R553</f>
        <v>-5.2608505041647283E-3</v>
      </c>
      <c r="R552">
        <f ca="1">'ETF variations'!R552/'ETF price'!S553</f>
        <v>-1.909600560616672E-2</v>
      </c>
      <c r="S552">
        <f ca="1">'ETF variations'!S552/'ETF price'!T553</f>
        <v>3.0959752321981552E-3</v>
      </c>
      <c r="T552">
        <f ca="1">'ETF variations'!T552/'ETF price'!U553</f>
        <v>1.6113996537488264E-2</v>
      </c>
      <c r="U552">
        <f ca="1">'ETF variations'!U552/'ETF price'!V553</f>
        <v>-2.6897652154091629E-2</v>
      </c>
      <c r="V552">
        <f ca="1">'ETF variations'!V552/'ETF price'!W553</f>
        <v>-8.0174927113702225E-3</v>
      </c>
      <c r="W552">
        <f ca="1">'ETF variations'!W552/'ETF price'!X553</f>
        <v>-8.2073866479831174E-3</v>
      </c>
      <c r="X552">
        <f ca="1">'ETF variations'!X552/'ETF price'!Y553</f>
        <v>-1.9646799116997807E-2</v>
      </c>
      <c r="Y552">
        <f ca="1">'ETF variations'!Y552/'ETF price'!Z553</f>
        <v>-1.0006455777921161E-2</v>
      </c>
      <c r="Z552">
        <f ca="1">'ETF variations'!Z552/'ETF price'!AA553</f>
        <v>-1.4134275618374437E-2</v>
      </c>
      <c r="AA552">
        <f ca="1">'ETF variations'!AA552/'ETF price'!AB553</f>
        <v>-2.5981996726677642E-2</v>
      </c>
      <c r="AB552">
        <f ca="1">'ETF variations'!AB552/'ETF price'!AC553</f>
        <v>4.820401181775809E-3</v>
      </c>
      <c r="AC552">
        <f ca="1">'ETF variations'!AC552/'ETF price'!AD553</f>
        <v>-5.8084091894234934E-2</v>
      </c>
      <c r="AD552">
        <f ca="1">'ETF variations'!AD552/'ETF price'!AE553</f>
        <v>-5.5869242199108445E-2</v>
      </c>
      <c r="AE552">
        <f ca="1">'ETF variations'!AE552/'ETF price'!AF553</f>
        <v>-9.8619329388561546E-3</v>
      </c>
      <c r="AF552">
        <f ca="1">'ETF variations'!AF552/'ETF price'!AG553</f>
        <v>-6.3548102383053889E-2</v>
      </c>
    </row>
    <row r="553" spans="1:32" x14ac:dyDescent="0.2">
      <c r="A553">
        <f ca="1">'ETF variations'!A553/'ETF price'!B554</f>
        <v>-1.5087652073953472E-2</v>
      </c>
      <c r="B553">
        <f ca="1">'ETF variations'!B553/'ETF price'!C554</f>
        <v>-1.3131197121090338E-2</v>
      </c>
      <c r="C553">
        <f ca="1">'ETF variations'!C553/'ETF price'!D554</f>
        <v>1.2747875354107709E-2</v>
      </c>
      <c r="D553">
        <f ca="1">'ETF variations'!D553/'ETF price'!E554</f>
        <v>-7.170736135064049E-3</v>
      </c>
      <c r="E553">
        <f ca="1">'ETF variations'!E553/'ETF price'!F554</f>
        <v>-1.5659254619480114E-2</v>
      </c>
      <c r="F553">
        <f ca="1">'ETF variations'!F553/'ETF price'!G554</f>
        <v>2.8517110266159653E-3</v>
      </c>
      <c r="G553">
        <f ca="1">'ETF variations'!G553/'ETF price'!H554</f>
        <v>-7.7138849929873372E-3</v>
      </c>
      <c r="H553">
        <f ca="1">'ETF variations'!H553/'ETF price'!I554</f>
        <v>-3.9742359873919698E-3</v>
      </c>
      <c r="I553">
        <f ca="1">'ETF variations'!I553/'ETF price'!J554</f>
        <v>-3.2245969253843782E-3</v>
      </c>
      <c r="J553">
        <f ca="1">'ETF variations'!J553/'ETF price'!K554</f>
        <v>1.5474172868615394E-3</v>
      </c>
      <c r="K553">
        <f ca="1">'ETF variations'!K553/'ETF price'!L554</f>
        <v>2.7527792482794165E-3</v>
      </c>
      <c r="L553">
        <f ca="1">'ETF variations'!L553/'ETF price'!M554</f>
        <v>4.6845721424089513E-4</v>
      </c>
      <c r="M553">
        <f ca="1">'ETF variations'!M553/'ETF price'!N554</f>
        <v>-6.6889632107022508E-3</v>
      </c>
      <c r="N553">
        <f ca="1">'ETF variations'!N553/'ETF price'!O554</f>
        <v>8.7950747581355699E-3</v>
      </c>
      <c r="O553">
        <f ca="1">'ETF variations'!O553/'ETF price'!P554</f>
        <v>2.9576076240551649E-3</v>
      </c>
      <c r="P553">
        <f ca="1">'ETF variations'!P553/'ETF price'!Q554</f>
        <v>3.2237773234785072E-3</v>
      </c>
      <c r="Q553">
        <f ca="1">'ETF variations'!Q553/'ETF price'!R554</f>
        <v>4.4072278536791583E-4</v>
      </c>
      <c r="R553">
        <f ca="1">'ETF variations'!R553/'ETF price'!S554</f>
        <v>9.4659760671548694E-3</v>
      </c>
      <c r="S553">
        <f ca="1">'ETF variations'!S553/'ETF price'!T554</f>
        <v>3.5273368606702753E-3</v>
      </c>
      <c r="T553">
        <f ca="1">'ETF variations'!T553/'ETF price'!U554</f>
        <v>3.9318479685453655E-4</v>
      </c>
      <c r="U553">
        <f ca="1">'ETF variations'!U553/'ETF price'!V554</f>
        <v>-3.279456547200763E-3</v>
      </c>
      <c r="V553">
        <f ca="1">'ETF variations'!V553/'ETF price'!W554</f>
        <v>-9.7967180994364806E-4</v>
      </c>
      <c r="W553">
        <f ca="1">'ETF variations'!W553/'ETF price'!X554</f>
        <v>-4.0367342819665203E-4</v>
      </c>
      <c r="X553">
        <f ca="1">'ETF variations'!X553/'ETF price'!Y554</f>
        <v>3.6027921639271271E-3</v>
      </c>
      <c r="Y553">
        <f ca="1">'ETF variations'!Y553/'ETF price'!Z554</f>
        <v>2.391044451690021E-3</v>
      </c>
      <c r="Z553">
        <f ca="1">'ETF variations'!Z553/'ETF price'!AA554</f>
        <v>-5.1203277009736624E-4</v>
      </c>
      <c r="AA553">
        <f ca="1">'ETF variations'!AA553/'ETF price'!AB554</f>
        <v>5.2509976895610162E-3</v>
      </c>
      <c r="AB553">
        <f ca="1">'ETF variations'!AB553/'ETF price'!AC554</f>
        <v>1.532033426183836E-2</v>
      </c>
      <c r="AC553">
        <f ca="1">'ETF variations'!AC553/'ETF price'!AD554</f>
        <v>-1.4726184997699046E-2</v>
      </c>
      <c r="AD553">
        <f ca="1">'ETF variations'!AD553/'ETF price'!AE554</f>
        <v>-2.8328611898016951E-3</v>
      </c>
      <c r="AE553">
        <f ca="1">'ETF variations'!AE553/'ETF price'!AF554</f>
        <v>-3.9840637450198361E-3</v>
      </c>
      <c r="AF553">
        <f ca="1">'ETF variations'!AF553/'ETF price'!AG554</f>
        <v>5.3487276154571238E-2</v>
      </c>
    </row>
    <row r="554" spans="1:32" x14ac:dyDescent="0.2">
      <c r="A554">
        <f ca="1">'ETF variations'!A554/'ETF price'!B555</f>
        <v>3.2582794339348145E-3</v>
      </c>
      <c r="B554">
        <f ca="1">'ETF variations'!B554/'ETF price'!C555</f>
        <v>4.6939250523703796E-3</v>
      </c>
      <c r="C554">
        <f ca="1">'ETF variations'!C554/'ETF price'!D555</f>
        <v>2.1347073978652343E-3</v>
      </c>
      <c r="D554">
        <f ca="1">'ETF variations'!D554/'ETF price'!E555</f>
        <v>-7.7710733223618352E-4</v>
      </c>
      <c r="E554">
        <f ca="1">'ETF variations'!E554/'ETF price'!F555</f>
        <v>7.6360165447025771E-3</v>
      </c>
      <c r="F554">
        <f ca="1">'ETF variations'!F554/'ETF price'!G555</f>
        <v>6.9510268562402028E-3</v>
      </c>
      <c r="G554">
        <f ca="1">'ETF variations'!G554/'ETF price'!H555</f>
        <v>-3.5335689045936898E-3</v>
      </c>
      <c r="H554">
        <f ca="1">'ETF variations'!H554/'ETF price'!I555</f>
        <v>-3.7149146945515987E-3</v>
      </c>
      <c r="I554">
        <f ca="1">'ETF variations'!I554/'ETF price'!J555</f>
        <v>-7.8994884140828902E-4</v>
      </c>
      <c r="J554">
        <f ca="1">'ETF variations'!J554/'ETF price'!K555</f>
        <v>-4.8557975279575971E-3</v>
      </c>
      <c r="K554">
        <f ca="1">'ETF variations'!K554/'ETF price'!L555</f>
        <v>-1.8583042973286782E-2</v>
      </c>
      <c r="L554">
        <f ca="1">'ETF variations'!L554/'ETF price'!M555</f>
        <v>-7.8039644139218294E-4</v>
      </c>
      <c r="M554">
        <f ca="1">'ETF variations'!M554/'ETF price'!N555</f>
        <v>2.9278290147849537E-4</v>
      </c>
      <c r="N554">
        <f ca="1">'ETF variations'!N554/'ETF price'!O555</f>
        <v>-1.0462074978204096E-2</v>
      </c>
      <c r="O554">
        <f ca="1">'ETF variations'!O554/'ETF price'!P555</f>
        <v>-4.5871559633027708E-3</v>
      </c>
      <c r="P554">
        <f ca="1">'ETF variations'!P554/'ETF price'!Q555</f>
        <v>3.2917940277450231E-3</v>
      </c>
      <c r="Q554">
        <f ca="1">'ETF variations'!Q554/'ETF price'!R555</f>
        <v>-1.7621145374448965E-3</v>
      </c>
      <c r="R554">
        <f ca="1">'ETF variations'!R554/'ETF price'!S555</f>
        <v>-5.6617126680820994E-3</v>
      </c>
      <c r="S554">
        <f ca="1">'ETF variations'!S554/'ETF price'!T555</f>
        <v>9.2267135325130624E-3</v>
      </c>
      <c r="T554">
        <f ca="1">'ETF variations'!T554/'ETF price'!U555</f>
        <v>2.1616664483165279E-2</v>
      </c>
      <c r="U554">
        <f ca="1">'ETF variations'!U554/'ETF price'!V555</f>
        <v>5.8754406580493537E-3</v>
      </c>
      <c r="V554">
        <f ca="1">'ETF variations'!V554/'ETF price'!W555</f>
        <v>1.9612650159352364E-3</v>
      </c>
      <c r="W554">
        <f ca="1">'ETF variations'!W554/'ETF price'!X555</f>
        <v>2.927814235234793E-3</v>
      </c>
      <c r="X554">
        <f ca="1">'ETF variations'!X554/'ETF price'!Y555</f>
        <v>-9.6477451200358919E-3</v>
      </c>
      <c r="Y554">
        <f ca="1">'ETF variations'!Y554/'ETF price'!Z555</f>
        <v>2.1684918139434329E-3</v>
      </c>
      <c r="Z554">
        <f ca="1">'ETF variations'!Z554/'ETF price'!AA555</f>
        <v>-6.9159836065572754E-3</v>
      </c>
      <c r="AA554">
        <f ca="1">'ETF variations'!AA554/'ETF price'!AB555</f>
        <v>-1.4208106978687834E-2</v>
      </c>
      <c r="AB554">
        <f ca="1">'ETF variations'!AB554/'ETF price'!AC555</f>
        <v>8.8401158360005838E-3</v>
      </c>
      <c r="AC554">
        <f ca="1">'ETF variations'!AC554/'ETF price'!AD555</f>
        <v>-4.3904717421765591E-2</v>
      </c>
      <c r="AD554">
        <f ca="1">'ETF variations'!AD554/'ETF price'!AE555</f>
        <v>-3.3459595959595918E-2</v>
      </c>
      <c r="AE554">
        <f ca="1">'ETF variations'!AE554/'ETF price'!AF555</f>
        <v>2.4000000000000021E-2</v>
      </c>
      <c r="AF554">
        <f ca="1">'ETF variations'!AF554/'ETF price'!AG555</f>
        <v>-4.0259449787519502E-3</v>
      </c>
    </row>
    <row r="555" spans="1:32" x14ac:dyDescent="0.2">
      <c r="A555">
        <f ca="1">'ETF variations'!A555/'ETF price'!B556</f>
        <v>5.1866214251090311E-3</v>
      </c>
      <c r="B555">
        <f ca="1">'ETF variations'!B555/'ETF price'!C556</f>
        <v>4.2279624695933061E-3</v>
      </c>
      <c r="C555">
        <f ca="1">'ETF variations'!C555/'ETF price'!D556</f>
        <v>3.3054208902601519E-3</v>
      </c>
      <c r="D555">
        <f ca="1">'ETF variations'!D555/'ETF price'!E556</f>
        <v>-8.3718376869939722E-3</v>
      </c>
      <c r="E555">
        <f ca="1">'ETF variations'!E555/'ETF price'!F556</f>
        <v>3.1575623618560183E-4</v>
      </c>
      <c r="F555">
        <f ca="1">'ETF variations'!F555/'ETF price'!G556</f>
        <v>6.2754941951677357E-4</v>
      </c>
      <c r="G555">
        <f ca="1">'ETF variations'!G555/'ETF price'!H556</f>
        <v>3.5460992907806961E-4</v>
      </c>
      <c r="H555">
        <f ca="1">'ETF variations'!H555/'ETF price'!I556</f>
        <v>6.628918657644027E-3</v>
      </c>
      <c r="I555">
        <f ca="1">'ETF variations'!I555/'ETF price'!J556</f>
        <v>7.3033919361517813E-3</v>
      </c>
      <c r="J555">
        <f ca="1">'ETF variations'!J555/'ETF price'!K556</f>
        <v>6.5059884666567756E-3</v>
      </c>
      <c r="K555">
        <f ca="1">'ETF variations'!K555/'ETF price'!L556</f>
        <v>9.6826250672403594E-3</v>
      </c>
      <c r="L555">
        <f ca="1">'ETF variations'!L555/'ETF price'!M556</f>
        <v>8.9034676663543796E-3</v>
      </c>
      <c r="M555">
        <f ca="1">'ETF variations'!M555/'ETF price'!N556</f>
        <v>7.171081516171446E-3</v>
      </c>
      <c r="N555">
        <f ca="1">'ETF variations'!N555/'ETF price'!O556</f>
        <v>3.5242290748899495E-3</v>
      </c>
      <c r="O555">
        <f ca="1">'ETF variations'!O555/'ETF price'!P556</f>
        <v>1.1411016019311019E-2</v>
      </c>
      <c r="P555">
        <f ca="1">'ETF variations'!P555/'ETF price'!Q556</f>
        <v>1.1717834544176237E-2</v>
      </c>
      <c r="Q555">
        <f ca="1">'ETF variations'!Q555/'ETF price'!R556</f>
        <v>1.1032656663730269E-4</v>
      </c>
      <c r="R555">
        <f ca="1">'ETF variations'!R555/'ETF price'!S556</f>
        <v>3.7366548042703511E-3</v>
      </c>
      <c r="S555">
        <f ca="1">'ETF variations'!S555/'ETF price'!T556</f>
        <v>-4.3535045711789338E-4</v>
      </c>
      <c r="T555">
        <f ca="1">'ETF variations'!T555/'ETF price'!U556</f>
        <v>5.7707104385740296E-3</v>
      </c>
      <c r="U555">
        <f ca="1">'ETF variations'!U555/'ETF price'!V556</f>
        <v>5.8411214953271035E-3</v>
      </c>
      <c r="V555">
        <f ca="1">'ETF variations'!V555/'ETF price'!W556</f>
        <v>4.893564962074941E-3</v>
      </c>
      <c r="W555">
        <f ca="1">'ETF variations'!W555/'ETF price'!X556</f>
        <v>5.1338836319709171E-3</v>
      </c>
      <c r="X555">
        <f ca="1">'ETF variations'!X555/'ETF price'!Y556</f>
        <v>4.5310376076122079E-3</v>
      </c>
      <c r="Y555">
        <f ca="1">'ETF variations'!Y555/'ETF price'!Z556</f>
        <v>3.7866493562695477E-3</v>
      </c>
      <c r="Z555">
        <f ca="1">'ETF variations'!Z555/'ETF price'!AA556</f>
        <v>0</v>
      </c>
      <c r="AA555">
        <f ca="1">'ETF variations'!AA555/'ETF price'!AB556</f>
        <v>3.3912674862230543E-3</v>
      </c>
      <c r="AB555">
        <f ca="1">'ETF variations'!AB555/'ETF price'!AC556</f>
        <v>-1.4654781689076883E-2</v>
      </c>
      <c r="AC555">
        <f ca="1">'ETF variations'!AC555/'ETF price'!AD556</f>
        <v>-4.0058622374206168E-2</v>
      </c>
      <c r="AD555">
        <f ca="1">'ETF variations'!AD555/'ETF price'!AE556</f>
        <v>-3.9190071848465034E-2</v>
      </c>
      <c r="AE555">
        <f ca="1">'ETF variations'!AE555/'ETF price'!AF556</f>
        <v>-6.4453125000000014E-2</v>
      </c>
      <c r="AF555">
        <f ca="1">'ETF variations'!AF555/'ETF price'!AG556</f>
        <v>-2.6274421738154093E-2</v>
      </c>
    </row>
    <row r="556" spans="1:32" x14ac:dyDescent="0.2">
      <c r="A556">
        <f ca="1">'ETF variations'!A556/'ETF price'!B557</f>
        <v>1.118773207310601E-2</v>
      </c>
      <c r="B556">
        <f ca="1">'ETF variations'!B556/'ETF price'!C557</f>
        <v>1.3553261433762171E-2</v>
      </c>
      <c r="C556">
        <f ca="1">'ETF variations'!C556/'ETF price'!D557</f>
        <v>-5.051614320228404E-3</v>
      </c>
      <c r="D556">
        <f ca="1">'ETF variations'!D556/'ETF price'!E557</f>
        <v>1.7023436058313333E-2</v>
      </c>
      <c r="E556">
        <f ca="1">'ETF variations'!E556/'ETF price'!F557</f>
        <v>1.2784090909090945E-2</v>
      </c>
      <c r="F556">
        <f ca="1">'ETF variations'!F556/'ETF price'!G557</f>
        <v>1.1915961116337489E-2</v>
      </c>
      <c r="G556">
        <f ca="1">'ETF variations'!G556/'ETF price'!H557</f>
        <v>9.9255583126550001E-3</v>
      </c>
      <c r="H556">
        <f ca="1">'ETF variations'!H556/'ETF price'!I557</f>
        <v>-2.2636850048018417E-3</v>
      </c>
      <c r="I556">
        <f ca="1">'ETF variations'!I556/'ETF price'!J557</f>
        <v>-1.1585753260829027E-3</v>
      </c>
      <c r="J556">
        <f ca="1">'ETF variations'!J556/'ETF price'!K557</f>
        <v>2.5708829146468544E-3</v>
      </c>
      <c r="K556">
        <f ca="1">'ETF variations'!K556/'ETF price'!L557</f>
        <v>1.3958444326052236E-2</v>
      </c>
      <c r="L556">
        <f ca="1">'ETF variations'!L556/'ETF price'!M557</f>
        <v>5.4187954791762548E-3</v>
      </c>
      <c r="M556">
        <f ca="1">'ETF variations'!M556/'ETF price'!N557</f>
        <v>-8.7183958151682754E-4</v>
      </c>
      <c r="N556">
        <f ca="1">'ETF variations'!N556/'ETF price'!O557</f>
        <v>5.2677787532922488E-3</v>
      </c>
      <c r="O556">
        <f ca="1">'ETF variations'!O556/'ETF price'!P557</f>
        <v>-1.4102842265134481E-3</v>
      </c>
      <c r="P556">
        <f ca="1">'ETF variations'!P556/'ETF price'!Q557</f>
        <v>-2.3164234422053232E-4</v>
      </c>
      <c r="Q556">
        <f ca="1">'ETF variations'!Q556/'ETF price'!R557</f>
        <v>1.0038610038610001E-2</v>
      </c>
      <c r="R556">
        <f ca="1">'ETF variations'!R556/'ETF price'!S557</f>
        <v>2.4109200496366012E-2</v>
      </c>
      <c r="S556">
        <f ca="1">'ETF variations'!S556/'ETF price'!T557</f>
        <v>-2.613240418118566E-3</v>
      </c>
      <c r="T556">
        <f ca="1">'ETF variations'!T556/'ETF price'!U557</f>
        <v>-1.5045263292107697E-2</v>
      </c>
      <c r="U556">
        <f ca="1">'ETF variations'!U556/'ETF price'!V557</f>
        <v>2.4157955865273084E-2</v>
      </c>
      <c r="V556">
        <f ca="1">'ETF variations'!V556/'ETF price'!W557</f>
        <v>1.1930849768687656E-2</v>
      </c>
      <c r="W556">
        <f ca="1">'ETF variations'!W556/'ETF price'!X557</f>
        <v>1.4021031547321039E-2</v>
      </c>
      <c r="X556">
        <f ca="1">'ETF variations'!X556/'ETF price'!Y557</f>
        <v>2.9544429409111301E-2</v>
      </c>
      <c r="Y556">
        <f ca="1">'ETF variations'!Y556/'ETF price'!Z557</f>
        <v>1.4119422289286509E-2</v>
      </c>
      <c r="Z556">
        <f ca="1">'ETF variations'!Z556/'ETF price'!AA557</f>
        <v>4.126902244003007E-3</v>
      </c>
      <c r="AA556">
        <f ca="1">'ETF variations'!AA556/'ETF price'!AB557</f>
        <v>3.1263202365863892E-2</v>
      </c>
      <c r="AB556">
        <f ca="1">'ETF variations'!AB556/'ETF price'!AC557</f>
        <v>-2.7598896044157099E-3</v>
      </c>
      <c r="AC556">
        <f ca="1">'ETF variations'!AC556/'ETF price'!AD557</f>
        <v>1.3740458015267335E-2</v>
      </c>
      <c r="AD556">
        <f ca="1">'ETF variations'!AD556/'ETF price'!AE557</f>
        <v>2.3453433038749073E-2</v>
      </c>
      <c r="AE556">
        <f ca="1">'ETF variations'!AE556/'ETF price'!AF557</f>
        <v>5.8455114822547026E-2</v>
      </c>
      <c r="AF556">
        <f ca="1">'ETF variations'!AF556/'ETF price'!AG557</f>
        <v>0.14414206642066421</v>
      </c>
    </row>
    <row r="557" spans="1:32" x14ac:dyDescent="0.2">
      <c r="A557">
        <f ca="1">'ETF variations'!A557/'ETF price'!B558</f>
        <v>7.1534169488294956E-4</v>
      </c>
      <c r="B557">
        <f ca="1">'ETF variations'!B557/'ETF price'!C558</f>
        <v>2.8071772694511173E-3</v>
      </c>
      <c r="C557">
        <f ca="1">'ETF variations'!C557/'ETF price'!D558</f>
        <v>-5.077262693156716E-3</v>
      </c>
      <c r="D557">
        <f ca="1">'ETF variations'!D557/'ETF price'!E558</f>
        <v>2.1456112497164975E-2</v>
      </c>
      <c r="E557">
        <f ca="1">'ETF variations'!E557/'ETF price'!F558</f>
        <v>5.2984260557893629E-3</v>
      </c>
      <c r="F557">
        <f ca="1">'ETF variations'!F557/'ETF price'!G558</f>
        <v>-9.2965602726994526E-4</v>
      </c>
      <c r="G557">
        <f ca="1">'ETF variations'!G557/'ETF price'!H558</f>
        <v>9.1260091260091814E-3</v>
      </c>
      <c r="H557">
        <f ca="1">'ETF variations'!H557/'ETF price'!I558</f>
        <v>1.3062908215881591E-3</v>
      </c>
      <c r="I557">
        <f ca="1">'ETF variations'!I557/'ETF price'!J558</f>
        <v>1.3095861707701217E-3</v>
      </c>
      <c r="J557">
        <f ca="1">'ETF variations'!J557/'ETF price'!K558</f>
        <v>5.4216426111801646E-3</v>
      </c>
      <c r="K557">
        <f ca="1">'ETF variations'!K557/'ETF price'!L558</f>
        <v>4.2034468263983031E-4</v>
      </c>
      <c r="L557">
        <f ca="1">'ETF variations'!L557/'ETF price'!M558</f>
        <v>3.6957191253466138E-3</v>
      </c>
      <c r="M557">
        <f ca="1">'ETF variations'!M557/'ETF price'!N558</f>
        <v>2.9086678301332196E-4</v>
      </c>
      <c r="N557">
        <f ca="1">'ETF variations'!N557/'ETF price'!O558</f>
        <v>8.7336244541498379E-4</v>
      </c>
      <c r="O557">
        <f ca="1">'ETF variations'!O557/'ETF price'!P558</f>
        <v>5.9750135795762866E-3</v>
      </c>
      <c r="P557">
        <f ca="1">'ETF variations'!P557/'ETF price'!Q558</f>
        <v>4.9428483163424068E-3</v>
      </c>
      <c r="Q557">
        <f ca="1">'ETF variations'!Q557/'ETF price'!R558</f>
        <v>4.1502839667976786E-3</v>
      </c>
      <c r="R557">
        <f ca="1">'ETF variations'!R557/'ETF price'!S558</f>
        <v>1.2117015752120402E-2</v>
      </c>
      <c r="S557">
        <f ca="1">'ETF variations'!S557/'ETF price'!T558</f>
        <v>-1.3100436681221653E-3</v>
      </c>
      <c r="T557">
        <f ca="1">'ETF variations'!T557/'ETF price'!U558</f>
        <v>-5.5663430420712853E-3</v>
      </c>
      <c r="U557">
        <f ca="1">'ETF variations'!U557/'ETF price'!V558</f>
        <v>6.8042640054433463E-3</v>
      </c>
      <c r="V557">
        <f ca="1">'ETF variations'!V557/'ETF price'!W558</f>
        <v>8.1809432146293624E-3</v>
      </c>
      <c r="W557">
        <f ca="1">'ETF variations'!W557/'ETF price'!X558</f>
        <v>9.9753086419753587E-3</v>
      </c>
      <c r="X557">
        <f ca="1">'ETF variations'!X557/'ETF price'!Y558</f>
        <v>1.4457831325301287E-2</v>
      </c>
      <c r="Y557">
        <f ca="1">'ETF variations'!Y557/'ETF price'!Z558</f>
        <v>7.65224784780528E-3</v>
      </c>
      <c r="Z557">
        <f ca="1">'ETF variations'!Z557/'ETF price'!AA558</f>
        <v>3.8530696121242894E-3</v>
      </c>
      <c r="AA557">
        <f ca="1">'ETF variations'!AA557/'ETF price'!AB558</f>
        <v>1.4748054076198256E-2</v>
      </c>
      <c r="AB557">
        <f ca="1">'ETF variations'!AB557/'ETF price'!AC558</f>
        <v>1.5375153751536639E-3</v>
      </c>
      <c r="AC557">
        <f ca="1">'ETF variations'!AC557/'ETF price'!AD558</f>
        <v>2.5100401606424276E-3</v>
      </c>
      <c r="AD557">
        <f ca="1">'ETF variations'!AD557/'ETF price'!AE558</f>
        <v>-1.0295582862836225E-2</v>
      </c>
      <c r="AE557">
        <f ca="1">'ETF variations'!AE557/'ETF price'!AF558</f>
        <v>-4.5364891518737752E-2</v>
      </c>
      <c r="AF557">
        <f ca="1">'ETF variations'!AF557/'ETF price'!AG558</f>
        <v>1.0481757710139148E-2</v>
      </c>
    </row>
    <row r="558" spans="1:32" x14ac:dyDescent="0.2">
      <c r="A558">
        <f ca="1">'ETF variations'!A558/'ETF price'!B559</f>
        <v>3.3358749523443185E-4</v>
      </c>
      <c r="B558">
        <f ca="1">'ETF variations'!B558/'ETF price'!C559</f>
        <v>-7.9440136183104356E-4</v>
      </c>
      <c r="C558">
        <f ca="1">'ETF variations'!C558/'ETF price'!D559</f>
        <v>9.6146734708967864E-4</v>
      </c>
      <c r="D558">
        <f ca="1">'ETF variations'!D558/'ETF price'!E559</f>
        <v>1.1990407673860104E-3</v>
      </c>
      <c r="E558">
        <f ca="1">'ETF variations'!E558/'ETF price'!F559</f>
        <v>-4.1853976127733715E-3</v>
      </c>
      <c r="F558">
        <f ca="1">'ETF variations'!F558/'ETF price'!G559</f>
        <v>-3.1017369727047587E-3</v>
      </c>
      <c r="G558">
        <f ca="1">'ETF variations'!G558/'ETF price'!H559</f>
        <v>-4.8695652173913239E-3</v>
      </c>
      <c r="H558">
        <f ca="1">'ETF variations'!H558/'ETF price'!I559</f>
        <v>-1.3732491073880024E-3</v>
      </c>
      <c r="I558">
        <f ca="1">'ETF variations'!I558/'ETF price'!J559</f>
        <v>-5.4183326482567492E-3</v>
      </c>
      <c r="J558">
        <f ca="1">'ETF variations'!J558/'ETF price'!K559</f>
        <v>-7.1412956350651452E-3</v>
      </c>
      <c r="K558">
        <f ca="1">'ETF variations'!K558/'ETF price'!L559</f>
        <v>-1.7226890756302526E-2</v>
      </c>
      <c r="L558">
        <f ca="1">'ETF variations'!L558/'ETF price'!M559</f>
        <v>-4.6026388462720369E-3</v>
      </c>
      <c r="M558">
        <f ca="1">'ETF variations'!M558/'ETF price'!N559</f>
        <v>-1.5993021227100818E-3</v>
      </c>
      <c r="N558">
        <f ca="1">'ETF variations'!N558/'ETF price'!O559</f>
        <v>-1.2216404886562003E-2</v>
      </c>
      <c r="O558">
        <f ca="1">'ETF variations'!O558/'ETF price'!P559</f>
        <v>-2.1598272138227716E-3</v>
      </c>
      <c r="P558">
        <f ca="1">'ETF variations'!P558/'ETF price'!Q559</f>
        <v>-9.3759606517061084E-3</v>
      </c>
      <c r="Q558">
        <f ca="1">'ETF variations'!Q558/'ETF price'!R559</f>
        <v>-6.1996954535565932E-3</v>
      </c>
      <c r="R558">
        <f ca="1">'ETF variations'!R558/'ETF price'!S559</f>
        <v>-9.0644775098341224E-3</v>
      </c>
      <c r="S558">
        <f ca="1">'ETF variations'!S558/'ETF price'!T559</f>
        <v>-6.996064713598607E-3</v>
      </c>
      <c r="T558">
        <f ca="1">'ETF variations'!T558/'ETF price'!U559</f>
        <v>-1.8224420723768077E-3</v>
      </c>
      <c r="U558">
        <f ca="1">'ETF variations'!U558/'ETF price'!V559</f>
        <v>-8.1099346699707014E-3</v>
      </c>
      <c r="V558">
        <f ca="1">'ETF variations'!V558/'ETF price'!W559</f>
        <v>-1.1455847255369854E-2</v>
      </c>
      <c r="W558">
        <f ca="1">'ETF variations'!W558/'ETF price'!X559</f>
        <v>-1.7308820653236946E-2</v>
      </c>
      <c r="X558">
        <f ca="1">'ETF variations'!X558/'ETF price'!Y559</f>
        <v>-1.9434247462751148E-2</v>
      </c>
      <c r="Y558">
        <f ca="1">'ETF variations'!Y558/'ETF price'!Z559</f>
        <v>-1.0863832929015939E-2</v>
      </c>
      <c r="Z558">
        <f ca="1">'ETF variations'!Z558/'ETF price'!AA559</f>
        <v>-1.1770726714431957E-2</v>
      </c>
      <c r="AA558">
        <f ca="1">'ETF variations'!AA558/'ETF price'!AB559</f>
        <v>-2.1598708114654832E-2</v>
      </c>
      <c r="AB558">
        <f ca="1">'ETF variations'!AB558/'ETF price'!AC559</f>
        <v>1.2741786920478943E-2</v>
      </c>
      <c r="AC558">
        <f ca="1">'ETF variations'!AC558/'ETF price'!AD559</f>
        <v>-2.6039058587881803E-2</v>
      </c>
      <c r="AD558">
        <f ca="1">'ETF variations'!AD558/'ETF price'!AE559</f>
        <v>-2.1476510067114114E-2</v>
      </c>
      <c r="AE558">
        <f ca="1">'ETF variations'!AE558/'ETF price'!AF559</f>
        <v>-4.7520661157024698E-2</v>
      </c>
      <c r="AF558">
        <f ca="1">'ETF variations'!AF558/'ETF price'!AG559</f>
        <v>-4.5681228805106701E-2</v>
      </c>
    </row>
    <row r="559" spans="1:32" x14ac:dyDescent="0.2">
      <c r="A559">
        <f ca="1">'ETF variations'!A559/'ETF price'!B560</f>
        <v>-6.6218855700061283E-3</v>
      </c>
      <c r="B559">
        <f ca="1">'ETF variations'!B559/'ETF price'!C560</f>
        <v>-4.0319527523283022E-3</v>
      </c>
      <c r="C559">
        <f ca="1">'ETF variations'!C559/'ETF price'!D560</f>
        <v>-2.0688636027781965E-3</v>
      </c>
      <c r="D559">
        <f ca="1">'ETF variations'!D559/'ETF price'!E560</f>
        <v>-3.9033045021068771E-3</v>
      </c>
      <c r="E559">
        <f ca="1">'ETF variations'!E559/'ETF price'!F560</f>
        <v>-5.9153175591531056E-3</v>
      </c>
      <c r="F559">
        <f ca="1">'ETF variations'!F559/'ETF price'!G560</f>
        <v>-6.2227753578095605E-3</v>
      </c>
      <c r="G559">
        <f ca="1">'ETF variations'!G559/'ETF price'!H560</f>
        <v>1.0485844110451289E-3</v>
      </c>
      <c r="H559">
        <f ca="1">'ETF variations'!H559/'ETF price'!I560</f>
        <v>-1.3751375137512969E-3</v>
      </c>
      <c r="I559">
        <f ca="1">'ETF variations'!I559/'ETF price'!J560</f>
        <v>-1.7658551247371026E-3</v>
      </c>
      <c r="J559">
        <f ca="1">'ETF variations'!J559/'ETF price'!K560</f>
        <v>-1.7614678899083235E-3</v>
      </c>
      <c r="K559">
        <f ca="1">'ETF variations'!K559/'ETF price'!L560</f>
        <v>-9.5126122274476338E-3</v>
      </c>
      <c r="L559">
        <f ca="1">'ETF variations'!L559/'ETF price'!M560</f>
        <v>-3.0826140567199235E-3</v>
      </c>
      <c r="M559">
        <f ca="1">'ETF variations'!M559/'ETF price'!N560</f>
        <v>-2.3299839813600786E-3</v>
      </c>
      <c r="N559">
        <f ca="1">'ETF variations'!N559/'ETF price'!O560</f>
        <v>-2.65017667844533E-3</v>
      </c>
      <c r="O559">
        <f ca="1">'ETF variations'!O559/'ETF price'!P560</f>
        <v>9.3073593073593006E-3</v>
      </c>
      <c r="P559">
        <f ca="1">'ETF variations'!P559/'ETF price'!Q560</f>
        <v>8.5337470907679933E-3</v>
      </c>
      <c r="Q559">
        <f ca="1">'ETF variations'!Q559/'ETF price'!R560</f>
        <v>3.2833533982708912E-4</v>
      </c>
      <c r="R559">
        <f ca="1">'ETF variations'!R559/'ETF price'!S560</f>
        <v>3.4518467380048818E-3</v>
      </c>
      <c r="S559">
        <f ca="1">'ETF variations'!S559/'ETF price'!T560</f>
        <v>8.3663584324085299E-3</v>
      </c>
      <c r="T559">
        <f ca="1">'ETF variations'!T559/'ETF price'!U560</f>
        <v>1.4084507042253497E-2</v>
      </c>
      <c r="U559">
        <f ca="1">'ETF variations'!U559/'ETF price'!V560</f>
        <v>-1.3172836702248428E-2</v>
      </c>
      <c r="V559">
        <f ca="1">'ETF variations'!V559/'ETF price'!W560</f>
        <v>-3.8628681796234595E-3</v>
      </c>
      <c r="W559">
        <f ca="1">'ETF variations'!W559/'ETF price'!X560</f>
        <v>0</v>
      </c>
      <c r="X559">
        <f ca="1">'ETF variations'!X559/'ETF price'!Y560</f>
        <v>2.202158114952685E-3</v>
      </c>
      <c r="Y559">
        <f ca="1">'ETF variations'!Y559/'ETF price'!Z560</f>
        <v>1.0663254425256041E-4</v>
      </c>
      <c r="Z559">
        <f ca="1">'ETF variations'!Z559/'ETF price'!AA560</f>
        <v>-3.8839979285344014E-3</v>
      </c>
      <c r="AA559">
        <f ca="1">'ETF variations'!AA559/'ETF price'!AB560</f>
        <v>1.4441922838869462E-3</v>
      </c>
      <c r="AB559">
        <f ca="1">'ETF variations'!AB559/'ETF price'!AC560</f>
        <v>5.0022737608003383E-3</v>
      </c>
      <c r="AC559">
        <f ca="1">'ETF variations'!AC559/'ETF price'!AD560</f>
        <v>0.10128534704370193</v>
      </c>
      <c r="AD559">
        <f ca="1">'ETF variations'!AD559/'ETF price'!AE560</f>
        <v>0.11385459533607671</v>
      </c>
      <c r="AE559">
        <f ca="1">'ETF variations'!AE559/'ETF price'!AF560</f>
        <v>0.15401301518438176</v>
      </c>
      <c r="AF559">
        <f ca="1">'ETF variations'!AF559/'ETF price'!AG560</f>
        <v>7.838628762541805E-2</v>
      </c>
    </row>
    <row r="560" spans="1:32" x14ac:dyDescent="0.2">
      <c r="A560">
        <f ca="1">'ETF variations'!A560/'ETF price'!B561</f>
        <v>-4.1243046230578055E-3</v>
      </c>
      <c r="B560">
        <f ca="1">'ETF variations'!B560/'ETF price'!C561</f>
        <v>-4.3903829706356465E-3</v>
      </c>
      <c r="C560">
        <f ca="1">'ETF variations'!C560/'ETF price'!D561</f>
        <v>3.6280171775507856E-3</v>
      </c>
      <c r="D560">
        <f ca="1">'ETF variations'!D560/'ETF price'!E561</f>
        <v>-7.5254931647147786E-3</v>
      </c>
      <c r="E560">
        <f ca="1">'ETF variations'!E560/'ETF price'!F561</f>
        <v>0</v>
      </c>
      <c r="F560">
        <f ca="1">'ETF variations'!F560/'ETF price'!G561</f>
        <v>-6.2617407639322395E-4</v>
      </c>
      <c r="G560">
        <f ca="1">'ETF variations'!G560/'ETF price'!H561</f>
        <v>1.0474860335195927E-3</v>
      </c>
      <c r="H560">
        <f ca="1">'ETF variations'!H560/'ETF price'!I561</f>
        <v>3.6491324703938387E-3</v>
      </c>
      <c r="I560">
        <f ca="1">'ETF variations'!I560/'ETF price'!J561</f>
        <v>4.5541796830892373E-3</v>
      </c>
      <c r="J560">
        <f ca="1">'ETF variations'!J560/'ETF price'!K561</f>
        <v>-1.0293360782294416E-3</v>
      </c>
      <c r="K560">
        <f ca="1">'ETF variations'!K560/'ETF price'!L561</f>
        <v>2.1581957483539463E-4</v>
      </c>
      <c r="L560">
        <f ca="1">'ETF variations'!L560/'ETF price'!M561</f>
        <v>-2.6283240568955118E-3</v>
      </c>
      <c r="M560">
        <f ca="1">'ETF variations'!M560/'ETF price'!N561</f>
        <v>3.649102320829076E-3</v>
      </c>
      <c r="N560">
        <f ca="1">'ETF variations'!N560/'ETF price'!O561</f>
        <v>-7.9716563330380751E-3</v>
      </c>
      <c r="O560">
        <f ca="1">'ETF variations'!O560/'ETF price'!P561</f>
        <v>-7.7203517049109893E-3</v>
      </c>
      <c r="P560">
        <f ca="1">'ETF variations'!P560/'ETF price'!Q561</f>
        <v>-7.5384615384614601E-3</v>
      </c>
      <c r="Q560">
        <f ca="1">'ETF variations'!Q560/'ETF price'!R561</f>
        <v>-7.6586433260401952E-4</v>
      </c>
      <c r="R560">
        <f ca="1">'ETF variations'!R560/'ETF price'!S561</f>
        <v>-7.5679394564843088E-3</v>
      </c>
      <c r="S560">
        <f ca="1">'ETF variations'!S560/'ETF price'!T561</f>
        <v>-7.8602620087336126E-3</v>
      </c>
      <c r="T560">
        <f ca="1">'ETF variations'!T560/'ETF price'!U561</f>
        <v>-6.0442386831275566E-3</v>
      </c>
      <c r="U560">
        <f ca="1">'ETF variations'!U560/'ETF price'!V561</f>
        <v>-9.8964326812428002E-3</v>
      </c>
      <c r="V560">
        <f ca="1">'ETF variations'!V560/'ETF price'!W561</f>
        <v>3.3931168201648226E-3</v>
      </c>
      <c r="W560">
        <f ca="1">'ETF variations'!W560/'ETF price'!X561</f>
        <v>8.9561150363223622E-4</v>
      </c>
      <c r="X560">
        <f ca="1">'ETF variations'!X560/'ETF price'!Y561</f>
        <v>-2.6367831245879465E-3</v>
      </c>
      <c r="Y560">
        <f ca="1">'ETF variations'!Y560/'ETF price'!Z561</f>
        <v>1.4926964495148797E-3</v>
      </c>
      <c r="Z560">
        <f ca="1">'ETF variations'!Z560/'ETF price'!AA561</f>
        <v>-4.1590850012996252E-3</v>
      </c>
      <c r="AA560">
        <f ca="1">'ETF variations'!AA560/'ETF price'!AB561</f>
        <v>-6.1804697156983349E-3</v>
      </c>
      <c r="AB560">
        <f ca="1">'ETF variations'!AB560/'ETF price'!AC561</f>
        <v>-6.1840120663649561E-3</v>
      </c>
      <c r="AC560">
        <f ca="1">'ETF variations'!AC560/'ETF price'!AD561</f>
        <v>-2.2408963585434191E-2</v>
      </c>
      <c r="AD560">
        <f ca="1">'ETF variations'!AD560/'ETF price'!AE561</f>
        <v>-2.3706896551724019E-2</v>
      </c>
      <c r="AE560">
        <f ca="1">'ETF variations'!AE560/'ETF price'!AF561</f>
        <v>1.6917293233082678E-2</v>
      </c>
      <c r="AF560">
        <f ca="1">'ETF variations'!AF560/'ETF price'!AG561</f>
        <v>-1.7639077340569947E-2</v>
      </c>
    </row>
    <row r="561" spans="1:32" x14ac:dyDescent="0.2">
      <c r="A561">
        <f ca="1">'ETF variations'!A561/'ETF price'!B562</f>
        <v>5.1044977366849764E-3</v>
      </c>
      <c r="B561">
        <f ca="1">'ETF variations'!B561/'ETF price'!C562</f>
        <v>2.3671350030543851E-3</v>
      </c>
      <c r="C561">
        <f ca="1">'ETF variations'!C561/'ETF price'!D562</f>
        <v>-7.8199926226484862E-3</v>
      </c>
      <c r="D561">
        <f ca="1">'ETF variations'!D561/'ETF price'!E562</f>
        <v>1.256281407035181E-2</v>
      </c>
      <c r="E561">
        <f ca="1">'ETF variations'!E561/'ETF price'!F562</f>
        <v>-1.5659254619480336E-3</v>
      </c>
      <c r="F561">
        <f ca="1">'ETF variations'!F561/'ETF price'!G562</f>
        <v>-3.1328320802005457E-3</v>
      </c>
      <c r="G561">
        <f ca="1">'ETF variations'!G561/'ETF price'!H562</f>
        <v>8.7199162888036263E-3</v>
      </c>
      <c r="H561">
        <f ca="1">'ETF variations'!H561/'ETF price'!I562</f>
        <v>1.3308636893736693E-2</v>
      </c>
      <c r="I561">
        <f ca="1">'ETF variations'!I561/'ETF price'!J562</f>
        <v>1.3638066691644973E-2</v>
      </c>
      <c r="J561">
        <f ca="1">'ETF variations'!J561/'ETF price'!K562</f>
        <v>1.4131154780304611E-2</v>
      </c>
      <c r="K561">
        <f ca="1">'ETF variations'!K561/'ETF price'!L562</f>
        <v>2.3950803754450307E-2</v>
      </c>
      <c r="L561">
        <f ca="1">'ETF variations'!L561/'ETF price'!M562</f>
        <v>9.7659277631374272E-3</v>
      </c>
      <c r="M561">
        <f ca="1">'ETF variations'!M561/'ETF price'!N562</f>
        <v>1.3816172193135377E-2</v>
      </c>
      <c r="N561">
        <f ca="1">'ETF variations'!N561/'ETF price'!O562</f>
        <v>2.0535714285714324E-2</v>
      </c>
      <c r="O561">
        <f ca="1">'ETF variations'!O561/'ETF price'!P562</f>
        <v>9.2932785822347017E-3</v>
      </c>
      <c r="P561">
        <f ca="1">'ETF variations'!P561/'ETF price'!Q562</f>
        <v>9.7659277631374272E-3</v>
      </c>
      <c r="Q561">
        <f ca="1">'ETF variations'!Q561/'ETF price'!R562</f>
        <v>1.4343589182086962E-2</v>
      </c>
      <c r="R561">
        <f ca="1">'ETF variations'!R561/'ETF price'!S562</f>
        <v>3.2235701906412464E-2</v>
      </c>
      <c r="S561">
        <f ca="1">'ETF variations'!S561/'ETF price'!T562</f>
        <v>-8.8028169014082633E-4</v>
      </c>
      <c r="T561">
        <f ca="1">'ETF variations'!T561/'ETF price'!U562</f>
        <v>2.8464225643679499E-3</v>
      </c>
      <c r="U561">
        <f ca="1">'ETF variations'!U561/'ETF price'!V562</f>
        <v>5.5090655509065486E-2</v>
      </c>
      <c r="V561">
        <f ca="1">'ETF variations'!V561/'ETF price'!W562</f>
        <v>1.1835748792270579E-2</v>
      </c>
      <c r="W561">
        <f ca="1">'ETF variations'!W561/'ETF price'!X562</f>
        <v>1.3422151521177258E-2</v>
      </c>
      <c r="X561">
        <f ca="1">'ETF variations'!X561/'ETF price'!Y562</f>
        <v>3.2165675258867613E-2</v>
      </c>
      <c r="Y561">
        <f ca="1">'ETF variations'!Y561/'ETF price'!Z562</f>
        <v>1.3520706909400574E-2</v>
      </c>
      <c r="Z561">
        <f ca="1">'ETF variations'!Z561/'ETF price'!AA562</f>
        <v>2.5319759853824036E-2</v>
      </c>
      <c r="AA561">
        <f ca="1">'ETF variations'!AA561/'ETF price'!AB562</f>
        <v>3.6898839137645127E-2</v>
      </c>
      <c r="AB561">
        <f ca="1">'ETF variations'!AB561/'ETF price'!AC562</f>
        <v>-5.4636515404461895E-3</v>
      </c>
      <c r="AC561">
        <f ca="1">'ETF variations'!AC561/'ETF price'!AD562</f>
        <v>-1.7669531996179606E-2</v>
      </c>
      <c r="AD561">
        <f ca="1">'ETF variations'!AD561/'ETF price'!AE562</f>
        <v>-1.4191106906338671E-2</v>
      </c>
      <c r="AE561">
        <f ca="1">'ETF variations'!AE561/'ETF price'!AF562</f>
        <v>-9.242144177449136E-3</v>
      </c>
      <c r="AF561">
        <f ca="1">'ETF variations'!AF561/'ETF price'!AG562</f>
        <v>-9.8658247829512937E-4</v>
      </c>
    </row>
    <row r="562" spans="1:32" x14ac:dyDescent="0.2">
      <c r="A562">
        <f ca="1">'ETF variations'!A562/'ETF price'!B563</f>
        <v>-2.1559984668454804E-3</v>
      </c>
      <c r="B562">
        <f ca="1">'ETF variations'!B562/'ETF price'!C563</f>
        <v>-1.4093090576674202E-3</v>
      </c>
      <c r="C562">
        <f ca="1">'ETF variations'!C562/'ETF price'!D563</f>
        <v>2.081939177634033E-3</v>
      </c>
      <c r="D562">
        <f ca="1">'ETF variations'!D562/'ETF price'!E563</f>
        <v>1.0634526763558165E-3</v>
      </c>
      <c r="E562">
        <f ca="1">'ETF variations'!E562/'ETF price'!F563</f>
        <v>5.4893350062735482E-3</v>
      </c>
      <c r="F562">
        <f ca="1">'ETF variations'!F562/'ETF price'!G563</f>
        <v>-3.1426775612827037E-4</v>
      </c>
      <c r="G562">
        <f ca="1">'ETF variations'!G562/'ETF price'!H563</f>
        <v>-3.4578146611347033E-4</v>
      </c>
      <c r="H562">
        <f ca="1">'ETF variations'!H562/'ETF price'!I563</f>
        <v>1.3540044682135136E-4</v>
      </c>
      <c r="I562">
        <f ca="1">'ETF variations'!I562/'ETF price'!J563</f>
        <v>-7.3926221630955325E-5</v>
      </c>
      <c r="J562">
        <f ca="1">'ETF variations'!J562/'ETF price'!K563</f>
        <v>-4.1367298062268175E-3</v>
      </c>
      <c r="K562">
        <f ca="1">'ETF variations'!K562/'ETF price'!L563</f>
        <v>-2.1072595090081153E-4</v>
      </c>
      <c r="L562">
        <f ca="1">'ETF variations'!L562/'ETF price'!M563</f>
        <v>-6.4476512127725162E-3</v>
      </c>
      <c r="M562">
        <f ca="1">'ETF variations'!M562/'ETF price'!N563</f>
        <v>8.6070865012196642E-4</v>
      </c>
      <c r="N562">
        <f ca="1">'ETF variations'!N562/'ETF price'!O563</f>
        <v>-4.3744531933507377E-3</v>
      </c>
      <c r="O562">
        <f ca="1">'ETF variations'!O562/'ETF price'!P563</f>
        <v>1.081370449678791E-2</v>
      </c>
      <c r="P562">
        <f ca="1">'ETF variations'!P562/'ETF price'!Q563</f>
        <v>1.0899600859686732E-2</v>
      </c>
      <c r="Q562">
        <f ca="1">'ETF variations'!Q562/'ETF price'!R563</f>
        <v>2.6986183074265975E-3</v>
      </c>
      <c r="R562">
        <f ca="1">'ETF variations'!R562/'ETF price'!S563</f>
        <v>1.2088650100738731E-2</v>
      </c>
      <c r="S562">
        <f ca="1">'ETF variations'!S562/'ETF price'!T563</f>
        <v>1.1894273127753286E-2</v>
      </c>
      <c r="T562">
        <f ca="1">'ETF variations'!T562/'ETF price'!U563</f>
        <v>1.5739904528447927E-2</v>
      </c>
      <c r="U562">
        <f ca="1">'ETF variations'!U562/'ETF price'!V563</f>
        <v>-4.4062568847770713E-4</v>
      </c>
      <c r="V562">
        <f ca="1">'ETF variations'!V562/'ETF price'!W563</f>
        <v>5.4905705418953656E-3</v>
      </c>
      <c r="W562">
        <f ca="1">'ETF variations'!W562/'ETF price'!X563</f>
        <v>4.5129010104973388E-3</v>
      </c>
      <c r="X562">
        <f ca="1">'ETF variations'!X562/'ETF price'!Y563</f>
        <v>5.3361792956243331E-3</v>
      </c>
      <c r="Y562">
        <f ca="1">'ETF variations'!Y562/'ETF price'!Z563</f>
        <v>4.7268907563025511E-3</v>
      </c>
      <c r="Z562">
        <f ca="1">'ETF variations'!Z562/'ETF price'!AA563</f>
        <v>6.3645621181262725E-3</v>
      </c>
      <c r="AA562">
        <f ca="1">'ETF variations'!AA562/'ETF price'!AB563</f>
        <v>5.1979208316672932E-3</v>
      </c>
      <c r="AB562">
        <f ca="1">'ETF variations'!AB562/'ETF price'!AC563</f>
        <v>-1.5260186174279134E-4</v>
      </c>
      <c r="AC562">
        <f ca="1">'ETF variations'!AC562/'ETF price'!AD563</f>
        <v>2.868254739912493E-2</v>
      </c>
      <c r="AD562">
        <f ca="1">'ETF variations'!AD562/'ETF price'!AE563</f>
        <v>3.3269353806781685E-2</v>
      </c>
      <c r="AE562">
        <f ca="1">'ETF variations'!AE562/'ETF price'!AF563</f>
        <v>5.0373134328358125E-2</v>
      </c>
      <c r="AF562">
        <f ca="1">'ETF variations'!AF562/'ETF price'!AG563</f>
        <v>6.9128974916056549E-3</v>
      </c>
    </row>
    <row r="563" spans="1:32" x14ac:dyDescent="0.2">
      <c r="A563">
        <f ca="1">'ETF variations'!A563/'ETF price'!B564</f>
        <v>2.7848465933643061E-3</v>
      </c>
      <c r="B563">
        <f ca="1">'ETF variations'!B563/'ETF price'!C564</f>
        <v>2.0597322348093359E-3</v>
      </c>
      <c r="C563">
        <f ca="1">'ETF variations'!C563/'ETF price'!D564</f>
        <v>-1.6769310677450612E-2</v>
      </c>
      <c r="D563">
        <f ca="1">'ETF variations'!D563/'ETF price'!E564</f>
        <v>1.0534702549575177E-2</v>
      </c>
      <c r="E563">
        <f ca="1">'ETF variations'!E563/'ETF price'!F564</f>
        <v>1.8717828731867813E-3</v>
      </c>
      <c r="F563">
        <f ca="1">'ETF variations'!F563/'ETF price'!G564</f>
        <v>-5.6585979251807519E-3</v>
      </c>
      <c r="G563">
        <f ca="1">'ETF variations'!G563/'ETF price'!H564</f>
        <v>-2.4213075060532784E-3</v>
      </c>
      <c r="H563">
        <f ca="1">'ETF variations'!H563/'ETF price'!I564</f>
        <v>-8.5290733094157654E-3</v>
      </c>
      <c r="I563">
        <f ca="1">'ETF variations'!I563/'ETF price'!J564</f>
        <v>-8.6500073931686204E-3</v>
      </c>
      <c r="J563">
        <f ca="1">'ETF variations'!J563/'ETF price'!K564</f>
        <v>-2.9879026380993778E-3</v>
      </c>
      <c r="K563">
        <f ca="1">'ETF variations'!K563/'ETF price'!L564</f>
        <v>-1.0960059015702458E-2</v>
      </c>
      <c r="L563">
        <f ca="1">'ETF variations'!L563/'ETF price'!M564</f>
        <v>-4.6353522867737511E-3</v>
      </c>
      <c r="M563">
        <f ca="1">'ETF variations'!M563/'ETF price'!N564</f>
        <v>-9.1729969901103714E-3</v>
      </c>
      <c r="N563">
        <f ca="1">'ETF variations'!N563/'ETF price'!O564</f>
        <v>-1.7574692442883435E-3</v>
      </c>
      <c r="O563">
        <f ca="1">'ETF variations'!O563/'ETF price'!P564</f>
        <v>7.4144688062705525E-3</v>
      </c>
      <c r="P563">
        <f ca="1">'ETF variations'!P563/'ETF price'!Q564</f>
        <v>6.6059225512528821E-3</v>
      </c>
      <c r="Q563">
        <f ca="1">'ETF variations'!Q563/'ETF price'!R564</f>
        <v>-2.3683927225750766E-3</v>
      </c>
      <c r="R563">
        <f ca="1">'ETF variations'!R563/'ETF price'!S564</f>
        <v>9.1240875912408283E-3</v>
      </c>
      <c r="S563">
        <f ca="1">'ETF variations'!S563/'ETF price'!T564</f>
        <v>4.7888550282977555E-3</v>
      </c>
      <c r="T563">
        <f ca="1">'ETF variations'!T563/'ETF price'!U564</f>
        <v>1.1939540200685859E-2</v>
      </c>
      <c r="U563">
        <f ca="1">'ETF variations'!U563/'ETF price'!V564</f>
        <v>-6.612298875909129E-3</v>
      </c>
      <c r="V563">
        <f ca="1">'ETF variations'!V563/'ETF price'!W564</f>
        <v>-5.4605887939220537E-3</v>
      </c>
      <c r="W563">
        <f ca="1">'ETF variations'!W563/'ETF price'!X564</f>
        <v>-8.3992577400136669E-3</v>
      </c>
      <c r="X563">
        <f ca="1">'ETF variations'!X563/'ETF price'!Y564</f>
        <v>-1.7622080679405485E-2</v>
      </c>
      <c r="Y563">
        <f ca="1">'ETF variations'!Y563/'ETF price'!Z564</f>
        <v>-6.4819654992159387E-3</v>
      </c>
      <c r="Z563">
        <f ca="1">'ETF variations'!Z563/'ETF price'!AA564</f>
        <v>-1.7455097394383955E-2</v>
      </c>
      <c r="AA563">
        <f ca="1">'ETF variations'!AA563/'ETF price'!AB564</f>
        <v>-1.9689737470167102E-2</v>
      </c>
      <c r="AB563">
        <f ca="1">'ETF variations'!AB563/'ETF price'!AC564</f>
        <v>-1.0683760683760727E-2</v>
      </c>
      <c r="AC563">
        <f ca="1">'ETF variations'!AC563/'ETF price'!AD564</f>
        <v>-2.2211720226843045E-2</v>
      </c>
      <c r="AD563">
        <f ca="1">'ETF variations'!AD563/'ETF price'!AE564</f>
        <v>-5.1393188854489062E-2</v>
      </c>
      <c r="AE563">
        <f ca="1">'ETF variations'!AE563/'ETF price'!AF564</f>
        <v>-7.1047957371225641E-3</v>
      </c>
      <c r="AF563">
        <f ca="1">'ETF variations'!AF563/'ETF price'!AG564</f>
        <v>-5.0608081600627665E-2</v>
      </c>
    </row>
    <row r="564" spans="1:32" x14ac:dyDescent="0.2">
      <c r="A564">
        <f ca="1">'ETF variations'!A564/'ETF price'!B565</f>
        <v>-9.6241321522623456E-3</v>
      </c>
      <c r="B564">
        <f ca="1">'ETF variations'!B564/'ETF price'!C565</f>
        <v>-1.1286209127935652E-2</v>
      </c>
      <c r="C564">
        <f ca="1">'ETF variations'!C564/'ETF price'!D565</f>
        <v>1.4036676477247104E-2</v>
      </c>
      <c r="D564">
        <f ca="1">'ETF variations'!D564/'ETF price'!E565</f>
        <v>-1.5418309242225186E-2</v>
      </c>
      <c r="E564">
        <f ca="1">'ETF variations'!E564/'ETF price'!F565</f>
        <v>-7.3174529036276808E-3</v>
      </c>
      <c r="F564">
        <f ca="1">'ETF variations'!F564/'ETF price'!G565</f>
        <v>-1.8337021814732794E-2</v>
      </c>
      <c r="G564">
        <f ca="1">'ETF variations'!G564/'ETF price'!H565</f>
        <v>-1.2135922330097138E-2</v>
      </c>
      <c r="H564">
        <f ca="1">'ETF variations'!H564/'ETF price'!I565</f>
        <v>-1.5566327575612762E-2</v>
      </c>
      <c r="I564">
        <f ca="1">'ETF variations'!I564/'ETF price'!J565</f>
        <v>-1.6518756059363138E-2</v>
      </c>
      <c r="J564">
        <f ca="1">'ETF variations'!J564/'ETF price'!K565</f>
        <v>-2.1343469044660595E-2</v>
      </c>
      <c r="K564">
        <f ca="1">'ETF variations'!K564/'ETF price'!L565</f>
        <v>-3.377730420884377E-2</v>
      </c>
      <c r="L564">
        <f ca="1">'ETF variations'!L564/'ETF price'!M565</f>
        <v>-1.9403911828624651E-2</v>
      </c>
      <c r="M564">
        <f ca="1">'ETF variations'!M564/'ETF price'!N565</f>
        <v>-1.6779979748300256E-2</v>
      </c>
      <c r="N564">
        <f ca="1">'ETF variations'!N564/'ETF price'!O565</f>
        <v>-3.6091549295774662E-2</v>
      </c>
      <c r="O564">
        <f ca="1">'ETF variations'!O564/'ETF price'!P565</f>
        <v>1.3983808222058651E-2</v>
      </c>
      <c r="P564">
        <f ca="1">'ETF variations'!P564/'ETF price'!Q565</f>
        <v>1.3276005129365765E-2</v>
      </c>
      <c r="Q564">
        <f ca="1">'ETF variations'!Q564/'ETF price'!R565</f>
        <v>-3.6689327722024753E-3</v>
      </c>
      <c r="R564">
        <f ca="1">'ETF variations'!R564/'ETF price'!S565</f>
        <v>1.6439256945594471E-4</v>
      </c>
      <c r="S564">
        <f ca="1">'ETF variations'!S564/'ETF price'!T565</f>
        <v>9.0987868284229147E-3</v>
      </c>
      <c r="T564">
        <f ca="1">'ETF variations'!T564/'ETF price'!U565</f>
        <v>1.4057989205472632E-2</v>
      </c>
      <c r="U564">
        <f ca="1">'ETF variations'!U564/'ETF price'!V565</f>
        <v>-3.7275349456401145E-2</v>
      </c>
      <c r="V564">
        <f ca="1">'ETF variations'!V564/'ETF price'!W565</f>
        <v>-5.2518500835521328E-3</v>
      </c>
      <c r="W564">
        <f ca="1">'ETF variations'!W564/'ETF price'!X565</f>
        <v>-5.811090318132605E-3</v>
      </c>
      <c r="X564">
        <f ca="1">'ETF variations'!X564/'ETF price'!Y565</f>
        <v>-1.5776961314026453E-2</v>
      </c>
      <c r="Y564">
        <f ca="1">'ETF variations'!Y564/'ETF price'!Z565</f>
        <v>-5.8928759339156294E-3</v>
      </c>
      <c r="Z564">
        <f ca="1">'ETF variations'!Z564/'ETF price'!AA565</f>
        <v>-1.1071060762101102E-2</v>
      </c>
      <c r="AA564">
        <f ca="1">'ETF variations'!AA564/'ETF price'!AB565</f>
        <v>-1.8462162710488873E-2</v>
      </c>
      <c r="AB564">
        <f ca="1">'ETF variations'!AB564/'ETF price'!AC565</f>
        <v>7.8679419932120506E-3</v>
      </c>
      <c r="AC564">
        <f ca="1">'ETF variations'!AC564/'ETF price'!AD565</f>
        <v>-5.7515708071532202E-2</v>
      </c>
      <c r="AD564">
        <f ca="1">'ETF variations'!AD564/'ETF price'!AE565</f>
        <v>-5.6462140992167113E-2</v>
      </c>
      <c r="AE564">
        <f ca="1">'ETF variations'!AE564/'ETF price'!AF565</f>
        <v>-7.1556350626118129E-3</v>
      </c>
      <c r="AF564">
        <f ca="1">'ETF variations'!AF564/'ETF price'!AG565</f>
        <v>-6.1983471074380167E-2</v>
      </c>
    </row>
    <row r="565" spans="1:32" x14ac:dyDescent="0.2">
      <c r="A565">
        <f ca="1">'ETF variations'!A565/'ETF price'!B566</f>
        <v>2.6590601431056996E-3</v>
      </c>
      <c r="B565">
        <f ca="1">'ETF variations'!B565/'ETF price'!C566</f>
        <v>2.0597124102483904E-3</v>
      </c>
      <c r="C565">
        <f ca="1">'ETF variations'!C565/'ETF price'!D566</f>
        <v>-1.7861129716455241E-3</v>
      </c>
      <c r="D565">
        <f ca="1">'ETF variations'!D565/'ETF price'!E566</f>
        <v>2.8027404573360416E-3</v>
      </c>
      <c r="E565">
        <f ca="1">'ETF variations'!E565/'ETF price'!F566</f>
        <v>-1.5683814303635524E-4</v>
      </c>
      <c r="F565">
        <f ca="1">'ETF variations'!F565/'ETF price'!G566</f>
        <v>1.2882447665056086E-3</v>
      </c>
      <c r="G565">
        <f ca="1">'ETF variations'!G565/'ETF price'!H566</f>
        <v>-3.5100035100028116E-4</v>
      </c>
      <c r="H565">
        <f ca="1">'ETF variations'!H565/'ETF price'!I566</f>
        <v>-1.1096469935501531E-3</v>
      </c>
      <c r="I565">
        <f ca="1">'ETF variations'!I565/'ETF price'!J566</f>
        <v>1.1374407582928044E-4</v>
      </c>
      <c r="J565">
        <f ca="1">'ETF variations'!J565/'ETF price'!K566</f>
        <v>-2.6887743670175909E-3</v>
      </c>
      <c r="K565">
        <f ca="1">'ETF variations'!K565/'ETF price'!L566</f>
        <v>3.9700044111160059E-3</v>
      </c>
      <c r="L565">
        <f ca="1">'ETF variations'!L565/'ETF price'!M566</f>
        <v>1.7413329111920124E-3</v>
      </c>
      <c r="M565">
        <f ca="1">'ETF variations'!M565/'ETF price'!N566</f>
        <v>4.4137119317347561E-4</v>
      </c>
      <c r="N565">
        <f ca="1">'ETF variations'!N565/'ETF price'!O566</f>
        <v>-2.7397260273972022E-3</v>
      </c>
      <c r="O565">
        <f ca="1">'ETF variations'!O565/'ETF price'!P566</f>
        <v>6.8436333471588199E-3</v>
      </c>
      <c r="P565">
        <f ca="1">'ETF variations'!P565/'ETF price'!Q566</f>
        <v>7.9654581999552831E-3</v>
      </c>
      <c r="Q565">
        <f ca="1">'ETF variations'!Q565/'ETF price'!R566</f>
        <v>5.9568937506768891E-3</v>
      </c>
      <c r="R565">
        <f ca="1">'ETF variations'!R565/'ETF price'!S566</f>
        <v>2.186061801446414E-2</v>
      </c>
      <c r="S565">
        <f ca="1">'ETF variations'!S565/'ETF price'!T566</f>
        <v>1.2022327179046851E-2</v>
      </c>
      <c r="T565">
        <f ca="1">'ETF variations'!T565/'ETF price'!U566</f>
        <v>5.6937739819283789E-3</v>
      </c>
      <c r="U565">
        <f ca="1">'ETF variations'!U565/'ETF price'!V566</f>
        <v>1.1292924637013183E-2</v>
      </c>
      <c r="V565">
        <f ca="1">'ETF variations'!V565/'ETF price'!W566</f>
        <v>-4.7996160307182929E-4</v>
      </c>
      <c r="W565">
        <f ca="1">'ETF variations'!W565/'ETF price'!X566</f>
        <v>1.9813750743011711E-4</v>
      </c>
      <c r="X565">
        <f ca="1">'ETF variations'!X565/'ETF price'!Y566</f>
        <v>-6.5876152832677068E-4</v>
      </c>
      <c r="Y565">
        <f ca="1">'ETF variations'!Y565/'ETF price'!Z566</f>
        <v>5.2926855086267769E-4</v>
      </c>
      <c r="Z565">
        <f ca="1">'ETF variations'!Z565/'ETF price'!AA566</f>
        <v>5.2069773496493438E-4</v>
      </c>
      <c r="AA565">
        <f ca="1">'ETF variations'!AA565/'ETF price'!AB566</f>
        <v>-2.0669698222406246E-3</v>
      </c>
      <c r="AB565">
        <f ca="1">'ETF variations'!AB565/'ETF price'!AC566</f>
        <v>7.3473136384510024E-3</v>
      </c>
      <c r="AC565">
        <f ca="1">'ETF variations'!AC565/'ETF price'!AD566</f>
        <v>5.1282051282052011E-3</v>
      </c>
      <c r="AD565">
        <f ca="1">'ETF variations'!AD565/'ETF price'!AE566</f>
        <v>-6.9180214458663351E-4</v>
      </c>
      <c r="AE565">
        <f ca="1">'ETF variations'!AE565/'ETF price'!AF566</f>
        <v>-7.2072072072071974E-2</v>
      </c>
      <c r="AF565">
        <f ca="1">'ETF variations'!AF565/'ETF price'!AG566</f>
        <v>-1.1013215859030838E-2</v>
      </c>
    </row>
    <row r="566" spans="1:32" x14ac:dyDescent="0.2">
      <c r="A566">
        <f ca="1">'ETF variations'!A566/'ETF price'!B567</f>
        <v>-1.5815613096099006E-2</v>
      </c>
      <c r="B566">
        <f ca="1">'ETF variations'!B566/'ETF price'!C567</f>
        <v>-1.6155678500076782E-2</v>
      </c>
      <c r="C566">
        <f ca="1">'ETF variations'!C566/'ETF price'!D567</f>
        <v>2.0129724893760549E-3</v>
      </c>
      <c r="D566">
        <f ca="1">'ETF variations'!D566/'ETF price'!E567</f>
        <v>-2.8303979415287679E-2</v>
      </c>
      <c r="E566">
        <f ca="1">'ETF variations'!E566/'ETF price'!F567</f>
        <v>-1.4274509803921516E-2</v>
      </c>
      <c r="F566">
        <f ca="1">'ETF variations'!F566/'ETF price'!G567</f>
        <v>-1.6725635252492748E-2</v>
      </c>
      <c r="G566">
        <f ca="1">'ETF variations'!G566/'ETF price'!H567</f>
        <v>-9.831460674157343E-3</v>
      </c>
      <c r="H566">
        <f ca="1">'ETF variations'!H566/'ETF price'!I567</f>
        <v>-1.4441435811983701E-2</v>
      </c>
      <c r="I566">
        <f ca="1">'ETF variations'!I566/'ETF price'!J567</f>
        <v>-1.3496095230874007E-2</v>
      </c>
      <c r="J566">
        <f ca="1">'ETF variations'!J566/'ETF price'!K567</f>
        <v>-1.4229012206994726E-2</v>
      </c>
      <c r="K566">
        <f ca="1">'ETF variations'!K566/'ETF price'!L567</f>
        <v>-1.7025483304042303E-2</v>
      </c>
      <c r="L566">
        <f ca="1">'ETF variations'!L566/'ETF price'!M567</f>
        <v>-1.121997471554995E-2</v>
      </c>
      <c r="M566">
        <f ca="1">'ETF variations'!M566/'ETF price'!N567</f>
        <v>-1.3235294117647142E-2</v>
      </c>
      <c r="N566">
        <f ca="1">'ETF variations'!N566/'ETF price'!O567</f>
        <v>-1.3736263736263769E-2</v>
      </c>
      <c r="O566">
        <f ca="1">'ETF variations'!O566/'ETF price'!P567</f>
        <v>-6.1791967044271955E-4</v>
      </c>
      <c r="P566">
        <f ca="1">'ETF variations'!P566/'ETF price'!Q567</f>
        <v>-1.2555391432792903E-3</v>
      </c>
      <c r="Q566">
        <f ca="1">'ETF variations'!Q566/'ETF price'!R567</f>
        <v>-1.0120585701981027E-2</v>
      </c>
      <c r="R566">
        <f ca="1">'ETF variations'!R566/'ETF price'!S567</f>
        <v>-1.6406626990509942E-2</v>
      </c>
      <c r="S566">
        <f ca="1">'ETF variations'!S566/'ETF price'!T567</f>
        <v>2.5456088247772049E-3</v>
      </c>
      <c r="T566">
        <f ca="1">'ETF variations'!T566/'ETF price'!U567</f>
        <v>1.2553846153846105E-2</v>
      </c>
      <c r="U566">
        <f ca="1">'ETF variations'!U566/'ETF price'!V567</f>
        <v>-3.6463081130356356E-3</v>
      </c>
      <c r="V566">
        <f ca="1">'ETF variations'!V566/'ETF price'!W567</f>
        <v>-1.1284513805522181E-2</v>
      </c>
      <c r="W566">
        <f ca="1">'ETF variations'!W566/'ETF price'!X567</f>
        <v>-1.1192551505546707E-2</v>
      </c>
      <c r="X566">
        <f ca="1">'ETF variations'!X566/'ETF price'!Y567</f>
        <v>-6.3722258844209883E-3</v>
      </c>
      <c r="Y566">
        <f ca="1">'ETF variations'!Y566/'ETF price'!Z567</f>
        <v>-1.0685569191705364E-2</v>
      </c>
      <c r="Z566">
        <f ca="1">'ETF variations'!Z566/'ETF price'!AA567</f>
        <v>-7.8064012490241261E-3</v>
      </c>
      <c r="AA566">
        <f ca="1">'ETF variations'!AA566/'ETF price'!AB567</f>
        <v>-2.0712510356255473E-3</v>
      </c>
      <c r="AB566">
        <f ca="1">'ETF variations'!AB566/'ETF price'!AC567</f>
        <v>-4.8624829053336479E-3</v>
      </c>
      <c r="AC566">
        <f ca="1">'ETF variations'!AC566/'ETF price'!AD567</f>
        <v>2.7040816326530485E-2</v>
      </c>
      <c r="AD566">
        <f ca="1">'ETF variations'!AD566/'ETF price'!AE567</f>
        <v>3.9460020768432004E-2</v>
      </c>
      <c r="AE566">
        <f ca="1">'ETF variations'!AE566/'ETF price'!AF567</f>
        <v>-1.9417475728155442E-2</v>
      </c>
      <c r="AF566">
        <f ca="1">'ETF variations'!AF566/'ETF price'!AG567</f>
        <v>-1.2694877505567935E-2</v>
      </c>
    </row>
    <row r="567" spans="1:32" x14ac:dyDescent="0.2">
      <c r="A567">
        <f ca="1">'ETF variations'!A567/'ETF price'!B568</f>
        <v>1.1464406447503673E-2</v>
      </c>
      <c r="B567">
        <f ca="1">'ETF variations'!B567/'ETF price'!C568</f>
        <v>1.2164404959484561E-2</v>
      </c>
      <c r="C567">
        <f ca="1">'ETF variations'!C567/'ETF price'!D568</f>
        <v>-7.1428571428572016E-3</v>
      </c>
      <c r="D567">
        <f ca="1">'ETF variations'!D567/'ETF price'!E568</f>
        <v>1.1870520020088546E-2</v>
      </c>
      <c r="E567">
        <f ca="1">'ETF variations'!E567/'ETF price'!F568</f>
        <v>1.113940165499675E-2</v>
      </c>
      <c r="F567">
        <f ca="1">'ETF variations'!F567/'ETF price'!G568</f>
        <v>4.2525351651946028E-3</v>
      </c>
      <c r="G567">
        <f ca="1">'ETF variations'!G567/'ETF price'!H568</f>
        <v>6.0283687943263019E-3</v>
      </c>
      <c r="H567">
        <f ca="1">'ETF variations'!H567/'ETF price'!I568</f>
        <v>8.9468122578373402E-3</v>
      </c>
      <c r="I567">
        <f ca="1">'ETF variations'!I567/'ETF price'!J568</f>
        <v>8.3006686649756672E-3</v>
      </c>
      <c r="J567">
        <f ca="1">'ETF variations'!J567/'ETF price'!K568</f>
        <v>6.6854060624477359E-3</v>
      </c>
      <c r="K567">
        <f ca="1">'ETF variations'!K567/'ETF price'!L568</f>
        <v>7.7103586992961449E-3</v>
      </c>
      <c r="L567">
        <f ca="1">'ETF variations'!L567/'ETF price'!M568</f>
        <v>4.1553460124660064E-3</v>
      </c>
      <c r="M567">
        <f ca="1">'ETF variations'!M567/'ETF price'!N568</f>
        <v>8.0476900149032242E-3</v>
      </c>
      <c r="N567">
        <f ca="1">'ETF variations'!N567/'ETF price'!O568</f>
        <v>9.2850510677808407E-3</v>
      </c>
      <c r="O567">
        <f ca="1">'ETF variations'!O567/'ETF price'!P568</f>
        <v>1.071723000824394E-2</v>
      </c>
      <c r="P567">
        <f ca="1">'ETF variations'!P567/'ETF price'!Q568</f>
        <v>1.0870369000961317E-2</v>
      </c>
      <c r="Q567">
        <f ca="1">'ETF variations'!Q567/'ETF price'!R568</f>
        <v>9.0276267130737255E-3</v>
      </c>
      <c r="R567">
        <f ca="1">'ETF variations'!R567/'ETF price'!S568</f>
        <v>1.4227309893704082E-2</v>
      </c>
      <c r="S567">
        <f ca="1">'ETF variations'!S567/'ETF price'!T568</f>
        <v>5.0782903089293691E-3</v>
      </c>
      <c r="T567">
        <f ca="1">'ETF variations'!T567/'ETF price'!U568</f>
        <v>1.580162878327576E-3</v>
      </c>
      <c r="U567">
        <f ca="1">'ETF variations'!U567/'ETF price'!V568</f>
        <v>-1.3494967978042002E-2</v>
      </c>
      <c r="V567">
        <f ca="1">'ETF variations'!V567/'ETF price'!W568</f>
        <v>9.4706168042739333E-3</v>
      </c>
      <c r="W567">
        <f ca="1">'ETF variations'!W567/'ETF price'!X568</f>
        <v>8.5144746068316988E-3</v>
      </c>
      <c r="X567">
        <f ca="1">'ETF variations'!X567/'ETF price'!Y568</f>
        <v>3.317116320212264E-3</v>
      </c>
      <c r="Y567">
        <f ca="1">'ETF variations'!Y567/'ETF price'!Z568</f>
        <v>7.8066516950057721E-3</v>
      </c>
      <c r="Z567">
        <f ca="1">'ETF variations'!Z567/'ETF price'!AA568</f>
        <v>6.5565171780750057E-3</v>
      </c>
      <c r="AA567">
        <f ca="1">'ETF variations'!AA567/'ETF price'!AB568</f>
        <v>6.2266500622667369E-4</v>
      </c>
      <c r="AB567">
        <f ca="1">'ETF variations'!AB567/'ETF price'!AC568</f>
        <v>-1.6338372270575559E-2</v>
      </c>
      <c r="AC567">
        <f ca="1">'ETF variations'!AC567/'ETF price'!AD568</f>
        <v>-1.5399900645802222E-2</v>
      </c>
      <c r="AD567">
        <f ca="1">'ETF variations'!AD567/'ETF price'!AE568</f>
        <v>-1.7316017316017302E-2</v>
      </c>
      <c r="AE567">
        <f ca="1">'ETF variations'!AE567/'ETF price'!AF568</f>
        <v>-1.3861386138613742E-2</v>
      </c>
      <c r="AF567">
        <f ca="1">'ETF variations'!AF567/'ETF price'!AG568</f>
        <v>-1.3083690503045304E-2</v>
      </c>
    </row>
    <row r="568" spans="1:32" x14ac:dyDescent="0.2">
      <c r="A568">
        <f ca="1">'ETF variations'!A568/'ETF price'!B569</f>
        <v>-1.1625090821021104E-3</v>
      </c>
      <c r="B568">
        <f ca="1">'ETF variations'!B568/'ETF price'!C569</f>
        <v>-1.446815077742197E-3</v>
      </c>
      <c r="C568">
        <f ca="1">'ETF variations'!C568/'ETF price'!D569</f>
        <v>2.120803357314158E-2</v>
      </c>
      <c r="D568">
        <f ca="1">'ETF variations'!D568/'ETF price'!E569</f>
        <v>2.5718539908856797E-3</v>
      </c>
      <c r="E568">
        <f ca="1">'ETF variations'!E568/'ETF price'!F569</f>
        <v>-9.4428706326726906E-4</v>
      </c>
      <c r="F568">
        <f ca="1">'ETF variations'!F568/'ETF price'!G569</f>
        <v>2.2801302931596185E-3</v>
      </c>
      <c r="G568">
        <f ca="1">'ETF variations'!G568/'ETF price'!H569</f>
        <v>2.8198801550933482E-3</v>
      </c>
      <c r="H568">
        <f ca="1">'ETF variations'!H568/'ETF price'!I569</f>
        <v>-3.2118419215193964E-3</v>
      </c>
      <c r="I568">
        <f ca="1">'ETF variations'!I568/'ETF price'!J569</f>
        <v>-2.515435627715406E-3</v>
      </c>
      <c r="J568">
        <f ca="1">'ETF variations'!J568/'ETF price'!K569</f>
        <v>1.2074560410534798E-3</v>
      </c>
      <c r="K568">
        <f ca="1">'ETF variations'!K568/'ETF price'!L569</f>
        <v>2.4395653138167979E-3</v>
      </c>
      <c r="L568">
        <f ca="1">'ETF variations'!L568/'ETF price'!M569</f>
        <v>2.2282349196243922E-3</v>
      </c>
      <c r="M568">
        <f ca="1">'ETF variations'!M568/'ETF price'!N569</f>
        <v>-1.7740981667652949E-3</v>
      </c>
      <c r="N568">
        <f ca="1">'ETF variations'!N568/'ETF price'!O569</f>
        <v>0</v>
      </c>
      <c r="O568">
        <f ca="1">'ETF variations'!O568/'ETF price'!P569</f>
        <v>-6.3213703099511071E-3</v>
      </c>
      <c r="P568">
        <f ca="1">'ETF variations'!P568/'ETF price'!Q569</f>
        <v>-6.0716898317482379E-3</v>
      </c>
      <c r="Q568">
        <f ca="1">'ETF variations'!Q568/'ETF price'!R569</f>
        <v>7.5455427401107463E-4</v>
      </c>
      <c r="R568">
        <f ca="1">'ETF variations'!R568/'ETF price'!S569</f>
        <v>2.5798129635600867E-3</v>
      </c>
      <c r="S568">
        <f ca="1">'ETF variations'!S568/'ETF price'!T569</f>
        <v>-4.210526315790132E-4</v>
      </c>
      <c r="T568">
        <f ca="1">'ETF variations'!T568/'ETF price'!U569</f>
        <v>-2.427184466019452E-3</v>
      </c>
      <c r="U568">
        <f ca="1">'ETF variations'!U568/'ETF price'!V569</f>
        <v>1.4143287734755377E-2</v>
      </c>
      <c r="V568">
        <f ca="1">'ETF variations'!V568/'ETF price'!W569</f>
        <v>4.3300457060380009E-3</v>
      </c>
      <c r="W568">
        <f ca="1">'ETF variations'!W568/'ETF price'!X569</f>
        <v>6.8533969010726829E-3</v>
      </c>
      <c r="X568">
        <f ca="1">'ETF variations'!X568/'ETF price'!Y569</f>
        <v>1.5428697377121509E-2</v>
      </c>
      <c r="Y568">
        <f ca="1">'ETF variations'!Y568/'ETF price'!Z569</f>
        <v>6.0483870967742723E-3</v>
      </c>
      <c r="Z568">
        <f ca="1">'ETF variations'!Z568/'ETF price'!AA569</f>
        <v>8.5982282438769736E-3</v>
      </c>
      <c r="AA568">
        <f ca="1">'ETF variations'!AA568/'ETF price'!AB569</f>
        <v>1.70089193113462E-2</v>
      </c>
      <c r="AB568">
        <f ca="1">'ETF variations'!AB568/'ETF price'!AC569</f>
        <v>-1.862775535548037E-3</v>
      </c>
      <c r="AC568">
        <f ca="1">'ETF variations'!AC568/'ETF price'!AD569</f>
        <v>9.3340060544904208E-2</v>
      </c>
      <c r="AD568">
        <f ca="1">'ETF variations'!AD568/'ETF price'!AE569</f>
        <v>6.7095899695018529E-2</v>
      </c>
      <c r="AE568">
        <f ca="1">'ETF variations'!AE568/'ETF price'!AF569</f>
        <v>-1.2048192771084437E-2</v>
      </c>
      <c r="AF568">
        <f ca="1">'ETF variations'!AF568/'ETF price'!AG569</f>
        <v>1.0514285714285733E-2</v>
      </c>
    </row>
    <row r="569" spans="1:32" x14ac:dyDescent="0.2">
      <c r="A569">
        <f ca="1">'ETF variations'!A569/'ETF price'!B570</f>
        <v>5.0434023568206778E-3</v>
      </c>
      <c r="B569">
        <f ca="1">'ETF variations'!B569/'ETF price'!C570</f>
        <v>2.2603017599442826E-3</v>
      </c>
      <c r="C569">
        <f ca="1">'ETF variations'!C569/'ETF price'!D570</f>
        <v>-1.7025023849710292E-2</v>
      </c>
      <c r="D569">
        <f ca="1">'ETF variations'!D569/'ETF price'!E570</f>
        <v>1.0756075607560823E-2</v>
      </c>
      <c r="E569">
        <f ca="1">'ETF variations'!E569/'ETF price'!F570</f>
        <v>6.6162570888469085E-3</v>
      </c>
      <c r="F569">
        <f ca="1">'ETF variations'!F569/'ETF price'!G570</f>
        <v>8.1247968800779984E-3</v>
      </c>
      <c r="G569">
        <f ca="1">'ETF variations'!G569/'ETF price'!H570</f>
        <v>7.0298769771528751E-3</v>
      </c>
      <c r="H569">
        <f ca="1">'ETF variations'!H569/'ETF price'!I570</f>
        <v>3.5724292518914216E-3</v>
      </c>
      <c r="I569">
        <f ca="1">'ETF variations'!I569/'ETF price'!J570</f>
        <v>4.6996790463088847E-3</v>
      </c>
      <c r="J569">
        <f ca="1">'ETF variations'!J569/'ETF price'!K570</f>
        <v>1.2059998492500361E-2</v>
      </c>
      <c r="K569">
        <f ca="1">'ETF variations'!K569/'ETF price'!L570</f>
        <v>1.3716814159291978E-2</v>
      </c>
      <c r="L569">
        <f ca="1">'ETF variations'!L569/'ETF price'!M570</f>
        <v>1.0163569953946332E-2</v>
      </c>
      <c r="M569">
        <f ca="1">'ETF variations'!M569/'ETF price'!N570</f>
        <v>4.5912322274881852E-3</v>
      </c>
      <c r="N569">
        <f ca="1">'ETF variations'!N569/'ETF price'!O570</f>
        <v>2.8518859245630222E-2</v>
      </c>
      <c r="O569">
        <f ca="1">'ETF variations'!O569/'ETF price'!P570</f>
        <v>3.0781859224298318E-4</v>
      </c>
      <c r="P569">
        <f ca="1">'ETF variations'!P569/'ETF price'!Q570</f>
        <v>-4.4159858688453871E-4</v>
      </c>
      <c r="Q569">
        <f ca="1">'ETF variations'!Q569/'ETF price'!R570</f>
        <v>2.3696682464454852E-3</v>
      </c>
      <c r="R569">
        <f ca="1">'ETF variations'!R569/'ETF price'!S570</f>
        <v>1.0935992280476033E-2</v>
      </c>
      <c r="S569">
        <f ca="1">'ETF variations'!S569/'ETF price'!T570</f>
        <v>-5.4759898904801606E-3</v>
      </c>
      <c r="T569">
        <f ca="1">'ETF variations'!T569/'ETF price'!U570</f>
        <v>-1.2773722627737192E-2</v>
      </c>
      <c r="U569">
        <f ca="1">'ETF variations'!U569/'ETF price'!V570</f>
        <v>4.0695016003658005E-2</v>
      </c>
      <c r="V569">
        <f ca="1">'ETF variations'!V569/'ETF price'!W570</f>
        <v>-5.7485029940120237E-3</v>
      </c>
      <c r="W569">
        <f ca="1">'ETF variations'!W569/'ETF price'!X570</f>
        <v>-6.017559435730486E-3</v>
      </c>
      <c r="X569">
        <f ca="1">'ETF variations'!X569/'ETF price'!Y570</f>
        <v>2.6047319296721824E-3</v>
      </c>
      <c r="Y569">
        <f ca="1">'ETF variations'!Y569/'ETF price'!Z570</f>
        <v>-5.8010758358822611E-3</v>
      </c>
      <c r="Z569">
        <f ca="1">'ETF variations'!Z569/'ETF price'!AA570</f>
        <v>1.2658227848101318E-2</v>
      </c>
      <c r="AA569">
        <f ca="1">'ETF variations'!AA569/'ETF price'!AB570</f>
        <v>6.5266163573322513E-3</v>
      </c>
      <c r="AB569">
        <f ca="1">'ETF variations'!AB569/'ETF price'!AC570</f>
        <v>-1.6951788491446289E-2</v>
      </c>
      <c r="AC569">
        <f ca="1">'ETF variations'!AC569/'ETF price'!AD570</f>
        <v>-4.9377018920166139E-2</v>
      </c>
      <c r="AD569">
        <f ca="1">'ETF variations'!AD569/'ETF price'!AE570</f>
        <v>-4.0330263575738316E-2</v>
      </c>
      <c r="AE569">
        <f ca="1">'ETF variations'!AE569/'ETF price'!AF570</f>
        <v>0</v>
      </c>
      <c r="AF569">
        <f ca="1">'ETF variations'!AF569/'ETF price'!AG570</f>
        <v>-3.1440850486315328E-2</v>
      </c>
    </row>
    <row r="570" spans="1:32" x14ac:dyDescent="0.2">
      <c r="A570">
        <f ca="1">'ETF variations'!A570/'ETF price'!B571</f>
        <v>-1.2255729794933617E-2</v>
      </c>
      <c r="B570">
        <f ca="1">'ETF variations'!B570/'ETF price'!C571</f>
        <v>-9.0979182729373827E-3</v>
      </c>
      <c r="C570">
        <f ca="1">'ETF variations'!C570/'ETF price'!D571</f>
        <v>-2.0977976857036226E-2</v>
      </c>
      <c r="D570">
        <f ca="1">'ETF variations'!D570/'ETF price'!E571</f>
        <v>-1.8255487777728278E-2</v>
      </c>
      <c r="E570">
        <f ca="1">'ETF variations'!E570/'ETF price'!F571</f>
        <v>-7.1987480438184797E-3</v>
      </c>
      <c r="F570">
        <f ca="1">'ETF variations'!F570/'ETF price'!G571</f>
        <v>-1.5151515151515116E-2</v>
      </c>
      <c r="G570">
        <f ca="1">'ETF variations'!G570/'ETF price'!H571</f>
        <v>-1.4659685863874282E-2</v>
      </c>
      <c r="H570">
        <f ca="1">'ETF variations'!H570/'ETF price'!I571</f>
        <v>-1.1726111537656221E-2</v>
      </c>
      <c r="I570">
        <f ca="1">'ETF variations'!I570/'ETF price'!J571</f>
        <v>-1.2207644038790568E-2</v>
      </c>
      <c r="J570">
        <f ca="1">'ETF variations'!J570/'ETF price'!K571</f>
        <v>-1.8023385715349786E-2</v>
      </c>
      <c r="K570">
        <f ca="1">'ETF variations'!K570/'ETF price'!L571</f>
        <v>-1.8441728502837165E-2</v>
      </c>
      <c r="L570">
        <f ca="1">'ETF variations'!L570/'ETF price'!M571</f>
        <v>-1.5091966671906947E-2</v>
      </c>
      <c r="M570">
        <f ca="1">'ETF variations'!M570/'ETF price'!N571</f>
        <v>-1.2531328320801921E-2</v>
      </c>
      <c r="N570">
        <f ca="1">'ETF variations'!N570/'ETF price'!O571</f>
        <v>-3.0411449016100166E-2</v>
      </c>
      <c r="O570">
        <f ca="1">'ETF variations'!O570/'ETF price'!P571</f>
        <v>3.077238691147927E-3</v>
      </c>
      <c r="P570">
        <f ca="1">'ETF variations'!P570/'ETF price'!Q571</f>
        <v>3.5343494588026638E-3</v>
      </c>
      <c r="Q570">
        <f ca="1">'ETF variations'!Q570/'ETF price'!R571</f>
        <v>-1.5581345368579441E-2</v>
      </c>
      <c r="R570">
        <f ca="1">'ETF variations'!R570/'ETF price'!S571</f>
        <v>-1.0340439070951299E-2</v>
      </c>
      <c r="S570">
        <f ca="1">'ETF variations'!S570/'ETF price'!T571</f>
        <v>5.0825921219822528E-3</v>
      </c>
      <c r="T570">
        <f ca="1">'ETF variations'!T570/'ETF price'!U571</f>
        <v>1.1583487369069596E-2</v>
      </c>
      <c r="U570">
        <f ca="1">'ETF variations'!U570/'ETF price'!V571</f>
        <v>-3.4050966608084453E-2</v>
      </c>
      <c r="V570">
        <f ca="1">'ETF variations'!V570/'ETF price'!W571</f>
        <v>-1.493615996145501E-2</v>
      </c>
      <c r="W570">
        <f ca="1">'ETF variations'!W570/'ETF price'!X571</f>
        <v>-1.637554585152844E-2</v>
      </c>
      <c r="X570">
        <f ca="1">'ETF variations'!X570/'ETF price'!Y571</f>
        <v>-4.1350941762286139E-2</v>
      </c>
      <c r="Y570">
        <f ca="1">'ETF variations'!Y570/'ETF price'!Z571</f>
        <v>-1.6125610014852642E-2</v>
      </c>
      <c r="Z570">
        <f ca="1">'ETF variations'!Z570/'ETF price'!AA571</f>
        <v>-4.1071428571428557E-2</v>
      </c>
      <c r="AA570">
        <f ca="1">'ETF variations'!AA570/'ETF price'!AB571</f>
        <v>-4.9645390070922044E-2</v>
      </c>
      <c r="AB570">
        <f ca="1">'ETF variations'!AB570/'ETF price'!AC571</f>
        <v>-7.2773295364657624E-3</v>
      </c>
      <c r="AC570">
        <f ca="1">'ETF variations'!AC570/'ETF price'!AD571</f>
        <v>9.2233009708736751E-3</v>
      </c>
      <c r="AD570">
        <f ca="1">'ETF variations'!AD570/'ETF price'!AE571</f>
        <v>1.5883520847121125E-2</v>
      </c>
      <c r="AE570">
        <f ca="1">'ETF variations'!AE570/'ETF price'!AF571</f>
        <v>-6.0975609756098066E-3</v>
      </c>
      <c r="AF570">
        <f ca="1">'ETF variations'!AF570/'ETF price'!AG571</f>
        <v>-7.0060719290050717E-3</v>
      </c>
    </row>
    <row r="571" spans="1:32" x14ac:dyDescent="0.2">
      <c r="A571">
        <f ca="1">'ETF variations'!A571/'ETF price'!B572</f>
        <v>1.9979483171315534E-2</v>
      </c>
      <c r="B571">
        <f ca="1">'ETF variations'!B571/'ETF price'!C572</f>
        <v>1.9296607531901568E-2</v>
      </c>
      <c r="C571">
        <f ca="1">'ETF variations'!C571/'ETF price'!D572</f>
        <v>1.8301052310508549E-3</v>
      </c>
      <c r="D571">
        <f ca="1">'ETF variations'!D571/'ETF price'!E572</f>
        <v>2.2586058324640525E-2</v>
      </c>
      <c r="E571">
        <f ca="1">'ETF variations'!E571/'ETF price'!F572</f>
        <v>8.9848675914250848E-3</v>
      </c>
      <c r="F571">
        <f ca="1">'ETF variations'!F571/'ETF price'!G572</f>
        <v>1.1129296235679209E-2</v>
      </c>
      <c r="G571">
        <f ca="1">'ETF variations'!G571/'ETF price'!H572</f>
        <v>3.8965639390718893E-3</v>
      </c>
      <c r="H571">
        <f ca="1">'ETF variations'!H571/'ETF price'!I572</f>
        <v>-4.0963344868988807E-3</v>
      </c>
      <c r="I571">
        <f ca="1">'ETF variations'!I571/'ETF price'!J572</f>
        <v>-4.312004312004329E-3</v>
      </c>
      <c r="J571">
        <f ca="1">'ETF variations'!J571/'ETF price'!K572</f>
        <v>3.6405005688283521E-3</v>
      </c>
      <c r="K571">
        <f ca="1">'ETF variations'!K571/'ETF price'!L572</f>
        <v>1.4785992217898813E-2</v>
      </c>
      <c r="L571">
        <f ca="1">'ETF variations'!L571/'ETF price'!M572</f>
        <v>3.1923383878696131E-4</v>
      </c>
      <c r="M571">
        <f ca="1">'ETF variations'!M571/'ETF price'!N572</f>
        <v>-3.7324574499850698E-3</v>
      </c>
      <c r="N571">
        <f ca="1">'ETF variations'!N571/'ETF price'!O572</f>
        <v>3.690036900369089E-3</v>
      </c>
      <c r="O571">
        <f ca="1">'ETF variations'!O571/'ETF price'!P572</f>
        <v>-7.1581961345748427E-4</v>
      </c>
      <c r="P571">
        <f ca="1">'ETF variations'!P571/'ETF price'!Q572</f>
        <v>-2.4213075060531522E-3</v>
      </c>
      <c r="Q571">
        <f ca="1">'ETF variations'!Q571/'ETF price'!R572</f>
        <v>-7.6410872175519239E-4</v>
      </c>
      <c r="R571">
        <f ca="1">'ETF variations'!R571/'ETF price'!S572</f>
        <v>3.5364089374698418E-3</v>
      </c>
      <c r="S571">
        <f ca="1">'ETF variations'!S571/'ETF price'!T572</f>
        <v>-1.6856300042140391E-3</v>
      </c>
      <c r="T571">
        <f ca="1">'ETF variations'!T571/'ETF price'!U572</f>
        <v>-6.5781459373858717E-3</v>
      </c>
      <c r="U571">
        <f ca="1">'ETF variations'!U571/'ETF price'!V572</f>
        <v>-6.5954059586081229E-3</v>
      </c>
      <c r="V571">
        <f ca="1">'ETF variations'!V571/'ETF price'!W572</f>
        <v>-7.0921985815602627E-3</v>
      </c>
      <c r="W571">
        <f ca="1">'ETF variations'!W571/'ETF price'!X572</f>
        <v>-4.9440016143678222E-3</v>
      </c>
      <c r="X571">
        <f ca="1">'ETF variations'!X571/'ETF price'!Y572</f>
        <v>-1.1291779584463473E-3</v>
      </c>
      <c r="Y571">
        <f ca="1">'ETF variations'!Y571/'ETF price'!Z572</f>
        <v>-6.7931852490834103E-3</v>
      </c>
      <c r="Z571">
        <f ca="1">'ETF variations'!Z571/'ETF price'!AA572</f>
        <v>1.0641127959563487E-3</v>
      </c>
      <c r="AA571">
        <f ca="1">'ETF variations'!AA571/'ETF price'!AB572</f>
        <v>8.5287846481874518E-4</v>
      </c>
      <c r="AB571">
        <f ca="1">'ETF variations'!AB571/'ETF price'!AC572</f>
        <v>-7.649402390438197E-3</v>
      </c>
      <c r="AC571">
        <f ca="1">'ETF variations'!AC571/'ETF price'!AD572</f>
        <v>2.4050024050024394E-3</v>
      </c>
      <c r="AD571">
        <f ca="1">'ETF variations'!AD571/'ETF price'!AE572</f>
        <v>6.5146579804560029E-3</v>
      </c>
      <c r="AE571">
        <f ca="1">'ETF variations'!AE571/'ETF price'!AF572</f>
        <v>-3.6809815950920192E-2</v>
      </c>
      <c r="AF571">
        <f ca="1">'ETF variations'!AF571/'ETF price'!AG572</f>
        <v>2.8692380056443999E-2</v>
      </c>
    </row>
    <row r="572" spans="1:32" x14ac:dyDescent="0.2">
      <c r="A572">
        <f ca="1">'ETF variations'!A572/'ETF price'!B573</f>
        <v>-1.6187739463601646E-2</v>
      </c>
      <c r="B572">
        <f ca="1">'ETF variations'!B572/'ETF price'!C573</f>
        <v>-1.7786259541984827E-2</v>
      </c>
      <c r="C572">
        <f ca="1">'ETF variations'!C572/'ETF price'!D573</f>
        <v>-1.5527477546049566E-2</v>
      </c>
      <c r="D572">
        <f ca="1">'ETF variations'!D572/'ETF price'!E573</f>
        <v>-3.2820330864416575E-2</v>
      </c>
      <c r="E572">
        <f ca="1">'ETF variations'!E572/'ETF price'!F573</f>
        <v>-1.8122168411185809E-2</v>
      </c>
      <c r="F572">
        <f ca="1">'ETF variations'!F572/'ETF price'!G573</f>
        <v>-2.589834898025253E-2</v>
      </c>
      <c r="G572">
        <f ca="1">'ETF variations'!G572/'ETF price'!H573</f>
        <v>-2.2935779816513711E-2</v>
      </c>
      <c r="H572">
        <f ca="1">'ETF variations'!H572/'ETF price'!I573</f>
        <v>-1.4892560811289941E-2</v>
      </c>
      <c r="I572">
        <f ca="1">'ETF variations'!I572/'ETF price'!J573</f>
        <v>-1.4886706364550284E-2</v>
      </c>
      <c r="J572">
        <f ca="1">'ETF variations'!J572/'ETF price'!K573</f>
        <v>-2.078137988362427E-2</v>
      </c>
      <c r="K572">
        <f ca="1">'ETF variations'!K572/'ETF price'!L573</f>
        <v>-3.4290096406660774E-2</v>
      </c>
      <c r="L572">
        <f ca="1">'ETF variations'!L572/'ETF price'!M573</f>
        <v>-2.1381841391415406E-2</v>
      </c>
      <c r="M572">
        <f ca="1">'ETF variations'!M572/'ETF price'!N573</f>
        <v>-1.5884909336130709E-2</v>
      </c>
      <c r="N572">
        <f ca="1">'ETF variations'!N572/'ETF price'!O573</f>
        <v>-3.033088235294118E-2</v>
      </c>
      <c r="O572">
        <f ca="1">'ETF variations'!O572/'ETF price'!P573</f>
        <v>-1.6270978305362293E-2</v>
      </c>
      <c r="P572">
        <f ca="1">'ETF variations'!P572/'ETF price'!Q573</f>
        <v>-1.4268902618417165E-2</v>
      </c>
      <c r="Q572">
        <f ca="1">'ETF variations'!Q572/'ETF price'!R573</f>
        <v>-1.7697181559973831E-2</v>
      </c>
      <c r="R572">
        <f ca="1">'ETF variations'!R572/'ETF price'!S573</f>
        <v>-1.6498478295691191E-2</v>
      </c>
      <c r="S572">
        <f ca="1">'ETF variations'!S572/'ETF price'!T573</f>
        <v>1.266357112705681E-3</v>
      </c>
      <c r="T572">
        <f ca="1">'ETF variations'!T572/'ETF price'!U573</f>
        <v>-2.4524831391779301E-4</v>
      </c>
      <c r="U572">
        <f ca="1">'ETF variations'!U572/'ETF price'!V573</f>
        <v>-3.8690476190476136E-2</v>
      </c>
      <c r="V572">
        <f ca="1">'ETF variations'!V572/'ETF price'!W573</f>
        <v>-1.3300492610837418E-2</v>
      </c>
      <c r="W572">
        <f ca="1">'ETF variations'!W572/'ETF price'!X573</f>
        <v>-1.460150070979515E-2</v>
      </c>
      <c r="X572">
        <f ca="1">'ETF variations'!X572/'ETF price'!Y573</f>
        <v>-9.9479990956363954E-3</v>
      </c>
      <c r="Y572">
        <f ca="1">'ETF variations'!Y572/'ETF price'!Z573</f>
        <v>-1.6936271848876368E-2</v>
      </c>
      <c r="Z572">
        <f ca="1">'ETF variations'!Z572/'ETF price'!AA573</f>
        <v>-1.0364071219771473E-2</v>
      </c>
      <c r="AA572">
        <f ca="1">'ETF variations'!AA572/'ETF price'!AB573</f>
        <v>-8.9475926714954121E-3</v>
      </c>
      <c r="AB572">
        <f ca="1">'ETF variations'!AB572/'ETF price'!AC573</f>
        <v>3.3724104705314555E-3</v>
      </c>
      <c r="AC572">
        <f ca="1">'ETF variations'!AC572/'ETF price'!AD573</f>
        <v>-7.0057581573896396E-2</v>
      </c>
      <c r="AD572">
        <f ca="1">'ETF variations'!AD572/'ETF price'!AE573</f>
        <v>-5.2427184466019336E-2</v>
      </c>
      <c r="AE572">
        <f ca="1">'ETF variations'!AE572/'ETF price'!AF573</f>
        <v>3.609341825902334E-2</v>
      </c>
      <c r="AF572">
        <f ca="1">'ETF variations'!AF572/'ETF price'!AG573</f>
        <v>-6.538637402834932E-2</v>
      </c>
    </row>
    <row r="573" spans="1:32" x14ac:dyDescent="0.2">
      <c r="A573">
        <f ca="1">'ETF variations'!A573/'ETF price'!B574</f>
        <v>-1.8985493136013911E-2</v>
      </c>
      <c r="B573">
        <f ca="1">'ETF variations'!B573/'ETF price'!C574</f>
        <v>-1.9021527939690613E-2</v>
      </c>
      <c r="C573">
        <f ca="1">'ETF variations'!C573/'ETF price'!D574</f>
        <v>-7.1903510128344429E-3</v>
      </c>
      <c r="D573">
        <f ca="1">'ETF variations'!D573/'ETF price'!E574</f>
        <v>-1.2656486449305228E-2</v>
      </c>
      <c r="E573">
        <f ca="1">'ETF variations'!E573/'ETF price'!F574</f>
        <v>-2.4025457438345235E-2</v>
      </c>
      <c r="F573">
        <f ca="1">'ETF variations'!F573/'ETF price'!G574</f>
        <v>-1.9275506812894593E-2</v>
      </c>
      <c r="G573">
        <f ca="1">'ETF variations'!G573/'ETF price'!H574</f>
        <v>-1.4445648248465226E-2</v>
      </c>
      <c r="H573">
        <f ca="1">'ETF variations'!H573/'ETF price'!I574</f>
        <v>-2.0156936145705935E-3</v>
      </c>
      <c r="I573">
        <f ca="1">'ETF variations'!I573/'ETF price'!J574</f>
        <v>-4.6316285276916704E-3</v>
      </c>
      <c r="J573">
        <f ca="1">'ETF variations'!J573/'ETF price'!K574</f>
        <v>-1.3427998147862392E-2</v>
      </c>
      <c r="K573">
        <f ca="1">'ETF variations'!K573/'ETF price'!L574</f>
        <v>-2.041973908111187E-2</v>
      </c>
      <c r="L573">
        <f ca="1">'ETF variations'!L573/'ETF price'!M574</f>
        <v>-9.7831403880645918E-3</v>
      </c>
      <c r="M573">
        <f ca="1">'ETF variations'!M573/'ETF price'!N574</f>
        <v>-3.5023602862799446E-3</v>
      </c>
      <c r="N573">
        <f ca="1">'ETF variations'!N573/'ETF price'!O574</f>
        <v>-2.8436018957346036E-2</v>
      </c>
      <c r="O573">
        <f ca="1">'ETF variations'!O573/'ETF price'!P574</f>
        <v>-9.3623218558201559E-3</v>
      </c>
      <c r="P573">
        <f ca="1">'ETF variations'!P573/'ETF price'!Q574</f>
        <v>-1.0073123414415928E-2</v>
      </c>
      <c r="Q573">
        <f ca="1">'ETF variations'!Q573/'ETF price'!R574</f>
        <v>-4.7820284697509654E-3</v>
      </c>
      <c r="R573">
        <f ca="1">'ETF variations'!R573/'ETF price'!S574</f>
        <v>-2.4429967426709866E-3</v>
      </c>
      <c r="S573">
        <f ca="1">'ETF variations'!S573/'ETF price'!T574</f>
        <v>1.2647554806071307E-3</v>
      </c>
      <c r="T573">
        <f ca="1">'ETF variations'!T573/'ETF price'!U574</f>
        <v>1.4718508524470078E-3</v>
      </c>
      <c r="U573">
        <f ca="1">'ETF variations'!U573/'ETF price'!V574</f>
        <v>-3.3103119790426301E-2</v>
      </c>
      <c r="V573">
        <f ca="1">'ETF variations'!V573/'ETF price'!W574</f>
        <v>-4.9925112331503452E-3</v>
      </c>
      <c r="W573">
        <f ca="1">'ETF variations'!W573/'ETF price'!X574</f>
        <v>-7.2031282156822677E-3</v>
      </c>
      <c r="X573">
        <f ca="1">'ETF variations'!X573/'ETF price'!Y574</f>
        <v>-4.110527517698098E-3</v>
      </c>
      <c r="Y573">
        <f ca="1">'ETF variations'!Y573/'ETF price'!Z574</f>
        <v>-6.073992269464353E-3</v>
      </c>
      <c r="Z573">
        <f ca="1">'ETF variations'!Z573/'ETF price'!AA574</f>
        <v>-1.745435016111704E-2</v>
      </c>
      <c r="AA573">
        <f ca="1">'ETF variations'!AA573/'ETF price'!AB574</f>
        <v>-3.869303525365428E-3</v>
      </c>
      <c r="AB573">
        <f ca="1">'ETF variations'!AB573/'ETF price'!AC574</f>
        <v>2.8809218950063978E-3</v>
      </c>
      <c r="AC573">
        <f ca="1">'ETF variations'!AC573/'ETF price'!AD574</f>
        <v>-4.5407636738906042E-2</v>
      </c>
      <c r="AD573">
        <f ca="1">'ETF variations'!AD573/'ETF price'!AE574</f>
        <v>-5.4644808743169446E-2</v>
      </c>
      <c r="AE573">
        <f ca="1">'ETF variations'!AE573/'ETF price'!AF574</f>
        <v>-6.1475409836066084E-3</v>
      </c>
      <c r="AF573">
        <f ca="1">'ETF variations'!AF573/'ETF price'!AG574</f>
        <v>-5.9197651663405126E-2</v>
      </c>
    </row>
    <row r="574" spans="1:32" x14ac:dyDescent="0.2">
      <c r="A574">
        <f ca="1">'ETF variations'!A574/'ETF price'!B575</f>
        <v>1.1909487892019684E-3</v>
      </c>
      <c r="B574">
        <f ca="1">'ETF variations'!B574/'ETF price'!C575</f>
        <v>5.9418883321121709E-4</v>
      </c>
      <c r="C574">
        <f ca="1">'ETF variations'!C574/'ETF price'!D575</f>
        <v>-2.850245307997817E-2</v>
      </c>
      <c r="D574">
        <f ca="1">'ETF variations'!D574/'ETF price'!E575</f>
        <v>7.5704797733500322E-3</v>
      </c>
      <c r="E574">
        <f ca="1">'ETF variations'!E574/'ETF price'!F575</f>
        <v>-1.4672318226280308E-3</v>
      </c>
      <c r="F574">
        <f ca="1">'ETF variations'!F574/'ETF price'!G575</f>
        <v>-3.3886818027787672E-3</v>
      </c>
      <c r="G574">
        <f ca="1">'ETF variations'!G574/'ETF price'!H575</f>
        <v>-7.328691828508455E-4</v>
      </c>
      <c r="H574">
        <f ca="1">'ETF variations'!H574/'ETF price'!I575</f>
        <v>3.606722931545219E-4</v>
      </c>
      <c r="I574">
        <f ca="1">'ETF variations'!I574/'ETF price'!J575</f>
        <v>8.6754209550849348E-4</v>
      </c>
      <c r="J574">
        <f ca="1">'ETF variations'!J574/'ETF price'!K575</f>
        <v>-6.8053817271589842E-3</v>
      </c>
      <c r="K574">
        <f ca="1">'ETF variations'!K574/'ETF price'!L575</f>
        <v>-8.5697741748696574E-3</v>
      </c>
      <c r="L574">
        <f ca="1">'ETF variations'!L574/'ETF price'!M575</f>
        <v>1.6466326362596931E-4</v>
      </c>
      <c r="M574">
        <f ca="1">'ETF variations'!M574/'ETF price'!N575</f>
        <v>-1.3753056234719347E-3</v>
      </c>
      <c r="N574">
        <f ca="1">'ETF variations'!N574/'ETF price'!O575</f>
        <v>-2.4390243902439025E-2</v>
      </c>
      <c r="O574">
        <f ca="1">'ETF variations'!O574/'ETF price'!P575</f>
        <v>-8.7157408379712094E-3</v>
      </c>
      <c r="P574">
        <f ca="1">'ETF variations'!P574/'ETF price'!Q575</f>
        <v>-8.2912489635938377E-3</v>
      </c>
      <c r="Q574">
        <f ca="1">'ETF variations'!Q574/'ETF price'!R575</f>
        <v>-7.7103586992959862E-3</v>
      </c>
      <c r="R574">
        <f ca="1">'ETF variations'!R574/'ETF price'!S575</f>
        <v>1.7959183673469294E-3</v>
      </c>
      <c r="S574">
        <f ca="1">'ETF variations'!S574/'ETF price'!T575</f>
        <v>-1.6842105263157536E-3</v>
      </c>
      <c r="T574">
        <f ca="1">'ETF variations'!T574/'ETF price'!U575</f>
        <v>-3.9191671769749827E-3</v>
      </c>
      <c r="U574">
        <f ca="1">'ETF variations'!U574/'ETF price'!V575</f>
        <v>-2.1182266009852201E-2</v>
      </c>
      <c r="V574">
        <f ca="1">'ETF variations'!V574/'ETF price'!W575</f>
        <v>-6.7737079779226295E-3</v>
      </c>
      <c r="W574">
        <f ca="1">'ETF variations'!W574/'ETF price'!X575</f>
        <v>-6.0116086235489042E-3</v>
      </c>
      <c r="X574">
        <f ca="1">'ETF variations'!X574/'ETF price'!Y575</f>
        <v>-1.2841091492776938E-2</v>
      </c>
      <c r="Y574">
        <f ca="1">'ETF variations'!Y574/'ETF price'!Z575</f>
        <v>-6.7777777777777715E-3</v>
      </c>
      <c r="Z574">
        <f ca="1">'ETF variations'!Z574/'ETF price'!AA575</f>
        <v>-1.5304728067778143E-2</v>
      </c>
      <c r="AA574">
        <f ca="1">'ETF variations'!AA574/'ETF price'!AB575</f>
        <v>-1.2731981009926702E-2</v>
      </c>
      <c r="AB574">
        <f ca="1">'ETF variations'!AB574/'ETF price'!AC575</f>
        <v>1.212894988828607E-2</v>
      </c>
      <c r="AC574">
        <f ca="1">'ETF variations'!AC574/'ETF price'!AD575</f>
        <v>-1.1351351351351397E-2</v>
      </c>
      <c r="AD574">
        <f ca="1">'ETF variations'!AD574/'ETF price'!AE575</f>
        <v>-7.9479768786126764E-3</v>
      </c>
      <c r="AE574">
        <f ca="1">'ETF variations'!AE574/'ETF price'!AF575</f>
        <v>-5.7731958762886469E-2</v>
      </c>
      <c r="AF574">
        <f ca="1">'ETF variations'!AF574/'ETF price'!AG575</f>
        <v>-1.4300572022881026E-2</v>
      </c>
    </row>
    <row r="575" spans="1:32" x14ac:dyDescent="0.2">
      <c r="A575">
        <f ca="1">'ETF variations'!A575/'ETF price'!B576</f>
        <v>-1.4423076923076907E-2</v>
      </c>
      <c r="B575">
        <f ca="1">'ETF variations'!B575/'ETF price'!C576</f>
        <v>-1.4845899562540826E-2</v>
      </c>
      <c r="C575">
        <f ca="1">'ETF variations'!C575/'ETF price'!D576</f>
        <v>1.1943887775551061E-2</v>
      </c>
      <c r="D575">
        <f ca="1">'ETF variations'!D575/'ETF price'!E576</f>
        <v>-3.0330967087673938E-2</v>
      </c>
      <c r="E575">
        <f ca="1">'ETF variations'!E575/'ETF price'!F576</f>
        <v>-1.0285714285714327E-2</v>
      </c>
      <c r="F575">
        <f ca="1">'ETF variations'!F575/'ETF price'!G576</f>
        <v>-1.1220673240394486E-2</v>
      </c>
      <c r="G575">
        <f ca="1">'ETF variations'!G575/'ETF price'!H576</f>
        <v>-6.9673634030070148E-3</v>
      </c>
      <c r="H575">
        <f ca="1">'ETF variations'!H575/'ETF price'!I576</f>
        <v>-1.7306028266513491E-3</v>
      </c>
      <c r="I575">
        <f ca="1">'ETF variations'!I575/'ETF price'!J576</f>
        <v>-2.6791694574682117E-3</v>
      </c>
      <c r="J575">
        <f ca="1">'ETF variations'!J575/'ETF price'!K576</f>
        <v>-8.5059462865243619E-3</v>
      </c>
      <c r="K575">
        <f ca="1">'ETF variations'!K575/'ETF price'!L576</f>
        <v>-1.1213643265973528E-2</v>
      </c>
      <c r="L575">
        <f ca="1">'ETF variations'!L575/'ETF price'!M576</f>
        <v>-2.9634507737899196E-3</v>
      </c>
      <c r="M575">
        <f ca="1">'ETF variations'!M575/'ETF price'!N576</f>
        <v>-2.6013771996937643E-3</v>
      </c>
      <c r="N575">
        <f ca="1">'ETF variations'!N575/'ETF price'!O576</f>
        <v>-1.1250000000000071E-2</v>
      </c>
      <c r="O575">
        <f ca="1">'ETF variations'!O575/'ETF price'!P576</f>
        <v>-2.8601694915255322E-3</v>
      </c>
      <c r="P575">
        <f ca="1">'ETF variations'!P575/'ETF price'!Q576</f>
        <v>-4.5603101010868313E-3</v>
      </c>
      <c r="Q575">
        <f ca="1">'ETF variations'!Q575/'ETF price'!R576</f>
        <v>2.2522522522522843E-3</v>
      </c>
      <c r="R575">
        <f ca="1">'ETF variations'!R575/'ETF price'!S576</f>
        <v>-1.4667535853975929E-3</v>
      </c>
      <c r="S575">
        <f ca="1">'ETF variations'!S575/'ETF price'!T576</f>
        <v>-1.5605229860818262E-2</v>
      </c>
      <c r="T575">
        <f ca="1">'ETF variations'!T575/'ETF price'!U576</f>
        <v>-2.9755317840895142E-2</v>
      </c>
      <c r="U575">
        <f ca="1">'ETF variations'!U575/'ETF price'!V576</f>
        <v>9.0588827377956569E-3</v>
      </c>
      <c r="V575">
        <f ca="1">'ETF variations'!V575/'ETF price'!W576</f>
        <v>2.5258903763575222E-3</v>
      </c>
      <c r="W575">
        <f ca="1">'ETF variations'!W575/'ETF price'!X576</f>
        <v>1.3555787278414541E-3</v>
      </c>
      <c r="X575">
        <f ca="1">'ETF variations'!X575/'ETF price'!Y576</f>
        <v>1.1614401858305288E-3</v>
      </c>
      <c r="Y575">
        <f ca="1">'ETF variations'!Y575/'ETF price'!Z576</f>
        <v>1.1186933661482751E-3</v>
      </c>
      <c r="Z575">
        <f ca="1">'ETF variations'!Z575/'ETF price'!AA576</f>
        <v>-8.326394671107528E-3</v>
      </c>
      <c r="AA575">
        <f ca="1">'ETF variations'!AA575/'ETF price'!AB576</f>
        <v>1.7486338797813835E-3</v>
      </c>
      <c r="AB575">
        <f ca="1">'ETF variations'!AB575/'ETF price'!AC576</f>
        <v>1.4979501734468666E-2</v>
      </c>
      <c r="AC575">
        <f ca="1">'ETF variations'!AC575/'ETF price'!AD576</f>
        <v>-2.2416621104428658E-2</v>
      </c>
      <c r="AD575">
        <f ca="1">'ETF variations'!AD575/'ETF price'!AE576</f>
        <v>-2.9861616897305182E-2</v>
      </c>
      <c r="AE575">
        <f ca="1">'ETF variations'!AE575/'ETF price'!AF576</f>
        <v>-4.8140043763676282E-2</v>
      </c>
      <c r="AF575">
        <f ca="1">'ETF variations'!AF575/'ETF price'!AG576</f>
        <v>1.3189132155105321E-3</v>
      </c>
    </row>
    <row r="576" spans="1:32" x14ac:dyDescent="0.2">
      <c r="A576">
        <f ca="1">'ETF variations'!A576/'ETF price'!B577</f>
        <v>-1.1415639929595081E-2</v>
      </c>
      <c r="B576">
        <f ca="1">'ETF variations'!B576/'ETF price'!C577</f>
        <v>-9.4838152263456571E-3</v>
      </c>
      <c r="C576">
        <f ca="1">'ETF variations'!C576/'ETF price'!D577</f>
        <v>1.8060836501901264E-2</v>
      </c>
      <c r="D576">
        <f ca="1">'ETF variations'!D576/'ETF price'!E577</f>
        <v>-1.773150789123416E-2</v>
      </c>
      <c r="E576">
        <f ca="1">'ETF variations'!E576/'ETF price'!F577</f>
        <v>-2.3094688221709102E-3</v>
      </c>
      <c r="F576">
        <f ca="1">'ETF variations'!F576/'ETF price'!G577</f>
        <v>5.5020632737276531E-3</v>
      </c>
      <c r="G576">
        <f ca="1">'ETF variations'!G576/'ETF price'!H577</f>
        <v>-5.5391432791727689E-3</v>
      </c>
      <c r="H576">
        <f ca="1">'ETF variations'!H576/'ETF price'!I577</f>
        <v>-7.2233458537929101E-5</v>
      </c>
      <c r="I576">
        <f ca="1">'ETF variations'!I576/'ETF price'!J577</f>
        <v>-1.1851617745821631E-3</v>
      </c>
      <c r="J576">
        <f ca="1">'ETF variations'!J576/'ETF price'!K577</f>
        <v>-9.9293033600762574E-3</v>
      </c>
      <c r="K576">
        <f ca="1">'ETF variations'!K576/'ETF price'!L577</f>
        <v>-1.3821618428824591E-2</v>
      </c>
      <c r="L576">
        <f ca="1">'ETF variations'!L576/'ETF price'!M577</f>
        <v>-1.5521796565389776E-2</v>
      </c>
      <c r="M576">
        <f ca="1">'ETF variations'!M576/'ETF price'!N577</f>
        <v>-7.6710647437881806E-4</v>
      </c>
      <c r="N576">
        <f ca="1">'ETF variations'!N576/'ETF price'!O577</f>
        <v>-1.0872313527180778E-2</v>
      </c>
      <c r="O576">
        <f ca="1">'ETF variations'!O576/'ETF price'!P577</f>
        <v>-3.0808456390097956E-3</v>
      </c>
      <c r="P576">
        <f ca="1">'ETF variations'!P576/'ETF price'!Q577</f>
        <v>-2.2142475376039708E-3</v>
      </c>
      <c r="Q576">
        <f ca="1">'ETF variations'!Q576/'ETF price'!R577</f>
        <v>3.3707865168540604E-4</v>
      </c>
      <c r="R576">
        <f ca="1">'ETF variations'!R576/'ETF price'!S577</f>
        <v>-4.8963603721234577E-3</v>
      </c>
      <c r="S576">
        <f ca="1">'ETF variations'!S576/'ETF price'!T577</f>
        <v>-4.2844901456733347E-4</v>
      </c>
      <c r="T576">
        <f ca="1">'ETF variations'!T576/'ETF price'!U577</f>
        <v>-1.6474464579900577E-3</v>
      </c>
      <c r="U576">
        <f ca="1">'ETF variations'!U576/'ETF price'!V577</f>
        <v>-9.9750623441396159E-3</v>
      </c>
      <c r="V576">
        <f ca="1">'ETF variations'!V576/'ETF price'!W577</f>
        <v>3.5273368606702086E-3</v>
      </c>
      <c r="W576">
        <f ca="1">'ETF variations'!W576/'ETF price'!X577</f>
        <v>3.8529626158492611E-3</v>
      </c>
      <c r="X576">
        <f ca="1">'ETF variations'!X576/'ETF price'!Y577</f>
        <v>6.9605568445474976E-3</v>
      </c>
      <c r="Y576">
        <f ca="1">'ETF variations'!Y576/'ETF price'!Z577</f>
        <v>6.1459380936418747E-3</v>
      </c>
      <c r="Z576">
        <f ca="1">'ETF variations'!Z576/'ETF price'!AA577</f>
        <v>2.798768541843022E-4</v>
      </c>
      <c r="AA576">
        <f ca="1">'ETF variations'!AA576/'ETF price'!AB577</f>
        <v>6.1095352389264924E-3</v>
      </c>
      <c r="AB576">
        <f ca="1">'ETF variations'!AB576/'ETF price'!AC577</f>
        <v>7.9229454714927899E-3</v>
      </c>
      <c r="AC576">
        <f ca="1">'ETF variations'!AC576/'ETF price'!AD577</f>
        <v>3.0201342281879349E-2</v>
      </c>
      <c r="AD576">
        <f ca="1">'ETF variations'!AD576/'ETF price'!AE577</f>
        <v>4.2417417417417377E-2</v>
      </c>
      <c r="AE576">
        <f ca="1">'ETF variations'!AE576/'ETF price'!AF577</f>
        <v>0</v>
      </c>
      <c r="AF576">
        <f ca="1">'ETF variations'!AF576/'ETF price'!AG577</f>
        <v>3.4510010537407855E-2</v>
      </c>
    </row>
    <row r="577" spans="1:32" x14ac:dyDescent="0.2">
      <c r="A577">
        <f ca="1">'ETF variations'!A577/'ETF price'!B578</f>
        <v>-2.0602299318343734E-2</v>
      </c>
      <c r="B577">
        <f ca="1">'ETF variations'!B577/'ETF price'!C578</f>
        <v>-2.6512769539728684E-2</v>
      </c>
      <c r="C577">
        <f ca="1">'ETF variations'!C577/'ETF price'!D578</f>
        <v>2.4898848428259661E-3</v>
      </c>
      <c r="D577">
        <f ca="1">'ETF variations'!D577/'ETF price'!E578</f>
        <v>-3.9878042878575277E-2</v>
      </c>
      <c r="E577">
        <f ca="1">'ETF variations'!E577/'ETF price'!F578</f>
        <v>-7.4404761904761207E-3</v>
      </c>
      <c r="F577">
        <f ca="1">'ETF variations'!F577/'ETF price'!G578</f>
        <v>-2.0177838577291378E-2</v>
      </c>
      <c r="G577">
        <f ca="1">'ETF variations'!G577/'ETF price'!H578</f>
        <v>-1.2253991830672049E-2</v>
      </c>
      <c r="H577">
        <f ca="1">'ETF variations'!H577/'ETF price'!I578</f>
        <v>3.7564111825470043E-3</v>
      </c>
      <c r="I577">
        <f ca="1">'ETF variations'!I577/'ETF price'!J578</f>
        <v>1.9776134161294148E-3</v>
      </c>
      <c r="J577">
        <f ca="1">'ETF variations'!J577/'ETF price'!K578</f>
        <v>6.4184852374838167E-4</v>
      </c>
      <c r="K577">
        <f ca="1">'ETF variations'!K577/'ETF price'!L578</f>
        <v>-7.7862961188309258E-3</v>
      </c>
      <c r="L577">
        <f ca="1">'ETF variations'!L577/'ETF price'!M578</f>
        <v>3.8577658503858433E-3</v>
      </c>
      <c r="M577">
        <f ca="1">'ETF variations'!M577/'ETF price'!N578</f>
        <v>3.6849378166744834E-3</v>
      </c>
      <c r="N577">
        <f ca="1">'ETF variations'!N577/'ETF price'!O578</f>
        <v>-1.0224948875255588E-2</v>
      </c>
      <c r="O577">
        <f ca="1">'ETF variations'!O577/'ETF price'!P578</f>
        <v>1.2041773231031495E-2</v>
      </c>
      <c r="P577">
        <f ca="1">'ETF variations'!P577/'ETF price'!Q578</f>
        <v>1.2014080195898325E-2</v>
      </c>
      <c r="Q577">
        <f ca="1">'ETF variations'!Q577/'ETF price'!R578</f>
        <v>-7.8625182522753438E-4</v>
      </c>
      <c r="R577">
        <f ca="1">'ETF variations'!R577/'ETF price'!S578</f>
        <v>-1.1481056257175706E-3</v>
      </c>
      <c r="S577">
        <f ca="1">'ETF variations'!S577/'ETF price'!T578</f>
        <v>4.7149592798972568E-3</v>
      </c>
      <c r="T577">
        <f ca="1">'ETF variations'!T577/'ETF price'!U578</f>
        <v>8.8855039350080193E-4</v>
      </c>
      <c r="U577">
        <f ca="1">'ETF variations'!U577/'ETF price'!V578</f>
        <v>-2.7707808564231594E-3</v>
      </c>
      <c r="V577">
        <f ca="1">'ETF variations'!V577/'ETF price'!W578</f>
        <v>1.3808686919407589E-2</v>
      </c>
      <c r="W577">
        <f ca="1">'ETF variations'!W577/'ETF price'!X578</f>
        <v>1.4004149377593301E-2</v>
      </c>
      <c r="X577">
        <f ca="1">'ETF variations'!X577/'ETF price'!Y578</f>
        <v>2.3271889400921612E-2</v>
      </c>
      <c r="Y577">
        <f ca="1">'ETF variations'!Y577/'ETF price'!Z578</f>
        <v>1.399378054198124E-2</v>
      </c>
      <c r="Z577">
        <f ca="1">'ETF variations'!Z577/'ETF price'!AA578</f>
        <v>3.9171796306659359E-3</v>
      </c>
      <c r="AA577">
        <f ca="1">'ETF variations'!AA577/'ETF price'!AB578</f>
        <v>2.6241596183040575E-2</v>
      </c>
      <c r="AB577">
        <f ca="1">'ETF variations'!AB577/'ETF price'!AC578</f>
        <v>4.6239210850803237E-4</v>
      </c>
      <c r="AC577">
        <f ca="1">'ETF variations'!AC577/'ETF price'!AD578</f>
        <v>1.4115092290987947E-2</v>
      </c>
      <c r="AD577">
        <f ca="1">'ETF variations'!AD577/'ETF price'!AE578</f>
        <v>1.188332733165293E-2</v>
      </c>
      <c r="AE577">
        <f ca="1">'ETF variations'!AE577/'ETF price'!AF578</f>
        <v>-2.0689655172413762E-2</v>
      </c>
      <c r="AF577">
        <f ca="1">'ETF variations'!AF577/'ETF price'!AG578</f>
        <v>3.0812324929971827E-2</v>
      </c>
    </row>
    <row r="578" spans="1:32" x14ac:dyDescent="0.2">
      <c r="A578">
        <f ca="1">'ETF variations'!A578/'ETF price'!B579</f>
        <v>8.9336726743884012E-3</v>
      </c>
      <c r="B578">
        <f ca="1">'ETF variations'!B578/'ETF price'!C579</f>
        <v>1.3669514482183794E-2</v>
      </c>
      <c r="C578">
        <f ca="1">'ETF variations'!C578/'ETF price'!D579</f>
        <v>-4.967401428128025E-3</v>
      </c>
      <c r="D578">
        <f ca="1">'ETF variations'!D578/'ETF price'!E579</f>
        <v>1.6482685619234893E-2</v>
      </c>
      <c r="E578">
        <f ca="1">'ETF variations'!E578/'ETF price'!F579</f>
        <v>1.1827419623521587E-2</v>
      </c>
      <c r="F578">
        <f ca="1">'ETF variations'!F578/'ETF price'!G579</f>
        <v>1.60558464223386E-2</v>
      </c>
      <c r="G578">
        <f ca="1">'ETF variations'!G578/'ETF price'!H579</f>
        <v>9.3984962406015032E-3</v>
      </c>
      <c r="H578">
        <f ca="1">'ETF variations'!H578/'ETF price'!I579</f>
        <v>3.8143216984526892E-3</v>
      </c>
      <c r="I578">
        <f ca="1">'ETF variations'!I578/'ETF price'!J579</f>
        <v>4.7369044329530199E-3</v>
      </c>
      <c r="J578">
        <f ca="1">'ETF variations'!J578/'ETF price'!K579</f>
        <v>1.1144964720974988E-2</v>
      </c>
      <c r="K578">
        <f ca="1">'ETF variations'!K578/'ETF price'!L579</f>
        <v>1.1107086804297981E-2</v>
      </c>
      <c r="L578">
        <f ca="1">'ETF variations'!L578/'ETF price'!M579</f>
        <v>9.1896407685880897E-3</v>
      </c>
      <c r="M578">
        <f ca="1">'ETF variations'!M578/'ETF price'!N579</f>
        <v>3.5184335322011586E-3</v>
      </c>
      <c r="N578">
        <f ca="1">'ETF variations'!N578/'ETF price'!O579</f>
        <v>2.1694214876033145E-2</v>
      </c>
      <c r="O578">
        <f ca="1">'ETF variations'!O578/'ETF price'!P579</f>
        <v>6.5283773823313108E-3</v>
      </c>
      <c r="P578">
        <f ca="1">'ETF variations'!P578/'ETF price'!Q579</f>
        <v>7.1833648393193851E-3</v>
      </c>
      <c r="Q578">
        <f ca="1">'ETF variations'!Q578/'ETF price'!R579</f>
        <v>1.0116906474820528E-3</v>
      </c>
      <c r="R578">
        <f ca="1">'ETF variations'!R578/'ETF price'!S579</f>
        <v>-9.0311986863710544E-3</v>
      </c>
      <c r="S578">
        <f ca="1">'ETF variations'!S578/'ETF price'!T579</f>
        <v>0</v>
      </c>
      <c r="T578">
        <f ca="1">'ETF variations'!T578/'ETF price'!U579</f>
        <v>-8.8776157260612792E-4</v>
      </c>
      <c r="U578">
        <f ca="1">'ETF variations'!U578/'ETF price'!V579</f>
        <v>9.0932053548875829E-3</v>
      </c>
      <c r="V578">
        <f ca="1">'ETF variations'!V578/'ETF price'!W579</f>
        <v>1.2134720158494176E-2</v>
      </c>
      <c r="W578">
        <f ca="1">'ETF variations'!W578/'ETF price'!X579</f>
        <v>1.3401534526854244E-2</v>
      </c>
      <c r="X578">
        <f ca="1">'ETF variations'!X578/'ETF price'!Y579</f>
        <v>1.7113262778653573E-2</v>
      </c>
      <c r="Y578">
        <f ca="1">'ETF variations'!Y578/'ETF price'!Z579</f>
        <v>1.5005476451259634E-2</v>
      </c>
      <c r="Z578">
        <f ca="1">'ETF variations'!Z578/'ETF price'!AA579</f>
        <v>8.0824972129319717E-3</v>
      </c>
      <c r="AA578">
        <f ca="1">'ETF variations'!AA578/'ETF price'!AB579</f>
        <v>1.8174133558748931E-2</v>
      </c>
      <c r="AB578">
        <f ca="1">'ETF variations'!AB578/'ETF price'!AC579</f>
        <v>-5.3920813433984641E-3</v>
      </c>
      <c r="AC578">
        <f ca="1">'ETF variations'!AC578/'ETF price'!AD579</f>
        <v>2.7837259100642376E-2</v>
      </c>
      <c r="AD578">
        <f ca="1">'ETF variations'!AD578/'ETF price'!AE579</f>
        <v>3.3096085409252657E-2</v>
      </c>
      <c r="AE578">
        <f ca="1">'ETF variations'!AE578/'ETF price'!AF579</f>
        <v>-4.6948356807510741E-3</v>
      </c>
      <c r="AF578">
        <f ca="1">'ETF variations'!AF578/'ETF price'!AG579</f>
        <v>9.1650197628458524E-2</v>
      </c>
    </row>
    <row r="579" spans="1:32" x14ac:dyDescent="0.2">
      <c r="A579">
        <f ca="1">'ETF variations'!A579/'ETF price'!B580</f>
        <v>1.4826254826254803E-2</v>
      </c>
      <c r="B579">
        <f ca="1">'ETF variations'!B579/'ETF price'!C580</f>
        <v>1.6424783127081382E-2</v>
      </c>
      <c r="C579">
        <f ca="1">'ETF variations'!C579/'ETF price'!D580</f>
        <v>2.1450858034321375E-2</v>
      </c>
      <c r="D579">
        <f ca="1">'ETF variations'!D579/'ETF price'!E580</f>
        <v>2.0876723197461113E-2</v>
      </c>
      <c r="E579">
        <f ca="1">'ETF variations'!E579/'ETF price'!F580</f>
        <v>2.1238063878827776E-2</v>
      </c>
      <c r="F579">
        <f ca="1">'ETF variations'!F579/'ETF price'!G580</f>
        <v>1.8206801786327761E-2</v>
      </c>
      <c r="G579">
        <f ca="1">'ETF variations'!G579/'ETF price'!H580</f>
        <v>1.4897579143389145E-2</v>
      </c>
      <c r="H579">
        <f ca="1">'ETF variations'!H579/'ETF price'!I580</f>
        <v>1.3048465729853898E-2</v>
      </c>
      <c r="I579">
        <f ca="1">'ETF variations'!I579/'ETF price'!J580</f>
        <v>1.2925784779790171E-2</v>
      </c>
      <c r="J579">
        <f ca="1">'ETF variations'!J579/'ETF price'!K580</f>
        <v>1.5145507889937442E-2</v>
      </c>
      <c r="K579">
        <f ca="1">'ETF variations'!K579/'ETF price'!L580</f>
        <v>1.1223880597014898E-2</v>
      </c>
      <c r="L579">
        <f ca="1">'ETF variations'!L579/'ETF price'!M580</f>
        <v>1.2417218543046359E-2</v>
      </c>
      <c r="M579">
        <f ca="1">'ETF variations'!M579/'ETF price'!N580</f>
        <v>1.387195121951236E-2</v>
      </c>
      <c r="N579">
        <f ca="1">'ETF variations'!N579/'ETF price'!O580</f>
        <v>1.3650151668351849E-2</v>
      </c>
      <c r="O579">
        <f ca="1">'ETF variations'!O579/'ETF price'!P580</f>
        <v>5.5445130243749466E-3</v>
      </c>
      <c r="P579">
        <f ca="1">'ETF variations'!P579/'ETF price'!Q580</f>
        <v>3.828828828828974E-3</v>
      </c>
      <c r="Q579">
        <f ca="1">'ETF variations'!Q579/'ETF price'!R580</f>
        <v>-8.6468276249297704E-3</v>
      </c>
      <c r="R579">
        <f ca="1">'ETF variations'!R579/'ETF price'!S580</f>
        <v>-1.4084507042253544E-2</v>
      </c>
      <c r="S579">
        <f ca="1">'ETF variations'!S579/'ETF price'!T580</f>
        <v>4.2662116040954722E-3</v>
      </c>
      <c r="T579">
        <f ca="1">'ETF variations'!T579/'ETF price'!U580</f>
        <v>1.5232292460015269E-2</v>
      </c>
      <c r="U579">
        <f ca="1">'ETF variations'!U579/'ETF price'!V580</f>
        <v>1.3767209011264008E-2</v>
      </c>
      <c r="V579">
        <f ca="1">'ETF variations'!V579/'ETF price'!W580</f>
        <v>6.3616344506974582E-3</v>
      </c>
      <c r="W579">
        <f ca="1">'ETF variations'!W579/'ETF price'!X580</f>
        <v>7.6721179083382891E-3</v>
      </c>
      <c r="X579">
        <f ca="1">'ETF variations'!X579/'ETF price'!Y580</f>
        <v>1.0405136152313458E-2</v>
      </c>
      <c r="Y579">
        <f ca="1">'ETF variations'!Y579/'ETF price'!Z580</f>
        <v>5.1796697960505445E-3</v>
      </c>
      <c r="Z579">
        <f ca="1">'ETF variations'!Z579/'ETF price'!AA580</f>
        <v>9.1235830799004224E-3</v>
      </c>
      <c r="AA579">
        <f ca="1">'ETF variations'!AA579/'ETF price'!AB580</f>
        <v>1.1415525114155192E-2</v>
      </c>
      <c r="AB579">
        <f ca="1">'ETF variations'!AB579/'ETF price'!AC580</f>
        <v>-3.0978934324653068E-4</v>
      </c>
      <c r="AC579">
        <f ca="1">'ETF variations'!AC579/'ETF price'!AD580</f>
        <v>5.2083333333334076E-3</v>
      </c>
      <c r="AD579">
        <f ca="1">'ETF variations'!AD579/'ETF price'!AE580</f>
        <v>-6.8894247330346446E-4</v>
      </c>
      <c r="AE579">
        <f ca="1">'ETF variations'!AE579/'ETF price'!AF580</f>
        <v>8.4905660377358347E-2</v>
      </c>
      <c r="AF579">
        <f ca="1">'ETF variations'!AF579/'ETF price'!AG580</f>
        <v>5.2047974654899395E-2</v>
      </c>
    </row>
    <row r="580" spans="1:32" x14ac:dyDescent="0.2">
      <c r="A580">
        <f ca="1">'ETF variations'!A580/'ETF price'!B581</f>
        <v>4.5655151422919179E-3</v>
      </c>
      <c r="B580">
        <f ca="1">'ETF variations'!B580/'ETF price'!C581</f>
        <v>1.5977348569117616E-3</v>
      </c>
      <c r="C580">
        <f ca="1">'ETF variations'!C580/'ETF price'!D581</f>
        <v>6.8728522336772367E-4</v>
      </c>
      <c r="D580">
        <f ca="1">'ETF variations'!D580/'ETF price'!E581</f>
        <v>1.2969349589546741E-2</v>
      </c>
      <c r="E580">
        <f ca="1">'ETF variations'!E580/'ETF price'!F581</f>
        <v>4.8363694986298787E-4</v>
      </c>
      <c r="F580">
        <f ca="1">'ETF variations'!F580/'ETF price'!G581</f>
        <v>-2.6990553306343403E-3</v>
      </c>
      <c r="G580">
        <f ca="1">'ETF variations'!G580/'ETF price'!H581</f>
        <v>-3.6697247706427754E-4</v>
      </c>
      <c r="H580">
        <f ca="1">'ETF variations'!H580/'ETF price'!I581</f>
        <v>-3.113941967445136E-3</v>
      </c>
      <c r="I580">
        <f ca="1">'ETF variations'!I580/'ETF price'!J581</f>
        <v>-2.172058024978676E-3</v>
      </c>
      <c r="J580">
        <f ca="1">'ETF variations'!J580/'ETF price'!K581</f>
        <v>-2.0309326667708569E-3</v>
      </c>
      <c r="K580">
        <f ca="1">'ETF variations'!K580/'ETF price'!L581</f>
        <v>-8.8558271342543404E-3</v>
      </c>
      <c r="L580">
        <f ca="1">'ETF variations'!L580/'ETF price'!M581</f>
        <v>-4.4153720359770407E-3</v>
      </c>
      <c r="M580">
        <f ca="1">'ETF variations'!M580/'ETF price'!N581</f>
        <v>-2.8567132761992469E-3</v>
      </c>
      <c r="N580">
        <f ca="1">'ETF variations'!N580/'ETF price'!O581</f>
        <v>-8.4788029925187882E-3</v>
      </c>
      <c r="O580">
        <f ca="1">'ETF variations'!O580/'ETF price'!P581</f>
        <v>7.2825634623380328E-4</v>
      </c>
      <c r="P580">
        <f ca="1">'ETF variations'!P580/'ETF price'!Q581</f>
        <v>1.4209857153541076E-3</v>
      </c>
      <c r="Q580">
        <f ca="1">'ETF variations'!Q580/'ETF price'!R581</f>
        <v>6.7965564114184722E-4</v>
      </c>
      <c r="R580">
        <f ca="1">'ETF variations'!R580/'ETF price'!S581</f>
        <v>-3.361344537815174E-3</v>
      </c>
      <c r="S580">
        <f ca="1">'ETF variations'!S580/'ETF price'!T581</f>
        <v>-1.2744265080712653E-3</v>
      </c>
      <c r="T580">
        <f ca="1">'ETF variations'!T580/'ETF price'!U581</f>
        <v>-4.251062765691465E-3</v>
      </c>
      <c r="U580">
        <f ca="1">'ETF variations'!U580/'ETF price'!V581</f>
        <v>-4.6913580246913016E-3</v>
      </c>
      <c r="V580">
        <f ca="1">'ETF variations'!V580/'ETF price'!W581</f>
        <v>-2.4313153416010493E-4</v>
      </c>
      <c r="W580">
        <f ca="1">'ETF variations'!W580/'ETF price'!X581</f>
        <v>-1.0018032458424596E-3</v>
      </c>
      <c r="X580">
        <f ca="1">'ETF variations'!X580/'ETF price'!Y581</f>
        <v>7.0113935144610054E-3</v>
      </c>
      <c r="Y580">
        <f ca="1">'ETF variations'!Y580/'ETF price'!Z581</f>
        <v>-2.0397208803007187E-3</v>
      </c>
      <c r="Z580">
        <f ca="1">'ETF variations'!Z580/'ETF price'!AA581</f>
        <v>3.8356164383561799E-3</v>
      </c>
      <c r="AA580">
        <f ca="1">'ETF variations'!AA580/'ETF price'!AB581</f>
        <v>5.7459470552021583E-3</v>
      </c>
      <c r="AB580">
        <f ca="1">'ETF variations'!AB580/'ETF price'!AC581</f>
        <v>-3.0988534242330774E-3</v>
      </c>
      <c r="AC580">
        <f ca="1">'ETF variations'!AC580/'ETF price'!AD581</f>
        <v>-3.3160621761658057E-2</v>
      </c>
      <c r="AD580">
        <f ca="1">'ETF variations'!AD580/'ETF price'!AE581</f>
        <v>-3.9986211651154777E-2</v>
      </c>
      <c r="AE580">
        <f ca="1">'ETF variations'!AE580/'ETF price'!AF581</f>
        <v>4.5652173913043471E-2</v>
      </c>
      <c r="AF580">
        <f ca="1">'ETF variations'!AF580/'ETF price'!AG581</f>
        <v>-2.9253602925360278E-2</v>
      </c>
    </row>
    <row r="581" spans="1:32" x14ac:dyDescent="0.2">
      <c r="A581">
        <f ca="1">'ETF variations'!A581/'ETF price'!B582</f>
        <v>-2.1713881735090988E-3</v>
      </c>
      <c r="B581">
        <f ca="1">'ETF variations'!B581/'ETF price'!C582</f>
        <v>4.0384460059766702E-4</v>
      </c>
      <c r="C581">
        <f ca="1">'ETF variations'!C581/'ETF price'!D582</f>
        <v>-2.1901709401709438E-2</v>
      </c>
      <c r="D581">
        <f ca="1">'ETF variations'!D581/'ETF price'!E582</f>
        <v>1.8557590869857123E-2</v>
      </c>
      <c r="E581">
        <f ca="1">'ETF variations'!E581/'ETF price'!F582</f>
        <v>-1.9336126329359416E-3</v>
      </c>
      <c r="F581">
        <f ca="1">'ETF variations'!F581/'ETF price'!G582</f>
        <v>-7.4424898511501652E-3</v>
      </c>
      <c r="G581">
        <f ca="1">'ETF variations'!G581/'ETF price'!H582</f>
        <v>-3.6710719530095486E-4</v>
      </c>
      <c r="H581">
        <f ca="1">'ETF variations'!H581/'ETF price'!I582</f>
        <v>-6.673292630981301E-3</v>
      </c>
      <c r="I581">
        <f ca="1">'ETF variations'!I581/'ETF price'!J582</f>
        <v>-7.8519785431080697E-3</v>
      </c>
      <c r="J581">
        <f ca="1">'ETF variations'!J581/'ETF price'!K582</f>
        <v>-1.6358797745773351E-2</v>
      </c>
      <c r="K581">
        <f ca="1">'ETF variations'!K581/'ETF price'!L582</f>
        <v>-2.0490826781034061E-2</v>
      </c>
      <c r="L581">
        <f ca="1">'ETF variations'!L581/'ETF price'!M582</f>
        <v>-1.6918528252299624E-2</v>
      </c>
      <c r="M581">
        <f ca="1">'ETF variations'!M581/'ETF price'!N582</f>
        <v>-8.2931242460795723E-3</v>
      </c>
      <c r="N581">
        <f ca="1">'ETF variations'!N581/'ETF price'!O582</f>
        <v>-2.5150905432595575E-2</v>
      </c>
      <c r="O581">
        <f ca="1">'ETF variations'!O581/'ETF price'!P582</f>
        <v>4.5742800706933956E-3</v>
      </c>
      <c r="P581">
        <f ca="1">'ETF variations'!P581/'ETF price'!Q582</f>
        <v>4.9290515309932531E-3</v>
      </c>
      <c r="Q581">
        <f ca="1">'ETF variations'!Q581/'ETF price'!R582</f>
        <v>7.1315372424722145E-3</v>
      </c>
      <c r="R581">
        <f ca="1">'ETF variations'!R581/'ETF price'!S582</f>
        <v>1.7369308600337287E-2</v>
      </c>
      <c r="S581">
        <f ca="1">'ETF variations'!S581/'ETF price'!T582</f>
        <v>5.5295618885580176E-3</v>
      </c>
      <c r="T581">
        <f ca="1">'ETF variations'!T581/'ETF price'!U582</f>
        <v>1.0045203415369125E-2</v>
      </c>
      <c r="U581">
        <f ca="1">'ETF variations'!U581/'ETF price'!V582</f>
        <v>-1.2900024807740091E-2</v>
      </c>
      <c r="V581">
        <f ca="1">'ETF variations'!V581/'ETF price'!W582</f>
        <v>-5.8365758754862574E-3</v>
      </c>
      <c r="W581">
        <f ca="1">'ETF variations'!W581/'ETF price'!X582</f>
        <v>-6.0168471720817721E-3</v>
      </c>
      <c r="X581">
        <f ca="1">'ETF variations'!X581/'ETF price'!Y582</f>
        <v>-1.0661444734551826E-2</v>
      </c>
      <c r="Y581">
        <f ca="1">'ETF variations'!Y581/'ETF price'!Z582</f>
        <v>-5.0559380378657369E-3</v>
      </c>
      <c r="Z581">
        <f ca="1">'ETF variations'!Z581/'ETF price'!AA582</f>
        <v>-5.7314410480349574E-3</v>
      </c>
      <c r="AA581">
        <f ca="1">'ETF variations'!AA581/'ETF price'!AB582</f>
        <v>-1.1018159559273601E-2</v>
      </c>
      <c r="AB581">
        <f ca="1">'ETF variations'!AB581/'ETF price'!AC582</f>
        <v>-1.3211066210755384E-2</v>
      </c>
      <c r="AC581">
        <f ca="1">'ETF variations'!AC581/'ETF price'!AD582</f>
        <v>1.0718113612004249E-2</v>
      </c>
      <c r="AD581">
        <f ca="1">'ETF variations'!AD581/'ETF price'!AE582</f>
        <v>1.3285457809694701E-2</v>
      </c>
      <c r="AE581">
        <f ca="1">'ETF variations'!AE581/'ETF price'!AF582</f>
        <v>2.7027027027027192E-2</v>
      </c>
      <c r="AF581">
        <f ca="1">'ETF variations'!AF581/'ETF price'!AG582</f>
        <v>-7.9769554619986572E-3</v>
      </c>
    </row>
    <row r="582" spans="1:32" x14ac:dyDescent="0.2">
      <c r="A582">
        <f ca="1">'ETF variations'!A582/'ETF price'!B583</f>
        <v>1.1285425101214667E-2</v>
      </c>
      <c r="B582">
        <f ca="1">'ETF variations'!B582/'ETF price'!C583</f>
        <v>1.7156466978847085E-2</v>
      </c>
      <c r="C582">
        <f ca="1">'ETF variations'!C582/'ETF price'!D583</f>
        <v>-9.5186080986189026E-3</v>
      </c>
      <c r="D582">
        <f ca="1">'ETF variations'!D582/'ETF price'!E583</f>
        <v>2.1138364483781411E-2</v>
      </c>
      <c r="E582">
        <f ca="1">'ETF variations'!E582/'ETF price'!F583</f>
        <v>1.0009686793671368E-2</v>
      </c>
      <c r="F582">
        <f ca="1">'ETF variations'!F582/'ETF price'!G583</f>
        <v>2.522154055896382E-2</v>
      </c>
      <c r="G582">
        <f ca="1">'ETF variations'!G582/'ETF price'!H583</f>
        <v>8.0793242746969827E-3</v>
      </c>
      <c r="H582">
        <f ca="1">'ETF variations'!H582/'ETF price'!I583</f>
        <v>2.8587764436835666E-4</v>
      </c>
      <c r="I582">
        <f ca="1">'ETF variations'!I582/'ETF price'!J583</f>
        <v>3.1343049678727501E-4</v>
      </c>
      <c r="J582">
        <f ca="1">'ETF variations'!J582/'ETF price'!K583</f>
        <v>6.5250258613829331E-3</v>
      </c>
      <c r="K582">
        <f ca="1">'ETF variations'!K582/'ETF price'!L583</f>
        <v>1.544636341522739E-2</v>
      </c>
      <c r="L582">
        <f ca="1">'ETF variations'!L582/'ETF price'!M583</f>
        <v>9.0225563909774285E-3</v>
      </c>
      <c r="M582">
        <f ca="1">'ETF variations'!M582/'ETF price'!N583</f>
        <v>1.5204500532158816E-3</v>
      </c>
      <c r="N582">
        <f ca="1">'ETF variations'!N582/'ETF price'!O583</f>
        <v>1.1351909184726647E-2</v>
      </c>
      <c r="O582">
        <f ca="1">'ETF variations'!O582/'ETF price'!P583</f>
        <v>-9.2103901479871735E-3</v>
      </c>
      <c r="P582">
        <f ca="1">'ETF variations'!P582/'ETF price'!Q583</f>
        <v>-7.951843043995193E-3</v>
      </c>
      <c r="Q582">
        <f ca="1">'ETF variations'!Q582/'ETF price'!R583</f>
        <v>6.1818590536135455E-3</v>
      </c>
      <c r="R582">
        <f ca="1">'ETF variations'!R582/'ETF price'!S583</f>
        <v>8.6192607326372149E-3</v>
      </c>
      <c r="S582">
        <f ca="1">'ETF variations'!S582/'ETF price'!T583</f>
        <v>8.4602368866326454E-4</v>
      </c>
      <c r="T582">
        <f ca="1">'ETF variations'!T582/'ETF price'!U583</f>
        <v>-6.2158130283437548E-4</v>
      </c>
      <c r="U582">
        <f ca="1">'ETF variations'!U582/'ETF price'!V583</f>
        <v>2.4629303845187335E-2</v>
      </c>
      <c r="V582">
        <f ca="1">'ETF variations'!V582/'ETF price'!W583</f>
        <v>-1.4677103718200163E-3</v>
      </c>
      <c r="W582">
        <f ca="1">'ETF variations'!W582/'ETF price'!X583</f>
        <v>-1.9168684422921482E-3</v>
      </c>
      <c r="X582">
        <f ca="1">'ETF variations'!X582/'ETF price'!Y583</f>
        <v>-3.0789531559269976E-3</v>
      </c>
      <c r="Y582">
        <f ca="1">'ETF variations'!Y582/'ETF price'!Z583</f>
        <v>-3.4598334955129547E-3</v>
      </c>
      <c r="Z582">
        <f ca="1">'ETF variations'!Z582/'ETF price'!AA583</f>
        <v>8.23497117760119E-4</v>
      </c>
      <c r="AA582">
        <f ca="1">'ETF variations'!AA582/'ETF price'!AB583</f>
        <v>-5.776769135547785E-3</v>
      </c>
      <c r="AB582">
        <f ca="1">'ETF variations'!AB582/'ETF price'!AC583</f>
        <v>7.8752559458177907E-4</v>
      </c>
      <c r="AC582">
        <f ca="1">'ETF variations'!AC582/'ETF price'!AD583</f>
        <v>-1.1664899257688169E-2</v>
      </c>
      <c r="AD582">
        <f ca="1">'ETF variations'!AD582/'ETF price'!AE583</f>
        <v>-1.8426647767540737E-2</v>
      </c>
      <c r="AE582">
        <f ca="1">'ETF variations'!AE582/'ETF price'!AF583</f>
        <v>-3.0364372469635696E-2</v>
      </c>
      <c r="AF582">
        <f ca="1">'ETF variations'!AF582/'ETF price'!AG583</f>
        <v>1.6305561760107144E-2</v>
      </c>
    </row>
    <row r="583" spans="1:32" x14ac:dyDescent="0.2">
      <c r="A583">
        <f ca="1">'ETF variations'!A583/'ETF price'!B584</f>
        <v>4.3036581093929098E-3</v>
      </c>
      <c r="B583">
        <f ca="1">'ETF variations'!B583/'ETF price'!C584</f>
        <v>3.9687264356867884E-3</v>
      </c>
      <c r="C583">
        <f ca="1">'ETF variations'!C583/'ETF price'!D584</f>
        <v>1.6226860968885294E-2</v>
      </c>
      <c r="D583">
        <f ca="1">'ETF variations'!D583/'ETF price'!E584</f>
        <v>7.6071922544951849E-3</v>
      </c>
      <c r="E583">
        <f ca="1">'ETF variations'!E583/'ETF price'!F584</f>
        <v>4.4757033248082022E-3</v>
      </c>
      <c r="F583">
        <f ca="1">'ETF variations'!F583/'ETF price'!G584</f>
        <v>6.3164893617021706E-3</v>
      </c>
      <c r="G583">
        <f ca="1">'ETF variations'!G583/'ETF price'!H584</f>
        <v>6.9216757741348374E-3</v>
      </c>
      <c r="H583">
        <f ca="1">'ETF variations'!H583/'ETF price'!I584</f>
        <v>3.3581023149471196E-3</v>
      </c>
      <c r="I583">
        <f ca="1">'ETF variations'!I583/'ETF price'!J584</f>
        <v>4.7783174056087547E-3</v>
      </c>
      <c r="J583">
        <f ca="1">'ETF variations'!J583/'ETF price'!K584</f>
        <v>1.4862835006719977E-2</v>
      </c>
      <c r="K583">
        <f ca="1">'ETF variations'!K583/'ETF price'!L584</f>
        <v>2.4314289136423538E-2</v>
      </c>
      <c r="L583">
        <f ca="1">'ETF variations'!L583/'ETF price'!M584</f>
        <v>1.7386984600099308E-2</v>
      </c>
      <c r="M583">
        <f ca="1">'ETF variations'!M583/'ETF price'!N584</f>
        <v>3.7953544861090024E-3</v>
      </c>
      <c r="N583">
        <f ca="1">'ETF variations'!N583/'ETF price'!O584</f>
        <v>2.0408163265306048E-2</v>
      </c>
      <c r="O583">
        <f ca="1">'ETF variations'!O583/'ETF price'!P584</f>
        <v>6.7892208063505925E-3</v>
      </c>
      <c r="P583">
        <f ca="1">'ETF variations'!P583/'ETF price'!Q584</f>
        <v>7.1166379504081848E-3</v>
      </c>
      <c r="Q583">
        <f ca="1">'ETF variations'!Q583/'ETF price'!R584</f>
        <v>8.3780160857908851E-3</v>
      </c>
      <c r="R583">
        <f ca="1">'ETF variations'!R583/'ETF price'!S584</f>
        <v>8.8742810188989184E-3</v>
      </c>
      <c r="S583">
        <f ca="1">'ETF variations'!S583/'ETF price'!T584</f>
        <v>-8.4530853761621188E-4</v>
      </c>
      <c r="T583">
        <f ca="1">'ETF variations'!T583/'ETF price'!U584</f>
        <v>-1.1071028734917285E-2</v>
      </c>
      <c r="U583">
        <f ca="1">'ETF variations'!U583/'ETF price'!V584</f>
        <v>2.084866323276905E-2</v>
      </c>
      <c r="V583">
        <f ca="1">'ETF variations'!V583/'ETF price'!W584</f>
        <v>-1.4698677119059842E-3</v>
      </c>
      <c r="W583">
        <f ca="1">'ETF variations'!W583/'ETF price'!X584</f>
        <v>-1.9205498837563117E-3</v>
      </c>
      <c r="X583">
        <f ca="1">'ETF variations'!X583/'ETF price'!Y584</f>
        <v>-5.0739024928302861E-3</v>
      </c>
      <c r="Y583">
        <f ca="1">'ETF variations'!Y583/'ETF price'!Z584</f>
        <v>-1.0849517196490306E-4</v>
      </c>
      <c r="Z583">
        <f ca="1">'ETF variations'!Z583/'ETF price'!AA584</f>
        <v>1.1245200219418447E-2</v>
      </c>
      <c r="AA583">
        <f ca="1">'ETF variations'!AA583/'ETF price'!AB584</f>
        <v>-8.7155011413155136E-3</v>
      </c>
      <c r="AB583">
        <f ca="1">'ETF variations'!AB583/'ETF price'!AC584</f>
        <v>5.5083412023922166E-3</v>
      </c>
      <c r="AC583">
        <f ca="1">'ETF variations'!AC583/'ETF price'!AD584</f>
        <v>0</v>
      </c>
      <c r="AD583">
        <f ca="1">'ETF variations'!AD583/'ETF price'!AE584</f>
        <v>-1.0469314079422353E-2</v>
      </c>
      <c r="AE583">
        <f ca="1">'ETF variations'!AE583/'ETF price'!AF584</f>
        <v>0</v>
      </c>
      <c r="AF583">
        <f ca="1">'ETF variations'!AF583/'ETF price'!AG584</f>
        <v>-5.868131868131872E-2</v>
      </c>
    </row>
    <row r="584" spans="1:32" x14ac:dyDescent="0.2">
      <c r="A584">
        <f ca="1">'ETF variations'!A584/'ETF price'!B585</f>
        <v>-2.2024017140863956E-2</v>
      </c>
      <c r="B584">
        <f ca="1">'ETF variations'!B584/'ETF price'!C585</f>
        <v>-2.2156777483496027E-2</v>
      </c>
      <c r="C584">
        <f ca="1">'ETF variations'!C584/'ETF price'!D585</f>
        <v>2.4494225253856264E-2</v>
      </c>
      <c r="D584">
        <f ca="1">'ETF variations'!D584/'ETF price'!E585</f>
        <v>-2.0864790665751552E-2</v>
      </c>
      <c r="E584">
        <f ca="1">'ETF variations'!E584/'ETF price'!F585</f>
        <v>-1.9414385741565975E-2</v>
      </c>
      <c r="F584">
        <f ca="1">'ETF variations'!F584/'ETF price'!G585</f>
        <v>-1.2884043607532229E-2</v>
      </c>
      <c r="G584">
        <f ca="1">'ETF variations'!G584/'ETF price'!H585</f>
        <v>-1.6642547033285125E-2</v>
      </c>
      <c r="H584">
        <f ca="1">'ETF variations'!H584/'ETF price'!I585</f>
        <v>-7.1209855443989394E-4</v>
      </c>
      <c r="I584">
        <f ca="1">'ETF variations'!I584/'ETF price'!J585</f>
        <v>-1.9490137990176969E-3</v>
      </c>
      <c r="J584">
        <f ca="1">'ETF variations'!J584/'ETF price'!K585</f>
        <v>-1.1295474020409774E-2</v>
      </c>
      <c r="K584">
        <f ca="1">'ETF variations'!K584/'ETF price'!L585</f>
        <v>-1.0523854069223475E-2</v>
      </c>
      <c r="L584">
        <f ca="1">'ETF variations'!L584/'ETF price'!M585</f>
        <v>-9.2773437500000052E-3</v>
      </c>
      <c r="M584">
        <f ca="1">'ETF variations'!M584/'ETF price'!N585</f>
        <v>-9.0744101633397263E-4</v>
      </c>
      <c r="N584">
        <f ca="1">'ETF variations'!N584/'ETF price'!O585</f>
        <v>-1.5000000000000036E-2</v>
      </c>
      <c r="O584">
        <f ca="1">'ETF variations'!O584/'ETF price'!P585</f>
        <v>-2.977487291212786E-2</v>
      </c>
      <c r="P584">
        <f ca="1">'ETF variations'!P584/'ETF price'!Q585</f>
        <v>-3.0348110681344721E-2</v>
      </c>
      <c r="Q584">
        <f ca="1">'ETF variations'!Q584/'ETF price'!R585</f>
        <v>-1.8167719065027149E-2</v>
      </c>
      <c r="R584">
        <f ca="1">'ETF variations'!R584/'ETF price'!S585</f>
        <v>-3.4533311614269382E-2</v>
      </c>
      <c r="S584">
        <f ca="1">'ETF variations'!S584/'ETF price'!T585</f>
        <v>-1.2690355329949268E-2</v>
      </c>
      <c r="T584">
        <f ca="1">'ETF variations'!T584/'ETF price'!U585</f>
        <v>-1.4088050314465465E-2</v>
      </c>
      <c r="U584">
        <f ca="1">'ETF variations'!U584/'ETF price'!V585</f>
        <v>-3.0994714079769323E-2</v>
      </c>
      <c r="V584">
        <f ca="1">'ETF variations'!V584/'ETF price'!W585</f>
        <v>-9.8135426889106626E-3</v>
      </c>
      <c r="W584">
        <f ca="1">'ETF variations'!W584/'ETF price'!X585</f>
        <v>-1.0937816487745578E-2</v>
      </c>
      <c r="X584">
        <f ca="1">'ETF variations'!X584/'ETF price'!Y585</f>
        <v>-1.7294900221729515E-2</v>
      </c>
      <c r="Y584">
        <f ca="1">'ETF variations'!Y584/'ETF price'!Z585</f>
        <v>-1.0959201388888791E-2</v>
      </c>
      <c r="Z584">
        <f ca="1">'ETF variations'!Z584/'ETF price'!AA585</f>
        <v>-1.8443178736099804E-2</v>
      </c>
      <c r="AA584">
        <f ca="1">'ETF variations'!AA584/'ETF price'!AB585</f>
        <v>-1.5700230270043958E-2</v>
      </c>
      <c r="AB584">
        <f ca="1">'ETF variations'!AB584/'ETF price'!AC585</f>
        <v>3.1303803412115016E-3</v>
      </c>
      <c r="AC584">
        <f ca="1">'ETF variations'!AC584/'ETF price'!AD585</f>
        <v>-7.3497854077253275E-2</v>
      </c>
      <c r="AD584">
        <f ca="1">'ETF variations'!AD584/'ETF price'!AE585</f>
        <v>-6.5669463699379815E-2</v>
      </c>
      <c r="AE584">
        <f ca="1">'ETF variations'!AE584/'ETF price'!AF585</f>
        <v>-2.2964509394572091E-2</v>
      </c>
      <c r="AF584">
        <f ca="1">'ETF variations'!AF584/'ETF price'!AG585</f>
        <v>-7.004436142890498E-2</v>
      </c>
    </row>
    <row r="585" spans="1:32" x14ac:dyDescent="0.2">
      <c r="A585">
        <f ca="1">'ETF variations'!A585/'ETF price'!B586</f>
        <v>-1.0240994548326382E-2</v>
      </c>
      <c r="B585">
        <f ca="1">'ETF variations'!B585/'ETF price'!C586</f>
        <v>-1.0834192387767092E-2</v>
      </c>
      <c r="C585">
        <f ca="1">'ETF variations'!C585/'ETF price'!D586</f>
        <v>1.5585987743058201E-2</v>
      </c>
      <c r="D585">
        <f ca="1">'ETF variations'!D585/'ETF price'!E586</f>
        <v>-3.3786625543249765E-2</v>
      </c>
      <c r="E585">
        <f ca="1">'ETF variations'!E585/'ETF price'!F586</f>
        <v>-5.6799740344043222E-3</v>
      </c>
      <c r="F585">
        <f ca="1">'ETF variations'!F585/'ETF price'!G586</f>
        <v>-2.0080321285140135E-3</v>
      </c>
      <c r="G585">
        <f ca="1">'ETF variations'!G585/'ETF price'!H586</f>
        <v>-8.0941869021338795E-3</v>
      </c>
      <c r="H585">
        <f ca="1">'ETF variations'!H585/'ETF price'!I586</f>
        <v>1.7815150003563029E-3</v>
      </c>
      <c r="I585">
        <f ca="1">'ETF variations'!I585/'ETF price'!J586</f>
        <v>4.8429932822994541E-3</v>
      </c>
      <c r="J585">
        <f ca="1">'ETF variations'!J585/'ETF price'!K586</f>
        <v>2.0248975732745093E-2</v>
      </c>
      <c r="K585">
        <f ca="1">'ETF variations'!K585/'ETF price'!L586</f>
        <v>3.2025525880406448E-2</v>
      </c>
      <c r="L585">
        <f ca="1">'ETF variations'!L585/'ETF price'!M586</f>
        <v>3.2692623624117005E-2</v>
      </c>
      <c r="M585">
        <f ca="1">'ETF variations'!M585/'ETF price'!N586</f>
        <v>4.2385709960642013E-3</v>
      </c>
      <c r="N585">
        <f ca="1">'ETF variations'!N585/'ETF price'!O586</f>
        <v>2.6395939086294395E-2</v>
      </c>
      <c r="O585">
        <f ca="1">'ETF variations'!O585/'ETF price'!P586</f>
        <v>-1.5932420872540581E-2</v>
      </c>
      <c r="P585">
        <f ca="1">'ETF variations'!P585/'ETF price'!Q586</f>
        <v>-1.6339367904265295E-2</v>
      </c>
      <c r="Q585">
        <f ca="1">'ETF variations'!Q585/'ETF price'!R586</f>
        <v>5.1901162134718268E-3</v>
      </c>
      <c r="R585">
        <f ca="1">'ETF variations'!R585/'ETF price'!S586</f>
        <v>3.3743883921032598E-4</v>
      </c>
      <c r="S585">
        <f ca="1">'ETF variations'!S585/'ETF price'!T586</f>
        <v>-1.4567266495287055E-2</v>
      </c>
      <c r="T585">
        <f ca="1">'ETF variations'!T585/'ETF price'!U586</f>
        <v>-3.1257973972952144E-2</v>
      </c>
      <c r="U585">
        <f ca="1">'ETF variations'!U585/'ETF price'!V586</f>
        <v>-7.4386312918425833E-4</v>
      </c>
      <c r="V585">
        <f ca="1">'ETF variations'!V585/'ETF price'!W586</f>
        <v>0</v>
      </c>
      <c r="W585">
        <f ca="1">'ETF variations'!W585/'ETF price'!X586</f>
        <v>1.0239606799099788E-3</v>
      </c>
      <c r="X585">
        <f ca="1">'ETF variations'!X585/'ETF price'!Y586</f>
        <v>2.1435018050541581E-2</v>
      </c>
      <c r="Y585">
        <f ca="1">'ETF variations'!Y585/'ETF price'!Z586</f>
        <v>5.7048820625342405E-3</v>
      </c>
      <c r="Z585">
        <f ca="1">'ETF variations'!Z585/'ETF price'!AA586</f>
        <v>5.5263885051127734E-4</v>
      </c>
      <c r="AA585">
        <f ca="1">'ETF variations'!AA585/'ETF price'!AB586</f>
        <v>2.573373032752007E-2</v>
      </c>
      <c r="AB585">
        <f ca="1">'ETF variations'!AB585/'ETF price'!AC586</f>
        <v>1.1546263067561161E-2</v>
      </c>
      <c r="AC585">
        <f ca="1">'ETF variations'!AC585/'ETF price'!AD586</f>
        <v>-1.7371163867979197E-2</v>
      </c>
      <c r="AD585">
        <f ca="1">'ETF variations'!AD585/'ETF price'!AE586</f>
        <v>-9.9570480281140211E-2</v>
      </c>
      <c r="AE585">
        <f ca="1">'ETF variations'!AE585/'ETF price'!AF586</f>
        <v>-6.4102564102564069E-2</v>
      </c>
      <c r="AF585">
        <f ca="1">'ETF variations'!AF585/'ETF price'!AG586</f>
        <v>-1.3557619884509143E-2</v>
      </c>
    </row>
    <row r="586" spans="1:32" x14ac:dyDescent="0.2">
      <c r="A586">
        <f ca="1">'ETF variations'!A586/'ETF price'!B587</f>
        <v>1.4413672397817417E-2</v>
      </c>
      <c r="B586">
        <f ca="1">'ETF variations'!B586/'ETF price'!C587</f>
        <v>1.3670637758751042E-2</v>
      </c>
      <c r="C586">
        <f ca="1">'ETF variations'!C586/'ETF price'!D587</f>
        <v>-4.3954406615510947E-3</v>
      </c>
      <c r="D586">
        <f ca="1">'ETF variations'!D586/'ETF price'!E587</f>
        <v>2.248984329657577E-2</v>
      </c>
      <c r="E586">
        <f ca="1">'ETF variations'!E586/'ETF price'!F587</f>
        <v>-8.1606006202063425E-4</v>
      </c>
      <c r="F586">
        <f ca="1">'ETF variations'!F586/'ETF price'!G587</f>
        <v>1.9450033534540518E-2</v>
      </c>
      <c r="G586">
        <f ca="1">'ETF variations'!G586/'ETF price'!H587</f>
        <v>1.0756676557863469E-2</v>
      </c>
      <c r="H586">
        <f ca="1">'ETF variations'!H586/'ETF price'!I587</f>
        <v>-7.1133873950791524E-4</v>
      </c>
      <c r="I586">
        <f ca="1">'ETF variations'!I586/'ETF price'!J587</f>
        <v>-5.4415422885566839E-4</v>
      </c>
      <c r="J586">
        <f ca="1">'ETF variations'!J586/'ETF price'!K587</f>
        <v>8.9582207120240676E-3</v>
      </c>
      <c r="K586">
        <f ca="1">'ETF variations'!K586/'ETF price'!L587</f>
        <v>1.1565326920874901E-2</v>
      </c>
      <c r="L586">
        <f ca="1">'ETF variations'!L586/'ETF price'!M587</f>
        <v>1.1135857461024544E-2</v>
      </c>
      <c r="M586">
        <f ca="1">'ETF variations'!M586/'ETF price'!N587</f>
        <v>-9.0443171540552109E-4</v>
      </c>
      <c r="N586">
        <f ca="1">'ETF variations'!N586/'ETF price'!O587</f>
        <v>2.0771513353115813E-2</v>
      </c>
      <c r="O586">
        <f ca="1">'ETF variations'!O586/'ETF price'!P587</f>
        <v>5.7589916331631111E-3</v>
      </c>
      <c r="P586">
        <f ca="1">'ETF variations'!P586/'ETF price'!Q587</f>
        <v>6.5507291585432696E-3</v>
      </c>
      <c r="Q586">
        <f ca="1">'ETF variations'!Q586/'ETF price'!R587</f>
        <v>-5.1633179930408342E-3</v>
      </c>
      <c r="R586">
        <f ca="1">'ETF variations'!R586/'ETF price'!S587</f>
        <v>1.3661663012312402E-2</v>
      </c>
      <c r="S586">
        <f ca="1">'ETF variations'!S586/'ETF price'!T587</f>
        <v>3.4782608695651434E-3</v>
      </c>
      <c r="T586">
        <f ca="1">'ETF variations'!T586/'ETF price'!U587</f>
        <v>0</v>
      </c>
      <c r="U586">
        <f ca="1">'ETF variations'!U586/'ETF price'!V587</f>
        <v>2.9528535980149005E-2</v>
      </c>
      <c r="V586">
        <f ca="1">'ETF variations'!V586/'ETF price'!W587</f>
        <v>2.4777006937562293E-3</v>
      </c>
      <c r="W586">
        <f ca="1">'ETF variations'!W586/'ETF price'!X587</f>
        <v>6.239770867430436E-3</v>
      </c>
      <c r="X586">
        <f ca="1">'ETF variations'!X586/'ETF price'!Y587</f>
        <v>1.3032913629335018E-2</v>
      </c>
      <c r="Y586">
        <f ca="1">'ETF variations'!Y586/'ETF price'!Z587</f>
        <v>4.9089124031853693E-3</v>
      </c>
      <c r="Z586">
        <f ca="1">'ETF variations'!Z586/'ETF price'!AA587</f>
        <v>1.436067384700348E-2</v>
      </c>
      <c r="AA586">
        <f ca="1">'ETF variations'!AA586/'ETF price'!AB587</f>
        <v>1.6379846568525945E-2</v>
      </c>
      <c r="AB586">
        <f ca="1">'ETF variations'!AB586/'ETF price'!AC587</f>
        <v>2.7764923646461026E-3</v>
      </c>
      <c r="AC586">
        <f ca="1">'ETF variations'!AC586/'ETF price'!AD587</f>
        <v>3.4177961107837468E-2</v>
      </c>
      <c r="AD586">
        <f ca="1">'ETF variations'!AD586/'ETF price'!AE587</f>
        <v>4.6400693842150925E-2</v>
      </c>
      <c r="AE586">
        <f ca="1">'ETF variations'!AE586/'ETF price'!AF587</f>
        <v>-9.1324200913242091E-3</v>
      </c>
      <c r="AF586">
        <f ca="1">'ETF variations'!AF586/'ETF price'!AG587</f>
        <v>4.8358360906082941E-2</v>
      </c>
    </row>
    <row r="587" spans="1:32" x14ac:dyDescent="0.2">
      <c r="A587">
        <f ca="1">'ETF variations'!A587/'ETF price'!B588</f>
        <v>2.7859535166954275E-2</v>
      </c>
      <c r="B587">
        <f ca="1">'ETF variations'!B587/'ETF price'!C588</f>
        <v>2.7012861347417604E-2</v>
      </c>
      <c r="C587">
        <f ca="1">'ETF variations'!C587/'ETF price'!D588</f>
        <v>2.9931158335842913E-4</v>
      </c>
      <c r="D587">
        <f ca="1">'ETF variations'!D587/'ETF price'!E588</f>
        <v>2.2515491225580584E-2</v>
      </c>
      <c r="E587">
        <f ca="1">'ETF variations'!E587/'ETF price'!F588</f>
        <v>-7.6772296635086385E-3</v>
      </c>
      <c r="F587">
        <f ca="1">'ETF variations'!F587/'ETF price'!G588</f>
        <v>1.7105263157894842E-2</v>
      </c>
      <c r="G587">
        <f ca="1">'ETF variations'!G587/'ETF price'!H588</f>
        <v>7.3394495412843772E-3</v>
      </c>
      <c r="H587">
        <f ca="1">'ETF variations'!H587/'ETF price'!I588</f>
        <v>2.4914578587700935E-3</v>
      </c>
      <c r="I587">
        <f ca="1">'ETF variations'!I587/'ETF price'!J588</f>
        <v>3.4222602473360638E-3</v>
      </c>
      <c r="J587">
        <f ca="1">'ETF variations'!J587/'ETF price'!K588</f>
        <v>1.7680826636050532E-2</v>
      </c>
      <c r="K587">
        <f ca="1">'ETF variations'!K587/'ETF price'!L588</f>
        <v>1.8564636631197652E-2</v>
      </c>
      <c r="L587">
        <f ca="1">'ETF variations'!L587/'ETF price'!M588</f>
        <v>7.866582756450597E-3</v>
      </c>
      <c r="M587">
        <f ca="1">'ETF variations'!M587/'ETF price'!N588</f>
        <v>3.6210018105008279E-3</v>
      </c>
      <c r="N587">
        <f ca="1">'ETF variations'!N587/'ETF price'!O588</f>
        <v>9.6899224806201202E-3</v>
      </c>
      <c r="O587">
        <f ca="1">'ETF variations'!O587/'ETF price'!P588</f>
        <v>1.0803802938624573E-4</v>
      </c>
      <c r="P587">
        <f ca="1">'ETF variations'!P587/'ETF price'!Q588</f>
        <v>7.7477337878666087E-4</v>
      </c>
      <c r="Q587">
        <f ca="1">'ETF variations'!Q587/'ETF price'!R588</f>
        <v>1.0154575200270853E-2</v>
      </c>
      <c r="R587">
        <f ca="1">'ETF variations'!R587/'ETF price'!S588</f>
        <v>1.2312811980033311E-2</v>
      </c>
      <c r="S587">
        <f ca="1">'ETF variations'!S587/'ETF price'!T588</f>
        <v>1.299826689774746E-3</v>
      </c>
      <c r="T587">
        <f ca="1">'ETF variations'!T587/'ETF price'!U588</f>
        <v>-1.0536020018438183E-2</v>
      </c>
      <c r="U587">
        <f ca="1">'ETF variations'!U587/'ETF price'!V588</f>
        <v>3.422511448541804E-2</v>
      </c>
      <c r="V587">
        <f ca="1">'ETF variations'!V587/'ETF price'!W588</f>
        <v>2.224419179436389E-3</v>
      </c>
      <c r="W587">
        <f ca="1">'ETF variations'!W587/'ETF price'!X588</f>
        <v>3.3546813052759811E-3</v>
      </c>
      <c r="X587">
        <f ca="1">'ETF variations'!X587/'ETF price'!Y588</f>
        <v>1.1556912341910187E-2</v>
      </c>
      <c r="Y587">
        <f ca="1">'ETF variations'!Y587/'ETF price'!Z588</f>
        <v>3.9079461571862725E-3</v>
      </c>
      <c r="Z587">
        <f ca="1">'ETF variations'!Z587/'ETF price'!AA588</f>
        <v>7.8954533079228506E-3</v>
      </c>
      <c r="AA587">
        <f ca="1">'ETF variations'!AA587/'ETF price'!AB588</f>
        <v>1.2851897184822427E-2</v>
      </c>
      <c r="AB587">
        <f ca="1">'ETF variations'!AB587/'ETF price'!AC588</f>
        <v>3.9993847100444685E-3</v>
      </c>
      <c r="AC587">
        <f ca="1">'ETF variations'!AC587/'ETF price'!AD588</f>
        <v>3.8176638176638071E-2</v>
      </c>
      <c r="AD587">
        <f ca="1">'ETF variations'!AD587/'ETF price'!AE588</f>
        <v>4.5171985080812264E-2</v>
      </c>
      <c r="AE587">
        <f ca="1">'ETF variations'!AE587/'ETF price'!AF588</f>
        <v>3.2258064516129163E-2</v>
      </c>
      <c r="AF587">
        <f ca="1">'ETF variations'!AF587/'ETF price'!AG588</f>
        <v>6.5549890750182848E-3</v>
      </c>
    </row>
    <row r="588" spans="1:32" x14ac:dyDescent="0.2">
      <c r="A588">
        <f ca="1">'ETF variations'!A588/'ETF price'!B589</f>
        <v>1.1750185139471712E-2</v>
      </c>
      <c r="B588">
        <f ca="1">'ETF variations'!B588/'ETF price'!C589</f>
        <v>1.4466297648490679E-2</v>
      </c>
      <c r="C588">
        <f ca="1">'ETF variations'!C588/'ETF price'!D589</f>
        <v>-1.0472770795931685E-3</v>
      </c>
      <c r="D588">
        <f ca="1">'ETF variations'!D588/'ETF price'!E589</f>
        <v>2.0770689734930885E-2</v>
      </c>
      <c r="E588">
        <f ca="1">'ETF variations'!E588/'ETF price'!F589</f>
        <v>1.4650205761316882E-2</v>
      </c>
      <c r="F588">
        <f ca="1">'ETF variations'!F588/'ETF price'!G589</f>
        <v>1.4877102199223715E-2</v>
      </c>
      <c r="G588">
        <f ca="1">'ETF variations'!G588/'ETF price'!H589</f>
        <v>1.3114754098360635E-2</v>
      </c>
      <c r="H588">
        <f ca="1">'ETF variations'!H588/'ETF price'!I589</f>
        <v>4.0474330753390124E-3</v>
      </c>
      <c r="I588">
        <f ca="1">'ETF variations'!I588/'ETF price'!J589</f>
        <v>4.4182621502210804E-3</v>
      </c>
      <c r="J588">
        <f ca="1">'ETF variations'!J588/'ETF price'!K589</f>
        <v>4.5126353790615428E-4</v>
      </c>
      <c r="K588">
        <f ca="1">'ETF variations'!K588/'ETF price'!L589</f>
        <v>6.6681484774393672E-3</v>
      </c>
      <c r="L588">
        <f ca="1">'ETF variations'!L588/'ETF price'!M589</f>
        <v>-8.1173899469248068E-3</v>
      </c>
      <c r="M588">
        <f ca="1">'ETF variations'!M588/'ETF price'!N589</f>
        <v>4.8105832832232021E-3</v>
      </c>
      <c r="N588">
        <f ca="1">'ETF variations'!N588/'ETF price'!O589</f>
        <v>4.798464491362832E-3</v>
      </c>
      <c r="O588">
        <f ca="1">'ETF variations'!O588/'ETF price'!P589</f>
        <v>7.8859241654964246E-3</v>
      </c>
      <c r="P588">
        <f ca="1">'ETF variations'!P588/'ETF price'!Q589</f>
        <v>8.438491909886223E-3</v>
      </c>
      <c r="Q588">
        <f ca="1">'ETF variations'!Q588/'ETF price'!R589</f>
        <v>6.0314978219590306E-3</v>
      </c>
      <c r="R588">
        <f ca="1">'ETF variations'!R588/'ETF price'!S589</f>
        <v>3.9447731755423224E-3</v>
      </c>
      <c r="S588">
        <f ca="1">'ETF variations'!S588/'ETF price'!T589</f>
        <v>1.1250540891389077E-2</v>
      </c>
      <c r="T588">
        <f ca="1">'ETF variations'!T588/'ETF price'!U589</f>
        <v>7.054438972447773E-3</v>
      </c>
      <c r="U588">
        <f ca="1">'ETF variations'!U588/'ETF price'!V589</f>
        <v>7.9235609415055572E-3</v>
      </c>
      <c r="V588">
        <f ca="1">'ETF variations'!V588/'ETF price'!W589</f>
        <v>1.2823674475955688E-2</v>
      </c>
      <c r="W588">
        <f ca="1">'ETF variations'!W588/'ETF price'!X589</f>
        <v>1.1651469098277523E-2</v>
      </c>
      <c r="X588">
        <f ca="1">'ETF variations'!X588/'ETF price'!Y589</f>
        <v>1.0778184953653805E-2</v>
      </c>
      <c r="Y588">
        <f ca="1">'ETF variations'!Y588/'ETF price'!Z589</f>
        <v>1.2218858131487839E-2</v>
      </c>
      <c r="Z588">
        <f ca="1">'ETF variations'!Z588/'ETF price'!AA589</f>
        <v>2.7012425715823904E-4</v>
      </c>
      <c r="AA588">
        <f ca="1">'ETF variations'!AA588/'ETF price'!AB589</f>
        <v>7.85498489425983E-3</v>
      </c>
      <c r="AB588">
        <f ca="1">'ETF variations'!AB588/'ETF price'!AC589</f>
        <v>7.8136969511261711E-3</v>
      </c>
      <c r="AC588">
        <f ca="1">'ETF variations'!AC588/'ETF price'!AD589</f>
        <v>5.4884742041713189E-3</v>
      </c>
      <c r="AD588">
        <f ca="1">'ETF variations'!AD588/'ETF price'!AE589</f>
        <v>1.744647105471853E-2</v>
      </c>
      <c r="AE588">
        <f ca="1">'ETF variations'!AE588/'ETF price'!AF589</f>
        <v>3.5714285714285546E-2</v>
      </c>
      <c r="AF588">
        <f ca="1">'ETF variations'!AF588/'ETF price'!AG589</f>
        <v>4.7756874095513671E-2</v>
      </c>
    </row>
    <row r="589" spans="1:32" x14ac:dyDescent="0.2">
      <c r="A589">
        <f ca="1">'ETF variations'!A589/'ETF price'!B590</f>
        <v>-3.2694090665105935E-3</v>
      </c>
      <c r="B589">
        <f ca="1">'ETF variations'!B589/'ETF price'!C590</f>
        <v>-4.1793239556528871E-3</v>
      </c>
      <c r="C589">
        <f ca="1">'ETF variations'!C589/'ETF price'!D590</f>
        <v>3.2200089860716405E-3</v>
      </c>
      <c r="D589">
        <f ca="1">'ETF variations'!D589/'ETF price'!E590</f>
        <v>-8.8371249886703019E-3</v>
      </c>
      <c r="E589">
        <f ca="1">'ETF variations'!E589/'ETF price'!F590</f>
        <v>-1.1356262167423797E-3</v>
      </c>
      <c r="F589">
        <f ca="1">'ETF variations'!F589/'ETF price'!G590</f>
        <v>6.3734862970043257E-4</v>
      </c>
      <c r="G589">
        <f ca="1">'ETF variations'!G589/'ETF price'!H590</f>
        <v>-1.0787486515640987E-3</v>
      </c>
      <c r="H589">
        <f ca="1">'ETF variations'!H589/'ETF price'!I590</f>
        <v>8.2743988684581861E-3</v>
      </c>
      <c r="I589">
        <f ca="1">'ETF variations'!I589/'ETF price'!J590</f>
        <v>7.3313782991201466E-3</v>
      </c>
      <c r="J589">
        <f ca="1">'ETF variations'!J589/'ETF price'!K590</f>
        <v>1.9545932942413987E-3</v>
      </c>
      <c r="K589">
        <f ca="1">'ETF variations'!K589/'ETF price'!L590</f>
        <v>-1.6559947008168634E-3</v>
      </c>
      <c r="L589">
        <f ca="1">'ETF variations'!L589/'ETF price'!M590</f>
        <v>9.6002518098836417E-3</v>
      </c>
      <c r="M589">
        <f ca="1">'ETF variations'!M589/'ETF price'!N590</f>
        <v>7.1813285457808162E-3</v>
      </c>
      <c r="N589">
        <f ca="1">'ETF variations'!N589/'ETF price'!O590</f>
        <v>-6.6857688634193203E-3</v>
      </c>
      <c r="O589">
        <f ca="1">'ETF variations'!O589/'ETF price'!P590</f>
        <v>-9.6463022508042247E-4</v>
      </c>
      <c r="P589">
        <f ca="1">'ETF variations'!P589/'ETF price'!Q590</f>
        <v>-1.5353907569462468E-4</v>
      </c>
      <c r="Q589">
        <f ca="1">'ETF variations'!Q589/'ETF price'!R590</f>
        <v>1.1879649161763156E-2</v>
      </c>
      <c r="R589">
        <f ca="1">'ETF variations'!R589/'ETF price'!S590</f>
        <v>4.2567125081860698E-3</v>
      </c>
      <c r="S589">
        <f ca="1">'ETF variations'!S589/'ETF price'!T590</f>
        <v>-8.5579803166450886E-4</v>
      </c>
      <c r="T589">
        <f ca="1">'ETF variations'!T589/'ETF price'!U590</f>
        <v>-2.1147237642082555E-3</v>
      </c>
      <c r="U589">
        <f ca="1">'ETF variations'!U589/'ETF price'!V590</f>
        <v>-4.3930635838149764E-3</v>
      </c>
      <c r="V589">
        <f ca="1">'ETF variations'!V589/'ETF price'!W590</f>
        <v>3.4088142196250443E-3</v>
      </c>
      <c r="W589">
        <f ca="1">'ETF variations'!W589/'ETF price'!X590</f>
        <v>2.4036054081122593E-3</v>
      </c>
      <c r="X589">
        <f ca="1">'ETF variations'!X589/'ETF price'!Y590</f>
        <v>-1.4928556195350881E-3</v>
      </c>
      <c r="Y589">
        <f ca="1">'ETF variations'!Y589/'ETF price'!Z590</f>
        <v>1.3887405191752532E-3</v>
      </c>
      <c r="Z589">
        <f ca="1">'ETF variations'!Z589/'ETF price'!AA590</f>
        <v>1.0532001080205255E-2</v>
      </c>
      <c r="AA589">
        <f ca="1">'ETF variations'!AA589/'ETF price'!AB590</f>
        <v>-3.1974420463628415E-3</v>
      </c>
      <c r="AB589">
        <f ca="1">'ETF variations'!AB589/'ETF price'!AC590</f>
        <v>4.5606567345697346E-3</v>
      </c>
      <c r="AC589">
        <f ca="1">'ETF variations'!AC589/'ETF price'!AD590</f>
        <v>-5.4585152838428725E-3</v>
      </c>
      <c r="AD589">
        <f ca="1">'ETF variations'!AD589/'ETF price'!AE590</f>
        <v>-1.9485580670304252E-3</v>
      </c>
      <c r="AE589">
        <f ca="1">'ETF variations'!AE589/'ETF price'!AF590</f>
        <v>1.9396551724138095E-2</v>
      </c>
      <c r="AF589">
        <f ca="1">'ETF variations'!AF589/'ETF price'!AG590</f>
        <v>-3.176795580110487E-2</v>
      </c>
    </row>
    <row r="590" spans="1:32" x14ac:dyDescent="0.2">
      <c r="A590">
        <f ca="1">'ETF variations'!A590/'ETF price'!B591</f>
        <v>2.8395182610399124E-3</v>
      </c>
      <c r="B590">
        <f ca="1">'ETF variations'!B590/'ETF price'!C591</f>
        <v>1.4572444478986536E-3</v>
      </c>
      <c r="C590">
        <f ca="1">'ETF variations'!C590/'ETF price'!D591</f>
        <v>3.6575352690901629E-3</v>
      </c>
      <c r="D590">
        <f ca="1">'ETF variations'!D590/'ETF price'!E591</f>
        <v>9.6017557496218525E-4</v>
      </c>
      <c r="E590">
        <f ca="1">'ETF variations'!E590/'ETF price'!F591</f>
        <v>-8.6080883547182251E-3</v>
      </c>
      <c r="F590">
        <f ca="1">'ETF variations'!F590/'ETF price'!G591</f>
        <v>-6.3694267515923345E-3</v>
      </c>
      <c r="G590">
        <f ca="1">'ETF variations'!G590/'ETF price'!H591</f>
        <v>-5.3995680345573123E-3</v>
      </c>
      <c r="H590">
        <f ca="1">'ETF variations'!H590/'ETF price'!I591</f>
        <v>-3.4369081854526248E-3</v>
      </c>
      <c r="I590">
        <f ca="1">'ETF variations'!I590/'ETF price'!J591</f>
        <v>-5.0180035240940868E-3</v>
      </c>
      <c r="J590">
        <f ca="1">'ETF variations'!J590/'ETF price'!K591</f>
        <v>-5.1770708283313156E-3</v>
      </c>
      <c r="K590">
        <f ca="1">'ETF variations'!K590/'ETF price'!L591</f>
        <v>-1.4596925798960603E-2</v>
      </c>
      <c r="L590">
        <f ca="1">'ETF variations'!L590/'ETF price'!M591</f>
        <v>-6.2353858144973597E-3</v>
      </c>
      <c r="M590">
        <f ca="1">'ETF variations'!M590/'ETF price'!N591</f>
        <v>-5.6446821152702836E-3</v>
      </c>
      <c r="N590">
        <f ca="1">'ETF variations'!N590/'ETF price'!O591</f>
        <v>-7.6923076923076988E-3</v>
      </c>
      <c r="O590">
        <f ca="1">'ETF variations'!O590/'ETF price'!P591</f>
        <v>-1.1801308872438519E-3</v>
      </c>
      <c r="P590">
        <f ca="1">'ETF variations'!P590/'ETF price'!Q591</f>
        <v>-1.5356265356266665E-3</v>
      </c>
      <c r="Q590">
        <f ca="1">'ETF variations'!Q590/'ETF price'!R591</f>
        <v>-4.6082949308755951E-3</v>
      </c>
      <c r="R590">
        <f ca="1">'ETF variations'!R590/'ETF price'!S591</f>
        <v>-8.4773394196283516E-3</v>
      </c>
      <c r="S590">
        <f ca="1">'ETF variations'!S590/'ETF price'!T591</f>
        <v>-5.1391862955032543E-3</v>
      </c>
      <c r="T590">
        <f ca="1">'ETF variations'!T590/'ETF price'!U591</f>
        <v>8.0794701986754893E-3</v>
      </c>
      <c r="U590">
        <f ca="1">'ETF variations'!U590/'ETF price'!V591</f>
        <v>-1.3469577333952749E-2</v>
      </c>
      <c r="V590">
        <f ca="1">'ETF variations'!V590/'ETF price'!W591</f>
        <v>3.6398932297985582E-3</v>
      </c>
      <c r="W590">
        <f ca="1">'ETF variations'!W590/'ETF price'!X591</f>
        <v>3.8964931561594621E-3</v>
      </c>
      <c r="X590">
        <f ca="1">'ETF variations'!X590/'ETF price'!Y591</f>
        <v>4.9124305852199244E-3</v>
      </c>
      <c r="Y590">
        <f ca="1">'ETF variations'!Y590/'ETF price'!Z591</f>
        <v>3.4136974610625924E-3</v>
      </c>
      <c r="Z590">
        <f ca="1">'ETF variations'!Z590/'ETF price'!AA591</f>
        <v>-9.3532870122929289E-3</v>
      </c>
      <c r="AA590">
        <f ca="1">'ETF variations'!AA590/'ETF price'!AB591</f>
        <v>5.8139534883720756E-3</v>
      </c>
      <c r="AB590">
        <f ca="1">'ETF variations'!AB590/'ETF price'!AC591</f>
        <v>-3.9346246973366392E-3</v>
      </c>
      <c r="AC590">
        <f ca="1">'ETF variations'!AC590/'ETF price'!AD591</f>
        <v>-1.5916575192096553E-2</v>
      </c>
      <c r="AD590">
        <f ca="1">'ETF variations'!AD590/'ETF price'!AE591</f>
        <v>-1.5228426395939109E-2</v>
      </c>
      <c r="AE590">
        <f ca="1">'ETF variations'!AE590/'ETF price'!AF591</f>
        <v>-3.1712473572938764E-2</v>
      </c>
      <c r="AF590">
        <f ca="1">'ETF variations'!AF590/'ETF price'!AG591</f>
        <v>-7.608178792201623E-3</v>
      </c>
    </row>
    <row r="591" spans="1:32" x14ac:dyDescent="0.2">
      <c r="A591">
        <f ca="1">'ETF variations'!A591/'ETF price'!B592</f>
        <v>-2.9291154071471527E-4</v>
      </c>
      <c r="B591">
        <f ca="1">'ETF variations'!B591/'ETF price'!C592</f>
        <v>-9.8948430406268855E-4</v>
      </c>
      <c r="C591">
        <f ca="1">'ETF variations'!C591/'ETF price'!D592</f>
        <v>8.8502156775248971E-3</v>
      </c>
      <c r="D591">
        <f ca="1">'ETF variations'!D591/'ETF price'!E592</f>
        <v>-3.7456605152566837E-3</v>
      </c>
      <c r="E591">
        <f ca="1">'ETF variations'!E591/'ETF price'!F592</f>
        <v>-1.1467889908256927E-3</v>
      </c>
      <c r="F591">
        <f ca="1">'ETF variations'!F591/'ETF price'!G592</f>
        <v>4.4871794871795059E-3</v>
      </c>
      <c r="G591">
        <f ca="1">'ETF variations'!G591/'ETF price'!H592</f>
        <v>6.5146579804560159E-3</v>
      </c>
      <c r="H591">
        <f ca="1">'ETF variations'!H591/'ETF price'!I592</f>
        <v>8.5867117117117038E-3</v>
      </c>
      <c r="I591">
        <f ca="1">'ETF variations'!I591/'ETF price'!J592</f>
        <v>8.854667949951921E-3</v>
      </c>
      <c r="J591">
        <f ca="1">'ETF variations'!J591/'ETF price'!K592</f>
        <v>6.2598989365712657E-3</v>
      </c>
      <c r="K591">
        <f ca="1">'ETF variations'!K591/'ETF price'!L592</f>
        <v>-1.4588710582425705E-3</v>
      </c>
      <c r="L591">
        <f ca="1">'ETF variations'!L591/'ETF price'!M592</f>
        <v>5.0196078431371475E-3</v>
      </c>
      <c r="M591">
        <f ca="1">'ETF variations'!M591/'ETF price'!N592</f>
        <v>9.7101882282642025E-3</v>
      </c>
      <c r="N591">
        <f ca="1">'ETF variations'!N591/'ETF price'!O592</f>
        <v>1.162790697674411E-2</v>
      </c>
      <c r="O591">
        <f ca="1">'ETF variations'!O591/'ETF price'!P592</f>
        <v>1.3426423200859293E-2</v>
      </c>
      <c r="P591">
        <f ca="1">'ETF variations'!P591/'ETF price'!Q592</f>
        <v>1.3764995386035225E-2</v>
      </c>
      <c r="Q591">
        <f ca="1">'ETF variations'!Q591/'ETF price'!R592</f>
        <v>1.1133156966490356E-2</v>
      </c>
      <c r="R591">
        <f ca="1">'ETF variations'!R591/'ETF price'!S592</f>
        <v>2.0881289049654771E-2</v>
      </c>
      <c r="S591">
        <f ca="1">'ETF variations'!S591/'ETF price'!T592</f>
        <v>3.8743004735256074E-3</v>
      </c>
      <c r="T591">
        <f ca="1">'ETF variations'!T591/'ETF price'!U592</f>
        <v>5.3869399553277703E-3</v>
      </c>
      <c r="U591">
        <f ca="1">'ETF variations'!U591/'ETF price'!V592</f>
        <v>1.6949152542373024E-2</v>
      </c>
      <c r="V591">
        <f ca="1">'ETF variations'!V591/'ETF price'!W592</f>
        <v>7.4951644100580824E-3</v>
      </c>
      <c r="W591">
        <f ca="1">'ETF variations'!W591/'ETF price'!X592</f>
        <v>7.9617834394904181E-3</v>
      </c>
      <c r="X591">
        <f ca="1">'ETF variations'!X591/'ETF price'!Y592</f>
        <v>6.5887353878852769E-3</v>
      </c>
      <c r="Y591">
        <f ca="1">'ETF variations'!Y591/'ETF price'!Z592</f>
        <v>8.5052094407824484E-3</v>
      </c>
      <c r="Z591">
        <f ca="1">'ETF variations'!Z591/'ETF price'!AA592</f>
        <v>2.3738872403560901E-2</v>
      </c>
      <c r="AA591">
        <f ca="1">'ETF variations'!AA591/'ETF price'!AB592</f>
        <v>4.7837352999799652E-3</v>
      </c>
      <c r="AB591">
        <f ca="1">'ETF variations'!AB591/'ETF price'!AC592</f>
        <v>5.4694621695535349E-3</v>
      </c>
      <c r="AC591">
        <f ca="1">'ETF variations'!AC591/'ETF price'!AD592</f>
        <v>6.6926938092582823E-3</v>
      </c>
      <c r="AD591">
        <f ca="1">'ETF variations'!AD591/'ETF price'!AE592</f>
        <v>5.551149881046811E-3</v>
      </c>
      <c r="AE591">
        <f ca="1">'ETF variations'!AE591/'ETF price'!AF592</f>
        <v>-1.3100436681222816E-2</v>
      </c>
      <c r="AF591">
        <f ca="1">'ETF variations'!AF591/'ETF price'!AG592</f>
        <v>1.0781025395304162E-2</v>
      </c>
    </row>
    <row r="592" spans="1:32" x14ac:dyDescent="0.2">
      <c r="A592">
        <f ca="1">'ETF variations'!A592/'ETF price'!B593</f>
        <v>3.7112999316339041E-3</v>
      </c>
      <c r="B592">
        <f ca="1">'ETF variations'!B592/'ETF price'!C593</f>
        <v>2.6218174049834394E-3</v>
      </c>
      <c r="C592">
        <f ca="1">'ETF variations'!C592/'ETF price'!D593</f>
        <v>2.2484334684850591E-2</v>
      </c>
      <c r="D592">
        <f ca="1">'ETF variations'!D592/'ETF price'!E593</f>
        <v>9.8120128381477059E-3</v>
      </c>
      <c r="E592">
        <f ca="1">'ETF variations'!E592/'ETF price'!F593</f>
        <v>7.0526488436936149E-3</v>
      </c>
      <c r="F592">
        <f ca="1">'ETF variations'!F592/'ETF price'!G593</f>
        <v>-2.2335673261008387E-3</v>
      </c>
      <c r="G592">
        <f ca="1">'ETF variations'!G592/'ETF price'!H593</f>
        <v>-1.4383315354188834E-3</v>
      </c>
      <c r="H592">
        <f ca="1">'ETF variations'!H592/'ETF price'!I593</f>
        <v>2.0237264480111095E-3</v>
      </c>
      <c r="I592">
        <f ca="1">'ETF variations'!I592/'ETF price'!J593</f>
        <v>5.3424918908600021E-4</v>
      </c>
      <c r="J592">
        <f ca="1">'ETF variations'!J592/'ETF price'!K593</f>
        <v>-1.4990256333369668E-4</v>
      </c>
      <c r="K592">
        <f ca="1">'ETF variations'!K592/'ETF price'!L593</f>
        <v>-9.4403236682400922E-3</v>
      </c>
      <c r="L592">
        <f ca="1">'ETF variations'!L592/'ETF price'!M593</f>
        <v>-7.6478851256437481E-3</v>
      </c>
      <c r="M592">
        <f ca="1">'ETF variations'!M592/'ETF price'!N593</f>
        <v>4.4385264092323029E-4</v>
      </c>
      <c r="N592">
        <f ca="1">'ETF variations'!N592/'ETF price'!O593</f>
        <v>-1.9157088122604958E-3</v>
      </c>
      <c r="O592">
        <f ca="1">'ETF variations'!O592/'ETF price'!P593</f>
        <v>-5.5113937466878225E-3</v>
      </c>
      <c r="P592">
        <f ca="1">'ETF variations'!P592/'ETF price'!Q593</f>
        <v>-6.5235530607601726E-3</v>
      </c>
      <c r="Q592">
        <f ca="1">'ETF variations'!Q592/'ETF price'!R593</f>
        <v>1.1991714815218514E-3</v>
      </c>
      <c r="R592">
        <f ca="1">'ETF variations'!R592/'ETF price'!S593</f>
        <v>-8.0528265421162832E-3</v>
      </c>
      <c r="S592">
        <f ca="1">'ETF variations'!S592/'ETF price'!T593</f>
        <v>-1.7152658662092258E-3</v>
      </c>
      <c r="T592">
        <f ca="1">'ETF variations'!T592/'ETF price'!U593</f>
        <v>-1.5943544171458428E-2</v>
      </c>
      <c r="U592">
        <f ca="1">'ETF variations'!U592/'ETF price'!V593</f>
        <v>-2.6388888888888899E-2</v>
      </c>
      <c r="V592">
        <f ca="1">'ETF variations'!V592/'ETF price'!W593</f>
        <v>3.8396928245739521E-3</v>
      </c>
      <c r="W592">
        <f ca="1">'ETF variations'!W592/'ETF price'!X593</f>
        <v>2.4684044233807267E-3</v>
      </c>
      <c r="X592">
        <f ca="1">'ETF variations'!X592/'ETF price'!Y593</f>
        <v>-4.222972972972133E-4</v>
      </c>
      <c r="Y592">
        <f ca="1">'ETF variations'!Y592/'ETF price'!Z593</f>
        <v>3.5842293906810396E-3</v>
      </c>
      <c r="Z592">
        <f ca="1">'ETF variations'!Z592/'ETF price'!AA593</f>
        <v>-3.6890645586297906E-3</v>
      </c>
      <c r="AA592">
        <f ca="1">'ETF variations'!AA592/'ETF price'!AB593</f>
        <v>-1.1902400317396384E-3</v>
      </c>
      <c r="AB592">
        <f ca="1">'ETF variations'!AB592/'ETF price'!AC593</f>
        <v>1.1634935025687458E-2</v>
      </c>
      <c r="AC592">
        <f ca="1">'ETF variations'!AC592/'ETF price'!AD593</f>
        <v>-3.379501385041548E-2</v>
      </c>
      <c r="AD592">
        <f ca="1">'ETF variations'!AD592/'ETF price'!AE593</f>
        <v>-2.8391167192428977E-2</v>
      </c>
      <c r="AE592">
        <f ca="1">'ETF variations'!AE592/'ETF price'!AF593</f>
        <v>2.433628318584078E-2</v>
      </c>
      <c r="AF592">
        <f ca="1">'ETF variations'!AF592/'ETF price'!AG593</f>
        <v>-6.1625977719838694E-2</v>
      </c>
    </row>
    <row r="593" spans="1:32" x14ac:dyDescent="0.2">
      <c r="A593">
        <f ca="1">'ETF variations'!A593/'ETF price'!B594</f>
        <v>4.719276053322949E-3</v>
      </c>
      <c r="B593">
        <f ca="1">'ETF variations'!B593/'ETF price'!C594</f>
        <v>4.8812613799248091E-3</v>
      </c>
      <c r="C593">
        <f ca="1">'ETF variations'!C593/'ETF price'!D594</f>
        <v>-2.5234318673395409E-3</v>
      </c>
      <c r="D593">
        <f ca="1">'ETF variations'!D593/'ETF price'!E594</f>
        <v>2.0886305848164706E-3</v>
      </c>
      <c r="E593">
        <f ca="1">'ETF variations'!E593/'ETF price'!F594</f>
        <v>3.0944625407166911E-3</v>
      </c>
      <c r="F593">
        <f ca="1">'ETF variations'!F593/'ETF price'!G594</f>
        <v>1.5989766549408607E-3</v>
      </c>
      <c r="G593">
        <f ca="1">'ETF variations'!G593/'ETF price'!H594</f>
        <v>2.1606049693913836E-3</v>
      </c>
      <c r="H593">
        <f ca="1">'ETF variations'!H593/'ETF price'!I594</f>
        <v>-9.7499825893178338E-4</v>
      </c>
      <c r="I593">
        <f ca="1">'ETF variations'!I593/'ETF price'!J594</f>
        <v>-7.6280559899240288E-5</v>
      </c>
      <c r="J593">
        <f ca="1">'ETF variations'!J593/'ETF price'!K594</f>
        <v>7.5712143928035299E-3</v>
      </c>
      <c r="K593">
        <f ca="1">'ETF variations'!K593/'ETF price'!L594</f>
        <v>1.9741320626276319E-2</v>
      </c>
      <c r="L593">
        <f ca="1">'ETF variations'!L593/'ETF price'!M594</f>
        <v>7.0776973891161195E-3</v>
      </c>
      <c r="M593">
        <f ca="1">'ETF variations'!M593/'ETF price'!N594</f>
        <v>-4.4365572315884552E-4</v>
      </c>
      <c r="N593">
        <f ca="1">'ETF variations'!N593/'ETF price'!O594</f>
        <v>1.7754318618042275E-2</v>
      </c>
      <c r="O593">
        <f ca="1">'ETF variations'!O593/'ETF price'!P594</f>
        <v>-2.6643930512629224E-3</v>
      </c>
      <c r="P593">
        <f ca="1">'ETF variations'!P593/'ETF price'!Q594</f>
        <v>-3.0541345346262938E-3</v>
      </c>
      <c r="Q593">
        <f ca="1">'ETF variations'!Q593/'ETF price'!R594</f>
        <v>-6.533101045296415E-4</v>
      </c>
      <c r="R593">
        <f ca="1">'ETF variations'!R593/'ETF price'!S594</f>
        <v>3.4096444227958069E-3</v>
      </c>
      <c r="S593">
        <f ca="1">'ETF variations'!S593/'ETF price'!T594</f>
        <v>6.4432989690721039E-3</v>
      </c>
      <c r="T593">
        <f ca="1">'ETF variations'!T593/'ETF price'!U594</f>
        <v>1.1022576361221757E-2</v>
      </c>
      <c r="U593">
        <f ca="1">'ETF variations'!U593/'ETF price'!V594</f>
        <v>1.6880646695197357E-2</v>
      </c>
      <c r="V593">
        <f ca="1">'ETF variations'!V593/'ETF price'!W594</f>
        <v>-4.0640688501076194E-3</v>
      </c>
      <c r="W593">
        <f ca="1">'ETF variations'!W593/'ETF price'!X594</f>
        <v>-3.5457500246232586E-3</v>
      </c>
      <c r="X593">
        <f ca="1">'ETF variations'!X593/'ETF price'!Y594</f>
        <v>-5.069708491761765E-3</v>
      </c>
      <c r="Y593">
        <f ca="1">'ETF variations'!Y593/'ETF price'!Z594</f>
        <v>-5.7773109243697178E-3</v>
      </c>
      <c r="Z593">
        <f ca="1">'ETF variations'!Z593/'ETF price'!AA594</f>
        <v>2.644802962179167E-3</v>
      </c>
      <c r="AA593">
        <f ca="1">'ETF variations'!AA593/'ETF price'!AB594</f>
        <v>-9.9304865938439437E-4</v>
      </c>
      <c r="AB593">
        <f ca="1">'ETF variations'!AB593/'ETF price'!AC594</f>
        <v>-4.331590739357823E-3</v>
      </c>
      <c r="AC593">
        <f ca="1">'ETF variations'!AC593/'ETF price'!AD594</f>
        <v>2.9816513761467864E-2</v>
      </c>
      <c r="AD593">
        <f ca="1">'ETF variations'!AD593/'ETF price'!AE594</f>
        <v>4.2207792207792173E-2</v>
      </c>
      <c r="AE593">
        <f ca="1">'ETF variations'!AE593/'ETF price'!AF594</f>
        <v>-5.1835853131749508E-2</v>
      </c>
      <c r="AF593">
        <f ca="1">'ETF variations'!AF593/'ETF price'!AG594</f>
        <v>2.273301338721806E-3</v>
      </c>
    </row>
    <row r="594" spans="1:32" x14ac:dyDescent="0.2">
      <c r="A594">
        <f ca="1">'ETF variations'!A594/'ETF price'!B595</f>
        <v>8.8615563410973444E-3</v>
      </c>
      <c r="B594">
        <f ca="1">'ETF variations'!B594/'ETF price'!C595</f>
        <v>1.0293380623771217E-2</v>
      </c>
      <c r="C594">
        <f ca="1">'ETF variations'!C594/'ETF price'!D595</f>
        <v>-2.3852547885795743E-3</v>
      </c>
      <c r="D594">
        <f ca="1">'ETF variations'!D594/'ETF price'!E595</f>
        <v>1.6628908019936637E-2</v>
      </c>
      <c r="E594">
        <f ca="1">'ETF variations'!E594/'ETF price'!F595</f>
        <v>8.2805650267900304E-3</v>
      </c>
      <c r="F594">
        <f ca="1">'ETF variations'!F594/'ETF price'!G595</f>
        <v>5.4278416347381276E-3</v>
      </c>
      <c r="G594">
        <f ca="1">'ETF variations'!G594/'ETF price'!H595</f>
        <v>8.2644628099173712E-3</v>
      </c>
      <c r="H594">
        <f ca="1">'ETF variations'!H594/'ETF price'!I595</f>
        <v>4.2523527361450937E-3</v>
      </c>
      <c r="I594">
        <f ca="1">'ETF variations'!I594/'ETF price'!J595</f>
        <v>4.2338940382193107E-3</v>
      </c>
      <c r="J594">
        <f ca="1">'ETF variations'!J594/'ETF price'!K595</f>
        <v>7.8863179822930007E-3</v>
      </c>
      <c r="K594">
        <f ca="1">'ETF variations'!K594/'ETF price'!L595</f>
        <v>1.0013351134846527E-2</v>
      </c>
      <c r="L594">
        <f ca="1">'ETF variations'!L594/'ETF price'!M595</f>
        <v>9.0582539434639741E-3</v>
      </c>
      <c r="M594">
        <f ca="1">'ETF variations'!M594/'ETF price'!N595</f>
        <v>4.4385264092320926E-3</v>
      </c>
      <c r="N594">
        <f ca="1">'ETF variations'!N594/'ETF price'!O595</f>
        <v>1.9330504479019336E-2</v>
      </c>
      <c r="O594">
        <f ca="1">'ETF variations'!O594/'ETF price'!P595</f>
        <v>1.2823252831802153E-3</v>
      </c>
      <c r="P594">
        <f ca="1">'ETF variations'!P594/'ETF price'!Q595</f>
        <v>3.4464272037988595E-3</v>
      </c>
      <c r="Q594">
        <f ca="1">'ETF variations'!Q594/'ETF price'!R595</f>
        <v>9.8060579646985628E-4</v>
      </c>
      <c r="R594">
        <f ca="1">'ETF variations'!R594/'ETF price'!S595</f>
        <v>1.035598705501619E-2</v>
      </c>
      <c r="S594">
        <f ca="1">'ETF variations'!S594/'ETF price'!T595</f>
        <v>-4.2680324370465827E-3</v>
      </c>
      <c r="T594">
        <f ca="1">'ETF variations'!T594/'ETF price'!U595</f>
        <v>-1.2084592145015128E-2</v>
      </c>
      <c r="U594">
        <f ca="1">'ETF variations'!U594/'ETF price'!V595</f>
        <v>2.3380874444704231E-2</v>
      </c>
      <c r="V594">
        <f ca="1">'ETF variations'!V594/'ETF price'!W595</f>
        <v>5.0408065290446684E-3</v>
      </c>
      <c r="W594">
        <f ca="1">'ETF variations'!W594/'ETF price'!X595</f>
        <v>4.7444894731640203E-3</v>
      </c>
      <c r="X594">
        <f ca="1">'ETF variations'!X594/'ETF price'!Y595</f>
        <v>1.1464968152866224E-2</v>
      </c>
      <c r="Y594">
        <f ca="1">'ETF variations'!Y594/'ETF price'!Z595</f>
        <v>7.3956682514526003E-3</v>
      </c>
      <c r="Z594">
        <f ca="1">'ETF variations'!Z594/'ETF price'!AA595</f>
        <v>7.1221313637563483E-3</v>
      </c>
      <c r="AA594">
        <f ca="1">'ETF variations'!AA594/'ETF price'!AB595</f>
        <v>1.172962226640166E-2</v>
      </c>
      <c r="AB594">
        <f ca="1">'ETF variations'!AB594/'ETF price'!AC595</f>
        <v>6.7506750675067938E-3</v>
      </c>
      <c r="AC594">
        <f ca="1">'ETF variations'!AC594/'ETF price'!AD595</f>
        <v>-2.3942093541202657E-2</v>
      </c>
      <c r="AD594">
        <f ca="1">'ETF variations'!AD594/'ETF price'!AE595</f>
        <v>-2.7258566978193118E-2</v>
      </c>
      <c r="AE594">
        <f ca="1">'ETF variations'!AE594/'ETF price'!AF595</f>
        <v>-9.1116173120729012E-3</v>
      </c>
      <c r="AF594">
        <f ca="1">'ETF variations'!AF594/'ETF price'!AG595</f>
        <v>1.4868951612903311E-2</v>
      </c>
    </row>
    <row r="595" spans="1:32" x14ac:dyDescent="0.2">
      <c r="A595">
        <f ca="1">'ETF variations'!A595/'ETF price'!B596</f>
        <v>2.2511279639051539E-2</v>
      </c>
      <c r="B595">
        <f ca="1">'ETF variations'!B595/'ETF price'!C596</f>
        <v>2.2895520109898496E-2</v>
      </c>
      <c r="C595">
        <f ca="1">'ETF variations'!C595/'ETF price'!D596</f>
        <v>1.2896681640341986E-2</v>
      </c>
      <c r="D595">
        <f ca="1">'ETF variations'!D595/'ETF price'!E596</f>
        <v>2.8078620136381793E-2</v>
      </c>
      <c r="E595">
        <f ca="1">'ETF variations'!E595/'ETF price'!F596</f>
        <v>1.6264090177133622E-2</v>
      </c>
      <c r="F595">
        <f ca="1">'ETF variations'!F595/'ETF price'!G596</f>
        <v>1.4607812003810762E-2</v>
      </c>
      <c r="G595">
        <f ca="1">'ETF variations'!G595/'ETF price'!H596</f>
        <v>1.354240912330729E-2</v>
      </c>
      <c r="H595">
        <f ca="1">'ETF variations'!H595/'ETF price'!I596</f>
        <v>1.4854921560460824E-2</v>
      </c>
      <c r="I595">
        <f ca="1">'ETF variations'!I595/'ETF price'!J596</f>
        <v>1.5003038590094371E-2</v>
      </c>
      <c r="J595">
        <f ca="1">'ETF variations'!J595/'ETF price'!K596</f>
        <v>1.3803794197977446E-2</v>
      </c>
      <c r="K595">
        <f ca="1">'ETF variations'!K595/'ETF price'!L596</f>
        <v>2.0158625247851929E-2</v>
      </c>
      <c r="L595">
        <f ca="1">'ETF variations'!L595/'ETF price'!M596</f>
        <v>1.253675901563229E-2</v>
      </c>
      <c r="M595">
        <f ca="1">'ETF variations'!M595/'ETF price'!N596</f>
        <v>1.4729709824716454E-2</v>
      </c>
      <c r="N595">
        <f ca="1">'ETF variations'!N595/'ETF price'!O596</f>
        <v>1.0175763182238616E-2</v>
      </c>
      <c r="O595">
        <f ca="1">'ETF variations'!O595/'ETF price'!P596</f>
        <v>2.241195304162153E-3</v>
      </c>
      <c r="P595">
        <f ca="1">'ETF variations'!P595/'ETF price'!Q596</f>
        <v>2.1370783086551758E-3</v>
      </c>
      <c r="Q595">
        <f ca="1">'ETF variations'!Q595/'ETF price'!R596</f>
        <v>1.7415913791226361E-3</v>
      </c>
      <c r="R595">
        <f ca="1">'ETF variations'!R595/'ETF price'!S596</f>
        <v>1.2652146060217796E-2</v>
      </c>
      <c r="S595">
        <f ca="1">'ETF variations'!S595/'ETF price'!T596</f>
        <v>3.429061294470718E-3</v>
      </c>
      <c r="T595">
        <f ca="1">'ETF variations'!T595/'ETF price'!U596</f>
        <v>8.9083898417763822E-3</v>
      </c>
      <c r="U595">
        <f ca="1">'ETF variations'!U595/'ETF price'!V596</f>
        <v>-9.13867946081934E-4</v>
      </c>
      <c r="V595">
        <f ca="1">'ETF variations'!V595/'ETF price'!W596</f>
        <v>7.4038691187007953E-3</v>
      </c>
      <c r="W595">
        <f ca="1">'ETF variations'!W595/'ETF price'!X596</f>
        <v>8.263649778652132E-3</v>
      </c>
      <c r="X595">
        <f ca="1">'ETF variations'!X595/'ETF price'!Y596</f>
        <v>5.2476910159529808E-3</v>
      </c>
      <c r="Y595">
        <f ca="1">'ETF variations'!Y595/'ETF price'!Z596</f>
        <v>9.7535395909806692E-3</v>
      </c>
      <c r="Z595">
        <f ca="1">'ETF variations'!Z595/'ETF price'!AA596</f>
        <v>1.7024620220010441E-2</v>
      </c>
      <c r="AA595">
        <f ca="1">'ETF variations'!AA595/'ETF price'!AB596</f>
        <v>3.5370406759677678E-3</v>
      </c>
      <c r="AB595">
        <f ca="1">'ETF variations'!AB595/'ETF price'!AC596</f>
        <v>-1.1175681716584712E-2</v>
      </c>
      <c r="AC595">
        <f ca="1">'ETF variations'!AC595/'ETF price'!AD596</f>
        <v>6.1608670849971375E-2</v>
      </c>
      <c r="AD595">
        <f ca="1">'ETF variations'!AD595/'ETF price'!AE596</f>
        <v>7.4459567654123274E-2</v>
      </c>
      <c r="AE595">
        <f ca="1">'ETF variations'!AE595/'ETF price'!AF596</f>
        <v>1.8390804597701167E-2</v>
      </c>
      <c r="AF595">
        <f ca="1">'ETF variations'!AF595/'ETF price'!AG596</f>
        <v>7.623541097591259E-2</v>
      </c>
    </row>
    <row r="596" spans="1:32" x14ac:dyDescent="0.2">
      <c r="A596">
        <f ca="1">'ETF variations'!A596/'ETF price'!B597</f>
        <v>-3.4736891517627051E-3</v>
      </c>
      <c r="B596">
        <f ca="1">'ETF variations'!B596/'ETF price'!C597</f>
        <v>-4.2341266880548791E-3</v>
      </c>
      <c r="C596">
        <f ca="1">'ETF variations'!C596/'ETF price'!D597</f>
        <v>1.1444921316165707E-3</v>
      </c>
      <c r="D596">
        <f ca="1">'ETF variations'!D596/'ETF price'!E597</f>
        <v>-4.898773139116467E-3</v>
      </c>
      <c r="E596">
        <f ca="1">'ETF variations'!E596/'ETF price'!F597</f>
        <v>-4.7536048169863945E-4</v>
      </c>
      <c r="F596">
        <f ca="1">'ETF variations'!F596/'ETF price'!G597</f>
        <v>-5.9467918622847487E-3</v>
      </c>
      <c r="G596">
        <f ca="1">'ETF variations'!G596/'ETF price'!H597</f>
        <v>-3.5161744022504013E-3</v>
      </c>
      <c r="H596">
        <f ca="1">'ETF variations'!H596/'ETF price'!I597</f>
        <v>-1.1627906976743332E-3</v>
      </c>
      <c r="I596">
        <f ca="1">'ETF variations'!I596/'ETF price'!J597</f>
        <v>-8.9810275792391971E-4</v>
      </c>
      <c r="J596">
        <f ca="1">'ETF variations'!J596/'ETF price'!K597</f>
        <v>-3.6405999708760277E-4</v>
      </c>
      <c r="K596">
        <f ca="1">'ETF variations'!K596/'ETF price'!L597</f>
        <v>-2.1595939963282607E-4</v>
      </c>
      <c r="L596">
        <f ca="1">'ETF variations'!L596/'ETF price'!M597</f>
        <v>-6.2671965759705985E-3</v>
      </c>
      <c r="M596">
        <f ca="1">'ETF variations'!M596/'ETF price'!N597</f>
        <v>-1.0161126433445695E-3</v>
      </c>
      <c r="N596">
        <f ca="1">'ETF variations'!N596/'ETF price'!O597</f>
        <v>0</v>
      </c>
      <c r="O596">
        <f ca="1">'ETF variations'!O596/'ETF price'!P597</f>
        <v>-2.7686082419336698E-3</v>
      </c>
      <c r="P596">
        <f ca="1">'ETF variations'!P596/'ETF price'!Q597</f>
        <v>-3.1226199543033127E-3</v>
      </c>
      <c r="Q596">
        <f ca="1">'ETF variations'!Q596/'ETF price'!R597</f>
        <v>-7.1715744865804261E-3</v>
      </c>
      <c r="R596">
        <f ca="1">'ETF variations'!R596/'ETF price'!S597</f>
        <v>-6.3261110232484359E-3</v>
      </c>
      <c r="S596">
        <f ca="1">'ETF variations'!S596/'ETF price'!T597</f>
        <v>2.5630072618538541E-3</v>
      </c>
      <c r="T596">
        <f ca="1">'ETF variations'!T596/'ETF price'!U597</f>
        <v>4.8761201897733865E-3</v>
      </c>
      <c r="U596">
        <f ca="1">'ETF variations'!U596/'ETF price'!V597</f>
        <v>-9.1470386462382484E-3</v>
      </c>
      <c r="V596">
        <f ca="1">'ETF variations'!V596/'ETF price'!W597</f>
        <v>0</v>
      </c>
      <c r="W596">
        <f ca="1">'ETF variations'!W596/'ETF price'!X597</f>
        <v>-1.2684164308712602E-3</v>
      </c>
      <c r="X596">
        <f ca="1">'ETF variations'!X596/'ETF price'!Y597</f>
        <v>-3.5498016287325474E-3</v>
      </c>
      <c r="Y596">
        <f ca="1">'ETF variations'!Y596/'ETF price'!Z597</f>
        <v>-1.246364769422565E-3</v>
      </c>
      <c r="Z596">
        <f ca="1">'ETF variations'!Z596/'ETF price'!AA597</f>
        <v>-1.8027298480556345E-3</v>
      </c>
      <c r="AA596">
        <f ca="1">'ETF variations'!AA596/'ETF price'!AB597</f>
        <v>-4.3078128059525914E-3</v>
      </c>
      <c r="AB596">
        <f ca="1">'ETF variations'!AB596/'ETF price'!AC597</f>
        <v>6.6305003013863431E-3</v>
      </c>
      <c r="AC596">
        <f ca="1">'ETF variations'!AC596/'ETF price'!AD597</f>
        <v>-1.9344438473938713E-2</v>
      </c>
      <c r="AD596">
        <f ca="1">'ETF variations'!AD596/'ETF price'!AE597</f>
        <v>-1.3040238450074569E-2</v>
      </c>
      <c r="AE596">
        <f ca="1">'ETF variations'!AE596/'ETF price'!AF597</f>
        <v>6.3205417607223535E-2</v>
      </c>
      <c r="AF596">
        <f ca="1">'ETF variations'!AF596/'ETF price'!AG597</f>
        <v>-2.1688970927549716E-2</v>
      </c>
    </row>
    <row r="597" spans="1:32" x14ac:dyDescent="0.2">
      <c r="A597">
        <f ca="1">'ETF variations'!A597/'ETF price'!B598</f>
        <v>-2.213952611993023E-3</v>
      </c>
      <c r="B597">
        <f ca="1">'ETF variations'!B597/'ETF price'!C598</f>
        <v>-2.4351409571978424E-3</v>
      </c>
      <c r="C597">
        <f ca="1">'ETF variations'!C597/'ETF price'!D598</f>
        <v>2.8579594169757103E-4</v>
      </c>
      <c r="D597">
        <f ca="1">'ETF variations'!D597/'ETF price'!E598</f>
        <v>-5.6635009148731505E-3</v>
      </c>
      <c r="E597">
        <f ca="1">'ETF variations'!E597/'ETF price'!F598</f>
        <v>-1.7438173747621978E-3</v>
      </c>
      <c r="F597">
        <f ca="1">'ETF variations'!F597/'ETF price'!G598</f>
        <v>-5.0377833753148657E-3</v>
      </c>
      <c r="G597">
        <f ca="1">'ETF variations'!G597/'ETF price'!H598</f>
        <v>-2.1171489061396868E-3</v>
      </c>
      <c r="H597">
        <f ca="1">'ETF variations'!H597/'ETF price'!I598</f>
        <v>1.9174142299527572E-3</v>
      </c>
      <c r="I597">
        <f ca="1">'ETF variations'!I597/'ETF price'!J598</f>
        <v>4.4945503576914695E-4</v>
      </c>
      <c r="J597">
        <f ca="1">'ETF variations'!J597/'ETF price'!K598</f>
        <v>-4.3703110204675825E-3</v>
      </c>
      <c r="K597">
        <f ca="1">'ETF variations'!K597/'ETF price'!L598</f>
        <v>-1.5228426395939049E-2</v>
      </c>
      <c r="L597">
        <f ca="1">'ETF variations'!L597/'ETF price'!M598</f>
        <v>-6.3067220427628174E-3</v>
      </c>
      <c r="M597">
        <f ca="1">'ETF variations'!M597/'ETF price'!N598</f>
        <v>8.7183958151703397E-4</v>
      </c>
      <c r="N597">
        <f ca="1">'ETF variations'!N597/'ETF price'!O598</f>
        <v>-6.4102564102564361E-3</v>
      </c>
      <c r="O597">
        <f ca="1">'ETF variations'!O597/'ETF price'!P598</f>
        <v>1.3988254137746802E-2</v>
      </c>
      <c r="P597">
        <f ca="1">'ETF variations'!P597/'ETF price'!Q598</f>
        <v>1.4134005653602436E-2</v>
      </c>
      <c r="Q597">
        <f ca="1">'ETF variations'!Q597/'ETF price'!R598</f>
        <v>8.5367188355040067E-3</v>
      </c>
      <c r="R597">
        <f ca="1">'ETF variations'!R597/'ETF price'!S598</f>
        <v>1.8621677542575231E-2</v>
      </c>
      <c r="S597">
        <f ca="1">'ETF variations'!S597/'ETF price'!T598</f>
        <v>1.0225820195994972E-2</v>
      </c>
      <c r="T597">
        <f ca="1">'ETF variations'!T597/'ETF price'!U598</f>
        <v>9.4426229508196569E-3</v>
      </c>
      <c r="U597">
        <f ca="1">'ETF variations'!U597/'ETF price'!V598</f>
        <v>-1.6616662820216913E-2</v>
      </c>
      <c r="V597">
        <f ca="1">'ETF variations'!V597/'ETF price'!W598</f>
        <v>7.3494547178758248E-3</v>
      </c>
      <c r="W597">
        <f ca="1">'ETF variations'!W597/'ETF price'!X598</f>
        <v>6.2524423602969966E-3</v>
      </c>
      <c r="X597">
        <f ca="1">'ETF variations'!X597/'ETF price'!Y598</f>
        <v>4.400670578373865E-3</v>
      </c>
      <c r="Y597">
        <f ca="1">'ETF variations'!Y597/'ETF price'!Z598</f>
        <v>7.1755407653909913E-3</v>
      </c>
      <c r="Z597">
        <f ca="1">'ETF variations'!Z597/'ETF price'!AA598</f>
        <v>0</v>
      </c>
      <c r="AA597">
        <f ca="1">'ETF variations'!AA597/'ETF price'!AB598</f>
        <v>6.686332350049091E-3</v>
      </c>
      <c r="AB597">
        <f ca="1">'ETF variations'!AB597/'ETF price'!AC598</f>
        <v>-6.2874251497006244E-3</v>
      </c>
      <c r="AC597">
        <f ca="1">'ETF variations'!AC597/'ETF price'!AD598</f>
        <v>3.8904109589041141E-2</v>
      </c>
      <c r="AD597">
        <f ca="1">'ETF variations'!AD597/'ETF price'!AE598</f>
        <v>2.7557568893922253E-2</v>
      </c>
      <c r="AE597">
        <f ca="1">'ETF variations'!AE597/'ETF price'!AF598</f>
        <v>-1.6985138004246298E-2</v>
      </c>
      <c r="AF597">
        <f ca="1">'ETF variations'!AF597/'ETF price'!AG598</f>
        <v>8.2547169811321101E-3</v>
      </c>
    </row>
    <row r="598" spans="1:32" x14ac:dyDescent="0.2">
      <c r="A598">
        <f ca="1">'ETF variations'!A598/'ETF price'!B599</f>
        <v>1.1755263903314177E-2</v>
      </c>
      <c r="B598">
        <f ca="1">'ETF variations'!B598/'ETF price'!C599</f>
        <v>1.2674866209745565E-2</v>
      </c>
      <c r="C598">
        <f ca="1">'ETF variations'!C598/'ETF price'!D599</f>
        <v>1.8571428571427923E-3</v>
      </c>
      <c r="D598">
        <f ca="1">'ETF variations'!D598/'ETF price'!E599</f>
        <v>2.1994391868208823E-2</v>
      </c>
      <c r="E598">
        <f ca="1">'ETF variations'!E598/'ETF price'!F599</f>
        <v>3.6525329521995232E-3</v>
      </c>
      <c r="F598">
        <f ca="1">'ETF variations'!F598/'ETF price'!G599</f>
        <v>1.0126582278481022E-2</v>
      </c>
      <c r="G598">
        <f ca="1">'ETF variations'!G598/'ETF price'!H599</f>
        <v>2.4752475247524853E-3</v>
      </c>
      <c r="H598">
        <f ca="1">'ETF variations'!H598/'ETF price'!I599</f>
        <v>-2.118788872941031E-3</v>
      </c>
      <c r="I598">
        <f ca="1">'ETF variations'!I598/'ETF price'!J599</f>
        <v>-9.7338175283587616E-4</v>
      </c>
      <c r="J598">
        <f ca="1">'ETF variations'!J598/'ETF price'!K599</f>
        <v>5.9989757846220879E-3</v>
      </c>
      <c r="K598">
        <f ca="1">'ETF variations'!K598/'ETF price'!L599</f>
        <v>1.1954375959640152E-2</v>
      </c>
      <c r="L598">
        <f ca="1">'ETF variations'!L598/'ETF price'!M599</f>
        <v>1.3003095975232252E-2</v>
      </c>
      <c r="M598">
        <f ca="1">'ETF variations'!M598/'ETF price'!N599</f>
        <v>-1.4518002322879548E-3</v>
      </c>
      <c r="N598">
        <f ca="1">'ETF variations'!N598/'ETF price'!O599</f>
        <v>-5.5299539170507372E-3</v>
      </c>
      <c r="O598">
        <f ca="1">'ETF variations'!O598/'ETF price'!P599</f>
        <v>-6.5290648694186016E-3</v>
      </c>
      <c r="P598">
        <f ca="1">'ETF variations'!P598/'ETF price'!Q599</f>
        <v>-4.6707849932198621E-3</v>
      </c>
      <c r="Q598">
        <f ca="1">'ETF variations'!Q598/'ETF price'!R599</f>
        <v>1.4107433532283824E-3</v>
      </c>
      <c r="R598">
        <f ca="1">'ETF variations'!R598/'ETF price'!S599</f>
        <v>1.4375000000000027E-2</v>
      </c>
      <c r="S598">
        <f ca="1">'ETF variations'!S598/'ETF price'!T599</f>
        <v>8.8570223534374035E-3</v>
      </c>
      <c r="T598">
        <f ca="1">'ETF variations'!T598/'ETF price'!U599</f>
        <v>-3.1180979602441847E-3</v>
      </c>
      <c r="U598">
        <f ca="1">'ETF variations'!U598/'ETF price'!V599</f>
        <v>-7.9793475709926381E-3</v>
      </c>
      <c r="V598">
        <f ca="1">'ETF variations'!V598/'ETF price'!W599</f>
        <v>-1.3650270651918225E-2</v>
      </c>
      <c r="W598">
        <f ca="1">'ETF variations'!W598/'ETF price'!X599</f>
        <v>-1.0000000000000011E-2</v>
      </c>
      <c r="X598">
        <f ca="1">'ETF variations'!X598/'ETF price'!Y599</f>
        <v>-1.3561443772167715E-2</v>
      </c>
      <c r="Y598">
        <f ca="1">'ETF variations'!Y598/'ETF price'!Z599</f>
        <v>-1.2803304078471812E-2</v>
      </c>
      <c r="Z598">
        <f ca="1">'ETF variations'!Z598/'ETF price'!AA599</f>
        <v>-6.1919504643961534E-3</v>
      </c>
      <c r="AA598">
        <f ca="1">'ETF variations'!AA598/'ETF price'!AB599</f>
        <v>-1.4455948427427133E-2</v>
      </c>
      <c r="AB598">
        <f ca="1">'ETF variations'!AB598/'ETF price'!AC599</f>
        <v>-1.4612835191322671E-2</v>
      </c>
      <c r="AC598">
        <f ca="1">'ETF variations'!AC598/'ETF price'!AD599</f>
        <v>8.0696202531645445E-2</v>
      </c>
      <c r="AD598">
        <f ca="1">'ETF variations'!AD598/'ETF price'!AE599</f>
        <v>4.592211609110948E-2</v>
      </c>
      <c r="AE598">
        <f ca="1">'ETF variations'!AE598/'ETF price'!AF599</f>
        <v>1.0799136069114432E-2</v>
      </c>
      <c r="AF598">
        <f ca="1">'ETF variations'!AF598/'ETF price'!AG599</f>
        <v>9.4269005847953238E-2</v>
      </c>
    </row>
    <row r="599" spans="1:32" x14ac:dyDescent="0.2">
      <c r="A599">
        <f ca="1">'ETF variations'!A599/'ETF price'!B600</f>
        <v>1.6331482431990775E-3</v>
      </c>
      <c r="B599">
        <f ca="1">'ETF variations'!B599/'ETF price'!C600</f>
        <v>9.4567031336916549E-4</v>
      </c>
      <c r="C599">
        <f ca="1">'ETF variations'!C599/'ETF price'!D600</f>
        <v>9.1259090260944042E-3</v>
      </c>
      <c r="D599">
        <f ca="1">'ETF variations'!D599/'ETF price'!E600</f>
        <v>-3.215296235959873E-3</v>
      </c>
      <c r="E599">
        <f ca="1">'ETF variations'!E599/'ETF price'!F600</f>
        <v>-6.9620253164557723E-3</v>
      </c>
      <c r="F599">
        <f ca="1">'ETF variations'!F599/'ETF price'!G600</f>
        <v>-1.0964912280701799E-2</v>
      </c>
      <c r="G599">
        <f ca="1">'ETF variations'!G599/'ETF price'!H600</f>
        <v>-4.9382716049382915E-3</v>
      </c>
      <c r="H599">
        <f ca="1">'ETF variations'!H599/'ETF price'!I600</f>
        <v>1.7123287671232876E-3</v>
      </c>
      <c r="I599">
        <f ca="1">'ETF variations'!I599/'ETF price'!J600</f>
        <v>2.2484541877460098E-4</v>
      </c>
      <c r="J599">
        <f ca="1">'ETF variations'!J599/'ETF price'!K600</f>
        <v>-4.3633190313431339E-3</v>
      </c>
      <c r="K599">
        <f ca="1">'ETF variations'!K599/'ETF price'!L600</f>
        <v>-7.5864311260431657E-3</v>
      </c>
      <c r="L599">
        <f ca="1">'ETF variations'!L599/'ETF price'!M600</f>
        <v>-4.2787286063569853E-3</v>
      </c>
      <c r="M599">
        <f ca="1">'ETF variations'!M599/'ETF price'!N600</f>
        <v>-1.4539110206462802E-4</v>
      </c>
      <c r="N599">
        <f ca="1">'ETF variations'!N599/'ETF price'!O600</f>
        <v>-9.267840593141766E-3</v>
      </c>
      <c r="O599">
        <f ca="1">'ETF variations'!O599/'ETF price'!P600</f>
        <v>-4.8759804960780999E-3</v>
      </c>
      <c r="P599">
        <f ca="1">'ETF variations'!P599/'ETF price'!Q600</f>
        <v>-4.3142597638509929E-3</v>
      </c>
      <c r="Q599">
        <f ca="1">'ETF variations'!Q599/'ETF price'!R600</f>
        <v>0</v>
      </c>
      <c r="R599">
        <f ca="1">'ETF variations'!R599/'ETF price'!S600</f>
        <v>3.542821934688909E-3</v>
      </c>
      <c r="S599">
        <f ca="1">'ETF variations'!S599/'ETF price'!T600</f>
        <v>-4.180602006689022E-3</v>
      </c>
      <c r="T599">
        <f ca="1">'ETF variations'!T599/'ETF price'!U600</f>
        <v>-7.4286459012121381E-3</v>
      </c>
      <c r="U599">
        <f ca="1">'ETF variations'!U599/'ETF price'!V600</f>
        <v>1.5140761769576376E-2</v>
      </c>
      <c r="V599">
        <f ca="1">'ETF variations'!V599/'ETF price'!W600</f>
        <v>6.4423765211167536E-3</v>
      </c>
      <c r="W599">
        <f ca="1">'ETF variations'!W599/'ETF price'!X600</f>
        <v>5.4918113170540576E-3</v>
      </c>
      <c r="X599">
        <f ca="1">'ETF variations'!X599/'ETF price'!Y600</f>
        <v>4.0186125211505441E-3</v>
      </c>
      <c r="Y599">
        <f ca="1">'ETF variations'!Y599/'ETF price'!Z600</f>
        <v>7.6351846041209492E-3</v>
      </c>
      <c r="Z599">
        <f ca="1">'ETF variations'!Z599/'ETF price'!AA600</f>
        <v>-7.7881619937697651E-4</v>
      </c>
      <c r="AA599">
        <f ca="1">'ETF variations'!AA599/'ETF price'!AB600</f>
        <v>1.3875123885034744E-3</v>
      </c>
      <c r="AB599">
        <f ca="1">'ETF variations'!AB599/'ETF price'!AC600</f>
        <v>8.4085002293226904E-3</v>
      </c>
      <c r="AC599">
        <f ca="1">'ETF variations'!AC599/'ETF price'!AD600</f>
        <v>3.4163006344558461E-2</v>
      </c>
      <c r="AD599">
        <f ca="1">'ETF variations'!AD599/'ETF price'!AE600</f>
        <v>-1.2644889357218105E-2</v>
      </c>
      <c r="AE599">
        <f ca="1">'ETF variations'!AE599/'ETF price'!AF600</f>
        <v>9.4017094017094099E-2</v>
      </c>
      <c r="AF599">
        <f ca="1">'ETF variations'!AF599/'ETF price'!AG600</f>
        <v>-6.4129970072681541E-3</v>
      </c>
    </row>
    <row r="600" spans="1:32" x14ac:dyDescent="0.2">
      <c r="A600">
        <f ca="1">'ETF variations'!A600/'ETF price'!B601</f>
        <v>2.2360942886424568E-3</v>
      </c>
      <c r="B600">
        <f ca="1">'ETF variations'!B600/'ETF price'!C601</f>
        <v>2.4082547563051657E-4</v>
      </c>
      <c r="C600">
        <f ca="1">'ETF variations'!C600/'ETF price'!D601</f>
        <v>1.088031651829886E-2</v>
      </c>
      <c r="D600">
        <f ca="1">'ETF variations'!D600/'ETF price'!E601</f>
        <v>1.1741430476108632E-2</v>
      </c>
      <c r="E600">
        <f ca="1">'ETF variations'!E600/'ETF price'!F601</f>
        <v>-1.4340344168259449E-3</v>
      </c>
      <c r="F600">
        <f ca="1">'ETF variations'!F600/'ETF price'!G601</f>
        <v>-1.140323091542602E-2</v>
      </c>
      <c r="G600">
        <f ca="1">'ETF variations'!G600/'ETF price'!H601</f>
        <v>1.4179369018078392E-3</v>
      </c>
      <c r="H600">
        <f ca="1">'ETF variations'!H600/'ETF price'!I601</f>
        <v>1.7777777777777156E-3</v>
      </c>
      <c r="I600">
        <f ca="1">'ETF variations'!I600/'ETF price'!J601</f>
        <v>1.7983589974147139E-3</v>
      </c>
      <c r="J600">
        <f ca="1">'ETF variations'!J600/'ETF price'!K601</f>
        <v>7.157986998758234E-3</v>
      </c>
      <c r="K600">
        <f ca="1">'ETF variations'!K600/'ETF price'!L601</f>
        <v>6.5523643114558106E-3</v>
      </c>
      <c r="L600">
        <f ca="1">'ETF variations'!L600/'ETF price'!M601</f>
        <v>-1.9950890116635276E-3</v>
      </c>
      <c r="M600">
        <f ca="1">'ETF variations'!M600/'ETF price'!N601</f>
        <v>1.7449469245311116E-3</v>
      </c>
      <c r="N600">
        <f ca="1">'ETF variations'!N600/'ETF price'!O601</f>
        <v>1.309635173058939E-2</v>
      </c>
      <c r="O600">
        <f ca="1">'ETF variations'!O600/'ETF price'!P601</f>
        <v>-1.9173412867490382E-2</v>
      </c>
      <c r="P600">
        <f ca="1">'ETF variations'!P600/'ETF price'!Q601</f>
        <v>-1.9688331432915266E-2</v>
      </c>
      <c r="Q600">
        <f ca="1">'ETF variations'!Q600/'ETF price'!R601</f>
        <v>-9.7529258777633906E-3</v>
      </c>
      <c r="R600">
        <f ca="1">'ETF variations'!R600/'ETF price'!S601</f>
        <v>-2.3637759017651666E-2</v>
      </c>
      <c r="S600">
        <f ca="1">'ETF variations'!S600/'ETF price'!T601</f>
        <v>-1.4273719563392101E-2</v>
      </c>
      <c r="T600">
        <f ca="1">'ETF variations'!T600/'ETF price'!U601</f>
        <v>-1.6938025210083928E-2</v>
      </c>
      <c r="U600">
        <f ca="1">'ETF variations'!U600/'ETF price'!V601</f>
        <v>8.9722675367047353E-2</v>
      </c>
      <c r="V600">
        <f ca="1">'ETF variations'!V600/'ETF price'!W601</f>
        <v>-5.6899004267425791E-3</v>
      </c>
      <c r="W600">
        <f ca="1">'ETF variations'!W600/'ETF price'!X601</f>
        <v>-6.5346727786989344E-3</v>
      </c>
      <c r="X600">
        <f ca="1">'ETF variations'!X600/'ETF price'!Y601</f>
        <v>-1.0743627554244744E-2</v>
      </c>
      <c r="Y600">
        <f ca="1">'ETF variations'!Y600/'ETF price'!Z601</f>
        <v>-4.8785551172929086E-3</v>
      </c>
      <c r="Z600">
        <f ca="1">'ETF variations'!Z600/'ETF price'!AA601</f>
        <v>-8.5736554949338885E-3</v>
      </c>
      <c r="AA600">
        <f ca="1">'ETF variations'!AA600/'ETF price'!AB601</f>
        <v>-1.2074425969913035E-2</v>
      </c>
      <c r="AB600">
        <f ca="1">'ETF variations'!AB600/'ETF price'!AC601</f>
        <v>-1.0309278350515353E-2</v>
      </c>
      <c r="AC600">
        <f ca="1">'ETF variations'!AC600/'ETF price'!AD601</f>
        <v>5.6630486078337629E-3</v>
      </c>
      <c r="AD600">
        <f ca="1">'ETF variations'!AD600/'ETF price'!AE601</f>
        <v>5.6919245819992935E-3</v>
      </c>
      <c r="AE600">
        <f ca="1">'ETF variations'!AE600/'ETF price'!AF601</f>
        <v>-2.3437500000000021E-2</v>
      </c>
      <c r="AF600">
        <f ca="1">'ETF variations'!AF600/'ETF price'!AG601</f>
        <v>4.5180722891566454E-3</v>
      </c>
    </row>
    <row r="601" spans="1:32" x14ac:dyDescent="0.2">
      <c r="A601">
        <f ca="1">'ETF variations'!A601/'ETF price'!B602</f>
        <v>-8.1342381704936333E-3</v>
      </c>
      <c r="B601">
        <f ca="1">'ETF variations'!B601/'ETF price'!C602</f>
        <v>7.4082305441277956E-5</v>
      </c>
      <c r="C601">
        <f ca="1">'ETF variations'!C601/'ETF price'!D602</f>
        <v>-5.1719317864132586E-3</v>
      </c>
      <c r="D601">
        <f ca="1">'ETF variations'!D601/'ETF price'!E602</f>
        <v>-5.6112905968373639E-3</v>
      </c>
      <c r="E601">
        <f ca="1">'ETF variations'!E601/'ETF price'!F602</f>
        <v>-8.7761289293123382E-3</v>
      </c>
      <c r="F601">
        <f ca="1">'ETF variations'!F601/'ETF price'!G602</f>
        <v>1.2816404998397676E-3</v>
      </c>
      <c r="G601">
        <f ca="1">'ETF variations'!G601/'ETF price'!H602</f>
        <v>-1.5221238938053088E-2</v>
      </c>
      <c r="H601">
        <f ca="1">'ETF variations'!H601/'ETF price'!I602</f>
        <v>-1.092075626237113E-2</v>
      </c>
      <c r="I601">
        <f ca="1">'ETF variations'!I601/'ETF price'!J602</f>
        <v>-1.1182168368301017E-2</v>
      </c>
      <c r="J601">
        <f ca="1">'ETF variations'!J601/'ETF price'!K602</f>
        <v>-1.6389875988106397E-2</v>
      </c>
      <c r="K601">
        <f ca="1">'ETF variations'!K601/'ETF price'!L602</f>
        <v>-3.0921124009981649E-2</v>
      </c>
      <c r="L601">
        <f ca="1">'ETF variations'!L601/'ETF price'!M602</f>
        <v>-1.6300169152698787E-2</v>
      </c>
      <c r="M601">
        <f ca="1">'ETF variations'!M601/'ETF price'!N602</f>
        <v>-1.0886921178690665E-2</v>
      </c>
      <c r="N601">
        <f ca="1">'ETF variations'!N601/'ETF price'!O602</f>
        <v>-2.5854108956601972E-2</v>
      </c>
      <c r="O601">
        <f ca="1">'ETF variations'!O601/'ETF price'!P602</f>
        <v>-9.1225021720243646E-3</v>
      </c>
      <c r="P601">
        <f ca="1">'ETF variations'!P601/'ETF price'!Q602</f>
        <v>-9.848014888337548E-3</v>
      </c>
      <c r="Q601">
        <f ca="1">'ETF variations'!Q601/'ETF price'!R602</f>
        <v>-8.8640840446487443E-3</v>
      </c>
      <c r="R601">
        <f ca="1">'ETF variations'!R601/'ETF price'!S602</f>
        <v>-1.1790598962427292E-2</v>
      </c>
      <c r="S601">
        <f ca="1">'ETF variations'!S601/'ETF price'!T602</f>
        <v>-5.1107325383305362E-3</v>
      </c>
      <c r="T601">
        <f ca="1">'ETF variations'!T601/'ETF price'!U602</f>
        <v>-5.6097235207693561E-3</v>
      </c>
      <c r="U601">
        <f ca="1">'ETF variations'!U601/'ETF price'!V602</f>
        <v>-3.464499572283998E-2</v>
      </c>
      <c r="V601">
        <f ca="1">'ETF variations'!V601/'ETF price'!W602</f>
        <v>-1.3829279923700484E-2</v>
      </c>
      <c r="W601">
        <f ca="1">'ETF variations'!W601/'ETF price'!X602</f>
        <v>-1.4627920675436824E-2</v>
      </c>
      <c r="X601">
        <f ca="1">'ETF variations'!X601/'ETF price'!Y602</f>
        <v>-2.1933560477001728E-2</v>
      </c>
      <c r="Y601">
        <f ca="1">'ETF variations'!Y601/'ETF price'!Z602</f>
        <v>-1.658495879837283E-2</v>
      </c>
      <c r="Z601">
        <f ca="1">'ETF variations'!Z601/'ETF price'!AA602</f>
        <v>-2.1226415094339496E-2</v>
      </c>
      <c r="AA601">
        <f ca="1">'ETF variations'!AA601/'ETF price'!AB602</f>
        <v>-2.4043277900220313E-2</v>
      </c>
      <c r="AB601">
        <f ca="1">'ETF variations'!AB601/'ETF price'!AC602</f>
        <v>-9.4975490196079135E-3</v>
      </c>
      <c r="AC601">
        <f ca="1">'ETF variations'!AC601/'ETF price'!AD602</f>
        <v>-1.0793054903801053E-2</v>
      </c>
      <c r="AD601">
        <f ca="1">'ETF variations'!AD601/'ETF price'!AE602</f>
        <v>-3.7849310222851089E-2</v>
      </c>
      <c r="AE601">
        <f ca="1">'ETF variations'!AE601/'ETF price'!AF602</f>
        <v>1.1999999999999922E-2</v>
      </c>
      <c r="AF601">
        <f ca="1">'ETF variations'!AF601/'ETF price'!AG602</f>
        <v>-5.9755836367530506E-2</v>
      </c>
    </row>
    <row r="602" spans="1:32" x14ac:dyDescent="0.2">
      <c r="A602">
        <f ca="1">'ETF variations'!A602/'ETF price'!B603</f>
        <v>8.4352593842261184E-3</v>
      </c>
      <c r="B602">
        <f ca="1">'ETF variations'!B602/'ETF price'!C603</f>
        <v>9.7225823178636248E-3</v>
      </c>
      <c r="C602">
        <f ca="1">'ETF variations'!C602/'ETF price'!D603</f>
        <v>-2.5572572713221966E-2</v>
      </c>
      <c r="D602">
        <f ca="1">'ETF variations'!D602/'ETF price'!E603</f>
        <v>1.9835841313269559E-2</v>
      </c>
      <c r="E602">
        <f ca="1">'ETF variations'!E602/'ETF price'!F603</f>
        <v>8.6928525434642502E-3</v>
      </c>
      <c r="F602">
        <f ca="1">'ETF variations'!F602/'ETF price'!G603</f>
        <v>8.9600000000000356E-3</v>
      </c>
      <c r="G602">
        <f ca="1">'ETF variations'!G602/'ETF price'!H603</f>
        <v>9.3457943925232927E-3</v>
      </c>
      <c r="H602">
        <f ca="1">'ETF variations'!H602/'ETF price'!I603</f>
        <v>-3.3814091505072743E-3</v>
      </c>
      <c r="I602">
        <f ca="1">'ETF variations'!I602/'ETF price'!J603</f>
        <v>-3.366111951588451E-3</v>
      </c>
      <c r="J602">
        <f ca="1">'ETF variations'!J602/'ETF price'!K603</f>
        <v>2.9492000294914137E-4</v>
      </c>
      <c r="K602">
        <f ca="1">'ETF variations'!K602/'ETF price'!L603</f>
        <v>-5.4858934169278424E-3</v>
      </c>
      <c r="L602">
        <f ca="1">'ETF variations'!L602/'ETF price'!M603</f>
        <v>-3.2827888072534134E-3</v>
      </c>
      <c r="M602">
        <f ca="1">'ETF variations'!M602/'ETF price'!N603</f>
        <v>-3.8156736131494734E-3</v>
      </c>
      <c r="N602">
        <f ca="1">'ETF variations'!N602/'ETF price'!O603</f>
        <v>4.7393364928900521E-4</v>
      </c>
      <c r="O602">
        <f ca="1">'ETF variations'!O602/'ETF price'!P603</f>
        <v>1.4248136782114167E-3</v>
      </c>
      <c r="P602">
        <f ca="1">'ETF variations'!P602/'ETF price'!Q603</f>
        <v>1.6446080350850337E-3</v>
      </c>
      <c r="Q602">
        <f ca="1">'ETF variations'!Q602/'ETF price'!R603</f>
        <v>8.7225350557580475E-3</v>
      </c>
      <c r="R602">
        <f ca="1">'ETF variations'!R602/'ETF price'!S603</f>
        <v>7.4769328666878599E-3</v>
      </c>
      <c r="S602">
        <f ca="1">'ETF variations'!S602/'ETF price'!T603</f>
        <v>6.8493150684931572E-3</v>
      </c>
      <c r="T602">
        <f ca="1">'ETF variations'!T602/'ETF price'!U603</f>
        <v>1.2088650100738636E-2</v>
      </c>
      <c r="U602">
        <f ca="1">'ETF variations'!U602/'ETF price'!V603</f>
        <v>5.2281789986708009E-2</v>
      </c>
      <c r="V602">
        <f ca="1">'ETF variations'!V602/'ETF price'!W603</f>
        <v>6.0444874274661513E-3</v>
      </c>
      <c r="W602">
        <f ca="1">'ETF variations'!W602/'ETF price'!X603</f>
        <v>7.571983660456221E-3</v>
      </c>
      <c r="X602">
        <f ca="1">'ETF variations'!X602/'ETF price'!Y603</f>
        <v>6.5316786414107804E-3</v>
      </c>
      <c r="Y602">
        <f ca="1">'ETF variations'!Y602/'ETF price'!Z603</f>
        <v>9.9703012303775738E-3</v>
      </c>
      <c r="Z602">
        <f ca="1">'ETF variations'!Z602/'ETF price'!AA603</f>
        <v>0</v>
      </c>
      <c r="AA602">
        <f ca="1">'ETF variations'!AA602/'ETF price'!AB603</f>
        <v>4.3112297269554678E-3</v>
      </c>
      <c r="AB602">
        <f ca="1">'ETF variations'!AB602/'ETF price'!AC603</f>
        <v>5.2582740488710707E-3</v>
      </c>
      <c r="AC602">
        <f ca="1">'ETF variations'!AC602/'ETF price'!AD603</f>
        <v>6.1669829222012603E-3</v>
      </c>
      <c r="AD602">
        <f ca="1">'ETF variations'!AD602/'ETF price'!AE603</f>
        <v>3.1985294117647098E-2</v>
      </c>
      <c r="AE602">
        <f ca="1">'ETF variations'!AE602/'ETF price'!AF603</f>
        <v>-3.7549407114624407E-2</v>
      </c>
      <c r="AF602">
        <f ca="1">'ETF variations'!AF602/'ETF price'!AG603</f>
        <v>5.2847380410022786E-2</v>
      </c>
    </row>
    <row r="603" spans="1:32" x14ac:dyDescent="0.2">
      <c r="A603">
        <f ca="1">'ETF variations'!A603/'ETF price'!B604</f>
        <v>4.2288210418699596E-3</v>
      </c>
      <c r="B603">
        <f ca="1">'ETF variations'!B603/'ETF price'!C604</f>
        <v>8.6018744383103297E-3</v>
      </c>
      <c r="C603">
        <f ca="1">'ETF variations'!C603/'ETF price'!D604</f>
        <v>-5.0468637346786727E-4</v>
      </c>
      <c r="D603">
        <f ca="1">'ETF variations'!D603/'ETF price'!E604</f>
        <v>1.6893024815560032E-2</v>
      </c>
      <c r="E603">
        <f ca="1">'ETF variations'!E603/'ETF price'!F604</f>
        <v>-1.5320778806255885E-2</v>
      </c>
      <c r="F603">
        <f ca="1">'ETF variations'!F603/'ETF price'!G604</f>
        <v>6.3431652394543522E-4</v>
      </c>
      <c r="G603">
        <f ca="1">'ETF variations'!G603/'ETF price'!H604</f>
        <v>-4.9857549857548799E-3</v>
      </c>
      <c r="H603">
        <f ca="1">'ETF variations'!H603/'ETF price'!I604</f>
        <v>-1.2117435258274478E-2</v>
      </c>
      <c r="I603">
        <f ca="1">'ETF variations'!I603/'ETF price'!J604</f>
        <v>-1.0815528822435453E-2</v>
      </c>
      <c r="J603">
        <f ca="1">'ETF variations'!J603/'ETF price'!K604</f>
        <v>-1.1719613768703289E-2</v>
      </c>
      <c r="K603">
        <f ca="1">'ETF variations'!K603/'ETF price'!L604</f>
        <v>3.3772374197905794E-3</v>
      </c>
      <c r="L603">
        <f ca="1">'ETF variations'!L603/'ETF price'!M604</f>
        <v>-7.0577164366373239E-3</v>
      </c>
      <c r="M603">
        <f ca="1">'ETF variations'!M603/'ETF price'!N604</f>
        <v>-1.0606953447259855E-2</v>
      </c>
      <c r="N603">
        <f ca="1">'ETF variations'!N603/'ETF price'!O604</f>
        <v>-2.2264329701563185E-2</v>
      </c>
      <c r="O603">
        <f ca="1">'ETF variations'!O603/'ETF price'!P604</f>
        <v>1.0287840647915046E-2</v>
      </c>
      <c r="P603">
        <f ca="1">'ETF variations'!P603/'ETF price'!Q604</f>
        <v>1.1415168100078248E-2</v>
      </c>
      <c r="Q603">
        <f ca="1">'ETF variations'!Q603/'ETF price'!R604</f>
        <v>-3.8309982486864529E-3</v>
      </c>
      <c r="R603">
        <f ca="1">'ETF variations'!R603/'ETF price'!S604</f>
        <v>1.4842886467708791E-2</v>
      </c>
      <c r="S603">
        <f ca="1">'ETF variations'!S603/'ETF price'!T604</f>
        <v>1.7857142857142929E-2</v>
      </c>
      <c r="T603">
        <f ca="1">'ETF variations'!T603/'ETF price'!U604</f>
        <v>3.0656934306569374E-2</v>
      </c>
      <c r="U603">
        <f ca="1">'ETF variations'!U603/'ETF price'!V604</f>
        <v>2.5263157894736305E-3</v>
      </c>
      <c r="V603">
        <f ca="1">'ETF variations'!V603/'ETF price'!W604</f>
        <v>-1.1055034847392474E-2</v>
      </c>
      <c r="W603">
        <f ca="1">'ETF variations'!W603/'ETF price'!X604</f>
        <v>-1.0778206269158402E-2</v>
      </c>
      <c r="X603">
        <f ca="1">'ETF variations'!X603/'ETF price'!Y604</f>
        <v>-8.0034609560890643E-3</v>
      </c>
      <c r="Y603">
        <f ca="1">'ETF variations'!Y603/'ETF price'!Z604</f>
        <v>-9.9768956101659607E-3</v>
      </c>
      <c r="Z603">
        <f ca="1">'ETF variations'!Z603/'ETF price'!AA604</f>
        <v>-5.8902275769745346E-3</v>
      </c>
      <c r="AA603">
        <f ca="1">'ETF variations'!AA603/'ETF price'!AB604</f>
        <v>-8.3810302534751361E-3</v>
      </c>
      <c r="AB603">
        <f ca="1">'ETF variations'!AB603/'ETF price'!AC604</f>
        <v>1.1384615384615306E-2</v>
      </c>
      <c r="AC603">
        <f ca="1">'ETF variations'!AC603/'ETF price'!AD604</f>
        <v>7.5436115040075497E-3</v>
      </c>
      <c r="AD603">
        <f ca="1">'ETF variations'!AD603/'ETF price'!AE604</f>
        <v>-1.2825080156750959E-2</v>
      </c>
      <c r="AE603">
        <f ca="1">'ETF variations'!AE603/'ETF price'!AF604</f>
        <v>3.2854209445585245E-2</v>
      </c>
      <c r="AF603">
        <f ca="1">'ETF variations'!AF603/'ETF price'!AG604</f>
        <v>8.654262224145207E-4</v>
      </c>
    </row>
    <row r="604" spans="1:32" x14ac:dyDescent="0.2">
      <c r="A604">
        <f ca="1">'ETF variations'!A604/'ETF price'!B605</f>
        <v>-6.3396575659417148E-3</v>
      </c>
      <c r="B604">
        <f ca="1">'ETF variations'!B604/'ETF price'!C605</f>
        <v>-3.4914169333720526E-3</v>
      </c>
      <c r="C604">
        <f ca="1">'ETF variations'!C604/'ETF price'!D605</f>
        <v>7.8626559907668137E-3</v>
      </c>
      <c r="D604">
        <f ca="1">'ETF variations'!D604/'ETF price'!E605</f>
        <v>-2.065212910672324E-2</v>
      </c>
      <c r="E604">
        <f ca="1">'ETF variations'!E604/'ETF price'!F605</f>
        <v>-6.1588330632091175E-3</v>
      </c>
      <c r="F604">
        <f ca="1">'ETF variations'!F604/'ETF price'!G605</f>
        <v>-1.5847860538827259E-2</v>
      </c>
      <c r="G604">
        <f ca="1">'ETF variations'!G604/'ETF price'!H605</f>
        <v>-1.145311381531855E-2</v>
      </c>
      <c r="H604">
        <f ca="1">'ETF variations'!H604/'ETF price'!I605</f>
        <v>-7.7801920515874765E-3</v>
      </c>
      <c r="I604">
        <f ca="1">'ETF variations'!I604/'ETF price'!J605</f>
        <v>-8.248292795212284E-3</v>
      </c>
      <c r="J604">
        <f ca="1">'ETF variations'!J604/'ETF price'!K605</f>
        <v>-1.1709427207637391E-2</v>
      </c>
      <c r="K604">
        <f ca="1">'ETF variations'!K604/'ETF price'!L605</f>
        <v>-1.8512285425782472E-2</v>
      </c>
      <c r="L604">
        <f ca="1">'ETF variations'!L604/'ETF price'!M605</f>
        <v>-1.6743010582846347E-2</v>
      </c>
      <c r="M604">
        <f ca="1">'ETF variations'!M604/'ETF price'!N605</f>
        <v>-7.1471113758187878E-3</v>
      </c>
      <c r="N604">
        <f ca="1">'ETF variations'!N604/'ETF price'!O605</f>
        <v>-1.7441860465116251E-2</v>
      </c>
      <c r="O604">
        <f ca="1">'ETF variations'!O604/'ETF price'!P605</f>
        <v>-1.7657891886036132E-2</v>
      </c>
      <c r="P604">
        <f ca="1">'ETF variations'!P604/'ETF price'!Q605</f>
        <v>-1.7393320964749645E-2</v>
      </c>
      <c r="Q604">
        <f ca="1">'ETF variations'!Q604/'ETF price'!R605</f>
        <v>-1.4284144599494685E-2</v>
      </c>
      <c r="R604">
        <f ca="1">'ETF variations'!R604/'ETF price'!S605</f>
        <v>-1.6026139723043318E-2</v>
      </c>
      <c r="S604">
        <f ca="1">'ETF variations'!S604/'ETF price'!T605</f>
        <v>-1.0442773600668337E-2</v>
      </c>
      <c r="T604">
        <f ca="1">'ETF variations'!T604/'ETF price'!U605</f>
        <v>-1.4035539531290284E-2</v>
      </c>
      <c r="U604">
        <f ca="1">'ETF variations'!U604/'ETF price'!V605</f>
        <v>-4.1999160016791313E-4</v>
      </c>
      <c r="V604">
        <f ca="1">'ETF variations'!V604/'ETF price'!W605</f>
        <v>-8.0194410692587675E-3</v>
      </c>
      <c r="W604">
        <f ca="1">'ETF variations'!W604/'ETF price'!X605</f>
        <v>-1.0095961615353909E-2</v>
      </c>
      <c r="X604">
        <f ca="1">'ETF variations'!X604/'ETF price'!Y605</f>
        <v>-2.0279110335804616E-2</v>
      </c>
      <c r="Y604">
        <f ca="1">'ETF variations'!Y604/'ETF price'!Z605</f>
        <v>-1.0607828577490189E-2</v>
      </c>
      <c r="Z604">
        <f ca="1">'ETF variations'!Z604/'ETF price'!AA605</f>
        <v>-9.4263398868839592E-3</v>
      </c>
      <c r="AA604">
        <f ca="1">'ETF variations'!AA604/'ETF price'!AB605</f>
        <v>-2.411873840445258E-2</v>
      </c>
      <c r="AB604">
        <f ca="1">'ETF variations'!AB604/'ETF price'!AC605</f>
        <v>-5.3240036507452744E-3</v>
      </c>
      <c r="AC604">
        <f ca="1">'ETF variations'!AC604/'ETF price'!AD605</f>
        <v>-1.9185774450163787E-2</v>
      </c>
      <c r="AD604">
        <f ca="1">'ETF variations'!AD604/'ETF price'!AE605</f>
        <v>-1.7322266329844835E-2</v>
      </c>
      <c r="AE604">
        <f ca="1">'ETF variations'!AE604/'ETF price'!AF605</f>
        <v>-1.3916500994035842E-2</v>
      </c>
      <c r="AF604">
        <f ca="1">'ETF variations'!AF604/'ETF price'!AG605</f>
        <v>-9.0791180285342554E-3</v>
      </c>
    </row>
    <row r="605" spans="1:32" x14ac:dyDescent="0.2">
      <c r="A605">
        <f ca="1">'ETF variations'!A605/'ETF price'!B606</f>
        <v>-2.2819354538257241E-2</v>
      </c>
      <c r="B605">
        <f ca="1">'ETF variations'!B605/'ETF price'!C606</f>
        <v>-2.3576642335766347E-2</v>
      </c>
      <c r="C605">
        <f ca="1">'ETF variations'!C605/'ETF price'!D606</f>
        <v>1.5030060120241051E-3</v>
      </c>
      <c r="D605">
        <f ca="1">'ETF variations'!D605/'ETF price'!E606</f>
        <v>-6.9450290428487481E-3</v>
      </c>
      <c r="E605">
        <f ca="1">'ETF variations'!E605/'ETF price'!F606</f>
        <v>-2.6255707762557069E-2</v>
      </c>
      <c r="F605">
        <f ca="1">'ETF variations'!F605/'ETF price'!G606</f>
        <v>-9.9838969404187523E-3</v>
      </c>
      <c r="G605">
        <f ca="1">'ETF variations'!G605/'ETF price'!H606</f>
        <v>-2.8964518464881187E-3</v>
      </c>
      <c r="H605">
        <f ca="1">'ETF variations'!H605/'ETF price'!I606</f>
        <v>4.9448996891772522E-4</v>
      </c>
      <c r="I605">
        <f ca="1">'ETF variations'!I605/'ETF price'!J606</f>
        <v>1.5473289234460336E-3</v>
      </c>
      <c r="J605">
        <f ca="1">'ETF variations'!J605/'ETF price'!K606</f>
        <v>6.3391442155309296E-3</v>
      </c>
      <c r="K605">
        <f ca="1">'ETF variations'!K605/'ETF price'!L606</f>
        <v>1.6918152720621738E-2</v>
      </c>
      <c r="L605">
        <f ca="1">'ETF variations'!L605/'ETF price'!M606</f>
        <v>8.0321285140562242E-3</v>
      </c>
      <c r="M605">
        <f ca="1">'ETF variations'!M605/'ETF price'!N606</f>
        <v>8.9982003599262236E-4</v>
      </c>
      <c r="N605">
        <f ca="1">'ETF variations'!N605/'ETF price'!O606</f>
        <v>6.9033530571992385E-3</v>
      </c>
      <c r="O605">
        <f ca="1">'ETF variations'!O605/'ETF price'!P606</f>
        <v>2.8672254080281305E-3</v>
      </c>
      <c r="P605">
        <f ca="1">'ETF variations'!P605/'ETF price'!Q606</f>
        <v>3.5402407363700956E-3</v>
      </c>
      <c r="Q605">
        <f ca="1">'ETF variations'!Q605/'ETF price'!R606</f>
        <v>8.1373314011816307E-3</v>
      </c>
      <c r="R605">
        <f ca="1">'ETF variations'!R605/'ETF price'!S606</f>
        <v>1.0594560404806998E-2</v>
      </c>
      <c r="S605">
        <f ca="1">'ETF variations'!S605/'ETF price'!T606</f>
        <v>-1.308569016462652E-2</v>
      </c>
      <c r="T605">
        <f ca="1">'ETF variations'!T605/'ETF price'!U606</f>
        <v>-1.358234295415949E-2</v>
      </c>
      <c r="U605">
        <f ca="1">'ETF variations'!U605/'ETF price'!V606</f>
        <v>2.9411764705882321E-2</v>
      </c>
      <c r="V605">
        <f ca="1">'ETF variations'!V605/'ETF price'!W606</f>
        <v>5.3895149436550428E-3</v>
      </c>
      <c r="W605">
        <f ca="1">'ETF variations'!W605/'ETF price'!X606</f>
        <v>7.0685650812885269E-3</v>
      </c>
      <c r="X605">
        <f ca="1">'ETF variations'!X605/'ETF price'!Y606</f>
        <v>1.5357222345871306E-2</v>
      </c>
      <c r="Y605">
        <f ca="1">'ETF variations'!Y605/'ETF price'!Z606</f>
        <v>8.1483864050606314E-3</v>
      </c>
      <c r="Z605">
        <f ca="1">'ETF variations'!Z605/'ETF price'!AA606</f>
        <v>1.4410005437737931E-2</v>
      </c>
      <c r="AA605">
        <f ca="1">'ETF variations'!AA605/'ETF price'!AB606</f>
        <v>1.7532741867342591E-2</v>
      </c>
      <c r="AB605">
        <f ca="1">'ETF variations'!AB605/'ETF price'!AC606</f>
        <v>-5.0466432176173468E-3</v>
      </c>
      <c r="AC605">
        <f ca="1">'ETF variations'!AC605/'ETF price'!AD606</f>
        <v>1.1450381679389238E-2</v>
      </c>
      <c r="AD605">
        <f ca="1">'ETF variations'!AD605/'ETF price'!AE606</f>
        <v>2.3503488799118639E-2</v>
      </c>
      <c r="AE605">
        <f ca="1">'ETF variations'!AE605/'ETF price'!AF606</f>
        <v>1.4112903225806508E-2</v>
      </c>
      <c r="AF605">
        <f ca="1">'ETF variations'!AF605/'ETF price'!AG606</f>
        <v>-3.9267015706807764E-3</v>
      </c>
    </row>
    <row r="606" spans="1:32" x14ac:dyDescent="0.2">
      <c r="A606">
        <f ca="1">'ETF variations'!A606/'ETF price'!B607</f>
        <v>1.572701710908755E-3</v>
      </c>
      <c r="B606">
        <f ca="1">'ETF variations'!B606/'ETF price'!C607</f>
        <v>-8.7837332735297014E-4</v>
      </c>
      <c r="C606">
        <f ca="1">'ETF variations'!C606/'ETF price'!D607</f>
        <v>2.68705781462159E-2</v>
      </c>
      <c r="D606">
        <f ca="1">'ETF variations'!D606/'ETF price'!E607</f>
        <v>-8.1380070359853163E-3</v>
      </c>
      <c r="E606">
        <f ca="1">'ETF variations'!E606/'ETF price'!F607</f>
        <v>1.3398090772064695E-3</v>
      </c>
      <c r="F606">
        <f ca="1">'ETF variations'!F606/'ETF price'!G607</f>
        <v>1.3012361743657353E-3</v>
      </c>
      <c r="G606">
        <f ca="1">'ETF variations'!G606/'ETF price'!H607</f>
        <v>5.0835148874364766E-3</v>
      </c>
      <c r="H606">
        <f ca="1">'ETF variations'!H606/'ETF price'!I607</f>
        <v>1.4615547553484383E-2</v>
      </c>
      <c r="I606">
        <f ca="1">'ETF variations'!I606/'ETF price'!J607</f>
        <v>1.3672704800895923E-2</v>
      </c>
      <c r="J606">
        <f ca="1">'ETF variations'!J606/'ETF price'!K607</f>
        <v>3.9745031871016214E-3</v>
      </c>
      <c r="K606">
        <f ca="1">'ETF variations'!K606/'ETF price'!L607</f>
        <v>1.9109712230216021E-3</v>
      </c>
      <c r="L606">
        <f ca="1">'ETF variations'!L606/'ETF price'!M607</f>
        <v>8.6055776892430148E-3</v>
      </c>
      <c r="M606">
        <f ca="1">'ETF variations'!M606/'ETF price'!N607</f>
        <v>1.22864848666468E-2</v>
      </c>
      <c r="N606">
        <f ca="1">'ETF variations'!N606/'ETF price'!O607</f>
        <v>-5.8765915768854548E-3</v>
      </c>
      <c r="O606">
        <f ca="1">'ETF variations'!O606/'ETF price'!P607</f>
        <v>2.4851550472839292E-2</v>
      </c>
      <c r="P606">
        <f ca="1">'ETF variations'!P606/'ETF price'!Q607</f>
        <v>2.3518344308560677E-2</v>
      </c>
      <c r="Q606">
        <f ca="1">'ETF variations'!Q606/'ETF price'!R607</f>
        <v>1.2052189296771378E-2</v>
      </c>
      <c r="R606">
        <f ca="1">'ETF variations'!R606/'ETF price'!S607</f>
        <v>8.1364418713817908E-3</v>
      </c>
      <c r="S606">
        <f ca="1">'ETF variations'!S606/'ETF price'!T607</f>
        <v>-4.7048759623609685E-3</v>
      </c>
      <c r="T606">
        <f ca="1">'ETF variations'!T606/'ETF price'!U607</f>
        <v>-9.4002383159010709E-3</v>
      </c>
      <c r="U606">
        <f ca="1">'ETF variations'!U606/'ETF price'!V607</f>
        <v>-1.4693877551020385E-2</v>
      </c>
      <c r="V606">
        <f ca="1">'ETF variations'!V606/'ETF price'!W607</f>
        <v>1.4619883040935708E-2</v>
      </c>
      <c r="W606">
        <f ca="1">'ETF variations'!W606/'ETF price'!X607</f>
        <v>1.2834653564624496E-2</v>
      </c>
      <c r="X606">
        <f ca="1">'ETF variations'!X606/'ETF price'!Y607</f>
        <v>1.3371328364752289E-2</v>
      </c>
      <c r="Y606">
        <f ca="1">'ETF variations'!Y606/'ETF price'!Z607</f>
        <v>1.2974582580027639E-2</v>
      </c>
      <c r="Z606">
        <f ca="1">'ETF variations'!Z606/'ETF price'!AA607</f>
        <v>1.9833824711873355E-2</v>
      </c>
      <c r="AA606">
        <f ca="1">'ETF variations'!AA606/'ETF price'!AB607</f>
        <v>1.4116670126634829E-2</v>
      </c>
      <c r="AB606">
        <f ca="1">'ETF variations'!AB606/'ETF price'!AC607</f>
        <v>4.4574239163847531E-3</v>
      </c>
      <c r="AC606">
        <f ca="1">'ETF variations'!AC606/'ETF price'!AD607</f>
        <v>-6.1320754716980667E-3</v>
      </c>
      <c r="AD606">
        <f ca="1">'ETF variations'!AD606/'ETF price'!AE607</f>
        <v>-2.1169716541083596E-2</v>
      </c>
      <c r="AE606">
        <f ca="1">'ETF variations'!AE606/'ETF price'!AF607</f>
        <v>-9.9403578528826676E-3</v>
      </c>
      <c r="AF606">
        <f ca="1">'ETF variations'!AF606/'ETF price'!AG607</f>
        <v>-2.3434077967586363E-2</v>
      </c>
    </row>
    <row r="607" spans="1:32" x14ac:dyDescent="0.2">
      <c r="A607">
        <f ca="1">'ETF variations'!A607/'ETF price'!B608</f>
        <v>2.5218880852683726E-3</v>
      </c>
      <c r="B607">
        <f ca="1">'ETF variations'!B607/'ETF price'!C608</f>
        <v>5.25616804773563E-3</v>
      </c>
      <c r="C607">
        <f ca="1">'ETF variations'!C607/'ETF price'!D608</f>
        <v>-2.9229591481661041E-3</v>
      </c>
      <c r="D607">
        <f ca="1">'ETF variations'!D607/'ETF price'!E608</f>
        <v>1.6238622281098904E-3</v>
      </c>
      <c r="E607">
        <f ca="1">'ETF variations'!E607/'ETF price'!F608</f>
        <v>-4.6830573674527705E-3</v>
      </c>
      <c r="F607">
        <f ca="1">'ETF variations'!F607/'ETF price'!G608</f>
        <v>1.1046133853151391E-2</v>
      </c>
      <c r="G607">
        <f ca="1">'ETF variations'!G607/'ETF price'!H608</f>
        <v>-3.9739884393063382E-3</v>
      </c>
      <c r="H607">
        <f ca="1">'ETF variations'!H607/'ETF price'!I608</f>
        <v>7.0285316631873308E-3</v>
      </c>
      <c r="I607">
        <f ca="1">'ETF variations'!I607/'ETF price'!J608</f>
        <v>6.0201943227280782E-3</v>
      </c>
      <c r="J607">
        <f ca="1">'ETF variations'!J607/'ETF price'!K608</f>
        <v>1.2100388407529165E-2</v>
      </c>
      <c r="K607">
        <f ca="1">'ETF variations'!K607/'ETF price'!L608</f>
        <v>2.5692808257601327E-2</v>
      </c>
      <c r="L607">
        <f ca="1">'ETF variations'!L607/'ETF price'!M608</f>
        <v>9.0061621109180003E-3</v>
      </c>
      <c r="M607">
        <f ca="1">'ETF variations'!M607/'ETF price'!N608</f>
        <v>7.9928952042627593E-3</v>
      </c>
      <c r="N607">
        <f ca="1">'ETF variations'!N607/'ETF price'!O608</f>
        <v>1.3793103448275742E-2</v>
      </c>
      <c r="O607">
        <f ca="1">'ETF variations'!O607/'ETF price'!P608</f>
        <v>-2.6180257510729589E-2</v>
      </c>
      <c r="P607">
        <f ca="1">'ETF variations'!P607/'ETF price'!Q608</f>
        <v>-2.70373774509804E-2</v>
      </c>
      <c r="Q607">
        <f ca="1">'ETF variations'!Q607/'ETF price'!R608</f>
        <v>-5.899705014749331E-3</v>
      </c>
      <c r="R607">
        <f ca="1">'ETF variations'!R607/'ETF price'!S608</f>
        <v>-2.1729008225981773E-3</v>
      </c>
      <c r="S607">
        <f ca="1">'ETF variations'!S607/'ETF price'!T608</f>
        <v>-1.418134937688003E-2</v>
      </c>
      <c r="T607">
        <f ca="1">'ETF variations'!T607/'ETF price'!U608</f>
        <v>-3.9962576851109266E-2</v>
      </c>
      <c r="U607">
        <f ca="1">'ETF variations'!U607/'ETF price'!V608</f>
        <v>-3.1068765534382472E-3</v>
      </c>
      <c r="V607">
        <f ca="1">'ETF variations'!V607/'ETF price'!W608</f>
        <v>-6.2439961575407781E-3</v>
      </c>
      <c r="W607">
        <f ca="1">'ETF variations'!W607/'ETF price'!X608</f>
        <v>-6.435006435006491E-3</v>
      </c>
      <c r="X607">
        <f ca="1">'ETF variations'!X607/'ETF price'!Y608</f>
        <v>-1.1680726800778697E-2</v>
      </c>
      <c r="Y607">
        <f ca="1">'ETF variations'!Y607/'ETF price'!Z608</f>
        <v>-4.1994750656168577E-3</v>
      </c>
      <c r="Z607">
        <f ca="1">'ETF variations'!Z607/'ETF price'!AA608</f>
        <v>-3.9421813403416189E-3</v>
      </c>
      <c r="AA607">
        <f ca="1">'ETF variations'!AA607/'ETF price'!AB608</f>
        <v>-1.7400204708290713E-2</v>
      </c>
      <c r="AB607">
        <f ca="1">'ETF variations'!AB607/'ETF price'!AC608</f>
        <v>-1.9892884468247201E-3</v>
      </c>
      <c r="AC607">
        <f ca="1">'ETF variations'!AC607/'ETF price'!AD608</f>
        <v>9.0175605125771847E-3</v>
      </c>
      <c r="AD607">
        <f ca="1">'ETF variations'!AD607/'ETF price'!AE608</f>
        <v>-4.1055718475073347E-2</v>
      </c>
      <c r="AE607">
        <f ca="1">'ETF variations'!AE607/'ETF price'!AF608</f>
        <v>-1.2048192771084437E-2</v>
      </c>
      <c r="AF607">
        <f ca="1">'ETF variations'!AF607/'ETF price'!AG608</f>
        <v>4.9338416685355199E-3</v>
      </c>
    </row>
    <row r="608" spans="1:32" x14ac:dyDescent="0.2">
      <c r="A608">
        <f ca="1">'ETF variations'!A608/'ETF price'!B609</f>
        <v>2.0883762874365072E-3</v>
      </c>
      <c r="B608">
        <f ca="1">'ETF variations'!B608/'ETF price'!C609</f>
        <v>6.1404488109865834E-4</v>
      </c>
      <c r="C608">
        <f ca="1">'ETF variations'!C608/'ETF price'!D609</f>
        <v>1.3261673762825275E-3</v>
      </c>
      <c r="D608">
        <f ca="1">'ETF variations'!D608/'ETF price'!E609</f>
        <v>-7.8075003199794537E-3</v>
      </c>
      <c r="E608">
        <f ca="1">'ETF variations'!E608/'ETF price'!F609</f>
        <v>-2.1845068055788178E-3</v>
      </c>
      <c r="F608">
        <f ca="1">'ETF variations'!F608/'ETF price'!G609</f>
        <v>3.2133676092538593E-4</v>
      </c>
      <c r="G608">
        <f ca="1">'ETF variations'!G608/'ETF price'!H609</f>
        <v>-5.4406964091403181E-3</v>
      </c>
      <c r="H608">
        <f ca="1">'ETF variations'!H608/'ETF price'!I609</f>
        <v>2.9023564370118686E-3</v>
      </c>
      <c r="I608">
        <f ca="1">'ETF variations'!I608/'ETF price'!J609</f>
        <v>3.0678332007726484E-3</v>
      </c>
      <c r="J608">
        <f ca="1">'ETF variations'!J608/'ETF price'!K609</f>
        <v>-1.4760147601483565E-4</v>
      </c>
      <c r="K608">
        <f ca="1">'ETF variations'!K608/'ETF price'!L609</f>
        <v>-2.7346313716910958E-3</v>
      </c>
      <c r="L608">
        <f ca="1">'ETF variations'!L608/'ETF price'!M609</f>
        <v>-3.6016285624803769E-3</v>
      </c>
      <c r="M608">
        <f ca="1">'ETF variations'!M608/'ETF price'!N609</f>
        <v>2.3494860499267372E-3</v>
      </c>
      <c r="N608">
        <f ca="1">'ETF variations'!N608/'ETF price'!O609</f>
        <v>-2.4295432458692933E-4</v>
      </c>
      <c r="O608">
        <f ca="1">'ETF variations'!O608/'ETF price'!P609</f>
        <v>-9.5857205817541265E-3</v>
      </c>
      <c r="P608">
        <f ca="1">'ETF variations'!P608/'ETF price'!Q609</f>
        <v>-1.1414626466189112E-2</v>
      </c>
      <c r="Q608">
        <f ca="1">'ETF variations'!Q608/'ETF price'!R609</f>
        <v>-1.110012089240566E-2</v>
      </c>
      <c r="R608">
        <f ca="1">'ETF variations'!R608/'ETF price'!S609</f>
        <v>-4.6663555762949241E-2</v>
      </c>
      <c r="S608">
        <f ca="1">'ETF variations'!S608/'ETF price'!T609</f>
        <v>-1.0026155187445528E-2</v>
      </c>
      <c r="T608">
        <f ca="1">'ETF variations'!T608/'ETF price'!U609</f>
        <v>-1.0302102185716203E-2</v>
      </c>
      <c r="U608">
        <f ca="1">'ETF variations'!U608/'ETF price'!V609</f>
        <v>-1.4959484728859463E-2</v>
      </c>
      <c r="V608">
        <f ca="1">'ETF variations'!V608/'ETF price'!W609</f>
        <v>-4.5915901401644473E-3</v>
      </c>
      <c r="W608">
        <f ca="1">'ETF variations'!W608/'ETF price'!X609</f>
        <v>-5.3806297329614013E-3</v>
      </c>
      <c r="X608">
        <f ca="1">'ETF variations'!X608/'ETF price'!Y609</f>
        <v>-1.6414970453053186E-2</v>
      </c>
      <c r="Y608">
        <f ca="1">'ETF variations'!Y608/'ETF price'!Z609</f>
        <v>-8.6452293094358805E-3</v>
      </c>
      <c r="Z608">
        <f ca="1">'ETF variations'!Z608/'ETF price'!AA609</f>
        <v>9.4986807387862655E-3</v>
      </c>
      <c r="AA608">
        <f ca="1">'ETF variations'!AA608/'ETF price'!AB609</f>
        <v>-1.7708333333333364E-2</v>
      </c>
      <c r="AB608">
        <f ca="1">'ETF variations'!AB608/'ETF price'!AC609</f>
        <v>2.146580803434538E-3</v>
      </c>
      <c r="AC608">
        <f ca="1">'ETF variations'!AC608/'ETF price'!AD609</f>
        <v>1.4581373471307559E-2</v>
      </c>
      <c r="AD608">
        <f ca="1">'ETF variations'!AD608/'ETF price'!AE609</f>
        <v>1.9495412844036757E-2</v>
      </c>
      <c r="AE608">
        <f ca="1">'ETF variations'!AE608/'ETF price'!AF609</f>
        <v>-4.0650406504064178E-3</v>
      </c>
      <c r="AF608">
        <f ca="1">'ETF variations'!AF608/'ETF price'!AG609</f>
        <v>5.3113144387413422E-2</v>
      </c>
    </row>
    <row r="609" spans="1:32" x14ac:dyDescent="0.2">
      <c r="A609">
        <f ca="1">'ETF variations'!A609/'ETF price'!B610</f>
        <v>2.2213801922985828E-2</v>
      </c>
      <c r="B609">
        <f ca="1">'ETF variations'!B609/'ETF price'!C610</f>
        <v>2.5476522547652338E-2</v>
      </c>
      <c r="C609">
        <f ca="1">'ETF variations'!C609/'ETF price'!D610</f>
        <v>3.2761745434267309E-3</v>
      </c>
      <c r="D609">
        <f ca="1">'ETF variations'!D609/'ETF price'!E610</f>
        <v>4.3730650154798704E-2</v>
      </c>
      <c r="E609">
        <f ca="1">'ETF variations'!E609/'ETF price'!F610</f>
        <v>2.1556079488043011E-2</v>
      </c>
      <c r="F609">
        <f ca="1">'ETF variations'!F609/'ETF price'!G610</f>
        <v>1.6382910375843288E-2</v>
      </c>
      <c r="G609">
        <f ca="1">'ETF variations'!G609/'ETF price'!H610</f>
        <v>1.4952589350838678E-2</v>
      </c>
      <c r="H609">
        <f ca="1">'ETF variations'!H609/'ETF price'!I610</f>
        <v>4.5476469372286677E-3</v>
      </c>
      <c r="I609">
        <f ca="1">'ETF variations'!I609/'ETF price'!J610</f>
        <v>5.6637970095151794E-3</v>
      </c>
      <c r="J609">
        <f ca="1">'ETF variations'!J609/'ETF price'!K610</f>
        <v>1.9043401240035524E-2</v>
      </c>
      <c r="K609">
        <f ca="1">'ETF variations'!K609/'ETF price'!L610</f>
        <v>3.2357135022485495E-2</v>
      </c>
      <c r="L609">
        <f ca="1">'ETF variations'!L609/'ETF price'!M610</f>
        <v>1.1629734402011661E-2</v>
      </c>
      <c r="M609">
        <f ca="1">'ETF variations'!M609/'ETF price'!N610</f>
        <v>6.1529446234984131E-3</v>
      </c>
      <c r="N609">
        <f ca="1">'ETF variations'!N609/'ETF price'!O610</f>
        <v>2.6488456865127664E-2</v>
      </c>
      <c r="O609">
        <f ca="1">'ETF variations'!O609/'ETF price'!P610</f>
        <v>-1.112470797642131E-4</v>
      </c>
      <c r="P609">
        <f ca="1">'ETF variations'!P609/'ETF price'!Q610</f>
        <v>1.2740882306099426E-3</v>
      </c>
      <c r="Q609">
        <f ca="1">'ETF variations'!Q609/'ETF price'!R610</f>
        <v>6.8904200933539708E-3</v>
      </c>
      <c r="R609">
        <f ca="1">'ETF variations'!R609/'ETF price'!S610</f>
        <v>8.647413933757564E-3</v>
      </c>
      <c r="S609">
        <f ca="1">'ETF variations'!S609/'ETF price'!T610</f>
        <v>3.5226772346982956E-3</v>
      </c>
      <c r="T609">
        <f ca="1">'ETF variations'!T609/'ETF price'!U610</f>
        <v>1.1253340835560517E-2</v>
      </c>
      <c r="U609">
        <f ca="1">'ETF variations'!U609/'ETF price'!V610</f>
        <v>2.3623708078464558E-2</v>
      </c>
      <c r="V609">
        <f ca="1">'ETF variations'!V609/'ETF price'!W610</f>
        <v>2.9133284777859811E-3</v>
      </c>
      <c r="W609">
        <f ca="1">'ETF variations'!W609/'ETF price'!X610</f>
        <v>4.0072129833701236E-3</v>
      </c>
      <c r="X609">
        <f ca="1">'ETF variations'!X609/'ETF price'!Y610</f>
        <v>3.1152647975078011E-3</v>
      </c>
      <c r="Y609">
        <f ca="1">'ETF variations'!Y609/'ETF price'!Z610</f>
        <v>4.0412634265659412E-3</v>
      </c>
      <c r="Z609">
        <f ca="1">'ETF variations'!Z609/'ETF price'!AA610</f>
        <v>-1.3068478829063555E-3</v>
      </c>
      <c r="AA609">
        <f ca="1">'ETF variations'!AA609/'ETF price'!AB610</f>
        <v>3.181336161187669E-3</v>
      </c>
      <c r="AB609">
        <f ca="1">'ETF variations'!AB609/'ETF price'!AC610</f>
        <v>-1.5299877600978323E-3</v>
      </c>
      <c r="AC609">
        <f ca="1">'ETF variations'!AC609/'ETF price'!AD610</f>
        <v>1.6226240148354262E-2</v>
      </c>
      <c r="AD609">
        <f ca="1">'ETF variations'!AD609/'ETF price'!AE610</f>
        <v>1.1248593925759174E-2</v>
      </c>
      <c r="AE609">
        <f ca="1">'ETF variations'!AE609/'ETF price'!AF610</f>
        <v>-1.0204081632653206E-2</v>
      </c>
      <c r="AF609">
        <f ca="1">'ETF variations'!AF609/'ETF price'!AG610</f>
        <v>3.0091121000211947E-2</v>
      </c>
    </row>
    <row r="610" spans="1:32" x14ac:dyDescent="0.2">
      <c r="A610">
        <f ca="1">'ETF variations'!A610/'ETF price'!B611</f>
        <v>-3.3361134278565418E-3</v>
      </c>
      <c r="B610">
        <f ca="1">'ETF variations'!B610/'ETF price'!C611</f>
        <v>-2.8289056124763063E-3</v>
      </c>
      <c r="C610">
        <f ca="1">'ETF variations'!C610/'ETF price'!D611</f>
        <v>1.4173556590008976E-2</v>
      </c>
      <c r="D610">
        <f ca="1">'ETF variations'!D610/'ETF price'!E611</f>
        <v>-8.1984097556955498E-3</v>
      </c>
      <c r="E610">
        <f ca="1">'ETF variations'!E610/'ETF price'!F611</f>
        <v>-3.2970656116050151E-4</v>
      </c>
      <c r="F610">
        <f ca="1">'ETF variations'!F610/'ETF price'!G611</f>
        <v>-5.3729456384324177E-3</v>
      </c>
      <c r="G610">
        <f ca="1">'ETF variations'!G610/'ETF price'!H611</f>
        <v>-2.8745957599711929E-3</v>
      </c>
      <c r="H610">
        <f ca="1">'ETF variations'!H610/'ETF price'!I611</f>
        <v>3.2924068866178628E-3</v>
      </c>
      <c r="I610">
        <f ca="1">'ETF variations'!I610/'ETF price'!J611</f>
        <v>2.0650296613351784E-3</v>
      </c>
      <c r="J610">
        <f ca="1">'ETF variations'!J610/'ETF price'!K611</f>
        <v>-3.3318846878169486E-3</v>
      </c>
      <c r="K610">
        <f ca="1">'ETF variations'!K610/'ETF price'!L611</f>
        <v>-1.3812154696132718E-2</v>
      </c>
      <c r="L610">
        <f ca="1">'ETF variations'!L610/'ETF price'!M611</f>
        <v>4.6605561597019005E-4</v>
      </c>
      <c r="M610">
        <f ca="1">'ETF variations'!M610/'ETF price'!N611</f>
        <v>2.1840419336050009E-3</v>
      </c>
      <c r="N610">
        <f ca="1">'ETF variations'!N610/'ETF price'!O611</f>
        <v>-5.6818181818182288E-3</v>
      </c>
      <c r="O610">
        <f ca="1">'ETF variations'!O610/'ETF price'!P611</f>
        <v>5.2291944815309179E-3</v>
      </c>
      <c r="P610">
        <f ca="1">'ETF variations'!P610/'ETF price'!Q611</f>
        <v>4.2150469222204641E-3</v>
      </c>
      <c r="Q610">
        <f ca="1">'ETF variations'!Q610/'ETF price'!R611</f>
        <v>1.1037527593819926E-3</v>
      </c>
      <c r="R610">
        <f ca="1">'ETF variations'!R610/'ETF price'!S611</f>
        <v>1.0837916531866738E-2</v>
      </c>
      <c r="S610">
        <f ca="1">'ETF variations'!S610/'ETF price'!T611</f>
        <v>1.3163668275559488E-2</v>
      </c>
      <c r="T610">
        <f ca="1">'ETF variations'!T610/'ETF price'!U611</f>
        <v>1.9056892474614055E-2</v>
      </c>
      <c r="U610">
        <f ca="1">'ETF variations'!U610/'ETF price'!V611</f>
        <v>-2.1017927055429694E-2</v>
      </c>
      <c r="V610">
        <f ca="1">'ETF variations'!V610/'ETF price'!W611</f>
        <v>-4.8414427499402385E-4</v>
      </c>
      <c r="W610">
        <f ca="1">'ETF variations'!W610/'ETF price'!X611</f>
        <v>-1.3969267611255295E-3</v>
      </c>
      <c r="X610">
        <f ca="1">'ETF variations'!X610/'ETF price'!Y611</f>
        <v>1.1091393078971664E-3</v>
      </c>
      <c r="Y610">
        <f ca="1">'ETF variations'!Y610/'ETF price'!Z611</f>
        <v>-3.6013134201885754E-3</v>
      </c>
      <c r="Z610">
        <f ca="1">'ETF variations'!Z610/'ETF price'!AA611</f>
        <v>1.5702695629416978E-3</v>
      </c>
      <c r="AA610">
        <f ca="1">'ETF variations'!AA610/'ETF price'!AB611</f>
        <v>2.5369978858351913E-3</v>
      </c>
      <c r="AB610">
        <f ca="1">'ETF variations'!AB610/'ETF price'!AC611</f>
        <v>-1.5629788538155227E-2</v>
      </c>
      <c r="AC610">
        <f ca="1">'ETF variations'!AC610/'ETF price'!AD611</f>
        <v>-1.7335766423357778E-2</v>
      </c>
      <c r="AD610">
        <f ca="1">'ETF variations'!AD610/'ETF price'!AE611</f>
        <v>-1.2235817575083364E-2</v>
      </c>
      <c r="AE610">
        <f ca="1">'ETF variations'!AE610/'ETF price'!AF611</f>
        <v>5.7731958762886657E-2</v>
      </c>
      <c r="AF610">
        <f ca="1">'ETF variations'!AF610/'ETF price'!AG611</f>
        <v>3.7235136803126977E-2</v>
      </c>
    </row>
    <row r="611" spans="1:32" x14ac:dyDescent="0.2">
      <c r="A611">
        <f ca="1">'ETF variations'!A611/'ETF price'!B612</f>
        <v>2.3245002324500234E-3</v>
      </c>
      <c r="B611">
        <f ca="1">'ETF variations'!B611/'ETF price'!C612</f>
        <v>-7.2741821091424873E-5</v>
      </c>
      <c r="C611">
        <f ca="1">'ETF variations'!C611/'ETF price'!D612</f>
        <v>2.2538877851613289E-2</v>
      </c>
      <c r="D611">
        <f ca="1">'ETF variations'!D611/'ETF price'!E612</f>
        <v>-2.9907784331644049E-3</v>
      </c>
      <c r="E611">
        <f ca="1">'ETF variations'!E611/'ETF price'!F612</f>
        <v>3.2981530343001355E-4</v>
      </c>
      <c r="F611">
        <f ca="1">'ETF variations'!F611/'ETF price'!G612</f>
        <v>-1.302828090244678E-2</v>
      </c>
      <c r="G611">
        <f ca="1">'ETF variations'!G611/'ETF price'!H612</f>
        <v>-7.5675675675675987E-3</v>
      </c>
      <c r="H611">
        <f ca="1">'ETF variations'!H611/'ETF price'!I612</f>
        <v>1.0938675052983974E-3</v>
      </c>
      <c r="I611">
        <f ca="1">'ETF variations'!I611/'ETF price'!J612</f>
        <v>-7.4937240061380392E-5</v>
      </c>
      <c r="J611">
        <f ca="1">'ETF variations'!J611/'ETF price'!K612</f>
        <v>-6.3953488372092693E-3</v>
      </c>
      <c r="K611">
        <f ca="1">'ETF variations'!K611/'ETF price'!L612</f>
        <v>-1.5406162464985915E-2</v>
      </c>
      <c r="L611">
        <f ca="1">'ETF variations'!L611/'ETF price'!M612</f>
        <v>-6.2111801242236905E-3</v>
      </c>
      <c r="M611">
        <f ca="1">'ETF variations'!M611/'ETF price'!N612</f>
        <v>1.4528548598002493E-4</v>
      </c>
      <c r="N611">
        <f ca="1">'ETF variations'!N611/'ETF price'!O612</f>
        <v>-7.619047619047626E-3</v>
      </c>
      <c r="O611">
        <f ca="1">'ETF variations'!O611/'ETF price'!P612</f>
        <v>-3.9845047039291587E-3</v>
      </c>
      <c r="P611">
        <f ca="1">'ETF variations'!P611/'ETF price'!Q612</f>
        <v>-4.5141363744356788E-3</v>
      </c>
      <c r="Q611">
        <f ca="1">'ETF variations'!Q611/'ETF price'!R612</f>
        <v>-1.0033076074972398E-2</v>
      </c>
      <c r="R611">
        <f ca="1">'ETF variations'!R611/'ETF price'!S612</f>
        <v>-3.2485197631621075E-2</v>
      </c>
      <c r="S611">
        <f ca="1">'ETF variations'!S611/'ETF price'!T612</f>
        <v>-1.4291901255954885E-2</v>
      </c>
      <c r="T611">
        <f ca="1">'ETF variations'!T611/'ETF price'!U612</f>
        <v>-3.2760032760033998E-3</v>
      </c>
      <c r="U611">
        <f ca="1">'ETF variations'!U611/'ETF price'!V612</f>
        <v>-3.3045674594822147E-2</v>
      </c>
      <c r="V611">
        <f ca="1">'ETF variations'!V611/'ETF price'!W612</f>
        <v>4.6015984499878353E-3</v>
      </c>
      <c r="W611">
        <f ca="1">'ETF variations'!W611/'ETF price'!X612</f>
        <v>1.4988009592326707E-3</v>
      </c>
      <c r="X611">
        <f ca="1">'ETF variations'!X611/'ETF price'!Y612</f>
        <v>-2.2158209616663289E-3</v>
      </c>
      <c r="Y611">
        <f ca="1">'ETF variations'!Y611/'ETF price'!Z612</f>
        <v>2.2323801424471985E-3</v>
      </c>
      <c r="Z611">
        <f ca="1">'ETF variations'!Z611/'ETF price'!AA612</f>
        <v>-7.8390384112883259E-3</v>
      </c>
      <c r="AA611">
        <f ca="1">'ETF variations'!AA611/'ETF price'!AB612</f>
        <v>-4.4285111767187017E-3</v>
      </c>
      <c r="AB611">
        <f ca="1">'ETF variations'!AB611/'ETF price'!AC612</f>
        <v>3.5803237858032999E-3</v>
      </c>
      <c r="AC611">
        <f ca="1">'ETF variations'!AC611/'ETF price'!AD612</f>
        <v>-2.46053853296192E-2</v>
      </c>
      <c r="AD611">
        <f ca="1">'ETF variations'!AD611/'ETF price'!AE612</f>
        <v>-1.8018018018018035E-2</v>
      </c>
      <c r="AE611">
        <f ca="1">'ETF variations'!AE611/'ETF price'!AF612</f>
        <v>7.7972709551656994E-3</v>
      </c>
      <c r="AF611">
        <f ca="1">'ETF variations'!AF611/'ETF price'!AG612</f>
        <v>-4.3633478778262652E-2</v>
      </c>
    </row>
    <row r="612" spans="1:32" x14ac:dyDescent="0.2">
      <c r="A612">
        <f ca="1">'ETF variations'!A612/'ETF price'!B613</f>
        <v>2.551020408163318E-3</v>
      </c>
      <c r="B612">
        <f ca="1">'ETF variations'!B612/'ETF price'!C613</f>
        <v>3.455487860325502E-3</v>
      </c>
      <c r="C612">
        <f ca="1">'ETF variations'!C612/'ETF price'!D613</f>
        <v>6.5657242395820601E-3</v>
      </c>
      <c r="D612">
        <f ca="1">'ETF variations'!D612/'ETF price'!E613</f>
        <v>1.441546537788509E-2</v>
      </c>
      <c r="E612">
        <f ca="1">'ETF variations'!E612/'ETF price'!F613</f>
        <v>1.4177382129904494E-2</v>
      </c>
      <c r="F612">
        <f ca="1">'ETF variations'!F612/'ETF price'!G613</f>
        <v>7.4050225370251264E-3</v>
      </c>
      <c r="G612">
        <f ca="1">'ETF variations'!G612/'ETF price'!H613</f>
        <v>8.7145969498911395E-3</v>
      </c>
      <c r="H612">
        <f ca="1">'ETF variations'!H612/'ETF price'!I613</f>
        <v>3.6877688998155568E-3</v>
      </c>
      <c r="I612">
        <f ca="1">'ETF variations'!I612/'ETF price'!J613</f>
        <v>4.4590999362985641E-3</v>
      </c>
      <c r="J612">
        <f ca="1">'ETF variations'!J612/'ETF price'!K613</f>
        <v>1.6091281451140935E-3</v>
      </c>
      <c r="K612">
        <f ca="1">'ETF variations'!K612/'ETF price'!L613</f>
        <v>6.5652697231643976E-3</v>
      </c>
      <c r="L612">
        <f ca="1">'ETF variations'!L612/'ETF price'!M613</f>
        <v>1.7187499999999911E-3</v>
      </c>
      <c r="M612">
        <f ca="1">'ETF variations'!M612/'ETF price'!N613</f>
        <v>3.776873910517009E-3</v>
      </c>
      <c r="N612">
        <f ca="1">'ETF variations'!N612/'ETF price'!O613</f>
        <v>0</v>
      </c>
      <c r="O612">
        <f ca="1">'ETF variations'!O612/'ETF price'!P613</f>
        <v>7.5563951550173007E-3</v>
      </c>
      <c r="P612">
        <f ca="1">'ETF variations'!P612/'ETF price'!Q613</f>
        <v>1.1614956245027794E-2</v>
      </c>
      <c r="Q612">
        <f ca="1">'ETF variations'!Q612/'ETF price'!R613</f>
        <v>-1.0023387905112307E-3</v>
      </c>
      <c r="R612">
        <f ca="1">'ETF variations'!R612/'ETF price'!S613</f>
        <v>-1.8193847171683664E-3</v>
      </c>
      <c r="S612">
        <f ca="1">'ETF variations'!S612/'ETF price'!T613</f>
        <v>1.4499121265377781E-2</v>
      </c>
      <c r="T612">
        <f ca="1">'ETF variations'!T612/'ETF price'!U613</f>
        <v>3.341550260202681E-2</v>
      </c>
      <c r="U612">
        <f ca="1">'ETF variations'!U612/'ETF price'!V613</f>
        <v>2.8733130169786687E-2</v>
      </c>
      <c r="V612">
        <f ca="1">'ETF variations'!V612/'ETF price'!W613</f>
        <v>-3.8572806171648169E-3</v>
      </c>
      <c r="W612">
        <f ca="1">'ETF variations'!W612/'ETF price'!X613</f>
        <v>-1.6960989723635808E-3</v>
      </c>
      <c r="X612">
        <f ca="1">'ETF variations'!X612/'ETF price'!Y613</f>
        <v>-1.1992005329780127E-2</v>
      </c>
      <c r="Y612">
        <f ca="1">'ETF variations'!Y612/'ETF price'!Z613</f>
        <v>-9.5460330929150836E-4</v>
      </c>
      <c r="Z612">
        <f ca="1">'ETF variations'!Z612/'ETF price'!AA613</f>
        <v>5.0039504872266983E-3</v>
      </c>
      <c r="AA612">
        <f ca="1">'ETF variations'!AA612/'ETF price'!AB613</f>
        <v>-1.5462825672527091E-2</v>
      </c>
      <c r="AB612">
        <f ca="1">'ETF variations'!AB612/'ETF price'!AC613</f>
        <v>-3.1022180859314849E-3</v>
      </c>
      <c r="AC612">
        <f ca="1">'ETF variations'!AC612/'ETF price'!AD613</f>
        <v>-9.5192765349848285E-4</v>
      </c>
      <c r="AD612">
        <f ca="1">'ETF variations'!AD612/'ETF price'!AE613</f>
        <v>2.6758409785932829E-3</v>
      </c>
      <c r="AE612">
        <f ca="1">'ETF variations'!AE612/'ETF price'!AF613</f>
        <v>3.2882011605415845E-2</v>
      </c>
      <c r="AF612">
        <f ca="1">'ETF variations'!AF612/'ETF price'!AG613</f>
        <v>1.1406055578598182E-2</v>
      </c>
    </row>
    <row r="613" spans="1:32" x14ac:dyDescent="0.2">
      <c r="A613">
        <f ca="1">'ETF variations'!A613/'ETF price'!B614</f>
        <v>1.8598195697432256E-2</v>
      </c>
      <c r="B613">
        <f ca="1">'ETF variations'!B613/'ETF price'!C614</f>
        <v>1.4028092433167211E-2</v>
      </c>
      <c r="C613">
        <f ca="1">'ETF variations'!C613/'ETF price'!D614</f>
        <v>5.5910543130990639E-3</v>
      </c>
      <c r="D613">
        <f ca="1">'ETF variations'!D613/'ETF price'!E614</f>
        <v>-4.5178248726788741E-4</v>
      </c>
      <c r="E613">
        <f ca="1">'ETF variations'!E613/'ETF price'!F614</f>
        <v>3.0884265279583502E-3</v>
      </c>
      <c r="F613">
        <f ca="1">'ETF variations'!F613/'ETF price'!G614</f>
        <v>-5.1134547778843124E-3</v>
      </c>
      <c r="G613">
        <f ca="1">'ETF variations'!G613/'ETF price'!H614</f>
        <v>-2.1598272138229758E-3</v>
      </c>
      <c r="H613">
        <f ca="1">'ETF variations'!H613/'ETF price'!I614</f>
        <v>-4.1505069061712266E-3</v>
      </c>
      <c r="I613">
        <f ca="1">'ETF variations'!I613/'ETF price'!J614</f>
        <v>-3.9170334999627373E-3</v>
      </c>
      <c r="J613">
        <f ca="1">'ETF variations'!J613/'ETF price'!K614</f>
        <v>-9.4932087045418033E-4</v>
      </c>
      <c r="K613">
        <f ca="1">'ETF variations'!K613/'ETF price'!L614</f>
        <v>5.1092510055440691E-3</v>
      </c>
      <c r="L613">
        <f ca="1">'ETF variations'!L613/'ETF price'!M614</f>
        <v>3.1196381219772298E-4</v>
      </c>
      <c r="M613">
        <f ca="1">'ETF variations'!M613/'ETF price'!N614</f>
        <v>-3.3285094066568708E-3</v>
      </c>
      <c r="N613">
        <f ca="1">'ETF variations'!N613/'ETF price'!O614</f>
        <v>7.6775431861804289E-3</v>
      </c>
      <c r="O613">
        <f ca="1">'ETF variations'!O613/'ETF price'!P614</f>
        <v>-1.9852211315761203E-3</v>
      </c>
      <c r="P613">
        <f ca="1">'ETF variations'!P613/'ETF price'!Q614</f>
        <v>-1.5728216420258167E-3</v>
      </c>
      <c r="Q613">
        <f ca="1">'ETF variations'!Q613/'ETF price'!R614</f>
        <v>-3.3444816053512973E-4</v>
      </c>
      <c r="R613">
        <f ca="1">'ETF variations'!R613/'ETF price'!S614</f>
        <v>-1.8558409279204713E-2</v>
      </c>
      <c r="S613">
        <f ca="1">'ETF variations'!S613/'ETF price'!T614</f>
        <v>-1.2992637505414091E-3</v>
      </c>
      <c r="T613">
        <f ca="1">'ETF variations'!T613/'ETF price'!U614</f>
        <v>6.6260270341918063E-4</v>
      </c>
      <c r="U613">
        <f ca="1">'ETF variations'!U613/'ETF price'!V614</f>
        <v>1.2060939483707159E-2</v>
      </c>
      <c r="V613">
        <f ca="1">'ETF variations'!V613/'ETF price'!W614</f>
        <v>-1.1374636979670835E-2</v>
      </c>
      <c r="W613">
        <f ca="1">'ETF variations'!W613/'ETF price'!X614</f>
        <v>-1.1293224065560619E-2</v>
      </c>
      <c r="X613">
        <f ca="1">'ETF variations'!X613/'ETF price'!Y614</f>
        <v>-8.766014834794349E-3</v>
      </c>
      <c r="Y613">
        <f ca="1">'ETF variations'!Y613/'ETF price'!Z614</f>
        <v>-1.507591039388472E-2</v>
      </c>
      <c r="Z613">
        <f ca="1">'ETF variations'!Z613/'ETF price'!AA614</f>
        <v>-3.1446540880502478E-3</v>
      </c>
      <c r="AA613">
        <f ca="1">'ETF variations'!AA613/'ETF price'!AB614</f>
        <v>-3.6574870912219151E-3</v>
      </c>
      <c r="AB613">
        <f ca="1">'ETF variations'!AB613/'ETF price'!AC614</f>
        <v>-3.7342461490585794E-3</v>
      </c>
      <c r="AC613">
        <f ca="1">'ETF variations'!AC613/'ETF price'!AD614</f>
        <v>-3.8113387327298583E-2</v>
      </c>
      <c r="AD613">
        <f ca="1">'ETF variations'!AD613/'ETF price'!AE614</f>
        <v>-3.049942813572248E-2</v>
      </c>
      <c r="AE613">
        <f ca="1">'ETF variations'!AE613/'ETF price'!AF614</f>
        <v>-3.3707865168539276E-2</v>
      </c>
      <c r="AF613">
        <f ca="1">'ETF variations'!AF613/'ETF price'!AG614</f>
        <v>7.5866311256919707E-3</v>
      </c>
    </row>
    <row r="614" spans="1:32" x14ac:dyDescent="0.2">
      <c r="A614">
        <f ca="1">'ETF variations'!A614/'ETF price'!B615</f>
        <v>2.2119271472044351E-2</v>
      </c>
      <c r="B614">
        <f ca="1">'ETF variations'!B614/'ETF price'!C615</f>
        <v>2.150172478507207E-2</v>
      </c>
      <c r="C614">
        <f ca="1">'ETF variations'!C614/'ETF price'!D615</f>
        <v>1.1119936457505813E-2</v>
      </c>
      <c r="D614">
        <f ca="1">'ETF variations'!D614/'ETF price'!E615</f>
        <v>2.8187533385380225E-2</v>
      </c>
      <c r="E614">
        <f ca="1">'ETF variations'!E614/'ETF price'!F615</f>
        <v>1.2315670069680732E-2</v>
      </c>
      <c r="F614">
        <f ca="1">'ETF variations'!F614/'ETF price'!G615</f>
        <v>2.2165114037905598E-2</v>
      </c>
      <c r="G614">
        <f ca="1">'ETF variations'!G614/'ETF price'!H615</f>
        <v>1.3347763347763384E-2</v>
      </c>
      <c r="H614">
        <f ca="1">'ETF variations'!H614/'ETF price'!I615</f>
        <v>-2.1180650450943034E-3</v>
      </c>
      <c r="I614">
        <f ca="1">'ETF variations'!I614/'ETF price'!J615</f>
        <v>-9.7374630163660875E-4</v>
      </c>
      <c r="J614">
        <f ca="1">'ETF variations'!J614/'ETF price'!K615</f>
        <v>7.3094072070755065E-3</v>
      </c>
      <c r="K614">
        <f ca="1">'ETF variations'!K614/'ETF price'!L615</f>
        <v>1.4709063378758377E-2</v>
      </c>
      <c r="L614">
        <f ca="1">'ETF variations'!L614/'ETF price'!M615</f>
        <v>7.6407297676595841E-3</v>
      </c>
      <c r="M614">
        <f ca="1">'ETF variations'!M614/'ETF price'!N615</f>
        <v>-8.7120662117035389E-4</v>
      </c>
      <c r="N614">
        <f ca="1">'ETF variations'!N614/'ETF price'!O615</f>
        <v>3.1428571428571438E-2</v>
      </c>
      <c r="O614">
        <f ca="1">'ETF variations'!O614/'ETF price'!P615</f>
        <v>-1.0719416510111603E-2</v>
      </c>
      <c r="P614">
        <f ca="1">'ETF variations'!P614/'ETF price'!Q615</f>
        <v>-8.8216761184624314E-3</v>
      </c>
      <c r="Q614">
        <f ca="1">'ETF variations'!Q614/'ETF price'!R615</f>
        <v>1.8958403033344676E-3</v>
      </c>
      <c r="R614">
        <f ca="1">'ETF variations'!R614/'ETF price'!S615</f>
        <v>4.2208340368056728E-3</v>
      </c>
      <c r="S614">
        <f ca="1">'ETF variations'!S614/'ETF price'!T615</f>
        <v>3.4692107545534192E-3</v>
      </c>
      <c r="T614">
        <f ca="1">'ETF variations'!T614/'ETF price'!U615</f>
        <v>6.2243411468679488E-3</v>
      </c>
      <c r="U614">
        <f ca="1">'ETF variations'!U614/'ETF price'!V615</f>
        <v>9.6173949404139841E-3</v>
      </c>
      <c r="V614">
        <f ca="1">'ETF variations'!V614/'ETF price'!W615</f>
        <v>-9.7919216646264731E-4</v>
      </c>
      <c r="W614">
        <f ca="1">'ETF variations'!W614/'ETF price'!X615</f>
        <v>2.931365612048843E-3</v>
      </c>
      <c r="X614">
        <f ca="1">'ETF variations'!X614/'ETF price'!Y615</f>
        <v>2.131519274376412E-2</v>
      </c>
      <c r="Y614">
        <f ca="1">'ETF variations'!Y614/'ETF price'!Z615</f>
        <v>5.605260321224644E-3</v>
      </c>
      <c r="Z614">
        <f ca="1">'ETF variations'!Z614/'ETF price'!AA615</f>
        <v>7.097791798107338E-3</v>
      </c>
      <c r="AA614">
        <f ca="1">'ETF variations'!AA614/'ETF price'!AB615</f>
        <v>2.483264953573739E-2</v>
      </c>
      <c r="AB614">
        <f ca="1">'ETF variations'!AB614/'ETF price'!AC615</f>
        <v>8.2773699828205712E-3</v>
      </c>
      <c r="AC614">
        <f ca="1">'ETF variations'!AC614/'ETF price'!AD615</f>
        <v>3.4670629024269577E-3</v>
      </c>
      <c r="AD614">
        <f ca="1">'ETF variations'!AD614/'ETF price'!AE615</f>
        <v>2.3594180102240944E-3</v>
      </c>
      <c r="AE614">
        <f ca="1">'ETF variations'!AE614/'ETF price'!AF615</f>
        <v>9.6899224806201202E-3</v>
      </c>
      <c r="AF614">
        <f ca="1">'ETF variations'!AF614/'ETF price'!AG615</f>
        <v>5.2503052503052469E-2</v>
      </c>
    </row>
    <row r="615" spans="1:32" x14ac:dyDescent="0.2">
      <c r="A615">
        <f ca="1">'ETF variations'!A615/'ETF price'!B616</f>
        <v>7.9097049413437669E-3</v>
      </c>
      <c r="B615">
        <f ca="1">'ETF variations'!B615/'ETF price'!C616</f>
        <v>9.8859182530794676E-3</v>
      </c>
      <c r="C615">
        <f ca="1">'ETF variations'!C615/'ETF price'!D616</f>
        <v>4.5823514008903974E-3</v>
      </c>
      <c r="D615">
        <f ca="1">'ETF variations'!D615/'ETF price'!E616</f>
        <v>1.0869999600367658E-2</v>
      </c>
      <c r="E615">
        <f ca="1">'ETF variations'!E615/'ETF price'!F616</f>
        <v>3.2015367376341101E-3</v>
      </c>
      <c r="F615">
        <f ca="1">'ETF variations'!F615/'ETF price'!G616</f>
        <v>-6.2853551225644025E-3</v>
      </c>
      <c r="G615">
        <f ca="1">'ETF variations'!G615/'ETF price'!H616</f>
        <v>-1.4239943040227536E-3</v>
      </c>
      <c r="H615">
        <f ca="1">'ETF variations'!H615/'ETF price'!I616</f>
        <v>-8.2163642588157853E-4</v>
      </c>
      <c r="I615">
        <f ca="1">'ETF variations'!I615/'ETF price'!J616</f>
        <v>-1.387066541705734E-3</v>
      </c>
      <c r="J615">
        <f ca="1">'ETF variations'!J615/'ETF price'!K616</f>
        <v>-3.4830563819751091E-3</v>
      </c>
      <c r="K615">
        <f ca="1">'ETF variations'!K615/'ETF price'!L616</f>
        <v>0</v>
      </c>
      <c r="L615">
        <f ca="1">'ETF variations'!L615/'ETF price'!M616</f>
        <v>-4.0235221293717901E-3</v>
      </c>
      <c r="M615">
        <f ca="1">'ETF variations'!M615/'ETF price'!N616</f>
        <v>-1.4532771399507125E-3</v>
      </c>
      <c r="N615">
        <f ca="1">'ETF variations'!N615/'ETF price'!O616</f>
        <v>-1.200369344413673E-2</v>
      </c>
      <c r="O615">
        <f ca="1">'ETF variations'!O615/'ETF price'!P616</f>
        <v>-9.159964253797958E-3</v>
      </c>
      <c r="P615">
        <f ca="1">'ETF variations'!P615/'ETF price'!Q616</f>
        <v>-1.0330578512396672E-2</v>
      </c>
      <c r="Q615">
        <f ca="1">'ETF variations'!Q615/'ETF price'!R616</f>
        <v>-3.3392698130010168E-4</v>
      </c>
      <c r="R615">
        <f ca="1">'ETF variations'!R615/'ETF price'!S616</f>
        <v>-1.1768661735036916E-2</v>
      </c>
      <c r="S615">
        <f ca="1">'ETF variations'!S615/'ETF price'!T616</f>
        <v>8.6430423509073354E-4</v>
      </c>
      <c r="T615">
        <f ca="1">'ETF variations'!T615/'ETF price'!U616</f>
        <v>-3.1587259805213094E-3</v>
      </c>
      <c r="U615">
        <f ca="1">'ETF variations'!U615/'ETF price'!V616</f>
        <v>-2.4228618761648411E-2</v>
      </c>
      <c r="V615">
        <f ca="1">'ETF variations'!V615/'ETF price'!W616</f>
        <v>-7.3511394266114025E-4</v>
      </c>
      <c r="W615">
        <f ca="1">'ETF variations'!W615/'ETF price'!X616</f>
        <v>-4.2330175367869555E-3</v>
      </c>
      <c r="X615">
        <f ca="1">'ETF variations'!X615/'ETF price'!Y616</f>
        <v>-1.1767317939609261E-2</v>
      </c>
      <c r="Y615">
        <f ca="1">'ETF variations'!Y615/'ETF price'!Z616</f>
        <v>-4.2877050058956548E-3</v>
      </c>
      <c r="Z615">
        <f ca="1">'ETF variations'!Z615/'ETF price'!AA616</f>
        <v>4.9595405899242424E-3</v>
      </c>
      <c r="AA615">
        <f ca="1">'ETF variations'!AA615/'ETF price'!AB616</f>
        <v>-1.5802781289506952E-2</v>
      </c>
      <c r="AB615">
        <f ca="1">'ETF variations'!AB615/'ETF price'!AC616</f>
        <v>6.9702602230483713E-3</v>
      </c>
      <c r="AC615">
        <f ca="1">'ETF variations'!AC615/'ETF price'!AD616</f>
        <v>-1.2833168805528211E-2</v>
      </c>
      <c r="AD615">
        <f ca="1">'ETF variations'!AD615/'ETF price'!AE616</f>
        <v>-1.4123185562965847E-2</v>
      </c>
      <c r="AE615">
        <f ca="1">'ETF variations'!AE615/'ETF price'!AF616</f>
        <v>3.8387715930902143E-2</v>
      </c>
      <c r="AF615">
        <f ca="1">'ETF variations'!AF615/'ETF price'!AG616</f>
        <v>1.5854601701469458E-2</v>
      </c>
    </row>
    <row r="616" spans="1:32" x14ac:dyDescent="0.2">
      <c r="A616">
        <f ca="1">'ETF variations'!A616/'ETF price'!B617</f>
        <v>3.7474649501807351E-3</v>
      </c>
      <c r="B616">
        <f ca="1">'ETF variations'!B616/'ETF price'!C617</f>
        <v>3.8810055962714787E-3</v>
      </c>
      <c r="C616">
        <f ca="1">'ETF variations'!C616/'ETF price'!D617</f>
        <v>-1.381467483383295E-2</v>
      </c>
      <c r="D616">
        <f ca="1">'ETF variations'!D616/'ETF price'!E617</f>
        <v>-3.5975489227119853E-3</v>
      </c>
      <c r="E616">
        <f ca="1">'ETF variations'!E616/'ETF price'!F617</f>
        <v>4.7869794159884661E-3</v>
      </c>
      <c r="F616">
        <f ca="1">'ETF variations'!F616/'ETF price'!G617</f>
        <v>-6.9576217583808475E-3</v>
      </c>
      <c r="G616">
        <f ca="1">'ETF variations'!G616/'ETF price'!H617</f>
        <v>-1.2121212121212116E-2</v>
      </c>
      <c r="H616">
        <f ca="1">'ETF variations'!H616/'ETF price'!I617</f>
        <v>-3.4263002809574022E-4</v>
      </c>
      <c r="I616">
        <f ca="1">'ETF variations'!I616/'ETF price'!J617</f>
        <v>-1.4640738794203258E-3</v>
      </c>
      <c r="J616">
        <f ca="1">'ETF variations'!J616/'ETF price'!K617</f>
        <v>-6.4079225223914937E-3</v>
      </c>
      <c r="K616">
        <f ca="1">'ETF variations'!K616/'ETF price'!L617</f>
        <v>-2.2063525900660769E-2</v>
      </c>
      <c r="L616">
        <f ca="1">'ETF variations'!L616/'ETF price'!M617</f>
        <v>-8.3903045369794777E-3</v>
      </c>
      <c r="M616">
        <f ca="1">'ETF variations'!M616/'ETF price'!N617</f>
        <v>-1.7464706738464612E-3</v>
      </c>
      <c r="N616">
        <f ca="1">'ETF variations'!N616/'ETF price'!O617</f>
        <v>-2.2429906542055931E-2</v>
      </c>
      <c r="O616">
        <f ca="1">'ETF variations'!O616/'ETF price'!P617</f>
        <v>-7.4408117249154066E-3</v>
      </c>
      <c r="P616">
        <f ca="1">'ETF variations'!P616/'ETF price'!Q617</f>
        <v>-1.1000481772924398E-2</v>
      </c>
      <c r="Q616">
        <f ca="1">'ETF variations'!Q616/'ETF price'!R617</f>
        <v>-9.2417325464870092E-3</v>
      </c>
      <c r="R616">
        <f ca="1">'ETF variations'!R616/'ETF price'!S617</f>
        <v>-9.6971759101735326E-3</v>
      </c>
      <c r="S616">
        <f ca="1">'ETF variations'!S616/'ETF price'!T617</f>
        <v>-3.8860103626942944E-3</v>
      </c>
      <c r="T616">
        <f ca="1">'ETF variations'!T616/'ETF price'!U617</f>
        <v>4.4890414576182125E-3</v>
      </c>
      <c r="U616">
        <f ca="1">'ETF variations'!U616/'ETF price'!V617</f>
        <v>-2.8013582342954167E-2</v>
      </c>
      <c r="V616">
        <f ca="1">'ETF variations'!V616/'ETF price'!W617</f>
        <v>-3.1878371750858892E-3</v>
      </c>
      <c r="W616">
        <f ca="1">'ETF variations'!W616/'ETF price'!X617</f>
        <v>-3.0364372469635342E-3</v>
      </c>
      <c r="X616">
        <f ca="1">'ETF variations'!X616/'ETF price'!Y617</f>
        <v>-1.2806110986295222E-2</v>
      </c>
      <c r="Y616">
        <f ca="1">'ETF variations'!Y616/'ETF price'!Z617</f>
        <v>-3.2296264398750905E-3</v>
      </c>
      <c r="Z616">
        <f ca="1">'ETF variations'!Z616/'ETF price'!AA617</f>
        <v>7.7922077922080871E-4</v>
      </c>
      <c r="AA616">
        <f ca="1">'ETF variations'!AA616/'ETF price'!AB617</f>
        <v>-1.2631128238064728E-2</v>
      </c>
      <c r="AB616">
        <f ca="1">'ETF variations'!AB616/'ETF price'!AC617</f>
        <v>3.9993847100444685E-3</v>
      </c>
      <c r="AC616">
        <f ca="1">'ETF variations'!AC616/'ETF price'!AD617</f>
        <v>-1.9999999999999928E-2</v>
      </c>
      <c r="AD616">
        <f ca="1">'ETF variations'!AD616/'ETF price'!AE617</f>
        <v>-1.7508953442100985E-2</v>
      </c>
      <c r="AE616">
        <f ca="1">'ETF variations'!AE616/'ETF price'!AF617</f>
        <v>3.6968576709795883E-3</v>
      </c>
      <c r="AF616">
        <f ca="1">'ETF variations'!AF616/'ETF price'!AG617</f>
        <v>-1.9223448800913551E-2</v>
      </c>
    </row>
    <row r="617" spans="1:32" x14ac:dyDescent="0.2">
      <c r="A617">
        <f ca="1">'ETF variations'!A617/'ETF price'!B618</f>
        <v>1.5153511661615571E-2</v>
      </c>
      <c r="B617">
        <f ca="1">'ETF variations'!B617/'ETF price'!C618</f>
        <v>1.2184808684696605E-2</v>
      </c>
      <c r="C617">
        <f ca="1">'ETF variations'!C617/'ETF price'!D618</f>
        <v>-6.4094092771243482E-3</v>
      </c>
      <c r="D617">
        <f ca="1">'ETF variations'!D617/'ETF price'!E618</f>
        <v>1.5791144262815388E-2</v>
      </c>
      <c r="E617">
        <f ca="1">'ETF variations'!E617/'ETF price'!F618</f>
        <v>9.3695410512943215E-3</v>
      </c>
      <c r="F617">
        <f ca="1">'ETF variations'!F617/'ETF price'!G618</f>
        <v>1.5923566878981118E-3</v>
      </c>
      <c r="G617">
        <f ca="1">'ETF variations'!G617/'ETF price'!H618</f>
        <v>5.4132082280764554E-3</v>
      </c>
      <c r="H617">
        <f ca="1">'ETF variations'!H617/'ETF price'!I618</f>
        <v>-1.0282423910063455E-3</v>
      </c>
      <c r="I617">
        <f ca="1">'ETF variations'!I617/'ETF price'!J618</f>
        <v>-1.4286251362833017E-3</v>
      </c>
      <c r="J617">
        <f ca="1">'ETF variations'!J617/'ETF price'!K618</f>
        <v>-7.4019787467936313E-3</v>
      </c>
      <c r="K617">
        <f ca="1">'ETF variations'!K617/'ETF price'!L618</f>
        <v>-1.2643051771117129E-2</v>
      </c>
      <c r="L617">
        <f ca="1">'ETF variations'!L617/'ETF price'!M618</f>
        <v>-6.2676277029143134E-4</v>
      </c>
      <c r="M617">
        <f ca="1">'ETF variations'!M617/'ETF price'!N618</f>
        <v>-1.3121446274967693E-3</v>
      </c>
      <c r="N617">
        <f ca="1">'ETF variations'!N617/'ETF price'!O618</f>
        <v>-9.5602294455068276E-3</v>
      </c>
      <c r="O617">
        <f ca="1">'ETF variations'!O617/'ETF price'!P618</f>
        <v>2.6124488868694883E-3</v>
      </c>
      <c r="P617">
        <f ca="1">'ETF variations'!P617/'ETF price'!Q618</f>
        <v>2.9227896403344923E-3</v>
      </c>
      <c r="Q617">
        <f ca="1">'ETF variations'!Q617/'ETF price'!R618</f>
        <v>7.4173971679028609E-3</v>
      </c>
      <c r="R617">
        <f ca="1">'ETF variations'!R617/'ETF price'!S618</f>
        <v>1.5461260951725874E-3</v>
      </c>
      <c r="S617">
        <f ca="1">'ETF variations'!S617/'ETF price'!T618</f>
        <v>3.467706978760221E-3</v>
      </c>
      <c r="T617">
        <f ca="1">'ETF variations'!T617/'ETF price'!U618</f>
        <v>2.2476340694006416E-2</v>
      </c>
      <c r="U617">
        <f ca="1">'ETF variations'!U617/'ETF price'!V618</f>
        <v>-1.8995633187772872E-2</v>
      </c>
      <c r="V617">
        <f ca="1">'ETF variations'!V617/'ETF price'!W618</f>
        <v>8.8560885608855947E-3</v>
      </c>
      <c r="W617">
        <f ca="1">'ETF variations'!W617/'ETF price'!X618</f>
        <v>8.4263959390862772E-3</v>
      </c>
      <c r="X617">
        <f ca="1">'ETF variations'!X617/'ETF price'!Y618</f>
        <v>1.5248065543923571E-2</v>
      </c>
      <c r="Y617">
        <f ca="1">'ETF variations'!Y617/'ETF price'!Z618</f>
        <v>8.4242358786046131E-3</v>
      </c>
      <c r="Z617">
        <f ca="1">'ETF variations'!Z617/'ETF price'!AA618</f>
        <v>-5.1907604464054716E-3</v>
      </c>
      <c r="AA617">
        <f ca="1">'ETF variations'!AA617/'ETF price'!AB618</f>
        <v>1.6912402428447555E-2</v>
      </c>
      <c r="AB617">
        <f ca="1">'ETF variations'!AB617/'ETF price'!AC618</f>
        <v>-3.8302436034931826E-3</v>
      </c>
      <c r="AC617">
        <f ca="1">'ETF variations'!AC617/'ETF price'!AD618</f>
        <v>3.2142857142857091E-2</v>
      </c>
      <c r="AD617">
        <f ca="1">'ETF variations'!AD617/'ETF price'!AE618</f>
        <v>1.9036046982583994E-2</v>
      </c>
      <c r="AE617">
        <f ca="1">'ETF variations'!AE617/'ETF price'!AF618</f>
        <v>0</v>
      </c>
      <c r="AF617">
        <f ca="1">'ETF variations'!AF617/'ETF price'!AG618</f>
        <v>6.1905686008150544E-2</v>
      </c>
    </row>
    <row r="618" spans="1:32" x14ac:dyDescent="0.2">
      <c r="A618">
        <f ca="1">'ETF variations'!A618/'ETF price'!B619</f>
        <v>1.2547594323294913E-3</v>
      </c>
      <c r="B618">
        <f ca="1">'ETF variations'!B618/'ETF price'!C619</f>
        <v>4.0070250822719367E-3</v>
      </c>
      <c r="C618">
        <f ca="1">'ETF variations'!C618/'ETF price'!D619</f>
        <v>-1.7024672474562758E-2</v>
      </c>
      <c r="D618">
        <f ca="1">'ETF variations'!D618/'ETF price'!E619</f>
        <v>1.2733380204671475E-2</v>
      </c>
      <c r="E618">
        <f ca="1">'ETF variations'!E618/'ETF price'!F619</f>
        <v>-4.5626179987413333E-3</v>
      </c>
      <c r="F618">
        <f ca="1">'ETF variations'!F618/'ETF price'!G619</f>
        <v>5.7233704292527733E-3</v>
      </c>
      <c r="G618">
        <f ca="1">'ETF variations'!G618/'ETF price'!H619</f>
        <v>2.8715003589376113E-3</v>
      </c>
      <c r="H618">
        <f ca="1">'ETF variations'!H618/'ETF price'!I619</f>
        <v>1.3037809647978985E-3</v>
      </c>
      <c r="I618">
        <f ca="1">'ETF variations'!I618/'ETF price'!J619</f>
        <v>7.529836979022555E-5</v>
      </c>
      <c r="J618">
        <f ca="1">'ETF variations'!J618/'ETF price'!K619</f>
        <v>-7.8263437684583746E-3</v>
      </c>
      <c r="K618">
        <f ca="1">'ETF variations'!K618/'ETF price'!L619</f>
        <v>-9.8244839386245775E-3</v>
      </c>
      <c r="L618">
        <f ca="1">'ETF variations'!L618/'ETF price'!M619</f>
        <v>-1.5678896205703998E-4</v>
      </c>
      <c r="M618">
        <f ca="1">'ETF variations'!M618/'ETF price'!N619</f>
        <v>-5.8394160583950729E-4</v>
      </c>
      <c r="N618">
        <f ca="1">'ETF variations'!N618/'ETF price'!O619</f>
        <v>-1.8339768339768293E-2</v>
      </c>
      <c r="O618">
        <f ca="1">'ETF variations'!O618/'ETF price'!P619</f>
        <v>4.19168460405579E-3</v>
      </c>
      <c r="P618">
        <f ca="1">'ETF variations'!P618/'ETF price'!Q619</f>
        <v>5.6666396826682008E-3</v>
      </c>
      <c r="Q618">
        <f ca="1">'ETF variations'!Q618/'ETF price'!R619</f>
        <v>-1.1155734047299678E-3</v>
      </c>
      <c r="R618">
        <f ca="1">'ETF variations'!R618/'ETF price'!S619</f>
        <v>3.4305317324185738E-3</v>
      </c>
      <c r="S618">
        <f ca="1">'ETF variations'!S618/'ETF price'!T619</f>
        <v>8.2073434125270531E-3</v>
      </c>
      <c r="T618">
        <f ca="1">'ETF variations'!T618/'ETF price'!U619</f>
        <v>1.131250803445167E-2</v>
      </c>
      <c r="U618">
        <f ca="1">'ETF variations'!U618/'ETF price'!V619</f>
        <v>4.0062319163142604E-3</v>
      </c>
      <c r="V618">
        <f ca="1">'ETF variations'!V618/'ETF price'!W619</f>
        <v>6.3399170933919804E-3</v>
      </c>
      <c r="W618">
        <f ca="1">'ETF variations'!W618/'ETF price'!X619</f>
        <v>5.7384475989127898E-3</v>
      </c>
      <c r="X618">
        <f ca="1">'ETF variations'!X618/'ETF price'!Y619</f>
        <v>3.5866397668684979E-3</v>
      </c>
      <c r="Y618">
        <f ca="1">'ETF variations'!Y618/'ETF price'!Z619</f>
        <v>6.3189461283066203E-3</v>
      </c>
      <c r="Z618">
        <f ca="1">'ETF variations'!Z618/'ETF price'!AA619</f>
        <v>3.9133837725019195E-3</v>
      </c>
      <c r="AA618">
        <f ca="1">'ETF variations'!AA618/'ETF price'!AB619</f>
        <v>2.5586353944563869E-3</v>
      </c>
      <c r="AB618">
        <f ca="1">'ETF variations'!AB618/'ETF price'!AC619</f>
        <v>9.8431251922485481E-3</v>
      </c>
      <c r="AC618">
        <f ca="1">'ETF variations'!AC618/'ETF price'!AD619</f>
        <v>-3.8556599110232383E-2</v>
      </c>
      <c r="AD618">
        <f ca="1">'ETF variations'!AD618/'ETF price'!AE619</f>
        <v>-3.7360890302066824E-2</v>
      </c>
      <c r="AE618">
        <f ca="1">'ETF variations'!AE618/'ETF price'!AF619</f>
        <v>5.5248618784530844E-3</v>
      </c>
      <c r="AF618">
        <f ca="1">'ETF variations'!AF618/'ETF price'!AG619</f>
        <v>-1.13304093567251E-2</v>
      </c>
    </row>
    <row r="619" spans="1:32" x14ac:dyDescent="0.2">
      <c r="A619">
        <f ca="1">'ETF variations'!A619/'ETF price'!B620</f>
        <v>-1.1235469512985586E-2</v>
      </c>
      <c r="B619">
        <f ca="1">'ETF variations'!B619/'ETF price'!C620</f>
        <v>-1.370537685540581E-2</v>
      </c>
      <c r="C619">
        <f ca="1">'ETF variations'!C619/'ETF price'!D620</f>
        <v>1.7048914146539546E-2</v>
      </c>
      <c r="D619">
        <f ca="1">'ETF variations'!D619/'ETF price'!E620</f>
        <v>-2.7152113545201962E-2</v>
      </c>
      <c r="E619">
        <f ca="1">'ETF variations'!E619/'ETF price'!F620</f>
        <v>-7.7445866919551437E-3</v>
      </c>
      <c r="F619">
        <f ca="1">'ETF variations'!F619/'ETF price'!G620</f>
        <v>-1.802086626620298E-2</v>
      </c>
      <c r="G619">
        <f ca="1">'ETF variations'!G619/'ETF price'!H620</f>
        <v>-5.0107372942018811E-3</v>
      </c>
      <c r="H619">
        <f ca="1">'ETF variations'!H619/'ETF price'!I620</f>
        <v>3.2894736842106515E-3</v>
      </c>
      <c r="I619">
        <f ca="1">'ETF variations'!I619/'ETF price'!J620</f>
        <v>3.6516959680759978E-3</v>
      </c>
      <c r="J619">
        <f ca="1">'ETF variations'!J619/'ETF price'!K620</f>
        <v>9.8228903110581436E-3</v>
      </c>
      <c r="K619">
        <f ca="1">'ETF variations'!K619/'ETF price'!L620</f>
        <v>2.1181716833890492E-3</v>
      </c>
      <c r="L619">
        <f ca="1">'ETF variations'!L619/'ETF price'!M620</f>
        <v>4.8612200094087371E-3</v>
      </c>
      <c r="M619">
        <f ca="1">'ETF variations'!M619/'ETF price'!N620</f>
        <v>3.2135553607948158E-3</v>
      </c>
      <c r="N619">
        <f ca="1">'ETF variations'!N619/'ETF price'!O620</f>
        <v>-1.9665683382497122E-3</v>
      </c>
      <c r="O619">
        <f ca="1">'ETF variations'!O619/'ETF price'!P620</f>
        <v>1.8388989169675039E-2</v>
      </c>
      <c r="P619">
        <f ca="1">'ETF variations'!P619/'ETF price'!Q620</f>
        <v>1.55356999114545E-2</v>
      </c>
      <c r="Q619">
        <f ca="1">'ETF variations'!Q619/'ETF price'!R620</f>
        <v>1.0051373687736118E-3</v>
      </c>
      <c r="R619">
        <f ca="1">'ETF variations'!R619/'ETF price'!S620</f>
        <v>1.3675213675213627E-2</v>
      </c>
      <c r="S619">
        <f ca="1">'ETF variations'!S619/'ETF price'!T620</f>
        <v>2.1422450728363629E-3</v>
      </c>
      <c r="T619">
        <f ca="1">'ETF variations'!T619/'ETF price'!U620</f>
        <v>9.406381085547158E-3</v>
      </c>
      <c r="U619">
        <f ca="1">'ETF variations'!U619/'ETF price'!V620</f>
        <v>-2.9705165151850951E-2</v>
      </c>
      <c r="V619">
        <f ca="1">'ETF variations'!V619/'ETF price'!W620</f>
        <v>5.3307487278894802E-3</v>
      </c>
      <c r="W619">
        <f ca="1">'ETF variations'!W619/'ETF price'!X620</f>
        <v>6.2062062062061092E-3</v>
      </c>
      <c r="X619">
        <f ca="1">'ETF variations'!X619/'ETF price'!Y620</f>
        <v>2.0102747375473819E-3</v>
      </c>
      <c r="Y619">
        <f ca="1">'ETF variations'!Y619/'ETF price'!Z620</f>
        <v>4.7892720306513719E-3</v>
      </c>
      <c r="Z619">
        <f ca="1">'ETF variations'!Z619/'ETF price'!AA620</f>
        <v>-2.5987525987524514E-3</v>
      </c>
      <c r="AA619">
        <f ca="1">'ETF variations'!AA619/'ETF price'!AB620</f>
        <v>1.7014036580178284E-3</v>
      </c>
      <c r="AB619">
        <f ca="1">'ETF variations'!AB619/'ETF price'!AC620</f>
        <v>-6.8534876637222492E-3</v>
      </c>
      <c r="AC619">
        <f ca="1">'ETF variations'!AC619/'ETF price'!AD620</f>
        <v>1.4910025706940831E-2</v>
      </c>
      <c r="AD619">
        <f ca="1">'ETF variations'!AD619/'ETF price'!AE620</f>
        <v>1.0734929810074383E-2</v>
      </c>
      <c r="AE619">
        <f ca="1">'ETF variations'!AE619/'ETF price'!AF620</f>
        <v>1.8315018315017925E-3</v>
      </c>
      <c r="AF619">
        <f ca="1">'ETF variations'!AF619/'ETF price'!AG620</f>
        <v>7.9482439926062791E-3</v>
      </c>
    </row>
    <row r="620" spans="1:32" x14ac:dyDescent="0.2">
      <c r="A620">
        <f ca="1">'ETF variations'!A620/'ETF price'!B621</f>
        <v>-1.748175341986826E-3</v>
      </c>
      <c r="B620">
        <f ca="1">'ETF variations'!B620/'ETF price'!C621</f>
        <v>-5.1829530779164716E-3</v>
      </c>
      <c r="C620">
        <f ca="1">'ETF variations'!C620/'ETF price'!D621</f>
        <v>0</v>
      </c>
      <c r="D620">
        <f ca="1">'ETF variations'!D620/'ETF price'!E621</f>
        <v>-9.7526165556613056E-3</v>
      </c>
      <c r="E620">
        <f ca="1">'ETF variations'!E620/'ETF price'!F621</f>
        <v>9.5571838165024324E-4</v>
      </c>
      <c r="F620">
        <f ca="1">'ETF variations'!F620/'ETF price'!G621</f>
        <v>-9.6587250482935341E-3</v>
      </c>
      <c r="G620">
        <f ca="1">'ETF variations'!G620/'ETF price'!H621</f>
        <v>2.5179856115108016E-3</v>
      </c>
      <c r="H620">
        <f ca="1">'ETF variations'!H620/'ETF price'!I621</f>
        <v>2.8005464480874084E-3</v>
      </c>
      <c r="I620">
        <f ca="1">'ETF variations'!I620/'ETF price'!J621</f>
        <v>3.8634658664665139E-3</v>
      </c>
      <c r="J620">
        <f ca="1">'ETF variations'!J620/'ETF price'!K621</f>
        <v>1.2085482682387729E-2</v>
      </c>
      <c r="K620">
        <f ca="1">'ETF variations'!K620/'ETF price'!L621</f>
        <v>2.7700522861274834E-2</v>
      </c>
      <c r="L620">
        <f ca="1">'ETF variations'!L620/'ETF price'!M621</f>
        <v>1.6385767790262129E-2</v>
      </c>
      <c r="M620">
        <f ca="1">'ETF variations'!M620/'ETF price'!N621</f>
        <v>1.7472335468839593E-3</v>
      </c>
      <c r="N620">
        <f ca="1">'ETF variations'!N620/'ETF price'!O621</f>
        <v>2.463054187192118E-2</v>
      </c>
      <c r="O620">
        <f ca="1">'ETF variations'!O620/'ETF price'!P621</f>
        <v>-5.7604962889110005E-3</v>
      </c>
      <c r="P620">
        <f ca="1">'ETF variations'!P620/'ETF price'!Q621</f>
        <v>-6.8167406467977126E-3</v>
      </c>
      <c r="Q620">
        <f ca="1">'ETF variations'!Q620/'ETF price'!R621</f>
        <v>1.115697869017641E-4</v>
      </c>
      <c r="R620">
        <f ca="1">'ETF variations'!R620/'ETF price'!S621</f>
        <v>-4.0472175379425782E-3</v>
      </c>
      <c r="S620">
        <f ca="1">'ETF variations'!S620/'ETF price'!T621</f>
        <v>-8.1231295425396016E-3</v>
      </c>
      <c r="T620">
        <f ca="1">'ETF variations'!T620/'ETF price'!U621</f>
        <v>-9.5705830499935897E-3</v>
      </c>
      <c r="U620">
        <f ca="1">'ETF variations'!U620/'ETF price'!V621</f>
        <v>-1.2337217272104323E-2</v>
      </c>
      <c r="V620">
        <f ca="1">'ETF variations'!V620/'ETF price'!W621</f>
        <v>-3.856350927934531E-3</v>
      </c>
      <c r="W620">
        <f ca="1">'ETF variations'!W620/'ETF price'!X621</f>
        <v>-3.6808595304416072E-3</v>
      </c>
      <c r="X620">
        <f ca="1">'ETF variations'!X620/'ETF price'!Y621</f>
        <v>-1.3374944271066045E-3</v>
      </c>
      <c r="Y620">
        <f ca="1">'ETF variations'!Y620/'ETF price'!Z621</f>
        <v>-4.3427603008155558E-3</v>
      </c>
      <c r="Z620">
        <f ca="1">'ETF variations'!Z620/'ETF price'!AA621</f>
        <v>2.6055237102656152E-3</v>
      </c>
      <c r="AA620">
        <f ca="1">'ETF variations'!AA620/'ETF price'!AB621</f>
        <v>-1.9108280254777794E-3</v>
      </c>
      <c r="AB620">
        <f ca="1">'ETF variations'!AB620/'ETF price'!AC621</f>
        <v>0</v>
      </c>
      <c r="AC620">
        <f ca="1">'ETF variations'!AC620/'ETF price'!AD621</f>
        <v>-6.585612968591642E-3</v>
      </c>
      <c r="AD620">
        <f ca="1">'ETF variations'!AD620/'ETF price'!AE621</f>
        <v>-1.1437908496732072E-2</v>
      </c>
      <c r="AE620">
        <f ca="1">'ETF variations'!AE620/'ETF price'!AF621</f>
        <v>1.8281535648995751E-3</v>
      </c>
      <c r="AF620">
        <f ca="1">'ETF variations'!AF620/'ETF price'!AG621</f>
        <v>-5.886667889235285E-2</v>
      </c>
    </row>
    <row r="621" spans="1:32" x14ac:dyDescent="0.2">
      <c r="A621">
        <f ca="1">'ETF variations'!A621/'ETF price'!B622</f>
        <v>-2.6224771244691605E-2</v>
      </c>
      <c r="B621">
        <f ca="1">'ETF variations'!B621/'ETF price'!C622</f>
        <v>-1.8347353480804553E-2</v>
      </c>
      <c r="C621">
        <f ca="1">'ETF variations'!C621/'ETF price'!D622</f>
        <v>5.1220647907934663E-3</v>
      </c>
      <c r="D621">
        <f ca="1">'ETF variations'!D621/'ETF price'!E622</f>
        <v>-2.8545119705340682E-2</v>
      </c>
      <c r="E621">
        <f ca="1">'ETF variations'!E621/'ETF price'!F622</f>
        <v>-3.023551877784927E-3</v>
      </c>
      <c r="F621">
        <f ca="1">'ETF variations'!F621/'ETF price'!G622</f>
        <v>-9.7529258777633524E-3</v>
      </c>
      <c r="G621">
        <f ca="1">'ETF variations'!G621/'ETF price'!H622</f>
        <v>-7.1761750986722541E-4</v>
      </c>
      <c r="H621">
        <f ca="1">'ETF variations'!H621/'ETF price'!I622</f>
        <v>1.9072270281316065E-3</v>
      </c>
      <c r="I621">
        <f ca="1">'ETF variations'!I621/'ETF price'!J622</f>
        <v>6.5015132832642424E-3</v>
      </c>
      <c r="J621">
        <f ca="1">'ETF variations'!J621/'ETF price'!K622</f>
        <v>1.9076743847386082E-2</v>
      </c>
      <c r="K621">
        <f ca="1">'ETF variations'!K621/'ETF price'!L622</f>
        <v>1.4721801255683042E-2</v>
      </c>
      <c r="L621">
        <f ca="1">'ETF variations'!L621/'ETF price'!M622</f>
        <v>1.5046829418086966E-2</v>
      </c>
      <c r="M621">
        <f ca="1">'ETF variations'!M621/'ETF price'!N622</f>
        <v>6.3953488372092693E-3</v>
      </c>
      <c r="N621">
        <f ca="1">'ETF variations'!N621/'ETF price'!O622</f>
        <v>3.8461538461538491E-2</v>
      </c>
      <c r="O621">
        <f ca="1">'ETF variations'!O621/'ETF price'!P622</f>
        <v>1.7047353760445694E-2</v>
      </c>
      <c r="P621">
        <f ca="1">'ETF variations'!P621/'ETF price'!Q622</f>
        <v>2.6815642458100555E-2</v>
      </c>
      <c r="Q621">
        <f ca="1">'ETF variations'!Q621/'ETF price'!R622</f>
        <v>1.6733601070951102E-3</v>
      </c>
      <c r="R621">
        <f ca="1">'ETF variations'!R621/'ETF price'!S622</f>
        <v>-2.8784287165594599E-3</v>
      </c>
      <c r="S621">
        <f ca="1">'ETF variations'!S621/'ETF price'!T622</f>
        <v>8.1896551724138476E-3</v>
      </c>
      <c r="T621">
        <f ca="1">'ETF variations'!T621/'ETF price'!U622</f>
        <v>1.3350286077558768E-2</v>
      </c>
      <c r="U621">
        <f ca="1">'ETF variations'!U621/'ETF price'!V622</f>
        <v>-6.2456627342122612E-3</v>
      </c>
      <c r="V621">
        <f ca="1">'ETF variations'!V621/'ETF price'!W622</f>
        <v>6.2908299056376755E-3</v>
      </c>
      <c r="W621">
        <f ca="1">'ETF variations'!W621/'ETF price'!X622</f>
        <v>9.6854717923115213E-3</v>
      </c>
      <c r="X621">
        <f ca="1">'ETF variations'!X621/'ETF price'!Y622</f>
        <v>1.1383928571428687E-2</v>
      </c>
      <c r="Y621">
        <f ca="1">'ETF variations'!Y621/'ETF price'!Z622</f>
        <v>1.0425531914893659E-2</v>
      </c>
      <c r="Z621">
        <f ca="1">'ETF variations'!Z621/'ETF price'!AA622</f>
        <v>-3.3783783783782606E-3</v>
      </c>
      <c r="AA621">
        <f ca="1">'ETF variations'!AA621/'ETF price'!AB622</f>
        <v>1.2125079770261653E-2</v>
      </c>
      <c r="AB621">
        <f ca="1">'ETF variations'!AB621/'ETF price'!AC622</f>
        <v>-7.6675356540407916E-3</v>
      </c>
      <c r="AC621">
        <f ca="1">'ETF variations'!AC621/'ETF price'!AD622</f>
        <v>-7.0882202957674681E-2</v>
      </c>
      <c r="AD621">
        <f ca="1">'ETF variations'!AD621/'ETF price'!AE622</f>
        <v>-7.9752066115702472E-2</v>
      </c>
      <c r="AE621">
        <f ca="1">'ETF variations'!AE621/'ETF price'!AF622</f>
        <v>-3.6496350364964344E-3</v>
      </c>
      <c r="AF621">
        <f ca="1">'ETF variations'!AF621/'ETF price'!AG622</f>
        <v>-2.9618082618862104E-2</v>
      </c>
    </row>
    <row r="622" spans="1:32" x14ac:dyDescent="0.2">
      <c r="A622">
        <f ca="1">'ETF variations'!A622/'ETF price'!B623</f>
        <v>1.8343674130024336E-2</v>
      </c>
      <c r="B622">
        <f ca="1">'ETF variations'!B622/'ETF price'!C623</f>
        <v>1.4317452480868929E-2</v>
      </c>
      <c r="C622">
        <f ca="1">'ETF variations'!C622/'ETF price'!D623</f>
        <v>-3.9708802117802405E-3</v>
      </c>
      <c r="D622">
        <f ca="1">'ETF variations'!D622/'ETF price'!E623</f>
        <v>1.5371934885637708E-2</v>
      </c>
      <c r="E622">
        <f ca="1">'ETF variations'!E622/'ETF price'!F623</f>
        <v>3.1923383878691594E-3</v>
      </c>
      <c r="F622">
        <f ca="1">'ETF variations'!F622/'ETF price'!G623</f>
        <v>1.2147078135259273E-2</v>
      </c>
      <c r="G622">
        <f ca="1">'ETF variations'!G622/'ETF price'!H623</f>
        <v>0</v>
      </c>
      <c r="H622">
        <f ca="1">'ETF variations'!H622/'ETF price'!I623</f>
        <v>-3.1273370045550885E-3</v>
      </c>
      <c r="I622">
        <f ca="1">'ETF variations'!I622/'ETF price'!J623</f>
        <v>-2.6729034413632822E-3</v>
      </c>
      <c r="J622">
        <f ca="1">'ETF variations'!J622/'ETF price'!K623</f>
        <v>-3.0723063732495484E-3</v>
      </c>
      <c r="K622">
        <f ca="1">'ETF variations'!K622/'ETF price'!L623</f>
        <v>-7.0407510134413978E-3</v>
      </c>
      <c r="L622">
        <f ca="1">'ETF variations'!L622/'ETF price'!M623</f>
        <v>-4.2353653002571642E-3</v>
      </c>
      <c r="M622">
        <f ca="1">'ETF variations'!M622/'ETF price'!N623</f>
        <v>-2.8885037550547177E-3</v>
      </c>
      <c r="N622">
        <f ca="1">'ETF variations'!N622/'ETF price'!O623</f>
        <v>-1.0185185185185297E-2</v>
      </c>
      <c r="O622">
        <f ca="1">'ETF variations'!O622/'ETF price'!P623</f>
        <v>2.300613496932447E-3</v>
      </c>
      <c r="P622">
        <f ca="1">'ETF variations'!P622/'ETF price'!Q623</f>
        <v>1.943105860407275E-3</v>
      </c>
      <c r="Q622">
        <f ca="1">'ETF variations'!Q622/'ETF price'!R623</f>
        <v>-1.2696291346475114E-2</v>
      </c>
      <c r="R622">
        <f ca="1">'ETF variations'!R622/'ETF price'!S623</f>
        <v>-1.5961962981830492E-2</v>
      </c>
      <c r="S622">
        <f ca="1">'ETF variations'!S622/'ETF price'!T623</f>
        <v>-9.4057289439931115E-3</v>
      </c>
      <c r="T622">
        <f ca="1">'ETF variations'!T622/'ETF price'!U623</f>
        <v>-1.0037641154328697E-2</v>
      </c>
      <c r="U622">
        <f ca="1">'ETF variations'!U622/'ETF price'!V623</f>
        <v>-3.0493482309124818E-2</v>
      </c>
      <c r="V622">
        <f ca="1">'ETF variations'!V622/'ETF price'!W623</f>
        <v>-7.4537148352970001E-3</v>
      </c>
      <c r="W622">
        <f ca="1">'ETF variations'!W622/'ETF price'!X623</f>
        <v>-7.7136075949367196E-3</v>
      </c>
      <c r="X622">
        <f ca="1">'ETF variations'!X622/'ETF price'!Y623</f>
        <v>-1.2138600750386322E-2</v>
      </c>
      <c r="Y622">
        <f ca="1">'ETF variations'!Y622/'ETF price'!Z623</f>
        <v>-7.5805432722678336E-3</v>
      </c>
      <c r="Z622">
        <f ca="1">'ETF variations'!Z622/'ETF price'!AA623</f>
        <v>-1.4080834419817449E-2</v>
      </c>
      <c r="AA622">
        <f ca="1">'ETF variations'!AA622/'ETF price'!AB623</f>
        <v>-1.366120218579232E-2</v>
      </c>
      <c r="AB622">
        <f ca="1">'ETF variations'!AB622/'ETF price'!AC623</f>
        <v>7.7267810230258081E-3</v>
      </c>
      <c r="AC622">
        <f ca="1">'ETF variations'!AC622/'ETF price'!AD623</f>
        <v>3.9517014270033068E-2</v>
      </c>
      <c r="AD622">
        <f ca="1">'ETF variations'!AD622/'ETF price'!AE623</f>
        <v>4.7148630444544259E-2</v>
      </c>
      <c r="AE622">
        <f ca="1">'ETF variations'!AE622/'ETF price'!AF623</f>
        <v>-5.8608058608058664E-2</v>
      </c>
      <c r="AF622">
        <f ca="1">'ETF variations'!AF622/'ETF price'!AG623</f>
        <v>5.7831325301204876E-2</v>
      </c>
    </row>
    <row r="623" spans="1:32" x14ac:dyDescent="0.2">
      <c r="A623">
        <f ca="1">'ETF variations'!A623/'ETF price'!B624</f>
        <v>-1.1479028697571343E-3</v>
      </c>
      <c r="B623">
        <f ca="1">'ETF variations'!B623/'ETF price'!C624</f>
        <v>1.9990960609115485E-3</v>
      </c>
      <c r="C623">
        <f ca="1">'ETF variations'!C623/'ETF price'!D624</f>
        <v>1.0099667774086447E-2</v>
      </c>
      <c r="D623">
        <f ca="1">'ETF variations'!D623/'ETF price'!E624</f>
        <v>-3.8964201639743808E-3</v>
      </c>
      <c r="E623">
        <f ca="1">'ETF variations'!E623/'ETF price'!F624</f>
        <v>-2.2275258552108285E-3</v>
      </c>
      <c r="F623">
        <f ca="1">'ETF variations'!F623/'ETF price'!G624</f>
        <v>-9.7307817061296098E-4</v>
      </c>
      <c r="G623">
        <f ca="1">'ETF variations'!G623/'ETF price'!H624</f>
        <v>-3.5906642728910461E-4</v>
      </c>
      <c r="H623">
        <f ca="1">'ETF variations'!H623/'ETF price'!I624</f>
        <v>-3.5463411307371058E-3</v>
      </c>
      <c r="I623">
        <f ca="1">'ETF variations'!I623/'ETF price'!J624</f>
        <v>-3.5734226688999798E-3</v>
      </c>
      <c r="J623">
        <f ca="1">'ETF variations'!J623/'ETF price'!K624</f>
        <v>-1.153873718913505E-2</v>
      </c>
      <c r="K623">
        <f ca="1">'ETF variations'!K623/'ETF price'!L624</f>
        <v>-9.5616673828964396E-3</v>
      </c>
      <c r="L623">
        <f ca="1">'ETF variations'!L623/'ETF price'!M624</f>
        <v>-8.506759835941095E-3</v>
      </c>
      <c r="M623">
        <f ca="1">'ETF variations'!M623/'ETF price'!N624</f>
        <v>-4.6349942062573488E-3</v>
      </c>
      <c r="N623">
        <f ca="1">'ETF variations'!N623/'ETF price'!O624</f>
        <v>-1.3564078578110345E-2</v>
      </c>
      <c r="O623">
        <f ca="1">'ETF variations'!O623/'ETF price'!P624</f>
        <v>-9.8371406711115043E-3</v>
      </c>
      <c r="P623">
        <f ca="1">'ETF variations'!P623/'ETF price'!Q624</f>
        <v>-8.3779380963462744E-3</v>
      </c>
      <c r="Q623">
        <f ca="1">'ETF variations'!Q623/'ETF price'!R624</f>
        <v>-6.7681895093065164E-4</v>
      </c>
      <c r="R623">
        <f ca="1">'ETF variations'!R623/'ETF price'!S624</f>
        <v>1.3287316652286385E-2</v>
      </c>
      <c r="S623">
        <f ca="1">'ETF variations'!S623/'ETF price'!T624</f>
        <v>1.7263703064306925E-3</v>
      </c>
      <c r="T623">
        <f ca="1">'ETF variations'!T623/'ETF price'!U624</f>
        <v>-1.9011406844107184E-3</v>
      </c>
      <c r="U623">
        <f ca="1">'ETF variations'!U623/'ETF price'!V624</f>
        <v>-9.6038415366146122E-3</v>
      </c>
      <c r="V623">
        <f ca="1">'ETF variations'!V623/'ETF price'!W624</f>
        <v>-6.2984496124030521E-3</v>
      </c>
      <c r="W623">
        <f ca="1">'ETF variations'!W623/'ETF price'!X624</f>
        <v>-5.7803468208092318E-3</v>
      </c>
      <c r="X623">
        <f ca="1">'ETF variations'!X623/'ETF price'!Y624</f>
        <v>2.2341376228787122E-4</v>
      </c>
      <c r="Y623">
        <f ca="1">'ETF variations'!Y623/'ETF price'!Z624</f>
        <v>-4.6679397411416501E-3</v>
      </c>
      <c r="Z623">
        <f ca="1">'ETF variations'!Z623/'ETF price'!AA624</f>
        <v>-1.3224014810897715E-3</v>
      </c>
      <c r="AA623">
        <f ca="1">'ETF variations'!AA623/'ETF price'!AB624</f>
        <v>4.2616663115278676E-3</v>
      </c>
      <c r="AB623">
        <f ca="1">'ETF variations'!AB623/'ETF price'!AC624</f>
        <v>2.9136635485356838E-3</v>
      </c>
      <c r="AC623">
        <f ca="1">'ETF variations'!AC623/'ETF price'!AD624</f>
        <v>-7.3917634635691952E-3</v>
      </c>
      <c r="AD623">
        <f ca="1">'ETF variations'!AD623/'ETF price'!AE624</f>
        <v>-1.6723842195540333E-2</v>
      </c>
      <c r="AE623">
        <f ca="1">'ETF variations'!AE623/'ETF price'!AF624</f>
        <v>1.9455252918289252E-3</v>
      </c>
      <c r="AF623">
        <f ca="1">'ETF variations'!AF623/'ETF price'!AG624</f>
        <v>-1.7653758542141226E-2</v>
      </c>
    </row>
    <row r="624" spans="1:32" x14ac:dyDescent="0.2">
      <c r="A624">
        <f ca="1">'ETF variations'!A624/'ETF price'!B625</f>
        <v>4.8620933521917087E-4</v>
      </c>
      <c r="B624">
        <f ca="1">'ETF variations'!B624/'ETF price'!C625</f>
        <v>1.9951076490691997E-3</v>
      </c>
      <c r="C624">
        <f ca="1">'ETF variations'!C624/'ETF price'!D625</f>
        <v>6.8412051045914487E-3</v>
      </c>
      <c r="D624">
        <f ca="1">'ETF variations'!D624/'ETF price'!E625</f>
        <v>-5.1340559041642532E-3</v>
      </c>
      <c r="E624">
        <f ca="1">'ETF variations'!E624/'ETF price'!F625</f>
        <v>2.5035879445064586E-2</v>
      </c>
      <c r="F624">
        <f ca="1">'ETF variations'!F624/'ETF price'!G625</f>
        <v>-6.4935064935063547E-4</v>
      </c>
      <c r="G624">
        <f ca="1">'ETF variations'!G624/'ETF price'!H625</f>
        <v>5.7471264367816143E-3</v>
      </c>
      <c r="H624">
        <f ca="1">'ETF variations'!H624/'ETF price'!I625</f>
        <v>-1.6425980425707281E-3</v>
      </c>
      <c r="I624">
        <f ca="1">'ETF variations'!I624/'ETF price'!J625</f>
        <v>-9.7127274085692748E-4</v>
      </c>
      <c r="J624">
        <f ca="1">'ETF variations'!J624/'ETF price'!K625</f>
        <v>-7.2505800463971187E-5</v>
      </c>
      <c r="K624">
        <f ca="1">'ETF variations'!K624/'ETF price'!L625</f>
        <v>7.2675995227248266E-3</v>
      </c>
      <c r="L624">
        <f ca="1">'ETF variations'!L624/'ETF price'!M625</f>
        <v>-1.6853071855369916E-3</v>
      </c>
      <c r="M624">
        <f ca="1">'ETF variations'!M624/'ETF price'!N625</f>
        <v>-7.2759022118738586E-4</v>
      </c>
      <c r="N624">
        <f ca="1">'ETF variations'!N624/'ETF price'!O625</f>
        <v>-2.6078710289236472E-3</v>
      </c>
      <c r="O624">
        <f ca="1">'ETF variations'!O624/'ETF price'!P625</f>
        <v>2.3181366596753917E-3</v>
      </c>
      <c r="P624">
        <f ca="1">'ETF variations'!P624/'ETF price'!Q625</f>
        <v>1.9557224438708771E-3</v>
      </c>
      <c r="Q624">
        <f ca="1">'ETF variations'!Q624/'ETF price'!R625</f>
        <v>-2.8219889378033637E-3</v>
      </c>
      <c r="R624">
        <f ca="1">'ETF variations'!R624/'ETF price'!S625</f>
        <v>-6.1307901907356856E-3</v>
      </c>
      <c r="S624">
        <f ca="1">'ETF variations'!S624/'ETF price'!T625</f>
        <v>5.1701852649718846E-3</v>
      </c>
      <c r="T624">
        <f ca="1">'ETF variations'!T624/'ETF price'!U625</f>
        <v>1.485714285714288E-2</v>
      </c>
      <c r="U624">
        <f ca="1">'ETF variations'!U624/'ETF price'!V625</f>
        <v>1.9636363636363691E-2</v>
      </c>
      <c r="V624">
        <f ca="1">'ETF variations'!V624/'ETF price'!W625</f>
        <v>-1.2189176011702647E-3</v>
      </c>
      <c r="W624">
        <f ca="1">'ETF variations'!W624/'ETF price'!X625</f>
        <v>7.0168404170001177E-4</v>
      </c>
      <c r="X624">
        <f ca="1">'ETF variations'!X624/'ETF price'!Y625</f>
        <v>1.0051373687737229E-2</v>
      </c>
      <c r="Y624">
        <f ca="1">'ETF variations'!Y624/'ETF price'!Z625</f>
        <v>2.5580899594970061E-3</v>
      </c>
      <c r="Z624">
        <f ca="1">'ETF variations'!Z624/'ETF price'!AA625</f>
        <v>9.0042372881356837E-3</v>
      </c>
      <c r="AA624">
        <f ca="1">'ETF variations'!AA624/'ETF price'!AB625</f>
        <v>1.0608953957139825E-2</v>
      </c>
      <c r="AB624">
        <f ca="1">'ETF variations'!AB624/'ETF price'!AC625</f>
        <v>1.146788990825688E-2</v>
      </c>
      <c r="AC624">
        <f ca="1">'ETF variations'!AC624/'ETF price'!AD625</f>
        <v>6.3829787234043079E-3</v>
      </c>
      <c r="AD624">
        <f ca="1">'ETF variations'!AD624/'ETF price'!AE625</f>
        <v>6.9777583951155754E-3</v>
      </c>
      <c r="AE624">
        <f ca="1">'ETF variations'!AE624/'ETF price'!AF625</f>
        <v>1.5533980582524285E-2</v>
      </c>
      <c r="AF624">
        <f ca="1">'ETF variations'!AF624/'ETF price'!AG625</f>
        <v>6.7632850241546166E-3</v>
      </c>
    </row>
    <row r="625" spans="1:32" x14ac:dyDescent="0.2">
      <c r="A625">
        <f ca="1">'ETF variations'!A625/'ETF price'!B626</f>
        <v>-5.3015241882043102E-4</v>
      </c>
      <c r="B625">
        <f ca="1">'ETF variations'!B625/'ETF price'!C626</f>
        <v>-1.6794791883092903E-3</v>
      </c>
      <c r="C625">
        <f ca="1">'ETF variations'!C625/'ETF price'!D626</f>
        <v>1.1041421664706636E-2</v>
      </c>
      <c r="D625">
        <f ca="1">'ETF variations'!D625/'ETF price'!E626</f>
        <v>1.0116317169069458E-2</v>
      </c>
      <c r="E625">
        <f ca="1">'ETF variations'!E625/'ETF price'!F626</f>
        <v>7.0006222775358248E-3</v>
      </c>
      <c r="F625">
        <f ca="1">'ETF variations'!F625/'ETF price'!G626</f>
        <v>2.2742040285900025E-3</v>
      </c>
      <c r="G625">
        <f ca="1">'ETF variations'!G625/'ETF price'!H626</f>
        <v>-4.6428571428571075E-3</v>
      </c>
      <c r="H625">
        <f ca="1">'ETF variations'!H625/'ETF price'!I626</f>
        <v>-8.2265030506618593E-4</v>
      </c>
      <c r="I625">
        <f ca="1">'ETF variations'!I625/'ETF price'!J626</f>
        <v>-5.3471936581535612E-3</v>
      </c>
      <c r="J625">
        <f ca="1">'ETF variations'!J625/'ETF price'!K626</f>
        <v>-4.7132187658618357E-3</v>
      </c>
      <c r="K625">
        <f ca="1">'ETF variations'!K625/'ETF price'!L626</f>
        <v>-1.615334912771976E-3</v>
      </c>
      <c r="L625">
        <f ca="1">'ETF variations'!L625/'ETF price'!M626</f>
        <v>-5.3713934929403677E-3</v>
      </c>
      <c r="M625">
        <f ca="1">'ETF variations'!M625/'ETF price'!N626</f>
        <v>-1.0193679918451637E-3</v>
      </c>
      <c r="N625">
        <f ca="1">'ETF variations'!N625/'ETF price'!O626</f>
        <v>-7.3686712621821313E-3</v>
      </c>
      <c r="O625">
        <f ca="1">'ETF variations'!O625/'ETF price'!P626</f>
        <v>3.8546255506608871E-3</v>
      </c>
      <c r="P625">
        <f ca="1">'ETF variations'!P625/'ETF price'!Q626</f>
        <v>-3.9818863210494947E-3</v>
      </c>
      <c r="Q625">
        <f ca="1">'ETF variations'!Q625/'ETF price'!R626</f>
        <v>-3.3959701154631124E-4</v>
      </c>
      <c r="R625">
        <f ca="1">'ETF variations'!R625/'ETF price'!S626</f>
        <v>1.6620973269362557E-2</v>
      </c>
      <c r="S625">
        <f ca="1">'ETF variations'!S625/'ETF price'!T626</f>
        <v>-4.2863266180882074E-3</v>
      </c>
      <c r="T625">
        <f ca="1">'ETF variations'!T625/'ETF price'!U626</f>
        <v>-4.1291291291291081E-3</v>
      </c>
      <c r="U625">
        <f ca="1">'ETF variations'!U625/'ETF price'!V626</f>
        <v>-4.3984783642415627E-2</v>
      </c>
      <c r="V625">
        <f ca="1">'ETF variations'!V625/'ETF price'!W626</f>
        <v>3.4171344886502458E-3</v>
      </c>
      <c r="W625">
        <f ca="1">'ETF variations'!W625/'ETF price'!X626</f>
        <v>5.0085144746065465E-4</v>
      </c>
      <c r="X625">
        <f ca="1">'ETF variations'!X625/'ETF price'!Y626</f>
        <v>2.5873507297655942E-2</v>
      </c>
      <c r="Y625">
        <f ca="1">'ETF variations'!Y625/'ETF price'!Z626</f>
        <v>5.4220710184987335E-3</v>
      </c>
      <c r="Z625">
        <f ca="1">'ETF variations'!Z625/'ETF price'!AA626</f>
        <v>8.1364829396324192E-3</v>
      </c>
      <c r="AA625">
        <f ca="1">'ETF variations'!AA625/'ETF price'!AB626</f>
        <v>3.0862901532647466E-2</v>
      </c>
      <c r="AB625">
        <f ca="1">'ETF variations'!AB625/'ETF price'!AC626</f>
        <v>-2.2675736961452106E-3</v>
      </c>
      <c r="AC625">
        <f ca="1">'ETF variations'!AC625/'ETF price'!AD626</f>
        <v>-2.2727272727272898E-2</v>
      </c>
      <c r="AD625">
        <f ca="1">'ETF variations'!AD625/'ETF price'!AE626</f>
        <v>-2.5119099177132884E-2</v>
      </c>
      <c r="AE625">
        <f ca="1">'ETF variations'!AE625/'ETF price'!AF626</f>
        <v>-7.6481835564053595E-3</v>
      </c>
      <c r="AF625">
        <f ca="1">'ETF variations'!AF625/'ETF price'!AG626</f>
        <v>-2.1689059500959743E-2</v>
      </c>
    </row>
    <row r="626" spans="1:32" x14ac:dyDescent="0.2">
      <c r="A626">
        <f ca="1">'ETF variations'!A626/'ETF price'!B627</f>
        <v>7.5586792202626003E-3</v>
      </c>
      <c r="B626">
        <f ca="1">'ETF variations'!B626/'ETF price'!C627</f>
        <v>9.8163339634748572E-3</v>
      </c>
      <c r="C626">
        <f ca="1">'ETF variations'!C626/'ETF price'!D627</f>
        <v>9.1760904684974956E-3</v>
      </c>
      <c r="D626">
        <f ca="1">'ETF variations'!D626/'ETF price'!E627</f>
        <v>-4.0546567733004524E-5</v>
      </c>
      <c r="E626">
        <f ca="1">'ETF variations'!E626/'ETF price'!F627</f>
        <v>1.3903908543177691E-3</v>
      </c>
      <c r="F626">
        <f ca="1">'ETF variations'!F626/'ETF price'!G627</f>
        <v>-4.2139384116694507E-3</v>
      </c>
      <c r="G626">
        <f ca="1">'ETF variations'!G626/'ETF price'!H627</f>
        <v>-3.9468963042698039E-3</v>
      </c>
      <c r="H626">
        <f ca="1">'ETF variations'!H626/'ETF price'!I627</f>
        <v>-5.6260720411663344E-3</v>
      </c>
      <c r="I626">
        <f ca="1">'ETF variations'!I626/'ETF price'!J627</f>
        <v>-4.6992481203007516E-3</v>
      </c>
      <c r="J626">
        <f ca="1">'ETF variations'!J626/'ETF price'!K627</f>
        <v>-2.1127786682208368E-3</v>
      </c>
      <c r="K626">
        <f ca="1">'ETF variations'!K626/'ETF price'!L627</f>
        <v>3.5594865710280718E-3</v>
      </c>
      <c r="L626">
        <f ca="1">'ETF variations'!L626/'ETF price'!M627</f>
        <v>-1.542971763617515E-4</v>
      </c>
      <c r="M626">
        <f ca="1">'ETF variations'!M626/'ETF price'!N627</f>
        <v>-4.6647230320698719E-3</v>
      </c>
      <c r="N626">
        <f ca="1">'ETF variations'!N626/'ETF price'!O627</f>
        <v>-2.8735632183907434E-3</v>
      </c>
      <c r="O626">
        <f ca="1">'ETF variations'!O626/'ETF price'!P627</f>
        <v>5.4854635216672689E-4</v>
      </c>
      <c r="P626">
        <f ca="1">'ETF variations'!P626/'ETF price'!Q627</f>
        <v>-7.8388335815559343E-5</v>
      </c>
      <c r="Q626">
        <f ca="1">'ETF variations'!Q626/'ETF price'!R627</f>
        <v>-1.5400294417393268E-2</v>
      </c>
      <c r="R626">
        <f ca="1">'ETF variations'!R626/'ETF price'!S627</f>
        <v>1.5000842743974391E-2</v>
      </c>
      <c r="S626">
        <f ca="1">'ETF variations'!S626/'ETF price'!T627</f>
        <v>1.2914334911752074E-2</v>
      </c>
      <c r="T626">
        <f ca="1">'ETF variations'!T626/'ETF price'!U627</f>
        <v>2.4500565397663057E-2</v>
      </c>
      <c r="U626">
        <f ca="1">'ETF variations'!U626/'ETF price'!V627</f>
        <v>-2.4123352399900492E-2</v>
      </c>
      <c r="V626">
        <f ca="1">'ETF variations'!V626/'ETF price'!W627</f>
        <v>2.1892483580638143E-3</v>
      </c>
      <c r="W626">
        <f ca="1">'ETF variations'!W626/'ETF price'!X627</f>
        <v>2.0024028834601808E-3</v>
      </c>
      <c r="X626">
        <f ca="1">'ETF variations'!X626/'ETF price'!Y627</f>
        <v>-4.5268376805346162E-3</v>
      </c>
      <c r="Y626">
        <f ca="1">'ETF variations'!Y626/'ETF price'!Z627</f>
        <v>3.0665115787248203E-3</v>
      </c>
      <c r="Z626">
        <f ca="1">'ETF variations'!Z626/'ETF price'!AA627</f>
        <v>-9.6329080968497131E-3</v>
      </c>
      <c r="AA626">
        <f ca="1">'ETF variations'!AA626/'ETF price'!AB627</f>
        <v>-4.6843177189410182E-3</v>
      </c>
      <c r="AB626">
        <f ca="1">'ETF variations'!AB626/'ETF price'!AC627</f>
        <v>-2.5757575757576015E-3</v>
      </c>
      <c r="AC626">
        <f ca="1">'ETF variations'!AC626/'ETF price'!AD627</f>
        <v>4.2725797728502039E-2</v>
      </c>
      <c r="AD626">
        <f ca="1">'ETF variations'!AD626/'ETF price'!AE627</f>
        <v>-1.5992892047978807E-2</v>
      </c>
      <c r="AE626">
        <f ca="1">'ETF variations'!AE626/'ETF price'!AF627</f>
        <v>2.1194605009633799E-2</v>
      </c>
      <c r="AF626">
        <f ca="1">'ETF variations'!AF626/'ETF price'!AG627</f>
        <v>7.9262311163429452E-2</v>
      </c>
    </row>
    <row r="627" spans="1:32" x14ac:dyDescent="0.2">
      <c r="A627">
        <f ca="1">'ETF variations'!A627/'ETF price'!B628</f>
        <v>5.001316135825282E-3</v>
      </c>
      <c r="B627">
        <f ca="1">'ETF variations'!B627/'ETF price'!C628</f>
        <v>6.6466294547015961E-3</v>
      </c>
      <c r="C627">
        <f ca="1">'ETF variations'!C627/'ETF price'!D628</f>
        <v>5.0585899980791476E-3</v>
      </c>
      <c r="D627">
        <f ca="1">'ETF variations'!D627/'ETF price'!E628</f>
        <v>1.4070229502878917E-2</v>
      </c>
      <c r="E627">
        <f ca="1">'ETF variations'!E627/'ETF price'!F628</f>
        <v>4.7824745448935869E-3</v>
      </c>
      <c r="F627">
        <f ca="1">'ETF variations'!F627/'ETF price'!G628</f>
        <v>2.2786458333333426E-3</v>
      </c>
      <c r="G627">
        <f ca="1">'ETF variations'!G627/'ETF price'!H628</f>
        <v>2.521613832852908E-3</v>
      </c>
      <c r="H627">
        <f ca="1">'ETF variations'!H627/'ETF price'!I628</f>
        <v>-3.6569378320568625E-3</v>
      </c>
      <c r="I627">
        <f ca="1">'ETF variations'!I627/'ETF price'!J628</f>
        <v>-3.7393767705382781E-3</v>
      </c>
      <c r="J627">
        <f ca="1">'ETF variations'!J627/'ETF price'!K628</f>
        <v>-6.9358253632181401E-3</v>
      </c>
      <c r="K627">
        <f ca="1">'ETF variations'!K627/'ETF price'!L628</f>
        <v>-1.8056749785038764E-2</v>
      </c>
      <c r="L627">
        <f ca="1">'ETF variations'!L627/'ETF price'!M628</f>
        <v>-8.6419753086420109E-3</v>
      </c>
      <c r="M627">
        <f ca="1">'ETF variations'!M627/'ETF price'!N628</f>
        <v>-4.1007615700058746E-3</v>
      </c>
      <c r="N627">
        <f ca="1">'ETF variations'!N627/'ETF price'!O628</f>
        <v>-8.6455331412103615E-3</v>
      </c>
      <c r="O627">
        <f ca="1">'ETF variations'!O627/'ETF price'!P628</f>
        <v>-7.675438596492038E-4</v>
      </c>
      <c r="P627">
        <f ca="1">'ETF variations'!P627/'ETF price'!Q628</f>
        <v>1.0191282533709271E-3</v>
      </c>
      <c r="Q627">
        <f ca="1">'ETF variations'!Q627/'ETF price'!R628</f>
        <v>1.840138010350737E-3</v>
      </c>
      <c r="R627">
        <f ca="1">'ETF variations'!R627/'ETF price'!S628</f>
        <v>6.9744271006310478E-3</v>
      </c>
      <c r="S627">
        <f ca="1">'ETF variations'!S627/'ETF price'!T628</f>
        <v>1.2749681257967524E-3</v>
      </c>
      <c r="T627">
        <f ca="1">'ETF variations'!T627/'ETF price'!U628</f>
        <v>-5.2734854059358202E-3</v>
      </c>
      <c r="U627">
        <f ca="1">'ETF variations'!U627/'ETF price'!V628</f>
        <v>-6.6258919469929945E-3</v>
      </c>
      <c r="V627">
        <f ca="1">'ETF variations'!V627/'ETF price'!W628</f>
        <v>1.1650485436893128E-2</v>
      </c>
      <c r="W627">
        <f ca="1">'ETF variations'!W627/'ETF price'!X628</f>
        <v>1.0591526778577161E-2</v>
      </c>
      <c r="X627">
        <f ca="1">'ETF variations'!X627/'ETF price'!Y628</f>
        <v>1.2559549588566442E-2</v>
      </c>
      <c r="Y627">
        <f ca="1">'ETF variations'!Y627/'ETF price'!Z628</f>
        <v>8.4334809192493903E-3</v>
      </c>
      <c r="Z627">
        <f ca="1">'ETF variations'!Z627/'ETF price'!AA628</f>
        <v>4.2060988433229151E-3</v>
      </c>
      <c r="AA627">
        <f ca="1">'ETF variations'!AA627/'ETF price'!AB628</f>
        <v>1.1868221812973305E-2</v>
      </c>
      <c r="AB627">
        <f ca="1">'ETF variations'!AB627/'ETF price'!AC628</f>
        <v>-2.8862220871942539E-3</v>
      </c>
      <c r="AC627">
        <f ca="1">'ETF variations'!AC627/'ETF price'!AD628</f>
        <v>-1.9190871369294656E-2</v>
      </c>
      <c r="AD627">
        <f ca="1">'ETF variations'!AD627/'ETF price'!AE628</f>
        <v>-2.0767494356659023E-2</v>
      </c>
      <c r="AE627">
        <f ca="1">'ETF variations'!AE627/'ETF price'!AF628</f>
        <v>1.1320754716981227E-2</v>
      </c>
      <c r="AF627">
        <f ca="1">'ETF variations'!AF627/'ETF price'!AG628</f>
        <v>-4.7264133793855304E-3</v>
      </c>
    </row>
    <row r="628" spans="1:32" x14ac:dyDescent="0.2">
      <c r="A628">
        <f ca="1">'ETF variations'!A628/'ETF price'!B629</f>
        <v>1.3488737558931268E-2</v>
      </c>
      <c r="B628">
        <f ca="1">'ETF variations'!B628/'ETF price'!C629</f>
        <v>1.1550535726472364E-2</v>
      </c>
      <c r="C628">
        <f ca="1">'ETF variations'!C628/'ETF price'!D629</f>
        <v>-1.9750254841998105E-3</v>
      </c>
      <c r="D628">
        <f ca="1">'ETF variations'!D628/'ETF price'!E629</f>
        <v>1.6673997360950009E-2</v>
      </c>
      <c r="E628">
        <f ca="1">'ETF variations'!E628/'ETF price'!F629</f>
        <v>5.2203285736220394E-3</v>
      </c>
      <c r="F628">
        <f ca="1">'ETF variations'!F628/'ETF price'!G629</f>
        <v>9.7434231893472143E-3</v>
      </c>
      <c r="G628">
        <f ca="1">'ETF variations'!G628/'ETF price'!H629</f>
        <v>4.3118936399569171E-3</v>
      </c>
      <c r="H628">
        <f ca="1">'ETF variations'!H628/'ETF price'!I629</f>
        <v>-7.6177285318559159E-3</v>
      </c>
      <c r="I628">
        <f ca="1">'ETF variations'!I628/'ETF price'!J629</f>
        <v>-7.1276918410676203E-3</v>
      </c>
      <c r="J628">
        <f ca="1">'ETF variations'!J628/'ETF price'!K629</f>
        <v>-6.8372298191442934E-3</v>
      </c>
      <c r="K628">
        <f ca="1">'ETF variations'!K628/'ETF price'!L629</f>
        <v>-5.3633975481610649E-3</v>
      </c>
      <c r="L628">
        <f ca="1">'ETF variations'!L628/'ETF price'!M629</f>
        <v>-3.4246575342465578E-3</v>
      </c>
      <c r="M628">
        <f ca="1">'ETF variations'!M628/'ETF price'!N629</f>
        <v>-8.3823529411763704E-3</v>
      </c>
      <c r="N628">
        <f ca="1">'ETF variations'!N628/'ETF price'!O629</f>
        <v>2.422480620155073E-3</v>
      </c>
      <c r="O628">
        <f ca="1">'ETF variations'!O628/'ETF price'!P629</f>
        <v>4.3893339185779182E-3</v>
      </c>
      <c r="P628">
        <f ca="1">'ETF variations'!P628/'ETF price'!Q629</f>
        <v>4.620565431905423E-3</v>
      </c>
      <c r="Q628">
        <f ca="1">'ETF variations'!Q628/'ETF price'!R629</f>
        <v>7.461829870279023E-3</v>
      </c>
      <c r="R628">
        <f ca="1">'ETF variations'!R628/'ETF price'!S629</f>
        <v>1.7645118733509241E-2</v>
      </c>
      <c r="S628">
        <f ca="1">'ETF variations'!S628/'ETF price'!T629</f>
        <v>5.5178268251274429E-3</v>
      </c>
      <c r="T628">
        <f ca="1">'ETF variations'!T628/'ETF price'!U629</f>
        <v>1.9726297620514927E-3</v>
      </c>
      <c r="U628">
        <f ca="1">'ETF variations'!U628/'ETF price'!V629</f>
        <v>4.0020523345305349E-2</v>
      </c>
      <c r="V628">
        <f ca="1">'ETF variations'!V628/'ETF price'!W629</f>
        <v>-3.119001919385858E-3</v>
      </c>
      <c r="W628">
        <f ca="1">'ETF variations'!W628/'ETF price'!X629</f>
        <v>-3.7571682815898304E-3</v>
      </c>
      <c r="X628">
        <f ca="1">'ETF variations'!X628/'ETF price'!Y629</f>
        <v>-1.3473053892215472E-2</v>
      </c>
      <c r="Y628">
        <f ca="1">'ETF variations'!Y628/'ETF price'!Z629</f>
        <v>-2.9270332427346973E-3</v>
      </c>
      <c r="Z628">
        <f ca="1">'ETF variations'!Z628/'ETF price'!AA629</f>
        <v>-1.0471204188483311E-3</v>
      </c>
      <c r="AA628">
        <f ca="1">'ETF variations'!AA628/'ETF price'!AB629</f>
        <v>-1.617795753286156E-2</v>
      </c>
      <c r="AB628">
        <f ca="1">'ETF variations'!AB628/'ETF price'!AC629</f>
        <v>8.8360755636806565E-3</v>
      </c>
      <c r="AC628">
        <f ca="1">'ETF variations'!AC628/'ETF price'!AD629</f>
        <v>-2.9613960867265927E-2</v>
      </c>
      <c r="AD628">
        <f ca="1">'ETF variations'!AD628/'ETF price'!AE629</f>
        <v>-2.4435223605348139E-2</v>
      </c>
      <c r="AE628">
        <f ca="1">'ETF variations'!AE628/'ETF price'!AF629</f>
        <v>1.30597014925372E-2</v>
      </c>
      <c r="AF628">
        <f ca="1">'ETF variations'!AF628/'ETF price'!AG629</f>
        <v>-6.0273972602739416E-3</v>
      </c>
    </row>
    <row r="629" spans="1:32" x14ac:dyDescent="0.2">
      <c r="A629">
        <f ca="1">'ETF variations'!A629/'ETF price'!B630</f>
        <v>3.0581039755352025E-3</v>
      </c>
      <c r="B629">
        <f ca="1">'ETF variations'!B629/'ETF price'!C630</f>
        <v>5.093693602523203E-3</v>
      </c>
      <c r="C629">
        <f ca="1">'ETF variations'!C629/'ETF price'!D630</f>
        <v>1.3278008298755084E-2</v>
      </c>
      <c r="D629">
        <f ca="1">'ETF variations'!D629/'ETF price'!E630</f>
        <v>1.9664909934712501E-3</v>
      </c>
      <c r="E629">
        <f ca="1">'ETF variations'!E629/'ETF price'!F630</f>
        <v>1.9856422789063001E-3</v>
      </c>
      <c r="F629">
        <f ca="1">'ETF variations'!F629/'ETF price'!G630</f>
        <v>3.8597619813445158E-3</v>
      </c>
      <c r="G629">
        <f ca="1">'ETF variations'!G629/'ETF price'!H630</f>
        <v>-1.431127012522331E-3</v>
      </c>
      <c r="H629">
        <f ca="1">'ETF variations'!H629/'ETF price'!I630</f>
        <v>7.7459874389391847E-3</v>
      </c>
      <c r="I629">
        <f ca="1">'ETF variations'!I629/'ETF price'!J630</f>
        <v>7.7898274018635269E-3</v>
      </c>
      <c r="J629">
        <f ca="1">'ETF variations'!J629/'ETF price'!K630</f>
        <v>8.2167443926270279E-3</v>
      </c>
      <c r="K629">
        <f ca="1">'ETF variations'!K629/'ETF price'!L630</f>
        <v>9.2439749092108406E-3</v>
      </c>
      <c r="L629">
        <f ca="1">'ETF variations'!L629/'ETF price'!M630</f>
        <v>8.9034676663543796E-3</v>
      </c>
      <c r="M629">
        <f ca="1">'ETF variations'!M629/'ETF price'!N630</f>
        <v>8.7498146225713953E-3</v>
      </c>
      <c r="N629">
        <f ca="1">'ETF variations'!N629/'ETF price'!O630</f>
        <v>5.799903334944294E-3</v>
      </c>
      <c r="O629">
        <f ca="1">'ETF variations'!O629/'ETF price'!P630</f>
        <v>-1.5623292909428677E-2</v>
      </c>
      <c r="P629">
        <f ca="1">'ETF variations'!P629/'ETF price'!Q630</f>
        <v>-1.6604303086997157E-2</v>
      </c>
      <c r="Q629">
        <f ca="1">'ETF variations'!Q629/'ETF price'!R630</f>
        <v>1.5952597994530601E-3</v>
      </c>
      <c r="R629">
        <f ca="1">'ETF variations'!R629/'ETF price'!S630</f>
        <v>-7.2921730675741831E-3</v>
      </c>
      <c r="S629">
        <f ca="1">'ETF variations'!S629/'ETF price'!T630</f>
        <v>3.7990713381173429E-3</v>
      </c>
      <c r="T629">
        <f ca="1">'ETF variations'!T629/'ETF price'!U630</f>
        <v>4.921865386982436E-4</v>
      </c>
      <c r="U629">
        <f ca="1">'ETF variations'!U629/'ETF price'!V630</f>
        <v>-1.3073507646768652E-2</v>
      </c>
      <c r="V629">
        <f ca="1">'ETF variations'!V629/'ETF price'!W630</f>
        <v>-2.4067388688322531E-4</v>
      </c>
      <c r="W629">
        <f ca="1">'ETF variations'!W629/'ETF price'!X630</f>
        <v>-1.9849146486701354E-3</v>
      </c>
      <c r="X629">
        <f ca="1">'ETF variations'!X629/'ETF price'!Y630</f>
        <v>-1.4090613483633333E-2</v>
      </c>
      <c r="Y629">
        <f ca="1">'ETF variations'!Y629/'ETF price'!Z630</f>
        <v>-3.6695323967288144E-3</v>
      </c>
      <c r="Z629">
        <f ca="1">'ETF variations'!Z629/'ETF price'!AA630</f>
        <v>3.6687631027253823E-3</v>
      </c>
      <c r="AA629">
        <f ca="1">'ETF variations'!AA629/'ETF price'!AB630</f>
        <v>-1.4594039054470728E-2</v>
      </c>
      <c r="AB629">
        <f ca="1">'ETF variations'!AB629/'ETF price'!AC630</f>
        <v>4.9833887043189114E-3</v>
      </c>
      <c r="AC629">
        <f ca="1">'ETF variations'!AC629/'ETF price'!AD630</f>
        <v>-7.9019073569482443E-2</v>
      </c>
      <c r="AD629">
        <f ca="1">'ETF variations'!AD629/'ETF price'!AE630</f>
        <v>-6.6162570888468747E-2</v>
      </c>
      <c r="AE629">
        <f ca="1">'ETF variations'!AE629/'ETF price'!AF630</f>
        <v>3.6832412523021109E-3</v>
      </c>
      <c r="AF629">
        <f ca="1">'ETF variations'!AF629/'ETF price'!AG630</f>
        <v>3.6751194413817663E-3</v>
      </c>
    </row>
    <row r="630" spans="1:32" x14ac:dyDescent="0.2">
      <c r="A630">
        <f ca="1">'ETF variations'!A630/'ETF price'!B631</f>
        <v>6.8275506698729106E-3</v>
      </c>
      <c r="B630">
        <f ca="1">'ETF variations'!B630/'ETF price'!C631</f>
        <v>6.7124230168985255E-3</v>
      </c>
      <c r="C630">
        <f ca="1">'ETF variations'!C630/'ETF price'!D631</f>
        <v>-2.4444024444024416E-2</v>
      </c>
      <c r="D630">
        <f ca="1">'ETF variations'!D630/'ETF price'!E631</f>
        <v>1.895902025435698E-2</v>
      </c>
      <c r="E630">
        <f ca="1">'ETF variations'!E630/'ETF price'!F631</f>
        <v>-4.8780487804877017E-3</v>
      </c>
      <c r="F630">
        <f ca="1">'ETF variations'!F630/'ETF price'!G631</f>
        <v>4.8061518743991857E-3</v>
      </c>
      <c r="G630">
        <f ca="1">'ETF variations'!G630/'ETF price'!H631</f>
        <v>8.5990684342529006E-3</v>
      </c>
      <c r="H630">
        <f ca="1">'ETF variations'!H630/'ETF price'!I631</f>
        <v>-1.1079565127068527E-3</v>
      </c>
      <c r="I630">
        <f ca="1">'ETF variations'!I630/'ETF price'!J631</f>
        <v>-1.0609275538042951E-3</v>
      </c>
      <c r="J630">
        <f ca="1">'ETF variations'!J630/'ETF price'!K631</f>
        <v>1.1233480176211463E-2</v>
      </c>
      <c r="K630">
        <f ca="1">'ETF variations'!K630/'ETF price'!L631</f>
        <v>1.6573983207938178E-2</v>
      </c>
      <c r="L630">
        <f ca="1">'ETF variations'!L630/'ETF price'!M631</f>
        <v>1.238581823811731E-2</v>
      </c>
      <c r="M630">
        <f ca="1">'ETF variations'!M630/'ETF price'!N631</f>
        <v>4.4104675095561801E-4</v>
      </c>
      <c r="N630">
        <f ca="1">'ETF variations'!N630/'ETF price'!O631</f>
        <v>2.4026910139356423E-3</v>
      </c>
      <c r="O630">
        <f ca="1">'ETF variations'!O630/'ETF price'!P631</f>
        <v>-6.1043285238623441E-3</v>
      </c>
      <c r="P630">
        <f ca="1">'ETF variations'!P630/'ETF price'!Q631</f>
        <v>-4.0428061831153791E-3</v>
      </c>
      <c r="Q630">
        <f ca="1">'ETF variations'!Q630/'ETF price'!R631</f>
        <v>2.95790671217282E-3</v>
      </c>
      <c r="R630">
        <f ca="1">'ETF variations'!R630/'ETF price'!S631</f>
        <v>8.1619327456748723E-4</v>
      </c>
      <c r="S630">
        <f ca="1">'ETF variations'!S630/'ETF price'!T631</f>
        <v>-1.3456686291000853E-2</v>
      </c>
      <c r="T630">
        <f ca="1">'ETF variations'!T630/'ETF price'!U631</f>
        <v>-1.0945763128766457E-2</v>
      </c>
      <c r="U630">
        <f ca="1">'ETF variations'!U630/'ETF price'!V631</f>
        <v>1.099725068732829E-2</v>
      </c>
      <c r="V630">
        <f ca="1">'ETF variations'!V630/'ETF price'!W631</f>
        <v>-2.6480500722195336E-3</v>
      </c>
      <c r="W630">
        <f ca="1">'ETF variations'!W630/'ETF price'!X631</f>
        <v>-2.3866348448688254E-3</v>
      </c>
      <c r="X630">
        <f ca="1">'ETF variations'!X630/'ETF price'!Y631</f>
        <v>-2.1987686895334237E-4</v>
      </c>
      <c r="Y630">
        <f ca="1">'ETF variations'!Y630/'ETF price'!Z631</f>
        <v>3.1568978217406225E-4</v>
      </c>
      <c r="Z630">
        <f ca="1">'ETF variations'!Z630/'ETF price'!AA631</f>
        <v>2.349869451697217E-3</v>
      </c>
      <c r="AA630">
        <f ca="1">'ETF variations'!AA630/'ETF price'!AB631</f>
        <v>2.0859407592835037E-4</v>
      </c>
      <c r="AB630">
        <f ca="1">'ETF variations'!AB630/'ETF price'!AC631</f>
        <v>8.1141998497371338E-3</v>
      </c>
      <c r="AC630">
        <f ca="1">'ETF variations'!AC630/'ETF price'!AD631</f>
        <v>4.1420118343195441E-3</v>
      </c>
      <c r="AD630">
        <f ca="1">'ETF variations'!AD630/'ETF price'!AE631</f>
        <v>5.0607287449382641E-4</v>
      </c>
      <c r="AE630">
        <f ca="1">'ETF variations'!AE630/'ETF price'!AF631</f>
        <v>-4.0366972477064174E-2</v>
      </c>
      <c r="AF630">
        <f ca="1">'ETF variations'!AF630/'ETF price'!AG631</f>
        <v>-5.4924935920897162E-4</v>
      </c>
    </row>
    <row r="631" spans="1:32" x14ac:dyDescent="0.2">
      <c r="A631">
        <f ca="1">'ETF variations'!A631/'ETF price'!B632</f>
        <v>-8.1033820957904094E-4</v>
      </c>
      <c r="B631">
        <f ca="1">'ETF variations'!B631/'ETF price'!C632</f>
        <v>-2.1336533813404892E-3</v>
      </c>
      <c r="C631">
        <f ca="1">'ETF variations'!C631/'ETF price'!D632</f>
        <v>6.8453341943816746E-3</v>
      </c>
      <c r="D631">
        <f ca="1">'ETF variations'!D631/'ETF price'!E632</f>
        <v>-4.6226742170325406E-4</v>
      </c>
      <c r="E631">
        <f ca="1">'ETF variations'!E631/'ETF price'!F632</f>
        <v>-9.6507352941175781E-3</v>
      </c>
      <c r="F631">
        <f ca="1">'ETF variations'!F631/'ETF price'!G632</f>
        <v>-3.1887755102034471E-4</v>
      </c>
      <c r="G631">
        <f ca="1">'ETF variations'!G631/'ETF price'!H632</f>
        <v>-2.4866785079929055E-3</v>
      </c>
      <c r="H631">
        <f ca="1">'ETF variations'!H631/'ETF price'!I632</f>
        <v>4.8526863084921226E-3</v>
      </c>
      <c r="I631">
        <f ca="1">'ETF variations'!I631/'ETF price'!J632</f>
        <v>5.0068274920345669E-3</v>
      </c>
      <c r="J631">
        <f ca="1">'ETF variations'!J631/'ETF price'!K632</f>
        <v>8.2044579975315765E-3</v>
      </c>
      <c r="K631">
        <f ca="1">'ETF variations'!K631/'ETF price'!L632</f>
        <v>1.2227823661911408E-2</v>
      </c>
      <c r="L631">
        <f ca="1">'ETF variations'!L631/'ETF price'!M632</f>
        <v>3.5173573940970176E-3</v>
      </c>
      <c r="M631">
        <f ca="1">'ETF variations'!M631/'ETF price'!N632</f>
        <v>3.0859662013226741E-3</v>
      </c>
      <c r="N631">
        <f ca="1">'ETF variations'!N631/'ETF price'!O632</f>
        <v>4.7938638542666069E-3</v>
      </c>
      <c r="O631">
        <f ca="1">'ETF variations'!O631/'ETF price'!P632</f>
        <v>-8.821887213846925E-3</v>
      </c>
      <c r="P631">
        <f ca="1">'ETF variations'!P631/'ETF price'!Q632</f>
        <v>-9.0735434574976161E-3</v>
      </c>
      <c r="Q631">
        <f ca="1">'ETF variations'!Q631/'ETF price'!R632</f>
        <v>-1.020871143375671E-2</v>
      </c>
      <c r="R631">
        <f ca="1">'ETF variations'!R631/'ETF price'!S632</f>
        <v>-9.9494372859239826E-3</v>
      </c>
      <c r="S631">
        <f ca="1">'ETF variations'!S631/'ETF price'!T632</f>
        <v>-6.8201193520886676E-3</v>
      </c>
      <c r="T631">
        <f ca="1">'ETF variations'!T631/'ETF price'!U632</f>
        <v>-8.0825665257399371E-3</v>
      </c>
      <c r="U631">
        <f ca="1">'ETF variations'!U631/'ETF price'!V632</f>
        <v>6.9221260815820525E-3</v>
      </c>
      <c r="V631">
        <f ca="1">'ETF variations'!V631/'ETF price'!W632</f>
        <v>7.723871590634813E-3</v>
      </c>
      <c r="W631">
        <f ca="1">'ETF variations'!W631/'ETF price'!X632</f>
        <v>6.8779904306221287E-3</v>
      </c>
      <c r="X631">
        <f ca="1">'ETF variations'!X631/'ETF price'!Y632</f>
        <v>1.6494391906751706E-2</v>
      </c>
      <c r="Y631">
        <f ca="1">'ETF variations'!Y631/'ETF price'!Z632</f>
        <v>8.2053439932674218E-3</v>
      </c>
      <c r="Z631">
        <f ca="1">'ETF variations'!Z631/'ETF price'!AA632</f>
        <v>2.6048450117212844E-4</v>
      </c>
      <c r="AA631">
        <f ca="1">'ETF variations'!AA631/'ETF price'!AB632</f>
        <v>1.7935349322210623E-2</v>
      </c>
      <c r="AB631">
        <f ca="1">'ETF variations'!AB631/'ETF price'!AC632</f>
        <v>1.937695632732083E-3</v>
      </c>
      <c r="AC631">
        <f ca="1">'ETF variations'!AC631/'ETF price'!AD632</f>
        <v>2.0624631703005387E-2</v>
      </c>
      <c r="AD631">
        <f ca="1">'ETF variations'!AD631/'ETF price'!AE632</f>
        <v>2.5796661608497803E-2</v>
      </c>
      <c r="AE631">
        <f ca="1">'ETF variations'!AE631/'ETF price'!AF632</f>
        <v>-5.162523900573622E-2</v>
      </c>
      <c r="AF631">
        <f ca="1">'ETF variations'!AF631/'ETF price'!AG632</f>
        <v>-5.3672833852354031E-2</v>
      </c>
    </row>
    <row r="632" spans="1:32" x14ac:dyDescent="0.2">
      <c r="A632">
        <f ca="1">'ETF variations'!A632/'ETF price'!B633</f>
        <v>1.451254908656311E-2</v>
      </c>
      <c r="B632">
        <f ca="1">'ETF variations'!B632/'ETF price'!C633</f>
        <v>1.3731353256602621E-2</v>
      </c>
      <c r="C632">
        <f ca="1">'ETF variations'!C632/'ETF price'!D633</f>
        <v>4.9387467128472213E-3</v>
      </c>
      <c r="D632">
        <f ca="1">'ETF variations'!D632/'ETF price'!E633</f>
        <v>2.3201140786988789E-2</v>
      </c>
      <c r="E632">
        <f ca="1">'ETF variations'!E632/'ETF price'!F633</f>
        <v>9.2807424593949043E-4</v>
      </c>
      <c r="F632">
        <f ca="1">'ETF variations'!F632/'ETF price'!G633</f>
        <v>1.0845295055821366E-2</v>
      </c>
      <c r="G632">
        <f ca="1">'ETF variations'!G632/'ETF price'!H633</f>
        <v>8.1908831908832063E-3</v>
      </c>
      <c r="H632">
        <f ca="1">'ETF variations'!H632/'ETF price'!I633</f>
        <v>9.4515350120731607E-3</v>
      </c>
      <c r="I632">
        <f ca="1">'ETF variations'!I632/'ETF price'!J633</f>
        <v>9.7750603864735514E-3</v>
      </c>
      <c r="J632">
        <f ca="1">'ETF variations'!J632/'ETF price'!K633</f>
        <v>1.2026501512314471E-2</v>
      </c>
      <c r="K632">
        <f ca="1">'ETF variations'!K632/'ETF price'!L633</f>
        <v>1.1762212567553242E-2</v>
      </c>
      <c r="L632">
        <f ca="1">'ETF variations'!L632/'ETF price'!M633</f>
        <v>1.1886619932947288E-2</v>
      </c>
      <c r="M632">
        <f ca="1">'ETF variations'!M632/'ETF price'!N633</f>
        <v>9.3759156167594563E-3</v>
      </c>
      <c r="N632">
        <f ca="1">'ETF variations'!N632/'ETF price'!O633</f>
        <v>1.3358778625954082E-2</v>
      </c>
      <c r="O632">
        <f ca="1">'ETF variations'!O632/'ETF price'!P633</f>
        <v>6.7598017124830363E-3</v>
      </c>
      <c r="P632">
        <f ca="1">'ETF variations'!P632/'ETF price'!Q633</f>
        <v>6.7469879518072566E-3</v>
      </c>
      <c r="Q632">
        <f ca="1">'ETF variations'!Q632/'ETF price'!R633</f>
        <v>1.3408205363282164E-2</v>
      </c>
      <c r="R632">
        <f ca="1">'ETF variations'!R632/'ETF price'!S633</f>
        <v>8.7314662273475126E-3</v>
      </c>
      <c r="S632">
        <f ca="1">'ETF variations'!S632/'ETF price'!T633</f>
        <v>0</v>
      </c>
      <c r="T632">
        <f ca="1">'ETF variations'!T632/'ETF price'!U633</f>
        <v>8.9005891939326568E-3</v>
      </c>
      <c r="U632">
        <f ca="1">'ETF variations'!U632/'ETF price'!V633</f>
        <v>1.6204272035354867E-2</v>
      </c>
      <c r="V632">
        <f ca="1">'ETF variations'!V632/'ETF price'!W633</f>
        <v>3.8323353293412358E-3</v>
      </c>
      <c r="W632">
        <f ca="1">'ETF variations'!W632/'ETF price'!X633</f>
        <v>5.1480051480051079E-3</v>
      </c>
      <c r="X632">
        <f ca="1">'ETF variations'!X632/'ETF price'!Y633</f>
        <v>2.012115967113803E-2</v>
      </c>
      <c r="Y632">
        <f ca="1">'ETF variations'!Y632/'ETF price'!Z633</f>
        <v>8.9732888146911455E-3</v>
      </c>
      <c r="Z632">
        <f ca="1">'ETF variations'!Z632/'ETF price'!AA633</f>
        <v>7.0312500000000817E-3</v>
      </c>
      <c r="AA632">
        <f ca="1">'ETF variations'!AA632/'ETF price'!AB633</f>
        <v>2.1716861298914057E-2</v>
      </c>
      <c r="AB632">
        <f ca="1">'ETF variations'!AB632/'ETF price'!AC633</f>
        <v>1.6959238321928007E-2</v>
      </c>
      <c r="AC632">
        <f ca="1">'ETF variations'!AC632/'ETF price'!AD633</f>
        <v>2.8868360277136667E-3</v>
      </c>
      <c r="AD632">
        <f ca="1">'ETF variations'!AD632/'ETF price'!AE633</f>
        <v>-9.3688362919132767E-3</v>
      </c>
      <c r="AE632">
        <f ca="1">'ETF variations'!AE632/'ETF price'!AF633</f>
        <v>3.0241935483871038E-2</v>
      </c>
      <c r="AF632">
        <f ca="1">'ETF variations'!AF632/'ETF price'!AG633</f>
        <v>1.1614401858304738E-3</v>
      </c>
    </row>
    <row r="633" spans="1:32" x14ac:dyDescent="0.2">
      <c r="A633">
        <f ca="1">'ETF variations'!A633/'ETF price'!B634</f>
        <v>-2.503365870077422E-2</v>
      </c>
      <c r="B633">
        <f ca="1">'ETF variations'!B633/'ETF price'!C634</f>
        <v>-1.9263409409244547E-2</v>
      </c>
      <c r="C633">
        <f ca="1">'ETF variations'!C633/'ETF price'!D634</f>
        <v>-2.872095991830591E-3</v>
      </c>
      <c r="D633">
        <f ca="1">'ETF variations'!D633/'ETF price'!E634</f>
        <v>-3.2882594448001873E-2</v>
      </c>
      <c r="E633">
        <f ca="1">'ETF variations'!E633/'ETF price'!F634</f>
        <v>2.3180343069078304E-3</v>
      </c>
      <c r="F633">
        <f ca="1">'ETF variations'!F633/'ETF price'!G634</f>
        <v>-6.3111391606183564E-4</v>
      </c>
      <c r="G633">
        <f ca="1">'ETF variations'!G633/'ETF price'!H634</f>
        <v>8.1243376898622547E-3</v>
      </c>
      <c r="H633">
        <f ca="1">'ETF variations'!H633/'ETF price'!I634</f>
        <v>7.0393657736468095E-3</v>
      </c>
      <c r="I633">
        <f ca="1">'ETF variations'!I633/'ETF price'!J634</f>
        <v>9.7178097551858193E-3</v>
      </c>
      <c r="J633">
        <f ca="1">'ETF variations'!J633/'ETF price'!K634</f>
        <v>2.3624848786735878E-2</v>
      </c>
      <c r="K633">
        <f ca="1">'ETF variations'!K633/'ETF price'!L634</f>
        <v>2.5974025974025865E-2</v>
      </c>
      <c r="L633">
        <f ca="1">'ETF variations'!L633/'ETF price'!M634</f>
        <v>2.2740963855421549E-2</v>
      </c>
      <c r="M633">
        <f ca="1">'ETF variations'!M633/'ETF price'!N634</f>
        <v>1.1030478955007124E-2</v>
      </c>
      <c r="N633">
        <f ca="1">'ETF variations'!N633/'ETF price'!O634</f>
        <v>3.9548022598870053E-2</v>
      </c>
      <c r="O633">
        <f ca="1">'ETF variations'!O633/'ETF price'!P634</f>
        <v>1.0407341092211357E-2</v>
      </c>
      <c r="P633">
        <f ca="1">'ETF variations'!P633/'ETF price'!Q634</f>
        <v>1.28450614329025E-2</v>
      </c>
      <c r="Q633">
        <f ca="1">'ETF variations'!Q633/'ETF price'!R634</f>
        <v>1.3683139206151686E-2</v>
      </c>
      <c r="R633">
        <f ca="1">'ETF variations'!R633/'ETF price'!S634</f>
        <v>2.7437530622243994E-2</v>
      </c>
      <c r="S633">
        <f ca="1">'ETF variations'!S633/'ETF price'!T634</f>
        <v>3.4334763948497119E-3</v>
      </c>
      <c r="T633">
        <f ca="1">'ETF variations'!T633/'ETF price'!U634</f>
        <v>5.7157057654074767E-3</v>
      </c>
      <c r="U633">
        <f ca="1">'ETF variations'!U633/'ETF price'!V634</f>
        <v>4.5421599420149852E-2</v>
      </c>
      <c r="V633">
        <f ca="1">'ETF variations'!V633/'ETF price'!W634</f>
        <v>7.8740157480316261E-3</v>
      </c>
      <c r="W633">
        <f ca="1">'ETF variations'!W633/'ETF price'!X634</f>
        <v>1.1819166748744241E-2</v>
      </c>
      <c r="X633">
        <f ca="1">'ETF variations'!X633/'ETF price'!Y634</f>
        <v>3.6267232237539783E-2</v>
      </c>
      <c r="Y633">
        <f ca="1">'ETF variations'!Y633/'ETF price'!Z634</f>
        <v>1.0444674250258437E-2</v>
      </c>
      <c r="Z633">
        <f ca="1">'ETF variations'!Z633/'ETF price'!AA634</f>
        <v>2.6635634859063902E-2</v>
      </c>
      <c r="AA633">
        <f ca="1">'ETF variations'!AA633/'ETF price'!AB634</f>
        <v>4.2109484660116332E-2</v>
      </c>
      <c r="AB633">
        <f ca="1">'ETF variations'!AB633/'ETF price'!AC634</f>
        <v>1.5798712697483883E-2</v>
      </c>
      <c r="AC633">
        <f ca="1">'ETF variations'!AC633/'ETF price'!AD634</f>
        <v>-2.302820955670852E-3</v>
      </c>
      <c r="AD633">
        <f ca="1">'ETF variations'!AD633/'ETF price'!AE634</f>
        <v>0</v>
      </c>
      <c r="AE633">
        <f ca="1">'ETF variations'!AE633/'ETF price'!AF634</f>
        <v>2.5440313111545966E-2</v>
      </c>
      <c r="AF633">
        <f ca="1">'ETF variations'!AF633/'ETF price'!AG634</f>
        <v>-1.3921113689095106E-2</v>
      </c>
    </row>
    <row r="634" spans="1:32" x14ac:dyDescent="0.2">
      <c r="A634">
        <f ca="1">'ETF variations'!A634/'ETF price'!B635</f>
        <v>8.9328097354680943E-3</v>
      </c>
      <c r="B634">
        <f ca="1">'ETF variations'!B634/'ETF price'!C635</f>
        <v>9.3084212648700815E-3</v>
      </c>
      <c r="C634">
        <f ca="1">'ETF variations'!C634/'ETF price'!D635</f>
        <v>-3.7700825705690243E-2</v>
      </c>
      <c r="D634">
        <f ca="1">'ETF variations'!D634/'ETF price'!E635</f>
        <v>1.2190372332138944E-2</v>
      </c>
      <c r="E634">
        <f ca="1">'ETF variations'!E634/'ETF price'!F635</f>
        <v>8.4798026518655128E-3</v>
      </c>
      <c r="F634">
        <f ca="1">'ETF variations'!F634/'ETF price'!G635</f>
        <v>1.7050836754025866E-2</v>
      </c>
      <c r="G634">
        <f ca="1">'ETF variations'!G634/'ETF price'!H635</f>
        <v>1.4716187806587306E-2</v>
      </c>
      <c r="H634">
        <f ca="1">'ETF variations'!H634/'ETF price'!I635</f>
        <v>6.2436375975569456E-3</v>
      </c>
      <c r="I634">
        <f ca="1">'ETF variations'!I634/'ETF price'!J635</f>
        <v>7.2922450490469273E-3</v>
      </c>
      <c r="J634">
        <f ca="1">'ETF variations'!J634/'ETF price'!K635</f>
        <v>8.202989224887082E-3</v>
      </c>
      <c r="K634">
        <f ca="1">'ETF variations'!K634/'ETF price'!L635</f>
        <v>1.0208248264597796E-2</v>
      </c>
      <c r="L634">
        <f ca="1">'ETF variations'!L634/'ETF price'!M635</f>
        <v>4.8593726991606285E-3</v>
      </c>
      <c r="M634">
        <f ca="1">'ETF variations'!M634/'ETF price'!N635</f>
        <v>6.172839506172938E-3</v>
      </c>
      <c r="N634">
        <f ca="1">'ETF variations'!N634/'ETF price'!O635</f>
        <v>2.0833333333333374E-2</v>
      </c>
      <c r="O634">
        <f ca="1">'ETF variations'!O634/'ETF price'!P635</f>
        <v>2.5473474360393151E-3</v>
      </c>
      <c r="P634">
        <f ca="1">'ETF variations'!P634/'ETF price'!Q635</f>
        <v>2.9145332808191439E-3</v>
      </c>
      <c r="Q634">
        <f ca="1">'ETF variations'!Q634/'ETF price'!R635</f>
        <v>9.5939312806782619E-3</v>
      </c>
      <c r="R634">
        <f ca="1">'ETF variations'!R634/'ETF price'!S635</f>
        <v>1.1127006835161388E-2</v>
      </c>
      <c r="S634">
        <f ca="1">'ETF variations'!S634/'ETF price'!T635</f>
        <v>-3.8494439692044425E-3</v>
      </c>
      <c r="T634">
        <f ca="1">'ETF variations'!T634/'ETF price'!U635</f>
        <v>-8.5248332097849974E-3</v>
      </c>
      <c r="U634">
        <f ca="1">'ETF variations'!U634/'ETF price'!V635</f>
        <v>2.8426161312687701E-2</v>
      </c>
      <c r="V634">
        <f ca="1">'ETF variations'!V634/'ETF price'!W635</f>
        <v>3.3143939393939525E-3</v>
      </c>
      <c r="W634">
        <f ca="1">'ETF variations'!W634/'ETF price'!X635</f>
        <v>2.5309062591257754E-3</v>
      </c>
      <c r="X634">
        <f ca="1">'ETF variations'!X634/'ETF price'!Y635</f>
        <v>2.6606631191158935E-3</v>
      </c>
      <c r="Y634">
        <f ca="1">'ETF variations'!Y634/'ETF price'!Z635</f>
        <v>2.3539044110122199E-3</v>
      </c>
      <c r="Z634">
        <f ca="1">'ETF variations'!Z634/'ETF price'!AA635</f>
        <v>7.3047858942065268E-3</v>
      </c>
      <c r="AA634">
        <f ca="1">'ETF variations'!AA634/'ETF price'!AB635</f>
        <v>2.3090244371753812E-3</v>
      </c>
      <c r="AB634">
        <f ca="1">'ETF variations'!AB634/'ETF price'!AC635</f>
        <v>5.0403225806452843E-3</v>
      </c>
      <c r="AC634">
        <f ca="1">'ETF variations'!AC634/'ETF price'!AD635</f>
        <v>5.7703404500866378E-3</v>
      </c>
      <c r="AD634">
        <f ca="1">'ETF variations'!AD634/'ETF price'!AE635</f>
        <v>6.4708810353409163E-3</v>
      </c>
      <c r="AE634">
        <f ca="1">'ETF variations'!AE634/'ETF price'!AF635</f>
        <v>-1.9083969465648956E-2</v>
      </c>
      <c r="AF634">
        <f ca="1">'ETF variations'!AF634/'ETF price'!AG635</f>
        <v>6.137254901960789E-2</v>
      </c>
    </row>
    <row r="635" spans="1:32" x14ac:dyDescent="0.2">
      <c r="A635">
        <f ca="1">'ETF variations'!A635/'ETF price'!B636</f>
        <v>1.7964071856286889E-3</v>
      </c>
      <c r="B635">
        <f ca="1">'ETF variations'!B635/'ETF price'!C636</f>
        <v>5.1273514233393155E-3</v>
      </c>
      <c r="C635">
        <f ca="1">'ETF variations'!C635/'ETF price'!D636</f>
        <v>-4.7226287082613276E-3</v>
      </c>
      <c r="D635">
        <f ca="1">'ETF variations'!D635/'ETF price'!E636</f>
        <v>1.1158567086075666E-3</v>
      </c>
      <c r="E635">
        <f ca="1">'ETF variations'!E635/'ETF price'!F636</f>
        <v>9.4786729857820606E-3</v>
      </c>
      <c r="F635">
        <f ca="1">'ETF variations'!F635/'ETF price'!G636</f>
        <v>-5.5883266066438907E-3</v>
      </c>
      <c r="G635">
        <f ca="1">'ETF variations'!G635/'ETF price'!H636</f>
        <v>-1.726519337016599E-3</v>
      </c>
      <c r="H635">
        <f ca="1">'ETF variations'!H635/'ETF price'!I636</f>
        <v>-3.5071153975855546E-3</v>
      </c>
      <c r="I635">
        <f ca="1">'ETF variations'!I635/'ETF price'!J636</f>
        <v>-3.0501249448772016E-3</v>
      </c>
      <c r="J635">
        <f ca="1">'ETF variations'!J635/'ETF price'!K636</f>
        <v>8.2741501758260049E-4</v>
      </c>
      <c r="K635">
        <f ca="1">'ETF variations'!K635/'ETF price'!L636</f>
        <v>9.4987873888440991E-3</v>
      </c>
      <c r="L635">
        <f ca="1">'ETF variations'!L635/'ETF price'!M636</f>
        <v>2.1981242672919942E-3</v>
      </c>
      <c r="M635">
        <f ca="1">'ETF variations'!M635/'ETF price'!N636</f>
        <v>-2.9961478099587379E-3</v>
      </c>
      <c r="N635">
        <f ca="1">'ETF variations'!N635/'ETF price'!O636</f>
        <v>8.8731144631765436E-3</v>
      </c>
      <c r="O635">
        <f ca="1">'ETF variations'!O635/'ETF price'!P636</f>
        <v>1.5134776844896206E-2</v>
      </c>
      <c r="P635">
        <f ca="1">'ETF variations'!P635/'ETF price'!Q636</f>
        <v>1.6493873704052735E-2</v>
      </c>
      <c r="Q635">
        <f ca="1">'ETF variations'!Q635/'ETF price'!R636</f>
        <v>-2.5414364640884419E-3</v>
      </c>
      <c r="R635">
        <f ca="1">'ETF variations'!R635/'ETF price'!S636</f>
        <v>1.0847351045433072E-2</v>
      </c>
      <c r="S635">
        <f ca="1">'ETF variations'!S635/'ETF price'!T636</f>
        <v>-7.2992700729926216E-3</v>
      </c>
      <c r="T635">
        <f ca="1">'ETF variations'!T635/'ETF price'!U636</f>
        <v>-1.6199376947039932E-3</v>
      </c>
      <c r="U635">
        <f ca="1">'ETF variations'!U635/'ETF price'!V636</f>
        <v>-5.8651685393258414E-2</v>
      </c>
      <c r="V635">
        <f ca="1">'ETF variations'!V635/'ETF price'!W636</f>
        <v>1.4629542236904139E-2</v>
      </c>
      <c r="W635">
        <f ca="1">'ETF variations'!W635/'ETF price'!X636</f>
        <v>1.5826779298961157E-2</v>
      </c>
      <c r="X635">
        <f ca="1">'ETF variations'!X635/'ETF price'!Y636</f>
        <v>2.6740151051234846E-2</v>
      </c>
      <c r="Y635">
        <f ca="1">'ETF variations'!Y635/'ETF price'!Z636</f>
        <v>1.53154992852767E-2</v>
      </c>
      <c r="Z635">
        <f ca="1">'ETF variations'!Z635/'ETF price'!AA636</f>
        <v>4.2510627656912872E-3</v>
      </c>
      <c r="AA635">
        <f ca="1">'ETF variations'!AA635/'ETF price'!AB636</f>
        <v>2.9180264926089383E-2</v>
      </c>
      <c r="AB635">
        <f ca="1">'ETF variations'!AB635/'ETF price'!AC636</f>
        <v>-1.5618283421693699E-2</v>
      </c>
      <c r="AC635">
        <f ca="1">'ETF variations'!AC635/'ETF price'!AD636</f>
        <v>9.5811818703385065E-2</v>
      </c>
      <c r="AD635">
        <f ca="1">'ETF variations'!AD635/'ETF price'!AE636</f>
        <v>9.8417408506429382E-2</v>
      </c>
      <c r="AE635">
        <f ca="1">'ETF variations'!AE635/'ETF price'!AF636</f>
        <v>-1.361867704280144E-2</v>
      </c>
      <c r="AF635">
        <f ca="1">'ETF variations'!AF635/'ETF price'!AG636</f>
        <v>0.12266765194901165</v>
      </c>
    </row>
    <row r="636" spans="1:32" x14ac:dyDescent="0.2">
      <c r="A636">
        <f ca="1">'ETF variations'!A636/'ETF price'!B637</f>
        <v>-3.3302023738365689E-3</v>
      </c>
      <c r="B636">
        <f ca="1">'ETF variations'!B636/'ETF price'!C637</f>
        <v>1.209049653847458E-3</v>
      </c>
      <c r="C636">
        <f ca="1">'ETF variations'!C636/'ETF price'!D637</f>
        <v>-1.0826705874490441E-2</v>
      </c>
      <c r="D636">
        <f ca="1">'ETF variations'!D636/'ETF price'!E637</f>
        <v>6.1880236759167253E-3</v>
      </c>
      <c r="E636">
        <f ca="1">'ETF variations'!E636/'ETF price'!F637</f>
        <v>6.6636377404209858E-3</v>
      </c>
      <c r="F636">
        <f ca="1">'ETF variations'!F636/'ETF price'!G637</f>
        <v>6.244146113018911E-3</v>
      </c>
      <c r="G636">
        <f ca="1">'ETF variations'!G636/'ETF price'!H637</f>
        <v>1.6603251470079572E-2</v>
      </c>
      <c r="H636">
        <f ca="1">'ETF variations'!H636/'ETF price'!I637</f>
        <v>1.4280879864636302E-2</v>
      </c>
      <c r="I636">
        <f ca="1">'ETF variations'!I636/'ETF price'!J637</f>
        <v>1.6366250138228455E-2</v>
      </c>
      <c r="J636">
        <f ca="1">'ETF variations'!J636/'ETF price'!K637</f>
        <v>1.9152600757836726E-2</v>
      </c>
      <c r="K636">
        <f ca="1">'ETF variations'!K636/'ETF price'!L637</f>
        <v>1.9519519519519406E-2</v>
      </c>
      <c r="L636">
        <f ca="1">'ETF variations'!L636/'ETF price'!M637</f>
        <v>2.6758297996783129E-2</v>
      </c>
      <c r="M636">
        <f ca="1">'ETF variations'!M636/'ETF price'!N637</f>
        <v>1.6599885518031064E-2</v>
      </c>
      <c r="N636">
        <f ca="1">'ETF variations'!N636/'ETF price'!O637</f>
        <v>3.73790677220757E-2</v>
      </c>
      <c r="O636">
        <f ca="1">'ETF variations'!O636/'ETF price'!P637</f>
        <v>4.4618565676351786E-3</v>
      </c>
      <c r="P636">
        <f ca="1">'ETF variations'!P636/'ETF price'!Q637</f>
        <v>4.0179261319734996E-3</v>
      </c>
      <c r="Q636">
        <f ca="1">'ETF variations'!Q636/'ETF price'!R637</f>
        <v>1.93862855876814E-2</v>
      </c>
      <c r="R636">
        <f ca="1">'ETF variations'!R636/'ETF price'!S637</f>
        <v>1.4307931570762079E-2</v>
      </c>
      <c r="S636">
        <f ca="1">'ETF variations'!S636/'ETF price'!T637</f>
        <v>-2.5951557093426589E-3</v>
      </c>
      <c r="T636">
        <f ca="1">'ETF variations'!T636/'ETF price'!U637</f>
        <v>-1.3230154767848255E-2</v>
      </c>
      <c r="U636">
        <f ca="1">'ETF variations'!U636/'ETF price'!V637</f>
        <v>3.7717832418238201E-2</v>
      </c>
      <c r="V636">
        <f ca="1">'ETF variations'!V636/'ETF price'!W637</f>
        <v>1.1395348837209348E-2</v>
      </c>
      <c r="W636">
        <f ca="1">'ETF variations'!W636/'ETF price'!X637</f>
        <v>1.4624354807876133E-2</v>
      </c>
      <c r="X636">
        <f ca="1">'ETF variations'!X636/'ETF price'!Y637</f>
        <v>4.0755467196819176E-2</v>
      </c>
      <c r="Y636">
        <f ca="1">'ETF variations'!Y636/'ETF price'!Z637</f>
        <v>1.3475462590506873E-2</v>
      </c>
      <c r="Z636">
        <f ca="1">'ETF variations'!Z636/'ETF price'!AA637</f>
        <v>9.4621513944223752E-3</v>
      </c>
      <c r="AA636">
        <f ca="1">'ETF variations'!AA636/'ETF price'!AB637</f>
        <v>4.5700429024435794E-2</v>
      </c>
      <c r="AB636">
        <f ca="1">'ETF variations'!AB636/'ETF price'!AC637</f>
        <v>-5.6768558951965148E-3</v>
      </c>
      <c r="AC636">
        <f ca="1">'ETF variations'!AC636/'ETF price'!AD637</f>
        <v>2.3560209424083732E-2</v>
      </c>
      <c r="AD636">
        <f ca="1">'ETF variations'!AD636/'ETF price'!AE637</f>
        <v>2.8815848716794261E-2</v>
      </c>
      <c r="AE636">
        <f ca="1">'ETF variations'!AE636/'ETF price'!AF637</f>
        <v>-2.1696252465483297E-2</v>
      </c>
      <c r="AF636">
        <f ca="1">'ETF variations'!AF636/'ETF price'!AG637</f>
        <v>4.475892710218856E-2</v>
      </c>
    </row>
    <row r="637" spans="1:32" x14ac:dyDescent="0.2">
      <c r="A637">
        <f ca="1">'ETF variations'!A637/'ETF price'!B638</f>
        <v>-3.8896504455106166E-2</v>
      </c>
      <c r="B637">
        <f ca="1">'ETF variations'!B637/'ETF price'!C638</f>
        <v>-3.6029180658715278E-2</v>
      </c>
      <c r="C637">
        <f ca="1">'ETF variations'!C637/'ETF price'!D638</f>
        <v>2.0336463752449289E-2</v>
      </c>
      <c r="D637">
        <f ca="1">'ETF variations'!D637/'ETF price'!E638</f>
        <v>-7.1125711448107379E-2</v>
      </c>
      <c r="E637">
        <f ca="1">'ETF variations'!E637/'ETF price'!F638</f>
        <v>-2.0159470437791538E-2</v>
      </c>
      <c r="F637">
        <f ca="1">'ETF variations'!F637/'ETF price'!G638</f>
        <v>-2.5131864722308262E-2</v>
      </c>
      <c r="G637">
        <f ca="1">'ETF variations'!G637/'ETF price'!H638</f>
        <v>-2.2456617897243965E-2</v>
      </c>
      <c r="H637">
        <f ca="1">'ETF variations'!H637/'ETF price'!I638</f>
        <v>4.5375683971705478E-3</v>
      </c>
      <c r="I637">
        <f ca="1">'ETF variations'!I637/'ETF price'!J638</f>
        <v>1.7045660610015972E-3</v>
      </c>
      <c r="J637">
        <f ca="1">'ETF variations'!J637/'ETF price'!K638</f>
        <v>-1.0545528290407641E-2</v>
      </c>
      <c r="K637">
        <f ca="1">'ETF variations'!K637/'ETF price'!L638</f>
        <v>-2.0127638684339689E-2</v>
      </c>
      <c r="L637">
        <f ca="1">'ETF variations'!L637/'ETF price'!M638</f>
        <v>-1.0111079464539928E-2</v>
      </c>
      <c r="M637">
        <f ca="1">'ETF variations'!M637/'ETF price'!N638</f>
        <v>1.2668918918917397E-3</v>
      </c>
      <c r="N637">
        <f ca="1">'ETF variations'!N637/'ETF price'!O638</f>
        <v>-1.653242899533703E-2</v>
      </c>
      <c r="O637">
        <f ca="1">'ETF variations'!O637/'ETF price'!P638</f>
        <v>9.9674972914409726E-3</v>
      </c>
      <c r="P637">
        <f ca="1">'ETF variations'!P637/'ETF price'!Q638</f>
        <v>7.772818223795528E-3</v>
      </c>
      <c r="Q637">
        <f ca="1">'ETF variations'!Q637/'ETF price'!R638</f>
        <v>-2.0647685285807185E-3</v>
      </c>
      <c r="R637">
        <f ca="1">'ETF variations'!R637/'ETF price'!S638</f>
        <v>-2.0545844832873295E-2</v>
      </c>
      <c r="S637">
        <f ca="1">'ETF variations'!S637/'ETF price'!T638</f>
        <v>0</v>
      </c>
      <c r="T637">
        <f ca="1">'ETF variations'!T637/'ETF price'!U638</f>
        <v>1.9731849228434128E-2</v>
      </c>
      <c r="U637">
        <f ca="1">'ETF variations'!U637/'ETF price'!V638</f>
        <v>-2.8295376121463007E-2</v>
      </c>
      <c r="V637">
        <f ca="1">'ETF variations'!V637/'ETF price'!W638</f>
        <v>7.587951253161607E-3</v>
      </c>
      <c r="W637">
        <f ca="1">'ETF variations'!W637/'ETF price'!X638</f>
        <v>7.0654733867169094E-3</v>
      </c>
      <c r="X637">
        <f ca="1">'ETF variations'!X637/'ETF price'!Y638</f>
        <v>8.7870105062082295E-3</v>
      </c>
      <c r="Y637">
        <f ca="1">'ETF variations'!Y637/'ETF price'!Z638</f>
        <v>5.7551101409009557E-3</v>
      </c>
      <c r="Z637">
        <f ca="1">'ETF variations'!Z637/'ETF price'!AA638</f>
        <v>8.8801184015786742E-3</v>
      </c>
      <c r="AA637">
        <f ca="1">'ETF variations'!AA637/'ETF price'!AB638</f>
        <v>1.2129860863360679E-2</v>
      </c>
      <c r="AB637">
        <f ca="1">'ETF variations'!AB637/'ETF price'!AC638</f>
        <v>6.8803981847459939E-3</v>
      </c>
      <c r="AC637">
        <f ca="1">'ETF variations'!AC637/'ETF price'!AD638</f>
        <v>-1.2276214833759692E-2</v>
      </c>
      <c r="AD637">
        <f ca="1">'ETF variations'!AD637/'ETF price'!AE638</f>
        <v>-1.0065645514223212E-2</v>
      </c>
      <c r="AE637">
        <f ca="1">'ETF variations'!AE637/'ETF price'!AF638</f>
        <v>0.12298387096774201</v>
      </c>
      <c r="AF637">
        <f ca="1">'ETF variations'!AF637/'ETF price'!AG638</f>
        <v>-4.0636320680422194E-2</v>
      </c>
    </row>
    <row r="638" spans="1:32" x14ac:dyDescent="0.2">
      <c r="A638">
        <f ca="1">'ETF variations'!A638/'ETF price'!B639</f>
        <v>8.9142449634434877E-5</v>
      </c>
      <c r="B638">
        <f ca="1">'ETF variations'!B638/'ETF price'!C639</f>
        <v>-5.1996636521201463E-3</v>
      </c>
      <c r="C638">
        <f ca="1">'ETF variations'!C638/'ETF price'!D639</f>
        <v>-1.9202754602040818E-3</v>
      </c>
      <c r="D638">
        <f ca="1">'ETF variations'!D638/'ETF price'!E639</f>
        <v>3.0020150511988249E-3</v>
      </c>
      <c r="E638">
        <f ca="1">'ETF variations'!E638/'ETF price'!F639</f>
        <v>-1.3664977736834035E-2</v>
      </c>
      <c r="F638">
        <f ca="1">'ETF variations'!F638/'ETF price'!G639</f>
        <v>-1.9414385741565975E-2</v>
      </c>
      <c r="G638">
        <f ca="1">'ETF variations'!G638/'ETF price'!H639</f>
        <v>-1.2530455969369976E-2</v>
      </c>
      <c r="H638">
        <f ca="1">'ETF variations'!H638/'ETF price'!I639</f>
        <v>-2.2718214428058905E-2</v>
      </c>
      <c r="I638">
        <f ca="1">'ETF variations'!I638/'ETF price'!J639</f>
        <v>-2.4149167270094193E-2</v>
      </c>
      <c r="J638">
        <f ca="1">'ETF variations'!J638/'ETF price'!K639</f>
        <v>-1.5372002459520393E-2</v>
      </c>
      <c r="K638">
        <f ca="1">'ETF variations'!K638/'ETF price'!L639</f>
        <v>-2.2645290581162235E-2</v>
      </c>
      <c r="L638">
        <f ca="1">'ETF variations'!L638/'ETF price'!M639</f>
        <v>-1.2660048913825488E-2</v>
      </c>
      <c r="M638">
        <f ca="1">'ETF variations'!M638/'ETF price'!N639</f>
        <v>-2.361872627583288E-2</v>
      </c>
      <c r="N638">
        <f ca="1">'ETF variations'!N638/'ETF price'!O639</f>
        <v>-3.1896551724137863E-2</v>
      </c>
      <c r="O638">
        <f ca="1">'ETF variations'!O638/'ETF price'!P639</f>
        <v>1.8236429950654548E-3</v>
      </c>
      <c r="P638">
        <f ca="1">'ETF variations'!P638/'ETF price'!Q639</f>
        <v>8.4001527300506793E-4</v>
      </c>
      <c r="Q638">
        <f ca="1">'ETF variations'!Q638/'ETF price'!R639</f>
        <v>-9.9096155940324136E-3</v>
      </c>
      <c r="R638">
        <f ca="1">'ETF variations'!R638/'ETF price'!S639</f>
        <v>-1.784596117720727E-2</v>
      </c>
      <c r="S638">
        <f ca="1">'ETF variations'!S638/'ETF price'!T639</f>
        <v>-7.3720728534257662E-3</v>
      </c>
      <c r="T638">
        <f ca="1">'ETF variations'!T638/'ETF price'!U639</f>
        <v>-8.9307864053584565E-3</v>
      </c>
      <c r="U638">
        <f ca="1">'ETF variations'!U638/'ETF price'!V639</f>
        <v>-1.2073863636363757E-2</v>
      </c>
      <c r="V638">
        <f ca="1">'ETF variations'!V638/'ETF price'!W639</f>
        <v>-1.2094933820173463E-2</v>
      </c>
      <c r="W638">
        <f ca="1">'ETF variations'!W638/'ETF price'!X639</f>
        <v>-1.3938260056127307E-2</v>
      </c>
      <c r="X638">
        <f ca="1">'ETF variations'!X638/'ETF price'!Y639</f>
        <v>-1.6095436470365487E-2</v>
      </c>
      <c r="Y638">
        <f ca="1">'ETF variations'!Y638/'ETF price'!Z639</f>
        <v>-1.3812154696132653E-2</v>
      </c>
      <c r="Z638">
        <f ca="1">'ETF variations'!Z638/'ETF price'!AA639</f>
        <v>-8.3129584352077332E-3</v>
      </c>
      <c r="AA638">
        <f ca="1">'ETF variations'!AA638/'ETF price'!AB639</f>
        <v>-1.8152978498413838E-2</v>
      </c>
      <c r="AB638">
        <f ca="1">'ETF variations'!AB638/'ETF price'!AC639</f>
        <v>1.1631288165164044E-3</v>
      </c>
      <c r="AC638">
        <f ca="1">'ETF variations'!AC638/'ETF price'!AD639</f>
        <v>-1.0875194199896288E-2</v>
      </c>
      <c r="AD638">
        <f ca="1">'ETF variations'!AD638/'ETF price'!AE639</f>
        <v>-1.7683465959328123E-2</v>
      </c>
      <c r="AE638">
        <f ca="1">'ETF variations'!AE638/'ETF price'!AF639</f>
        <v>5.026929982046667E-2</v>
      </c>
      <c r="AF638">
        <f ca="1">'ETF variations'!AF638/'ETF price'!AG639</f>
        <v>-7.6342144147102262E-2</v>
      </c>
    </row>
    <row r="639" spans="1:32" x14ac:dyDescent="0.2">
      <c r="A639">
        <f ca="1">'ETF variations'!A639/'ETF price'!B640</f>
        <v>-1.5643105446118154E-2</v>
      </c>
      <c r="B639">
        <f ca="1">'ETF variations'!B639/'ETF price'!C640</f>
        <v>-1.1868207693634629E-2</v>
      </c>
      <c r="C639">
        <f ca="1">'ETF variations'!C639/'ETF price'!D640</f>
        <v>-4.2858090625621841E-2</v>
      </c>
      <c r="D639">
        <f ca="1">'ETF variations'!D639/'ETF price'!E640</f>
        <v>-3.0586305863058664E-2</v>
      </c>
      <c r="E639">
        <f ca="1">'ETF variations'!E639/'ETF price'!F640</f>
        <v>-9.1843088418430315E-3</v>
      </c>
      <c r="F639">
        <f ca="1">'ETF variations'!F639/'ETF price'!G640</f>
        <v>1.2982797792925253E-3</v>
      </c>
      <c r="G639">
        <f ca="1">'ETF variations'!G639/'ETF price'!H640</f>
        <v>-4.5823052520268786E-3</v>
      </c>
      <c r="H639">
        <f ca="1">'ETF variations'!H639/'ETF price'!I640</f>
        <v>5.0978792822185971E-3</v>
      </c>
      <c r="I639">
        <f ca="1">'ETF variations'!I639/'ETF price'!J640</f>
        <v>5.0829221236968229E-3</v>
      </c>
      <c r="J639">
        <f ca="1">'ETF variations'!J639/'ETF price'!K640</f>
        <v>-6.9386622259224478E-4</v>
      </c>
      <c r="K639">
        <f ca="1">'ETF variations'!K639/'ETF price'!L640</f>
        <v>-3.0756612671725583E-4</v>
      </c>
      <c r="L639">
        <f ca="1">'ETF variations'!L639/'ETF price'!M640</f>
        <v>-3.4970129680896825E-3</v>
      </c>
      <c r="M639">
        <f ca="1">'ETF variations'!M639/'ETF price'!N640</f>
        <v>5.0395968322533378E-3</v>
      </c>
      <c r="N639">
        <f ca="1">'ETF variations'!N639/'ETF price'!O640</f>
        <v>-3.7845057880677136E-3</v>
      </c>
      <c r="O639">
        <f ca="1">'ETF variations'!O639/'ETF price'!P640</f>
        <v>-1.0921940250562116E-2</v>
      </c>
      <c r="P639">
        <f ca="1">'ETF variations'!P639/'ETF price'!Q640</f>
        <v>-1.1063634976346624E-2</v>
      </c>
      <c r="Q639">
        <f ca="1">'ETF variations'!Q639/'ETF price'!R640</f>
        <v>-8.9089309282886307E-3</v>
      </c>
      <c r="R639">
        <f ca="1">'ETF variations'!R639/'ETF price'!S640</f>
        <v>-1.0678992668154315E-2</v>
      </c>
      <c r="S639">
        <f ca="1">'ETF variations'!S639/'ETF price'!T640</f>
        <v>-1.3543031891655843E-2</v>
      </c>
      <c r="T639">
        <f ca="1">'ETF variations'!T639/'ETF price'!U640</f>
        <v>-2.3779724655819845E-2</v>
      </c>
      <c r="U639">
        <f ca="1">'ETF variations'!U639/'ETF price'!V640</f>
        <v>-7.9079798705966528E-3</v>
      </c>
      <c r="V639">
        <f ca="1">'ETF variations'!V639/'ETF price'!W640</f>
        <v>-1.0164010164010112E-2</v>
      </c>
      <c r="W639">
        <f ca="1">'ETF variations'!W639/'ETF price'!X640</f>
        <v>-8.2534863864907534E-3</v>
      </c>
      <c r="X639">
        <f ca="1">'ETF variations'!X639/'ETF price'!Y640</f>
        <v>1.1547344110854941E-3</v>
      </c>
      <c r="Y639">
        <f ca="1">'ETF variations'!Y639/'ETF price'!Z640</f>
        <v>-7.2028811524609731E-3</v>
      </c>
      <c r="Z639">
        <f ca="1">'ETF variations'!Z639/'ETF price'!AA640</f>
        <v>-1.2327416173571069E-3</v>
      </c>
      <c r="AA639">
        <f ca="1">'ETF variations'!AA639/'ETF price'!AB640</f>
        <v>5.0260276431520574E-3</v>
      </c>
      <c r="AB639">
        <f ca="1">'ETF variations'!AB639/'ETF price'!AC640</f>
        <v>-1.4522218995062446E-2</v>
      </c>
      <c r="AC639">
        <f ca="1">'ETF variations'!AC639/'ETF price'!AD640</f>
        <v>4.8167539267015606E-2</v>
      </c>
      <c r="AD639">
        <f ca="1">'ETF variations'!AD639/'ETF price'!AE640</f>
        <v>5.9405940594059424E-2</v>
      </c>
      <c r="AE639">
        <f ca="1">'ETF variations'!AE639/'ETF price'!AF640</f>
        <v>5.1282051282051405E-2</v>
      </c>
      <c r="AF639">
        <f ca="1">'ETF variations'!AF639/'ETF price'!AG640</f>
        <v>5.1013153217205912E-2</v>
      </c>
    </row>
    <row r="640" spans="1:32" x14ac:dyDescent="0.2">
      <c r="A640">
        <f ca="1">'ETF variations'!A640/'ETF price'!B641</f>
        <v>2.3679087245891201E-2</v>
      </c>
      <c r="B640">
        <f ca="1">'ETF variations'!B640/'ETF price'!C641</f>
        <v>1.9918997241716363E-2</v>
      </c>
      <c r="C640">
        <f ca="1">'ETF variations'!C640/'ETF price'!D641</f>
        <v>-9.1495113329175953E-3</v>
      </c>
      <c r="D640">
        <f ca="1">'ETF variations'!D640/'ETF price'!E641</f>
        <v>4.144814752157E-2</v>
      </c>
      <c r="E640">
        <f ca="1">'ETF variations'!E640/'ETF price'!F641</f>
        <v>1.099764336213673E-3</v>
      </c>
      <c r="F640">
        <f ca="1">'ETF variations'!F640/'ETF price'!G641</f>
        <v>1.2641815235008007E-2</v>
      </c>
      <c r="G640">
        <f ca="1">'ETF variations'!G640/'ETF price'!H641</f>
        <v>1.2393767705382487E-2</v>
      </c>
      <c r="H640">
        <f ca="1">'ETF variations'!H640/'ETF price'!I641</f>
        <v>5.7482924190166654E-3</v>
      </c>
      <c r="I640">
        <f ca="1">'ETF variations'!I640/'ETF price'!J641</f>
        <v>6.7921742340348173E-3</v>
      </c>
      <c r="J640">
        <f ca="1">'ETF variations'!J640/'ETF price'!K641</f>
        <v>1.5414525760311059E-2</v>
      </c>
      <c r="K640">
        <f ca="1">'ETF variations'!K640/'ETF price'!L641</f>
        <v>1.4152394626192139E-2</v>
      </c>
      <c r="L640">
        <f ca="1">'ETF variations'!L640/'ETF price'!M641</f>
        <v>1.4622020763269484E-2</v>
      </c>
      <c r="M640">
        <f ca="1">'ETF variations'!M640/'ETF price'!N641</f>
        <v>7.5931232091690712E-3</v>
      </c>
      <c r="N640">
        <f ca="1">'ETF variations'!N640/'ETF price'!O641</f>
        <v>2.4357541899441417E-2</v>
      </c>
      <c r="O640">
        <f ca="1">'ETF variations'!O640/'ETF price'!P641</f>
        <v>-6.2790949442459486E-3</v>
      </c>
      <c r="P640">
        <f ca="1">'ETF variations'!P640/'ETF price'!Q641</f>
        <v>-5.0921996759511218E-3</v>
      </c>
      <c r="Q640">
        <f ca="1">'ETF variations'!Q640/'ETF price'!R641</f>
        <v>3.329264232604563E-3</v>
      </c>
      <c r="R640">
        <f ca="1">'ETF variations'!R640/'ETF price'!S641</f>
        <v>0</v>
      </c>
      <c r="S640">
        <f ca="1">'ETF variations'!S640/'ETF price'!T641</f>
        <v>2.6572187776794632E-3</v>
      </c>
      <c r="T640">
        <f ca="1">'ETF variations'!T640/'ETF price'!U641</f>
        <v>-4.8717948717948139E-3</v>
      </c>
      <c r="U640">
        <f ca="1">'ETF variations'!U640/'ETF price'!V641</f>
        <v>5.3140096618357214E-3</v>
      </c>
      <c r="V640">
        <f ca="1">'ETF variations'!V640/'ETF price'!W641</f>
        <v>5.600933488914865E-3</v>
      </c>
      <c r="W640">
        <f ca="1">'ETF variations'!W640/'ETF price'!X641</f>
        <v>7.556916013009298E-3</v>
      </c>
      <c r="X640">
        <f ca="1">'ETF variations'!X640/'ETF price'!Y641</f>
        <v>1.5955401768550523E-2</v>
      </c>
      <c r="Y640">
        <f ca="1">'ETF variations'!Y640/'ETF price'!Z641</f>
        <v>6.5497783151955433E-3</v>
      </c>
      <c r="Z640">
        <f ca="1">'ETF variations'!Z640/'ETF price'!AA641</f>
        <v>9.8741051592199109E-3</v>
      </c>
      <c r="AA640">
        <f ca="1">'ETF variations'!AA640/'ETF price'!AB641</f>
        <v>1.6788712270048183E-2</v>
      </c>
      <c r="AB640">
        <f ca="1">'ETF variations'!AB640/'ETF price'!AC641</f>
        <v>6.336575302092644E-3</v>
      </c>
      <c r="AC640">
        <f ca="1">'ETF variations'!AC640/'ETF price'!AD641</f>
        <v>1.4985014985015553E-3</v>
      </c>
      <c r="AD640">
        <f ca="1">'ETF variations'!AD640/'ETF price'!AE641</f>
        <v>1.444350042480883E-2</v>
      </c>
      <c r="AE640">
        <f ca="1">'ETF variations'!AE640/'ETF price'!AF641</f>
        <v>-3.9024390243902474E-2</v>
      </c>
      <c r="AF640">
        <f ca="1">'ETF variations'!AF640/'ETF price'!AG641</f>
        <v>1.9279553526128878E-2</v>
      </c>
    </row>
    <row r="641" spans="1:32" x14ac:dyDescent="0.2">
      <c r="A641">
        <f ca="1">'ETF variations'!A641/'ETF price'!B642</f>
        <v>-3.9805395842547799E-3</v>
      </c>
      <c r="B641">
        <f ca="1">'ETF variations'!B641/'ETF price'!C642</f>
        <v>-1.8485870290810827E-3</v>
      </c>
      <c r="C641">
        <f ca="1">'ETF variations'!C641/'ETF price'!D642</f>
        <v>1.1122770199370434E-2</v>
      </c>
      <c r="D641">
        <f ca="1">'ETF variations'!D641/'ETF price'!E642</f>
        <v>-1.4904158544509485E-2</v>
      </c>
      <c r="E641">
        <f ca="1">'ETF variations'!E641/'ETF price'!F642</f>
        <v>1.0043942247332087E-2</v>
      </c>
      <c r="F641">
        <f ca="1">'ETF variations'!F641/'ETF price'!G642</f>
        <v>-3.8412291933417877E-3</v>
      </c>
      <c r="G641">
        <f ca="1">'ETF variations'!G641/'ETF price'!H642</f>
        <v>-3.4977264777894864E-3</v>
      </c>
      <c r="H641">
        <f ca="1">'ETF variations'!H641/'ETF price'!I642</f>
        <v>-6.0516406670255119E-4</v>
      </c>
      <c r="I641">
        <f ca="1">'ETF variations'!I641/'ETF price'!J642</f>
        <v>5.8663929016634214E-4</v>
      </c>
      <c r="J641">
        <f ca="1">'ETF variations'!J641/'ETF price'!K642</f>
        <v>-6.0858862144421138E-3</v>
      </c>
      <c r="K641">
        <f ca="1">'ETF variations'!K641/'ETF price'!L642</f>
        <v>8.7976539589443275E-3</v>
      </c>
      <c r="L641">
        <f ca="1">'ETF variations'!L641/'ETF price'!M642</f>
        <v>1.585242830379009E-3</v>
      </c>
      <c r="M641">
        <f ca="1">'ETF variations'!M641/'ETF price'!N642</f>
        <v>1.4218683349929073E-4</v>
      </c>
      <c r="N641">
        <f ca="1">'ETF variations'!N641/'ETF price'!O642</f>
        <v>8.7260034904013649E-3</v>
      </c>
      <c r="O641">
        <f ca="1">'ETF variations'!O641/'ETF price'!P642</f>
        <v>-1.5905872099357315E-2</v>
      </c>
      <c r="P641">
        <f ca="1">'ETF variations'!P641/'ETF price'!Q642</f>
        <v>-1.4811942613415917E-2</v>
      </c>
      <c r="Q641">
        <f ca="1">'ETF variations'!Q641/'ETF price'!R642</f>
        <v>3.9818604136710482E-3</v>
      </c>
      <c r="R641">
        <f ca="1">'ETF variations'!R641/'ETF price'!S642</f>
        <v>6.9276623167391612E-3</v>
      </c>
      <c r="S641">
        <f ca="1">'ETF variations'!S641/'ETF price'!T642</f>
        <v>-9.275618374558342E-3</v>
      </c>
      <c r="T641">
        <f ca="1">'ETF variations'!T641/'ETF price'!U642</f>
        <v>-1.2883277505797474E-2</v>
      </c>
      <c r="U641">
        <f ca="1">'ETF variations'!U641/'ETF price'!V642</f>
        <v>-4.3248438250840879E-3</v>
      </c>
      <c r="V641">
        <f ca="1">'ETF variations'!V641/'ETF price'!W642</f>
        <v>1.856579252726811E-3</v>
      </c>
      <c r="W641">
        <f ca="1">'ETF variations'!W641/'ETF price'!X642</f>
        <v>2.2785531187695328E-3</v>
      </c>
      <c r="X641">
        <f ca="1">'ETF variations'!X641/'ETF price'!Y642</f>
        <v>1.3055818353831556E-2</v>
      </c>
      <c r="Y641">
        <f ca="1">'ETF variations'!Y641/'ETF price'!Z642</f>
        <v>3.3036339973971196E-3</v>
      </c>
      <c r="Z641">
        <f ca="1">'ETF variations'!Z641/'ETF price'!AA642</f>
        <v>-1.7110730872645608E-3</v>
      </c>
      <c r="AA641">
        <f ca="1">'ETF variations'!AA641/'ETF price'!AB642</f>
        <v>1.5633233795889698E-2</v>
      </c>
      <c r="AB641">
        <f ca="1">'ETF variations'!AB641/'ETF price'!AC642</f>
        <v>1.2739786205886517E-2</v>
      </c>
      <c r="AC641">
        <f ca="1">'ETF variations'!AC641/'ETF price'!AD642</f>
        <v>-2.4937655860349125E-2</v>
      </c>
      <c r="AD641">
        <f ca="1">'ETF variations'!AD641/'ETF price'!AE642</f>
        <v>-4.0201005025125518E-2</v>
      </c>
      <c r="AE641">
        <f ca="1">'ETF variations'!AE641/'ETF price'!AF642</f>
        <v>-4.3993231810490654E-2</v>
      </c>
      <c r="AF641">
        <f ca="1">'ETF variations'!AF641/'ETF price'!AG642</f>
        <v>-4.3802887008461931E-2</v>
      </c>
    </row>
    <row r="642" spans="1:32" x14ac:dyDescent="0.2">
      <c r="A642">
        <f ca="1">'ETF variations'!A642/'ETF price'!B643</f>
        <v>-4.1385435168738868E-2</v>
      </c>
      <c r="B642">
        <f ca="1">'ETF variations'!B642/'ETF price'!C643</f>
        <v>-3.9252336448598109E-2</v>
      </c>
      <c r="C642">
        <f ca="1">'ETF variations'!C642/'ETF price'!D643</f>
        <v>-2.7674000276740399E-3</v>
      </c>
      <c r="D642">
        <f ca="1">'ETF variations'!D642/'ETF price'!E643</f>
        <v>-5.3180525209217983E-2</v>
      </c>
      <c r="E642">
        <f ca="1">'ETF variations'!E642/'ETF price'!F643</f>
        <v>-2.8899937849596012E-2</v>
      </c>
      <c r="F642">
        <f ca="1">'ETF variations'!F642/'ETF price'!G643</f>
        <v>-2.9241645244215943E-2</v>
      </c>
      <c r="G642">
        <f ca="1">'ETF variations'!G642/'ETF price'!H643</f>
        <v>-1.2987012987012898E-2</v>
      </c>
      <c r="H642">
        <f ca="1">'ETF variations'!H642/'ETF price'!I643</f>
        <v>8.342864832133548E-3</v>
      </c>
      <c r="I642">
        <f ca="1">'ETF variations'!I642/'ETF price'!J643</f>
        <v>6.7790399413705489E-3</v>
      </c>
      <c r="J642">
        <f ca="1">'ETF variations'!J642/'ETF price'!K643</f>
        <v>2.0639834881321733E-3</v>
      </c>
      <c r="K642">
        <f ca="1">'ETF variations'!K642/'ETF price'!L643</f>
        <v>-7.217321571772242E-3</v>
      </c>
      <c r="L642">
        <f ca="1">'ETF variations'!L642/'ETF price'!M643</f>
        <v>-3.5971223021582736E-3</v>
      </c>
      <c r="M642">
        <f ca="1">'ETF variations'!M642/'ETF price'!N643</f>
        <v>6.539664486778415E-3</v>
      </c>
      <c r="N642">
        <f ca="1">'ETF variations'!N642/'ETF price'!O643</f>
        <v>-6.487889273356493E-3</v>
      </c>
      <c r="O642">
        <f ca="1">'ETF variations'!O642/'ETF price'!P643</f>
        <v>1.1070519207356489E-4</v>
      </c>
      <c r="P642">
        <f ca="1">'ETF variations'!P642/'ETF price'!Q643</f>
        <v>-1.7317380352645864E-3</v>
      </c>
      <c r="Q642">
        <f ca="1">'ETF variations'!Q642/'ETF price'!R643</f>
        <v>-1.2779552715654915E-2</v>
      </c>
      <c r="R642">
        <f ca="1">'ETF variations'!R642/'ETF price'!S643</f>
        <v>-0.02</v>
      </c>
      <c r="S642">
        <f ca="1">'ETF variations'!S642/'ETF price'!T643</f>
        <v>-4.4583147570209587E-4</v>
      </c>
      <c r="T642">
        <f ca="1">'ETF variations'!T642/'ETF price'!U643</f>
        <v>2.4797702949621212E-3</v>
      </c>
      <c r="U642">
        <f ca="1">'ETF variations'!U642/'ETF price'!V643</f>
        <v>8.6872586872586734E-3</v>
      </c>
      <c r="V642">
        <f ca="1">'ETF variations'!V642/'ETF price'!W643</f>
        <v>-1.3666898309010966E-2</v>
      </c>
      <c r="W642">
        <f ca="1">'ETF variations'!W642/'ETF price'!X643</f>
        <v>-1.4208581983518046E-2</v>
      </c>
      <c r="X642">
        <f ca="1">'ETF variations'!X642/'ETF price'!Y643</f>
        <v>-1.7183414269704926E-2</v>
      </c>
      <c r="Y642">
        <f ca="1">'ETF variations'!Y642/'ETF price'!Z643</f>
        <v>-1.097585312312906E-2</v>
      </c>
      <c r="Z642">
        <f ca="1">'ETF variations'!Z642/'ETF price'!AA643</f>
        <v>-1.3712047012732669E-2</v>
      </c>
      <c r="AA642">
        <f ca="1">'ETF variations'!AA642/'ETF price'!AB643</f>
        <v>-1.8332756831546216E-2</v>
      </c>
      <c r="AB642">
        <f ca="1">'ETF variations'!AB642/'ETF price'!AC643</f>
        <v>-3.1810294968189542E-3</v>
      </c>
      <c r="AC642">
        <f ca="1">'ETF variations'!AC642/'ETF price'!AD643</f>
        <v>-1.3810741687979517E-2</v>
      </c>
      <c r="AD642">
        <f ca="1">'ETF variations'!AD642/'ETF price'!AE643</f>
        <v>1.745200698080242E-3</v>
      </c>
      <c r="AE642">
        <f ca="1">'ETF variations'!AE642/'ETF price'!AF643</f>
        <v>5.132743362831859E-2</v>
      </c>
      <c r="AF642">
        <f ca="1">'ETF variations'!AF642/'ETF price'!AG643</f>
        <v>-5.5006073225750504E-2</v>
      </c>
    </row>
    <row r="643" spans="1:32" x14ac:dyDescent="0.2">
      <c r="A643">
        <f ca="1">'ETF variations'!A643/'ETF price'!B644</f>
        <v>-1.0700389105058376E-2</v>
      </c>
      <c r="B643">
        <f ca="1">'ETF variations'!B643/'ETF price'!C644</f>
        <v>-9.4063470531538605E-3</v>
      </c>
      <c r="C643">
        <f ca="1">'ETF variations'!C643/'ETF price'!D644</f>
        <v>-1.9078673511863469E-2</v>
      </c>
      <c r="D643">
        <f ca="1">'ETF variations'!D643/'ETF price'!E644</f>
        <v>-2.2292854965820421E-2</v>
      </c>
      <c r="E643">
        <f ca="1">'ETF variations'!E643/'ETF price'!F644</f>
        <v>7.2000000000000458E-3</v>
      </c>
      <c r="F643">
        <f ca="1">'ETF variations'!F643/'ETF price'!G644</f>
        <v>-1.3240648791790868E-2</v>
      </c>
      <c r="G643">
        <f ca="1">'ETF variations'!G643/'ETF price'!H644</f>
        <v>-3.5561877667141329E-3</v>
      </c>
      <c r="H643">
        <f ca="1">'ETF variations'!H643/'ETF price'!I644</f>
        <v>-5.0043370921465267E-3</v>
      </c>
      <c r="I643">
        <f ca="1">'ETF variations'!I643/'ETF price'!J644</f>
        <v>-4.3676069153775745E-3</v>
      </c>
      <c r="J643">
        <f ca="1">'ETF variations'!J643/'ETF price'!K644</f>
        <v>9.4747682801235526E-3</v>
      </c>
      <c r="K643">
        <f ca="1">'ETF variations'!K643/'ETF price'!L644</f>
        <v>1.9588045234248765E-2</v>
      </c>
      <c r="L643">
        <f ca="1">'ETF variations'!L643/'ETF price'!M644</f>
        <v>1.2274368231046849E-2</v>
      </c>
      <c r="M643">
        <f ca="1">'ETF variations'!M643/'ETF price'!N644</f>
        <v>-3.3898305084745042E-3</v>
      </c>
      <c r="N643">
        <f ca="1">'ETF variations'!N643/'ETF price'!O644</f>
        <v>1.0883761427949499E-2</v>
      </c>
      <c r="O643">
        <f ca="1">'ETF variations'!O643/'ETF price'!P644</f>
        <v>1.7268098295328781E-2</v>
      </c>
      <c r="P643">
        <f ca="1">'ETF variations'!P643/'ETF price'!Q644</f>
        <v>1.4429900646585812E-2</v>
      </c>
      <c r="Q643">
        <f ca="1">'ETF variations'!Q643/'ETF price'!R644</f>
        <v>2.7898672023211695E-3</v>
      </c>
      <c r="R643">
        <f ca="1">'ETF variations'!R643/'ETF price'!S644</f>
        <v>8.0000000000000331E-3</v>
      </c>
      <c r="S643">
        <f ca="1">'ETF variations'!S643/'ETF price'!T644</f>
        <v>2.2301516503120942E-3</v>
      </c>
      <c r="T643">
        <f ca="1">'ETF variations'!T643/'ETF price'!U644</f>
        <v>8.4624397864860226E-3</v>
      </c>
      <c r="U643">
        <f ca="1">'ETF variations'!U643/'ETF price'!V644</f>
        <v>6.6985645933014632E-3</v>
      </c>
      <c r="V643">
        <f ca="1">'ETF variations'!V643/'ETF price'!W644</f>
        <v>3.7576326914045021E-3</v>
      </c>
      <c r="W643">
        <f ca="1">'ETF variations'!W643/'ETF price'!X644</f>
        <v>6.3418852695302282E-3</v>
      </c>
      <c r="X643">
        <f ca="1">'ETF variations'!X643/'ETF price'!Y644</f>
        <v>2.2614975294564896E-2</v>
      </c>
      <c r="Y643">
        <f ca="1">'ETF variations'!Y643/'ETF price'!Z644</f>
        <v>6.5577078288941836E-3</v>
      </c>
      <c r="Z643">
        <f ca="1">'ETF variations'!Z643/'ETF price'!AA644</f>
        <v>-5.4617676266136761E-3</v>
      </c>
      <c r="AA643">
        <f ca="1">'ETF variations'!AA643/'ETF price'!AB644</f>
        <v>2.5722339675828064E-2</v>
      </c>
      <c r="AB643">
        <f ca="1">'ETF variations'!AB643/'ETF price'!AC644</f>
        <v>9.4284885407601646E-3</v>
      </c>
      <c r="AC643">
        <f ca="1">'ETF variations'!AC643/'ETF price'!AD644</f>
        <v>-4.4087136929460653E-2</v>
      </c>
      <c r="AD643">
        <f ca="1">'ETF variations'!AD643/'ETF price'!AE644</f>
        <v>-1.6986062717770058E-2</v>
      </c>
      <c r="AE643">
        <f ca="1">'ETF variations'!AE643/'ETF price'!AF644</f>
        <v>-1.5151515151515277E-2</v>
      </c>
      <c r="AF643">
        <f ca="1">'ETF variations'!AF643/'ETF price'!AG644</f>
        <v>-5.710613294160851E-2</v>
      </c>
    </row>
    <row r="644" spans="1:32" x14ac:dyDescent="0.2">
      <c r="A644">
        <f ca="1">'ETF variations'!A644/'ETF price'!B645</f>
        <v>1.2689048087278214E-2</v>
      </c>
      <c r="B644">
        <f ca="1">'ETF variations'!B644/'ETF price'!C645</f>
        <v>1.1838051136056391E-2</v>
      </c>
      <c r="C644">
        <f ca="1">'ETF variations'!C644/'ETF price'!D645</f>
        <v>3.493882169884735E-2</v>
      </c>
      <c r="D644">
        <f ca="1">'ETF variations'!D644/'ETF price'!E645</f>
        <v>2.1465152527276744E-2</v>
      </c>
      <c r="E644">
        <f ca="1">'ETF variations'!E644/'ETF price'!F645</f>
        <v>5.8776806989673932E-3</v>
      </c>
      <c r="F644">
        <f ca="1">'ETF variations'!F644/'ETF price'!G645</f>
        <v>1.9456558201945719E-2</v>
      </c>
      <c r="G644">
        <f ca="1">'ETF variations'!G644/'ETF price'!H645</f>
        <v>1.2847965738758011E-2</v>
      </c>
      <c r="H644">
        <f ca="1">'ETF variations'!H644/'ETF price'!I645</f>
        <v>5.6330472103004519E-3</v>
      </c>
      <c r="I644">
        <f ca="1">'ETF variations'!I644/'ETF price'!J645</f>
        <v>6.872600987022465E-3</v>
      </c>
      <c r="J644">
        <f ca="1">'ETF variations'!J644/'ETF price'!K645</f>
        <v>8.3656396653743435E-3</v>
      </c>
      <c r="K644">
        <f ca="1">'ETF variations'!K644/'ETF price'!L645</f>
        <v>5.5456526044761565E-3</v>
      </c>
      <c r="L644">
        <f ca="1">'ETF variations'!L644/'ETF price'!M645</f>
        <v>1.0556348074179874E-2</v>
      </c>
      <c r="M644">
        <f ca="1">'ETF variations'!M644/'ETF price'!N645</f>
        <v>5.8106575963718333E-3</v>
      </c>
      <c r="N644">
        <f ca="1">'ETF variations'!N644/'ETF price'!O645</f>
        <v>9.4745908699398109E-3</v>
      </c>
      <c r="O644">
        <f ca="1">'ETF variations'!O644/'ETF price'!P645</f>
        <v>3.1556039173013277E-3</v>
      </c>
      <c r="P644">
        <f ca="1">'ETF variations'!P644/'ETF price'!Q645</f>
        <v>4.2751651768362453E-3</v>
      </c>
      <c r="Q644">
        <f ca="1">'ETF variations'!Q644/'ETF price'!R645</f>
        <v>1.6358780324949911E-2</v>
      </c>
      <c r="R644">
        <f ca="1">'ETF variations'!R644/'ETF price'!S645</f>
        <v>1.5225137674117229E-2</v>
      </c>
      <c r="S644">
        <f ca="1">'ETF variations'!S644/'ETF price'!T645</f>
        <v>-1.023587004895418E-2</v>
      </c>
      <c r="T644">
        <f ca="1">'ETF variations'!T644/'ETF price'!U645</f>
        <v>-1.7428350116188929E-2</v>
      </c>
      <c r="U644">
        <f ca="1">'ETF variations'!U644/'ETF price'!V645</f>
        <v>1.4496197718631166E-2</v>
      </c>
      <c r="V644">
        <f ca="1">'ETF variations'!V644/'ETF price'!W645</f>
        <v>1.5676181562938572E-2</v>
      </c>
      <c r="W644">
        <f ca="1">'ETF variations'!W644/'ETF price'!X645</f>
        <v>1.4895445431108587E-2</v>
      </c>
      <c r="X644">
        <f ca="1">'ETF variations'!X644/'ETF price'!Y645</f>
        <v>1.6725515703400827E-2</v>
      </c>
      <c r="Y644">
        <f ca="1">'ETF variations'!Y644/'ETF price'!Z645</f>
        <v>1.4232735291169708E-2</v>
      </c>
      <c r="Z644">
        <f ca="1">'ETF variations'!Z644/'ETF price'!AA645</f>
        <v>1.6724912631053284E-2</v>
      </c>
      <c r="AA644">
        <f ca="1">'ETF variations'!AA644/'ETF price'!AB645</f>
        <v>1.7347990381312229E-2</v>
      </c>
      <c r="AB644">
        <f ca="1">'ETF variations'!AB644/'ETF price'!AC645</f>
        <v>-1.868084494898831E-3</v>
      </c>
      <c r="AC644">
        <f ca="1">'ETF variations'!AC644/'ETF price'!AD645</f>
        <v>5.1546391752577282E-2</v>
      </c>
      <c r="AD644">
        <f ca="1">'ETF variations'!AD644/'ETF price'!AE645</f>
        <v>5.2724856003544582E-2</v>
      </c>
      <c r="AE644">
        <f ca="1">'ETF variations'!AE644/'ETF price'!AF645</f>
        <v>-1.7094017094017033E-2</v>
      </c>
      <c r="AF644">
        <f ca="1">'ETF variations'!AF644/'ETF price'!AG645</f>
        <v>3.9143135345666949E-2</v>
      </c>
    </row>
    <row r="645" spans="1:32" x14ac:dyDescent="0.2">
      <c r="A645">
        <f ca="1">'ETF variations'!A645/'ETF price'!B646</f>
        <v>-4.4386905862770854E-3</v>
      </c>
      <c r="B645">
        <f ca="1">'ETF variations'!B645/'ETF price'!C646</f>
        <v>-3.6861599829046523E-3</v>
      </c>
      <c r="C645">
        <f ca="1">'ETF variations'!C645/'ETF price'!D646</f>
        <v>-3.1162441057882882E-2</v>
      </c>
      <c r="D645">
        <f ca="1">'ETF variations'!D645/'ETF price'!E646</f>
        <v>-2.0926886689628904E-3</v>
      </c>
      <c r="E645">
        <f ca="1">'ETF variations'!E645/'ETF price'!F646</f>
        <v>-2.0530638029059153E-3</v>
      </c>
      <c r="F645">
        <f ca="1">'ETF variations'!F645/'ETF price'!G646</f>
        <v>-7.2392234287594224E-3</v>
      </c>
      <c r="G645">
        <f ca="1">'ETF variations'!G645/'ETF price'!H646</f>
        <v>3.5236081747715164E-4</v>
      </c>
      <c r="H645">
        <f ca="1">'ETF variations'!H645/'ETF price'!I646</f>
        <v>6.0016004267807014E-4</v>
      </c>
      <c r="I645">
        <f ca="1">'ETF variations'!I645/'ETF price'!J646</f>
        <v>1.4522746251323553E-4</v>
      </c>
      <c r="J645">
        <f ca="1">'ETF variations'!J645/'ETF price'!K646</f>
        <v>-2.3607176581680448E-3</v>
      </c>
      <c r="K645">
        <f ca="1">'ETF variations'!K645/'ETF price'!L646</f>
        <v>-1.2507386251723559E-2</v>
      </c>
      <c r="L645">
        <f ca="1">'ETF variations'!L645/'ETF price'!M646</f>
        <v>-9.5990965556183912E-3</v>
      </c>
      <c r="M645">
        <f ca="1">'ETF variations'!M645/'ETF price'!N646</f>
        <v>2.8180921516127969E-4</v>
      </c>
      <c r="N645">
        <f ca="1">'ETF variations'!N645/'ETF price'!O646</f>
        <v>-7.6791808873720013E-3</v>
      </c>
      <c r="O645">
        <f ca="1">'ETF variations'!O645/'ETF price'!P646</f>
        <v>-8.5692591387351354E-3</v>
      </c>
      <c r="P645">
        <f ca="1">'ETF variations'!P645/'ETF price'!Q646</f>
        <v>-9.2105263157894572E-3</v>
      </c>
      <c r="Q645">
        <f ca="1">'ETF variations'!Q645/'ETF price'!R646</f>
        <v>1.7518887550640161E-3</v>
      </c>
      <c r="R645">
        <f ca="1">'ETF variations'!R645/'ETF price'!S646</f>
        <v>-9.5724313975750069E-3</v>
      </c>
      <c r="S645">
        <f ca="1">'ETF variations'!S645/'ETF price'!T646</f>
        <v>-4.4964028776977461E-3</v>
      </c>
      <c r="T645">
        <f ca="1">'ETF variations'!T645/'ETF price'!U646</f>
        <v>-1.2087767704638047E-2</v>
      </c>
      <c r="U645">
        <f ca="1">'ETF variations'!U645/'ETF price'!V646</f>
        <v>-2.41274303115484E-2</v>
      </c>
      <c r="V645">
        <f ca="1">'ETF variations'!V645/'ETF price'!W646</f>
        <v>-1.3821700069107387E-3</v>
      </c>
      <c r="W645">
        <f ca="1">'ETF variations'!W645/'ETF price'!X646</f>
        <v>-3.6692068868190851E-3</v>
      </c>
      <c r="X645">
        <f ca="1">'ETF variations'!X645/'ETF price'!Y646</f>
        <v>-1.8278194114421494E-2</v>
      </c>
      <c r="Y645">
        <f ca="1">'ETF variations'!Y645/'ETF price'!Z646</f>
        <v>-5.3364957011561619E-3</v>
      </c>
      <c r="Z645">
        <f ca="1">'ETF variations'!Z645/'ETF price'!AA646</f>
        <v>6.383501104836856E-3</v>
      </c>
      <c r="AA645">
        <f ca="1">'ETF variations'!AA645/'ETF price'!AB646</f>
        <v>-2.127300354550056E-2</v>
      </c>
      <c r="AB645">
        <f ca="1">'ETF variations'!AB645/'ETF price'!AC646</f>
        <v>-1.828390440541313E-2</v>
      </c>
      <c r="AC645">
        <f ca="1">'ETF variations'!AC645/'ETF price'!AD646</f>
        <v>-4.127966976264102E-3</v>
      </c>
      <c r="AD645">
        <f ca="1">'ETF variations'!AD645/'ETF price'!AE646</f>
        <v>-1.3888888888888966E-2</v>
      </c>
      <c r="AE645">
        <f ca="1">'ETF variations'!AE645/'ETF price'!AF646</f>
        <v>-4.3478260869565216E-2</v>
      </c>
      <c r="AF645">
        <f ca="1">'ETF variations'!AF645/'ETF price'!AG646</f>
        <v>-3.2233883058470747E-2</v>
      </c>
    </row>
    <row r="646" spans="1:32" x14ac:dyDescent="0.2">
      <c r="A646">
        <f ca="1">'ETF variations'!A646/'ETF price'!B647</f>
        <v>-2.5125394761285513E-2</v>
      </c>
      <c r="B646">
        <f ca="1">'ETF variations'!B646/'ETF price'!C647</f>
        <v>-1.9088813026148926E-2</v>
      </c>
      <c r="C646">
        <f ca="1">'ETF variations'!C646/'ETF price'!D647</f>
        <v>-2.5322705791070065E-2</v>
      </c>
      <c r="D646">
        <f ca="1">'ETF variations'!D646/'ETF price'!E647</f>
        <v>-3.6305649001703764E-2</v>
      </c>
      <c r="E646">
        <f ca="1">'ETF variations'!E646/'ETF price'!F647</f>
        <v>1.1077702168064613E-3</v>
      </c>
      <c r="F646">
        <f ca="1">'ETF variations'!F646/'ETF price'!G647</f>
        <v>-1.2926748425588351E-2</v>
      </c>
      <c r="G646">
        <f ca="1">'ETF variations'!G646/'ETF price'!H647</f>
        <v>-4.9313138429024506E-3</v>
      </c>
      <c r="H646">
        <f ca="1">'ETF variations'!H646/'ETF price'!I647</f>
        <v>8.6637787404195566E-4</v>
      </c>
      <c r="I646">
        <f ca="1">'ETF variations'!I646/'ETF price'!J647</f>
        <v>9.8014302827887528E-4</v>
      </c>
      <c r="J646">
        <f ca="1">'ETF variations'!J646/'ETF price'!K647</f>
        <v>-2.0282604286391142E-4</v>
      </c>
      <c r="K646">
        <f ca="1">'ETF variations'!K646/'ETF price'!L647</f>
        <v>-1.2765533060736025E-2</v>
      </c>
      <c r="L646">
        <f ca="1">'ETF variations'!L646/'ETF price'!M647</f>
        <v>3.848346636260123E-3</v>
      </c>
      <c r="M646">
        <f ca="1">'ETF variations'!M646/'ETF price'!N647</f>
        <v>7.0432455275406917E-4</v>
      </c>
      <c r="N646">
        <f ca="1">'ETF variations'!N646/'ETF price'!O647</f>
        <v>-5.1590713671539551E-3</v>
      </c>
      <c r="O646">
        <f ca="1">'ETF variations'!O646/'ETF price'!P647</f>
        <v>1.5536105032822619E-2</v>
      </c>
      <c r="P646">
        <f ca="1">'ETF variations'!P646/'ETF price'!Q647</f>
        <v>1.4998828216545707E-2</v>
      </c>
      <c r="Q646">
        <f ca="1">'ETF variations'!Q646/'ETF price'!R647</f>
        <v>-3.2790468903705016E-3</v>
      </c>
      <c r="R646">
        <f ca="1">'ETF variations'!R646/'ETF price'!S647</f>
        <v>-4.0270618556701035E-3</v>
      </c>
      <c r="S646">
        <f ca="1">'ETF variations'!S646/'ETF price'!T647</f>
        <v>-3.1616982836495159E-3</v>
      </c>
      <c r="T646">
        <f ca="1">'ETF variations'!T646/'ETF price'!U647</f>
        <v>-9.7087378640777228E-3</v>
      </c>
      <c r="U646">
        <f ca="1">'ETF variations'!U646/'ETF price'!V647</f>
        <v>-1.6322611617858852E-2</v>
      </c>
      <c r="V646">
        <f ca="1">'ETF variations'!V646/'ETF price'!W647</f>
        <v>1.1534025374855825E-2</v>
      </c>
      <c r="W646">
        <f ca="1">'ETF variations'!W646/'ETF price'!X647</f>
        <v>1.057601510859292E-2</v>
      </c>
      <c r="X646">
        <f ca="1">'ETF variations'!X646/'ETF price'!Y647</f>
        <v>8.0059579221746363E-3</v>
      </c>
      <c r="Y646">
        <f ca="1">'ETF variations'!Y646/'ETF price'!Z647</f>
        <v>1.0630899155489251E-2</v>
      </c>
      <c r="Z646">
        <f ca="1">'ETF variations'!Z646/'ETF price'!AA647</f>
        <v>7.318858258111665E-3</v>
      </c>
      <c r="AA646">
        <f ca="1">'ETF variations'!AA646/'ETF price'!AB647</f>
        <v>9.4876660341556718E-3</v>
      </c>
      <c r="AB646">
        <f ca="1">'ETF variations'!AB646/'ETF price'!AC647</f>
        <v>-2.9476462824460932E-2</v>
      </c>
      <c r="AC646">
        <f ca="1">'ETF variations'!AC646/'ETF price'!AD647</f>
        <v>-1.6062176165803226E-2</v>
      </c>
      <c r="AD646">
        <f ca="1">'ETF variations'!AD646/'ETF price'!AE647</f>
        <v>-2.0486555697823323E-2</v>
      </c>
      <c r="AE646">
        <f ca="1">'ETF variations'!AE646/'ETF price'!AF647</f>
        <v>5.4545454545455001E-3</v>
      </c>
      <c r="AF646">
        <f ca="1">'ETF variations'!AF646/'ETF price'!AG647</f>
        <v>-3.6599535243996915E-2</v>
      </c>
    </row>
    <row r="647" spans="1:32" x14ac:dyDescent="0.2">
      <c r="A647">
        <f ca="1">'ETF variations'!A647/'ETF price'!B648</f>
        <v>4.2351483969320258E-2</v>
      </c>
      <c r="B647">
        <f ca="1">'ETF variations'!B647/'ETF price'!C648</f>
        <v>3.4984785262659295E-2</v>
      </c>
      <c r="C647">
        <f ca="1">'ETF variations'!C647/'ETF price'!D648</f>
        <v>-3.5171515414676606E-2</v>
      </c>
      <c r="D647">
        <f ca="1">'ETF variations'!D647/'ETF price'!E648</f>
        <v>6.7095838244627712E-2</v>
      </c>
      <c r="E647">
        <f ca="1">'ETF variations'!E647/'ETF price'!F648</f>
        <v>1.6756244072083388E-2</v>
      </c>
      <c r="F647">
        <f ca="1">'ETF variations'!F647/'ETF price'!G648</f>
        <v>3.4251175285426448E-2</v>
      </c>
      <c r="G647">
        <f ca="1">'ETF variations'!G647/'ETF price'!H648</f>
        <v>9.5575221238937899E-3</v>
      </c>
      <c r="H647">
        <f ca="1">'ETF variations'!H647/'ETF price'!I648</f>
        <v>-3.6622719403383362E-3</v>
      </c>
      <c r="I647">
        <f ca="1">'ETF variations'!I647/'ETF price'!J648</f>
        <v>-3.8442010589686019E-3</v>
      </c>
      <c r="J647">
        <f ca="1">'ETF variations'!J647/'ETF price'!K648</f>
        <v>6.0860156883962271E-4</v>
      </c>
      <c r="K647">
        <f ca="1">'ETF variations'!K647/'ETF price'!L648</f>
        <v>7.0714213556932412E-4</v>
      </c>
      <c r="L647">
        <f ca="1">'ETF variations'!L647/'ETF price'!M648</f>
        <v>-3.6916086894789877E-3</v>
      </c>
      <c r="M647">
        <f ca="1">'ETF variations'!M647/'ETF price'!N648</f>
        <v>-4.0822072072072947E-3</v>
      </c>
      <c r="N647">
        <f ca="1">'ETF variations'!N647/'ETF price'!O648</f>
        <v>5.1858254105445548E-3</v>
      </c>
      <c r="O647">
        <f ca="1">'ETF variations'!O647/'ETF price'!P648</f>
        <v>4.2016806722689143E-3</v>
      </c>
      <c r="P647">
        <f ca="1">'ETF variations'!P647/'ETF price'!Q648</f>
        <v>5.6953744323865211E-3</v>
      </c>
      <c r="Q647">
        <f ca="1">'ETF variations'!Q647/'ETF price'!R648</f>
        <v>1.0417808970281861E-2</v>
      </c>
      <c r="R647">
        <f ca="1">'ETF variations'!R647/'ETF price'!S648</f>
        <v>2.6524340934821294E-2</v>
      </c>
      <c r="S647">
        <f ca="1">'ETF variations'!S647/'ETF price'!T648</f>
        <v>2.3108291798821838E-2</v>
      </c>
      <c r="T647">
        <f ca="1">'ETF variations'!T647/'ETF price'!U648</f>
        <v>4.4050496911093223E-2</v>
      </c>
      <c r="U647">
        <f ca="1">'ETF variations'!U647/'ETF price'!V648</f>
        <v>2.8062469497315903E-2</v>
      </c>
      <c r="V647">
        <f ca="1">'ETF variations'!V647/'ETF price'!W648</f>
        <v>-2.508551881413898E-3</v>
      </c>
      <c r="W647">
        <f ca="1">'ETF variations'!W647/'ETF price'!X648</f>
        <v>-1.214726219398201E-3</v>
      </c>
      <c r="X647">
        <f ca="1">'ETF variations'!X647/'ETF price'!Y648</f>
        <v>-3.5094200221647159E-3</v>
      </c>
      <c r="Y647">
        <f ca="1">'ETF variations'!Y647/'ETF price'!Z648</f>
        <v>-4.2272906016515201E-3</v>
      </c>
      <c r="Z647">
        <f ca="1">'ETF variations'!Z647/'ETF price'!AA648</f>
        <v>-2.4218939210462927E-3</v>
      </c>
      <c r="AA647">
        <f ca="1">'ETF variations'!AA647/'ETF price'!AB648</f>
        <v>-4.1011619958988719E-3</v>
      </c>
      <c r="AB647">
        <f ca="1">'ETF variations'!AB647/'ETF price'!AC648</f>
        <v>-2.9918404351767961E-2</v>
      </c>
      <c r="AC647">
        <f ca="1">'ETF variations'!AC647/'ETF price'!AD648</f>
        <v>-6.3191153238545258E-3</v>
      </c>
      <c r="AD647">
        <f ca="1">'ETF variations'!AD647/'ETF price'!AE648</f>
        <v>-1.1328976034858301E-2</v>
      </c>
      <c r="AE647">
        <f ca="1">'ETF variations'!AE647/'ETF price'!AF648</f>
        <v>4.3399638336347073E-2</v>
      </c>
      <c r="AF647">
        <f ca="1">'ETF variations'!AF647/'ETF price'!AG648</f>
        <v>3.195979899497494E-2</v>
      </c>
    </row>
    <row r="648" spans="1:32" x14ac:dyDescent="0.2">
      <c r="A648">
        <f ca="1">'ETF variations'!A648/'ETF price'!B649</f>
        <v>-3.7294332723948921E-2</v>
      </c>
      <c r="B648">
        <f ca="1">'ETF variations'!B648/'ETF price'!C649</f>
        <v>-3.6143729863910797E-2</v>
      </c>
      <c r="C648">
        <f ca="1">'ETF variations'!C648/'ETF price'!D649</f>
        <v>9.5259525952596028E-3</v>
      </c>
      <c r="D648">
        <f ca="1">'ETF variations'!D648/'ETF price'!E649</f>
        <v>-7.205370039935427E-2</v>
      </c>
      <c r="E648">
        <f ca="1">'ETF variations'!E648/'ETF price'!F649</f>
        <v>-3.3426616915422758E-2</v>
      </c>
      <c r="F648">
        <f ca="1">'ETF variations'!F648/'ETF price'!G649</f>
        <v>-4.35064935064935E-2</v>
      </c>
      <c r="G648">
        <f ca="1">'ETF variations'!G648/'ETF price'!H649</f>
        <v>-1.7531556802244039E-2</v>
      </c>
      <c r="H648">
        <f ca="1">'ETF variations'!H648/'ETF price'!I649</f>
        <v>1.0225222214796506E-2</v>
      </c>
      <c r="I648">
        <f ca="1">'ETF variations'!I648/'ETF price'!J649</f>
        <v>9.2107179263141575E-3</v>
      </c>
      <c r="J648">
        <f ca="1">'ETF variations'!J648/'ETF price'!K649</f>
        <v>-5.8795701831452626E-3</v>
      </c>
      <c r="K648">
        <f ca="1">'ETF variations'!K648/'ETF price'!L649</f>
        <v>-3.937007874015754E-3</v>
      </c>
      <c r="L648">
        <f ca="1">'ETF variations'!L648/'ETF price'!M649</f>
        <v>-3.9903092489668108E-3</v>
      </c>
      <c r="M648">
        <f ca="1">'ETF variations'!M648/'ETF price'!N649</f>
        <v>1.0035335689045848E-2</v>
      </c>
      <c r="N648">
        <f ca="1">'ETF variations'!N648/'ETF price'!O649</f>
        <v>-2.0636285468615668E-2</v>
      </c>
      <c r="O648">
        <f ca="1">'ETF variations'!O648/'ETF price'!P649</f>
        <v>-2.6499302649930254E-2</v>
      </c>
      <c r="P648">
        <f ca="1">'ETF variations'!P648/'ETF price'!Q649</f>
        <v>-2.6631973674140889E-2</v>
      </c>
      <c r="Q648">
        <f ca="1">'ETF variations'!Q648/'ETF price'!R649</f>
        <v>-4.0156283915780827E-3</v>
      </c>
      <c r="R648">
        <f ca="1">'ETF variations'!R648/'ETF price'!S649</f>
        <v>-4.0649125571135945E-2</v>
      </c>
      <c r="S648">
        <f ca="1">'ETF variations'!S648/'ETF price'!T649</f>
        <v>-1.1957484499557112E-2</v>
      </c>
      <c r="T648">
        <f ca="1">'ETF variations'!T648/'ETF price'!U649</f>
        <v>-1.8651916645227536E-2</v>
      </c>
      <c r="U648">
        <f ca="1">'ETF variations'!U648/'ETF price'!V649</f>
        <v>-1.7089959648706524E-2</v>
      </c>
      <c r="V648">
        <f ca="1">'ETF variations'!V648/'ETF price'!W649</f>
        <v>-1.4174668495656254E-2</v>
      </c>
      <c r="W648">
        <f ca="1">'ETF variations'!W648/'ETF price'!X649</f>
        <v>-1.7494620638039148E-2</v>
      </c>
      <c r="X648">
        <f ca="1">'ETF variations'!X648/'ETF price'!Y649</f>
        <v>-4.1705282669138088E-2</v>
      </c>
      <c r="Y648">
        <f ca="1">'ETF variations'!Y648/'ETF price'!Z649</f>
        <v>-1.7770757231711041E-2</v>
      </c>
      <c r="Z648">
        <f ca="1">'ETF variations'!Z648/'ETF price'!AA649</f>
        <v>1.5537751881524656E-2</v>
      </c>
      <c r="AA648">
        <f ca="1">'ETF variations'!AA648/'ETF price'!AB649</f>
        <v>-4.4783802333562106E-2</v>
      </c>
      <c r="AB648">
        <f ca="1">'ETF variations'!AB648/'ETF price'!AC649</f>
        <v>1.5264797507788223E-2</v>
      </c>
      <c r="AC648">
        <f ca="1">'ETF variations'!AC648/'ETF price'!AD649</f>
        <v>-3.6565977742448394E-2</v>
      </c>
      <c r="AD648">
        <f ca="1">'ETF variations'!AD648/'ETF price'!AE649</f>
        <v>-9.1670339356544811E-2</v>
      </c>
      <c r="AE648">
        <f ca="1">'ETF variations'!AE648/'ETF price'!AF649</f>
        <v>-6.7590987868284172E-2</v>
      </c>
      <c r="AF648">
        <f ca="1">'ETF variations'!AF648/'ETF price'!AG649</f>
        <v>-6.1940007791196079E-2</v>
      </c>
    </row>
    <row r="649" spans="1:32" x14ac:dyDescent="0.2">
      <c r="A649">
        <f ca="1">'ETF variations'!A649/'ETF price'!B650</f>
        <v>-2.8104823395366445E-2</v>
      </c>
      <c r="B649">
        <f ca="1">'ETF variations'!B649/'ETF price'!C650</f>
        <v>-2.4530576459414158E-2</v>
      </c>
      <c r="C649">
        <f ca="1">'ETF variations'!C649/'ETF price'!D650</f>
        <v>-1.0624860688015506E-2</v>
      </c>
      <c r="D649">
        <f ca="1">'ETF variations'!D649/'ETF price'!E650</f>
        <v>-5.3154473033604918E-2</v>
      </c>
      <c r="E649">
        <f ca="1">'ETF variations'!E649/'ETF price'!F650</f>
        <v>-1.3672189158758266E-2</v>
      </c>
      <c r="F649">
        <f ca="1">'ETF variations'!F649/'ETF price'!G650</f>
        <v>-2.9192124915139152E-2</v>
      </c>
      <c r="G649">
        <f ca="1">'ETF variations'!G649/'ETF price'!H650</f>
        <v>-2.3197715917201947E-2</v>
      </c>
      <c r="H649">
        <f ca="1">'ETF variations'!H649/'ETF price'!I650</f>
        <v>-1.9846520243449522E-3</v>
      </c>
      <c r="I649">
        <f ca="1">'ETF variations'!I649/'ETF price'!J650</f>
        <v>-4.6895855127879749E-3</v>
      </c>
      <c r="J649">
        <f ca="1">'ETF variations'!J649/'ETF price'!K650</f>
        <v>-1.9918422841604399E-2</v>
      </c>
      <c r="K649">
        <f ca="1">'ETF variations'!K649/'ETF price'!L650</f>
        <v>-2.22965440356745E-2</v>
      </c>
      <c r="L649">
        <f ca="1">'ETF variations'!L649/'ETF price'!M650</f>
        <v>-2.0317642008871109E-2</v>
      </c>
      <c r="M649">
        <f ca="1">'ETF variations'!M649/'ETF price'!N650</f>
        <v>-4.1981528127623454E-3</v>
      </c>
      <c r="N649">
        <f ca="1">'ETF variations'!N649/'ETF price'!O650</f>
        <v>-2.7216856892010578E-2</v>
      </c>
      <c r="O649">
        <f ca="1">'ETF variations'!O649/'ETF price'!P650</f>
        <v>-2.5787965616045728E-2</v>
      </c>
      <c r="P649">
        <f ca="1">'ETF variations'!P649/'ETF price'!Q650</f>
        <v>-2.9719317556411676E-2</v>
      </c>
      <c r="Q649">
        <f ca="1">'ETF variations'!Q649/'ETF price'!R650</f>
        <v>-1.8851476517380297E-2</v>
      </c>
      <c r="R649">
        <f ca="1">'ETF variations'!R649/'ETF price'!S650</f>
        <v>-4.943340449991785E-2</v>
      </c>
      <c r="S649">
        <f ca="1">'ETF variations'!S649/'ETF price'!T650</f>
        <v>-1.8377409233527573E-2</v>
      </c>
      <c r="T649">
        <f ca="1">'ETF variations'!T649/'ETF price'!U650</f>
        <v>-3.8012845720277959E-2</v>
      </c>
      <c r="U649">
        <f ca="1">'ETF variations'!U649/'ETF price'!V650</f>
        <v>-2.9461482733639192E-2</v>
      </c>
      <c r="V649">
        <f ca="1">'ETF variations'!V649/'ETF price'!W650</f>
        <v>-2.4582560296845902E-2</v>
      </c>
      <c r="W649">
        <f ca="1">'ETF variations'!W649/'ETF price'!X650</f>
        <v>-2.5423728813559338E-2</v>
      </c>
      <c r="X649">
        <f ca="1">'ETF variations'!X649/'ETF price'!Y650</f>
        <v>-3.4235976789168336E-2</v>
      </c>
      <c r="Y649">
        <f ca="1">'ETF variations'!Y649/'ETF price'!Z650</f>
        <v>-2.8646095084933102E-2</v>
      </c>
      <c r="Z649">
        <f ca="1">'ETF variations'!Z649/'ETF price'!AA650</f>
        <v>7.1718862060724691E-4</v>
      </c>
      <c r="AA649">
        <f ca="1">'ETF variations'!AA649/'ETF price'!AB650</f>
        <v>-3.3051913059098319E-2</v>
      </c>
      <c r="AB649">
        <f ca="1">'ETF variations'!AB649/'ETF price'!AC650</f>
        <v>-1.5342129487580722E-4</v>
      </c>
      <c r="AC649">
        <f ca="1">'ETF variations'!AC649/'ETF price'!AD650</f>
        <v>-2.5302530253025351E-2</v>
      </c>
      <c r="AD649">
        <f ca="1">'ETF variations'!AD649/'ETF price'!AE650</f>
        <v>-1.2615235322658807E-2</v>
      </c>
      <c r="AE649">
        <f ca="1">'ETF variations'!AE649/'ETF price'!AF650</f>
        <v>9.293680297397737E-3</v>
      </c>
      <c r="AF649">
        <f ca="1">'ETF variations'!AF649/'ETF price'!AG650</f>
        <v>-8.0149501661129566E-2</v>
      </c>
    </row>
    <row r="650" spans="1:32" x14ac:dyDescent="0.2">
      <c r="A650">
        <f ca="1">'ETF variations'!A650/'ETF price'!B651</f>
        <v>-3.3313794450957369E-2</v>
      </c>
      <c r="B650">
        <f ca="1">'ETF variations'!B650/'ETF price'!C651</f>
        <v>-3.4996723153262695E-2</v>
      </c>
      <c r="C650">
        <f ca="1">'ETF variations'!C650/'ETF price'!D651</f>
        <v>3.5746470411534927E-2</v>
      </c>
      <c r="D650">
        <f ca="1">'ETF variations'!D650/'ETF price'!E651</f>
        <v>-1.7649049852521664E-2</v>
      </c>
      <c r="E650">
        <f ca="1">'ETF variations'!E650/'ETF price'!F651</f>
        <v>-2.2178734507501623E-2</v>
      </c>
      <c r="F650">
        <f ca="1">'ETF variations'!F650/'ETF price'!G651</f>
        <v>-3.2167832167832228E-2</v>
      </c>
      <c r="G650">
        <f ca="1">'ETF variations'!G650/'ETF price'!H651</f>
        <v>-2.3017902813299327E-2</v>
      </c>
      <c r="H650">
        <f ca="1">'ETF variations'!H650/'ETF price'!I651</f>
        <v>-2.6713509213840653E-2</v>
      </c>
      <c r="I650">
        <f ca="1">'ETF variations'!I650/'ETF price'!J651</f>
        <v>-2.5225617049037859E-2</v>
      </c>
      <c r="J650">
        <f ca="1">'ETF variations'!J650/'ETF price'!K651</f>
        <v>-2.8230561143094912E-2</v>
      </c>
      <c r="K650">
        <f ca="1">'ETF variations'!K650/'ETF price'!L651</f>
        <v>-3.1512387270654009E-2</v>
      </c>
      <c r="L650">
        <f ca="1">'ETF variations'!L650/'ETF price'!M651</f>
        <v>-3.2422958960128506E-2</v>
      </c>
      <c r="M650">
        <f ca="1">'ETF variations'!M650/'ETF price'!N651</f>
        <v>-2.6700393479482738E-2</v>
      </c>
      <c r="N650">
        <f ca="1">'ETF variations'!N650/'ETF price'!O651</f>
        <v>-2.9783393501805061E-2</v>
      </c>
      <c r="O650">
        <f ca="1">'ETF variations'!O650/'ETF price'!P651</f>
        <v>-2.2058823529411794E-2</v>
      </c>
      <c r="P650">
        <f ca="1">'ETF variations'!P650/'ETF price'!Q651</f>
        <v>-2.1149015476865728E-2</v>
      </c>
      <c r="Q650">
        <f ca="1">'ETF variations'!Q650/'ETF price'!R651</f>
        <v>-2.2323411816970291E-2</v>
      </c>
      <c r="R650">
        <f ca="1">'ETF variations'!R650/'ETF price'!S651</f>
        <v>-3.0062197650311023E-2</v>
      </c>
      <c r="S650">
        <f ca="1">'ETF variations'!S650/'ETF price'!T651</f>
        <v>-1.8264840182648013E-3</v>
      </c>
      <c r="T650">
        <f ca="1">'ETF variations'!T650/'ETF price'!U651</f>
        <v>-2.3163918790026121E-3</v>
      </c>
      <c r="U650">
        <f ca="1">'ETF variations'!U650/'ETF price'!V651</f>
        <v>-2.6623538193580501E-2</v>
      </c>
      <c r="V650">
        <f ca="1">'ETF variations'!V650/'ETF price'!W651</f>
        <v>-2.9006181645268636E-2</v>
      </c>
      <c r="W650">
        <f ca="1">'ETF variations'!W650/'ETF price'!X651</f>
        <v>-3.0092818759159732E-2</v>
      </c>
      <c r="X650">
        <f ca="1">'ETF variations'!X650/'ETF price'!Y651</f>
        <v>-2.8439815742038889E-2</v>
      </c>
      <c r="Y650">
        <f ca="1">'ETF variations'!Y650/'ETF price'!Z651</f>
        <v>-2.9076986754966911E-2</v>
      </c>
      <c r="Z650">
        <f ca="1">'ETF variations'!Z650/'ETF price'!AA651</f>
        <v>-2.8905876731963709E-2</v>
      </c>
      <c r="AA650">
        <f ca="1">'ETF variations'!AA650/'ETF price'!AB651</f>
        <v>-2.7493962474456565E-2</v>
      </c>
      <c r="AB650">
        <f ca="1">'ETF variations'!AB650/'ETF price'!AC651</f>
        <v>1.7339266533681071E-2</v>
      </c>
      <c r="AC650">
        <f ca="1">'ETF variations'!AC650/'ETF price'!AD651</f>
        <v>-0.17212189616252815</v>
      </c>
      <c r="AD650">
        <f ca="1">'ETF variations'!AD650/'ETF price'!AE651</f>
        <v>-0.14447174447174452</v>
      </c>
      <c r="AE650">
        <f ca="1">'ETF variations'!AE650/'ETF price'!AF651</f>
        <v>-1.2891344383056979E-2</v>
      </c>
      <c r="AF650">
        <f ca="1">'ETF variations'!AF650/'ETF price'!AG651</f>
        <v>-7.0203160270880346E-2</v>
      </c>
    </row>
    <row r="651" spans="1:32" x14ac:dyDescent="0.2">
      <c r="A651">
        <f ca="1">'ETF variations'!A651/'ETF price'!B652</f>
        <v>1.3592723597776643E-2</v>
      </c>
      <c r="B651">
        <f ca="1">'ETF variations'!B651/'ETF price'!C652</f>
        <v>9.9348028562558297E-3</v>
      </c>
      <c r="C651">
        <f ca="1">'ETF variations'!C651/'ETF price'!D652</f>
        <v>6.9605568445476225E-3</v>
      </c>
      <c r="D651">
        <f ca="1">'ETF variations'!D651/'ETF price'!E652</f>
        <v>9.0569009647568591E-3</v>
      </c>
      <c r="E651">
        <f ca="1">'ETF variations'!E651/'ETF price'!F652</f>
        <v>4.6697798532355089E-3</v>
      </c>
      <c r="F651">
        <f ca="1">'ETF variations'!F651/'ETF price'!G652</f>
        <v>1.8424855491329536E-2</v>
      </c>
      <c r="G651">
        <f ca="1">'ETF variations'!G651/'ETF price'!H652</f>
        <v>8.9753178758415104E-3</v>
      </c>
      <c r="H651">
        <f ca="1">'ETF variations'!H651/'ETF price'!I652</f>
        <v>4.6312061567798024E-3</v>
      </c>
      <c r="I651">
        <f ca="1">'ETF variations'!I651/'ETF price'!J652</f>
        <v>4.3874326082915293E-3</v>
      </c>
      <c r="J651">
        <f ca="1">'ETF variations'!J651/'ETF price'!K652</f>
        <v>4.4967880085652785E-3</v>
      </c>
      <c r="K651">
        <f ca="1">'ETF variations'!K651/'ETF price'!L652</f>
        <v>1.0810232259445477E-2</v>
      </c>
      <c r="L651">
        <f ca="1">'ETF variations'!L651/'ETF price'!M652</f>
        <v>1.0264150943396329E-2</v>
      </c>
      <c r="M651">
        <f ca="1">'ETF variations'!M651/'ETF price'!N652</f>
        <v>4.3315044758879167E-3</v>
      </c>
      <c r="N651">
        <f ca="1">'ETF variations'!N651/'ETF price'!O652</f>
        <v>1.9534883720930311E-2</v>
      </c>
      <c r="O651">
        <f ca="1">'ETF variations'!O651/'ETF price'!P652</f>
        <v>6.1307113938693014E-3</v>
      </c>
      <c r="P651">
        <f ca="1">'ETF variations'!P651/'ETF price'!Q652</f>
        <v>3.9735099337748674E-3</v>
      </c>
      <c r="Q651">
        <f ca="1">'ETF variations'!Q651/'ETF price'!R652</f>
        <v>5.1118936726116419E-3</v>
      </c>
      <c r="R651">
        <f ca="1">'ETF variations'!R651/'ETF price'!S652</f>
        <v>1.0331314570716036E-2</v>
      </c>
      <c r="S651">
        <f ca="1">'ETF variations'!S651/'ETF price'!T652</f>
        <v>-8.2342177493138023E-3</v>
      </c>
      <c r="T651">
        <f ca="1">'ETF variations'!T651/'ETF price'!U652</f>
        <v>-1.0516252390057308E-2</v>
      </c>
      <c r="U651">
        <f ca="1">'ETF variations'!U651/'ETF price'!V652</f>
        <v>1.5337423312884017E-3</v>
      </c>
      <c r="V651">
        <f ca="1">'ETF variations'!V651/'ETF price'!W652</f>
        <v>1.6160626836434783E-2</v>
      </c>
      <c r="W651">
        <f ca="1">'ETF variations'!W651/'ETF price'!X652</f>
        <v>1.410295154628796E-2</v>
      </c>
      <c r="X651">
        <f ca="1">'ETF variations'!X651/'ETF price'!Y652</f>
        <v>5.3597196454340367E-3</v>
      </c>
      <c r="Y651">
        <f ca="1">'ETF variations'!Y651/'ETF price'!Z652</f>
        <v>1.4600873920920862E-2</v>
      </c>
      <c r="Z651">
        <f ca="1">'ETF variations'!Z651/'ETF price'!AA652</f>
        <v>2.2140221402213989E-2</v>
      </c>
      <c r="AA651">
        <f ca="1">'ETF variations'!AA651/'ETF price'!AB652</f>
        <v>2.2922636103151375E-3</v>
      </c>
      <c r="AB651">
        <f ca="1">'ETF variations'!AB651/'ETF price'!AC652</f>
        <v>4.9773755656108342E-3</v>
      </c>
      <c r="AC651">
        <f ca="1">'ETF variations'!AC651/'ETF price'!AD652</f>
        <v>5.180640763462848E-2</v>
      </c>
      <c r="AD651">
        <f ca="1">'ETF variations'!AD651/'ETF price'!AE652</f>
        <v>6.2607696726019527E-2</v>
      </c>
      <c r="AE651">
        <f ca="1">'ETF variations'!AE651/'ETF price'!AF652</f>
        <v>-5.22388059701493E-2</v>
      </c>
      <c r="AF651">
        <f ca="1">'ETF variations'!AF651/'ETF price'!AG652</f>
        <v>3.0589949016751765E-2</v>
      </c>
    </row>
    <row r="652" spans="1:32" x14ac:dyDescent="0.2">
      <c r="A652">
        <f ca="1">'ETF variations'!A652/'ETF price'!B653</f>
        <v>-1.6202203499675955E-2</v>
      </c>
      <c r="B652">
        <f ca="1">'ETF variations'!B652/'ETF price'!C653</f>
        <v>-1.1623885644021035E-2</v>
      </c>
      <c r="C652">
        <f ca="1">'ETF variations'!C652/'ETF price'!D653</f>
        <v>5.6163594470046169E-3</v>
      </c>
      <c r="D652">
        <f ca="1">'ETF variations'!D652/'ETF price'!E653</f>
        <v>-2.7853658536585404E-2</v>
      </c>
      <c r="E652">
        <f ca="1">'ETF variations'!E652/'ETF price'!F653</f>
        <v>8.7981407702523422E-3</v>
      </c>
      <c r="F652">
        <f ca="1">'ETF variations'!F652/'ETF price'!G653</f>
        <v>2.8378857750974919E-3</v>
      </c>
      <c r="G652">
        <f ca="1">'ETF variations'!G652/'ETF price'!H653</f>
        <v>-8.1541882876204168E-3</v>
      </c>
      <c r="H652">
        <f ca="1">'ETF variations'!H652/'ETF price'!I653</f>
        <v>-1.016880211511084E-2</v>
      </c>
      <c r="I652">
        <f ca="1">'ETF variations'!I652/'ETF price'!J653</f>
        <v>-1.051345648391506E-2</v>
      </c>
      <c r="J652">
        <f ca="1">'ETF variations'!J652/'ETF price'!K653</f>
        <v>-1.8048745825339246E-2</v>
      </c>
      <c r="K652">
        <f ca="1">'ETF variations'!K652/'ETF price'!L653</f>
        <v>-2.2024565861922897E-2</v>
      </c>
      <c r="L652">
        <f ca="1">'ETF variations'!L652/'ETF price'!M653</f>
        <v>-7.470491558346237E-4</v>
      </c>
      <c r="M652">
        <f ca="1">'ETF variations'!M652/'ETF price'!N653</f>
        <v>-1.0638297872340555E-2</v>
      </c>
      <c r="N652">
        <f ca="1">'ETF variations'!N652/'ETF price'!O653</f>
        <v>-1.3686131386861346E-2</v>
      </c>
      <c r="O652">
        <f ca="1">'ETF variations'!O652/'ETF price'!P653</f>
        <v>4.023913543343232E-3</v>
      </c>
      <c r="P652">
        <f ca="1">'ETF variations'!P652/'ETF price'!Q653</f>
        <v>4.6998680738785719E-3</v>
      </c>
      <c r="Q652">
        <f ca="1">'ETF variations'!Q652/'ETF price'!R653</f>
        <v>-1.356238698010853E-2</v>
      </c>
      <c r="R652">
        <f ca="1">'ETF variations'!R652/'ETF price'!S653</f>
        <v>-1.2165021156558493E-2</v>
      </c>
      <c r="S652">
        <f ca="1">'ETF variations'!S652/'ETF price'!T653</f>
        <v>9.2250922509224762E-3</v>
      </c>
      <c r="T652">
        <f ca="1">'ETF variations'!T652/'ETF price'!U653</f>
        <v>3.0917874396135196E-2</v>
      </c>
      <c r="U652">
        <f ca="1">'ETF variations'!U652/'ETF price'!V653</f>
        <v>7.146503318019427E-3</v>
      </c>
      <c r="V652">
        <f ca="1">'ETF variations'!V652/'ETF price'!W653</f>
        <v>1.2048192771083653E-3</v>
      </c>
      <c r="W652">
        <f ca="1">'ETF variations'!W652/'ETF price'!X653</f>
        <v>-5.96006754743243E-4</v>
      </c>
      <c r="X652">
        <f ca="1">'ETF variations'!X652/'ETF price'!Y653</f>
        <v>-5.1261021119540697E-3</v>
      </c>
      <c r="Y652">
        <f ca="1">'ETF variations'!Y652/'ETF price'!Z653</f>
        <v>3.1512605042018001E-4</v>
      </c>
      <c r="Z652">
        <f ca="1">'ETF variations'!Z652/'ETF price'!AA653</f>
        <v>-7.2202166064981267E-3</v>
      </c>
      <c r="AA652">
        <f ca="1">'ETF variations'!AA652/'ETF price'!AB653</f>
        <v>-6.2893081761005963E-3</v>
      </c>
      <c r="AB652">
        <f ca="1">'ETF variations'!AB652/'ETF price'!AC653</f>
        <v>-6.6036319975986456E-3</v>
      </c>
      <c r="AC652">
        <f ca="1">'ETF variations'!AC652/'ETF price'!AD653</f>
        <v>-4.9254698639014896E-2</v>
      </c>
      <c r="AD652">
        <f ca="1">'ETF variations'!AD652/'ETF price'!AE653</f>
        <v>-3.7837837837837798E-2</v>
      </c>
      <c r="AE652">
        <f ca="1">'ETF variations'!AE652/'ETF price'!AF653</f>
        <v>-0.2125984251968504</v>
      </c>
      <c r="AF652">
        <f ca="1">'ETF variations'!AF652/'ETF price'!AG653</f>
        <v>-6.7844522968197929E-2</v>
      </c>
    </row>
    <row r="653" spans="1:32" x14ac:dyDescent="0.2">
      <c r="A653">
        <f ca="1">'ETF variations'!A653/'ETF price'!B654</f>
        <v>3.7346711259754757E-2</v>
      </c>
      <c r="B653">
        <f ca="1">'ETF variations'!B653/'ETF price'!C654</f>
        <v>3.4640281476585835E-2</v>
      </c>
      <c r="C653">
        <f ca="1">'ETF variations'!C653/'ETF price'!D654</f>
        <v>2.8068165544894857E-2</v>
      </c>
      <c r="D653">
        <f ca="1">'ETF variations'!D653/'ETF price'!E654</f>
        <v>6.8994932008630647E-2</v>
      </c>
      <c r="E653">
        <f ca="1">'ETF variations'!E653/'ETF price'!F654</f>
        <v>2.6657890406450509E-2</v>
      </c>
      <c r="F653">
        <f ca="1">'ETF variations'!F653/'ETF price'!G654</f>
        <v>2.794481782808628E-2</v>
      </c>
      <c r="G653">
        <f ca="1">'ETF variations'!G653/'ETF price'!H654</f>
        <v>3.1016442451419966E-2</v>
      </c>
      <c r="H653">
        <f ca="1">'ETF variations'!H653/'ETF price'!I654</f>
        <v>2.212177248133702E-2</v>
      </c>
      <c r="I653">
        <f ca="1">'ETF variations'!I653/'ETF price'!J654</f>
        <v>2.2260466160350136E-2</v>
      </c>
      <c r="J653">
        <f ca="1">'ETF variations'!J653/'ETF price'!K654</f>
        <v>2.8873290397279174E-2</v>
      </c>
      <c r="K653">
        <f ca="1">'ETF variations'!K653/'ETF price'!L654</f>
        <v>2.8583802511909923E-2</v>
      </c>
      <c r="L653">
        <f ca="1">'ETF variations'!L653/'ETF price'!M654</f>
        <v>1.8391148325358913E-2</v>
      </c>
      <c r="M653">
        <f ca="1">'ETF variations'!M653/'ETF price'!N654</f>
        <v>2.2813135716361631E-2</v>
      </c>
      <c r="N653">
        <f ca="1">'ETF variations'!N653/'ETF price'!O654</f>
        <v>2.6827012025901861E-2</v>
      </c>
      <c r="O653">
        <f ca="1">'ETF variations'!O653/'ETF price'!P654</f>
        <v>2.152753921905411E-2</v>
      </c>
      <c r="P653">
        <f ca="1">'ETF variations'!P653/'ETF price'!Q654</f>
        <v>2.2076323348379254E-2</v>
      </c>
      <c r="Q653">
        <f ca="1">'ETF variations'!Q653/'ETF price'!R654</f>
        <v>1.5467461044912858E-2</v>
      </c>
      <c r="R653">
        <f ca="1">'ETF variations'!R653/'ETF price'!S654</f>
        <v>2.24879528823844E-2</v>
      </c>
      <c r="S653">
        <f ca="1">'ETF variations'!S653/'ETF price'!T654</f>
        <v>9.140767824497225E-3</v>
      </c>
      <c r="T653">
        <f ca="1">'ETF variations'!T653/'ETF price'!U654</f>
        <v>8.9704110322667251E-3</v>
      </c>
      <c r="U653">
        <f ca="1">'ETF variations'!U653/'ETF price'!V654</f>
        <v>1.875316776482519E-2</v>
      </c>
      <c r="V653">
        <f ca="1">'ETF variations'!V653/'ETF price'!W654</f>
        <v>1.6125150421179343E-2</v>
      </c>
      <c r="W653">
        <f ca="1">'ETF variations'!W653/'ETF price'!X654</f>
        <v>1.7592684623794812E-2</v>
      </c>
      <c r="X653">
        <f ca="1">'ETF variations'!X653/'ETF price'!Y654</f>
        <v>1.9785655399834991E-2</v>
      </c>
      <c r="Y653">
        <f ca="1">'ETF variations'!Y653/'ETF price'!Z654</f>
        <v>1.6906437047149E-2</v>
      </c>
      <c r="Z653">
        <f ca="1">'ETF variations'!Z653/'ETF price'!AA654</f>
        <v>8.4848484848485187E-3</v>
      </c>
      <c r="AA653">
        <f ca="1">'ETF variations'!AA653/'ETF price'!AB654</f>
        <v>1.7836593785960871E-2</v>
      </c>
      <c r="AB653">
        <f ca="1">'ETF variations'!AB653/'ETF price'!AC654</f>
        <v>1.1179936546306226E-2</v>
      </c>
      <c r="AC653">
        <f ca="1">'ETF variations'!AC653/'ETF price'!AD654</f>
        <v>9.0661213360599874E-2</v>
      </c>
      <c r="AD653">
        <f ca="1">'ETF variations'!AD653/'ETF price'!AE654</f>
        <v>8.9887640449438075E-2</v>
      </c>
      <c r="AE653">
        <f ca="1">'ETF variations'!AE653/'ETF price'!AF654</f>
        <v>0.16500000000000004</v>
      </c>
      <c r="AF653">
        <f ca="1">'ETF variations'!AF653/'ETF price'!AG654</f>
        <v>0.10487743239828148</v>
      </c>
    </row>
    <row r="654" spans="1:32" x14ac:dyDescent="0.2">
      <c r="A654">
        <f ca="1">'ETF variations'!A654/'ETF price'!B655</f>
        <v>4.4941624737432828E-3</v>
      </c>
      <c r="B654">
        <f ca="1">'ETF variations'!B654/'ETF price'!C655</f>
        <v>6.3691874119304577E-3</v>
      </c>
      <c r="C654">
        <f ca="1">'ETF variations'!C654/'ETF price'!D655</f>
        <v>3.4823791614430975E-3</v>
      </c>
      <c r="D654">
        <f ca="1">'ETF variations'!D654/'ETF price'!E655</f>
        <v>-5.9143822756289478E-3</v>
      </c>
      <c r="E654">
        <f ca="1">'ETF variations'!E654/'ETF price'!F655</f>
        <v>1.3463696105144996E-2</v>
      </c>
      <c r="F654">
        <f ca="1">'ETF variations'!F654/'ETF price'!G655</f>
        <v>-1.0323468685477491E-3</v>
      </c>
      <c r="G654">
        <f ca="1">'ETF variations'!G654/'ETF price'!H655</f>
        <v>3.6245016310263004E-4</v>
      </c>
      <c r="H654">
        <f ca="1">'ETF variations'!H654/'ETF price'!I655</f>
        <v>4.9584561779682434E-3</v>
      </c>
      <c r="I654">
        <f ca="1">'ETF variations'!I654/'ETF price'!J655</f>
        <v>4.5015371102328288E-3</v>
      </c>
      <c r="J654">
        <f ca="1">'ETF variations'!J654/'ETF price'!K655</f>
        <v>-7.0333380222389414E-5</v>
      </c>
      <c r="K654">
        <f ca="1">'ETF variations'!K654/'ETF price'!L655</f>
        <v>5.6842105263158549E-3</v>
      </c>
      <c r="L654">
        <f ca="1">'ETF variations'!L654/'ETF price'!M655</f>
        <v>-8.8092791073267178E-4</v>
      </c>
      <c r="M654">
        <f ca="1">'ETF variations'!M654/'ETF price'!N655</f>
        <v>5.3984941042761105E-3</v>
      </c>
      <c r="N654">
        <f ca="1">'ETF variations'!N654/'ETF price'!O655</f>
        <v>0</v>
      </c>
      <c r="O654">
        <f ca="1">'ETF variations'!O654/'ETF price'!P655</f>
        <v>2.2419011321601037E-3</v>
      </c>
      <c r="P654">
        <f ca="1">'ETF variations'!P654/'ETF price'!Q655</f>
        <v>9.6354584872322408E-4</v>
      </c>
      <c r="Q654">
        <f ca="1">'ETF variations'!Q654/'ETF price'!R655</f>
        <v>-7.8980029335431773E-4</v>
      </c>
      <c r="R654">
        <f ca="1">'ETF variations'!R654/'ETF price'!S655</f>
        <v>1.7455053237912623E-3</v>
      </c>
      <c r="S654">
        <f ca="1">'ETF variations'!S654/'ETF price'!T655</f>
        <v>5.8876811594204062E-3</v>
      </c>
      <c r="T654">
        <f ca="1">'ETF variations'!T654/'ETF price'!U655</f>
        <v>1.1411889596602965E-2</v>
      </c>
      <c r="U654">
        <f ca="1">'ETF variations'!U654/'ETF price'!V655</f>
        <v>-2.0149253731343339E-2</v>
      </c>
      <c r="V654">
        <f ca="1">'ETF variations'!V654/'ETF price'!W655</f>
        <v>4.2633822832780603E-3</v>
      </c>
      <c r="W654">
        <f ca="1">'ETF variations'!W654/'ETF price'!X655</f>
        <v>3.7116624340692485E-3</v>
      </c>
      <c r="X654">
        <f ca="1">'ETF variations'!X654/'ETF price'!Y655</f>
        <v>-2.0210185933709443E-3</v>
      </c>
      <c r="Y654">
        <f ca="1">'ETF variations'!Y654/'ETF price'!Z655</f>
        <v>5.3696819496075587E-3</v>
      </c>
      <c r="Z654">
        <f ca="1">'ETF variations'!Z654/'ETF price'!AA655</f>
        <v>5.0480769230769433E-3</v>
      </c>
      <c r="AA654">
        <f ca="1">'ETF variations'!AA654/'ETF price'!AB655</f>
        <v>-4.8991897493875641E-3</v>
      </c>
      <c r="AB654">
        <f ca="1">'ETF variations'!AB654/'ETF price'!AC655</f>
        <v>9.7116390258477729E-3</v>
      </c>
      <c r="AC654">
        <f ca="1">'ETF variations'!AC654/'ETF price'!AD655</f>
        <v>1.5625E-2</v>
      </c>
      <c r="AD654">
        <f ca="1">'ETF variations'!AD654/'ETF price'!AE655</f>
        <v>2.0618556701031038E-2</v>
      </c>
      <c r="AE654">
        <f ca="1">'ETF variations'!AE654/'ETF price'!AF655</f>
        <v>-4.2918454935623306E-3</v>
      </c>
      <c r="AF654">
        <f ca="1">'ETF variations'!AF654/'ETF price'!AG655</f>
        <v>-1.7383348581884676E-2</v>
      </c>
    </row>
    <row r="655" spans="1:32" x14ac:dyDescent="0.2">
      <c r="A655">
        <f ca="1">'ETF variations'!A655/'ETF price'!B656</f>
        <v>8.1700141030005679E-3</v>
      </c>
      <c r="B655">
        <f ca="1">'ETF variations'!B655/'ETF price'!C656</f>
        <v>5.1900530206854846E-3</v>
      </c>
      <c r="C655">
        <f ca="1">'ETF variations'!C655/'ETF price'!D656</f>
        <v>2.5194336479733449E-2</v>
      </c>
      <c r="D655">
        <f ca="1">'ETF variations'!D655/'ETF price'!E656</f>
        <v>5.7606950609122619E-3</v>
      </c>
      <c r="E655">
        <f ca="1">'ETF variations'!E655/'ETF price'!F656</f>
        <v>-5.6934999209236033E-3</v>
      </c>
      <c r="F655">
        <f ca="1">'ETF variations'!F655/'ETF price'!G656</f>
        <v>5.1670685497760445E-3</v>
      </c>
      <c r="G655">
        <f ca="1">'ETF variations'!G655/'ETF price'!H656</f>
        <v>-5.4347826086957292E-3</v>
      </c>
      <c r="H655">
        <f ca="1">'ETF variations'!H655/'ETF price'!I656</f>
        <v>-3.8005067342311858E-3</v>
      </c>
      <c r="I655">
        <f ca="1">'ETF variations'!I655/'ETF price'!J656</f>
        <v>-3.4976500163953666E-3</v>
      </c>
      <c r="J655">
        <f ca="1">'ETF variations'!J655/'ETF price'!K656</f>
        <v>-4.2906379686290025E-3</v>
      </c>
      <c r="K655">
        <f ca="1">'ETF variations'!K655/'ETF price'!L656</f>
        <v>2.826041448607871E-3</v>
      </c>
      <c r="L655">
        <f ca="1">'ETF variations'!L655/'ETF price'!M656</f>
        <v>2.498163115356381E-3</v>
      </c>
      <c r="M655">
        <f ca="1">'ETF variations'!M655/'ETF price'!N656</f>
        <v>-4.3803871697047098E-3</v>
      </c>
      <c r="N655">
        <f ca="1">'ETF variations'!N655/'ETF price'!O656</f>
        <v>-8.1081081081080964E-3</v>
      </c>
      <c r="O655">
        <f ca="1">'ETF variations'!O655/'ETF price'!P656</f>
        <v>4.9211497595347022E-3</v>
      </c>
      <c r="P655">
        <f ca="1">'ETF variations'!P655/'ETF price'!Q656</f>
        <v>6.6581100593614499E-3</v>
      </c>
      <c r="Q655">
        <f ca="1">'ETF variations'!Q655/'ETF price'!R656</f>
        <v>-4.403794037940386E-3</v>
      </c>
      <c r="R655">
        <f ca="1">'ETF variations'!R655/'ETF price'!S656</f>
        <v>-1.7424638438748928E-4</v>
      </c>
      <c r="S655">
        <f ca="1">'ETF variations'!S655/'ETF price'!T656</f>
        <v>1.395767672219715E-2</v>
      </c>
      <c r="T655">
        <f ca="1">'ETF variations'!T655/'ETF price'!U656</f>
        <v>3.1618997638415067E-2</v>
      </c>
      <c r="U655">
        <f ca="1">'ETF variations'!U655/'ETF price'!V656</f>
        <v>-3.3003300330033654E-3</v>
      </c>
      <c r="V655">
        <f ca="1">'ETF variations'!V655/'ETF price'!W656</f>
        <v>-5.1886792452829926E-3</v>
      </c>
      <c r="W655">
        <f ca="1">'ETF variations'!W655/'ETF price'!X656</f>
        <v>-5.5469054106657006E-3</v>
      </c>
      <c r="X655">
        <f ca="1">'ETF variations'!X655/'ETF price'!Y656</f>
        <v>-1.012555690562981E-2</v>
      </c>
      <c r="Y655">
        <f ca="1">'ETF variations'!Y655/'ETF price'!Z656</f>
        <v>-5.9572719802793578E-3</v>
      </c>
      <c r="Z655">
        <f ca="1">'ETF variations'!Z655/'ETF price'!AA656</f>
        <v>-5.9794307581918201E-3</v>
      </c>
      <c r="AA655">
        <f ca="1">'ETF variations'!AA655/'ETF price'!AB656</f>
        <v>-1.0414694186707143E-2</v>
      </c>
      <c r="AB655">
        <f ca="1">'ETF variations'!AB655/'ETF price'!AC656</f>
        <v>1.1393903521751939E-2</v>
      </c>
      <c r="AC655">
        <f ca="1">'ETF variations'!AC655/'ETF price'!AD656</f>
        <v>-4.3076923076923249E-3</v>
      </c>
      <c r="AD655">
        <f ca="1">'ETF variations'!AD655/'ETF price'!AE656</f>
        <v>-3.0303030303030373E-2</v>
      </c>
      <c r="AE655">
        <f ca="1">'ETF variations'!AE655/'ETF price'!AF656</f>
        <v>-3.6637931034482749E-2</v>
      </c>
      <c r="AF655">
        <f ca="1">'ETF variations'!AF655/'ETF price'!AG656</f>
        <v>-2.3975791433892019E-2</v>
      </c>
    </row>
    <row r="656" spans="1:32" x14ac:dyDescent="0.2">
      <c r="A656">
        <f ca="1">'ETF variations'!A656/'ETF price'!B657</f>
        <v>3.0726930683517461E-2</v>
      </c>
      <c r="B656">
        <f ca="1">'ETF variations'!B656/'ETF price'!C657</f>
        <v>2.8899372237286988E-2</v>
      </c>
      <c r="C656">
        <f ca="1">'ETF variations'!C656/'ETF price'!D657</f>
        <v>1.8279060320897827E-3</v>
      </c>
      <c r="D656">
        <f ca="1">'ETF variations'!D656/'ETF price'!E657</f>
        <v>4.0610328638497679E-2</v>
      </c>
      <c r="E656">
        <f ca="1">'ETF variations'!E656/'ETF price'!F657</f>
        <v>2.147288054716083E-2</v>
      </c>
      <c r="F656">
        <f ca="1">'ETF variations'!F656/'ETF price'!G657</f>
        <v>2.4331734064427721E-2</v>
      </c>
      <c r="G656">
        <f ca="1">'ETF variations'!G656/'ETF price'!H657</f>
        <v>1.7486338797814225E-2</v>
      </c>
      <c r="H656">
        <f ca="1">'ETF variations'!H656/'ETF price'!I657</f>
        <v>1.2114316310822585E-2</v>
      </c>
      <c r="I656">
        <f ca="1">'ETF variations'!I656/'ETF price'!J657</f>
        <v>1.1992248912288507E-2</v>
      </c>
      <c r="J656">
        <f ca="1">'ETF variations'!J656/'ETF price'!K657</f>
        <v>1.405764340209105E-2</v>
      </c>
      <c r="K656">
        <f ca="1">'ETF variations'!K656/'ETF price'!L657</f>
        <v>1.1898549211982053E-2</v>
      </c>
      <c r="L656">
        <f ca="1">'ETF variations'!L656/'ETF price'!M657</f>
        <v>1.172676634418055E-2</v>
      </c>
      <c r="M656">
        <f ca="1">'ETF variations'!M656/'ETF price'!N657</f>
        <v>1.1921657678115292E-2</v>
      </c>
      <c r="N656">
        <f ca="1">'ETF variations'!N656/'ETF price'!O657</f>
        <v>2.0890099909173517E-2</v>
      </c>
      <c r="O656">
        <f ca="1">'ETF variations'!O656/'ETF price'!P657</f>
        <v>-9.6828046744573213E-3</v>
      </c>
      <c r="P656">
        <f ca="1">'ETF variations'!P656/'ETF price'!Q657</f>
        <v>-9.3234520678938705E-3</v>
      </c>
      <c r="Q656">
        <f ca="1">'ETF variations'!Q656/'ETF price'!R657</f>
        <v>9.9807190654417084E-3</v>
      </c>
      <c r="R656">
        <f ca="1">'ETF variations'!R656/'ETF price'!S657</f>
        <v>1.1327988846287881E-2</v>
      </c>
      <c r="S656">
        <f ca="1">'ETF variations'!S656/'ETF price'!T657</f>
        <v>-9.3250444049733944E-3</v>
      </c>
      <c r="T656">
        <f ca="1">'ETF variations'!T656/'ETF price'!U657</f>
        <v>-1.2590614269362775E-2</v>
      </c>
      <c r="U656">
        <f ca="1">'ETF variations'!U656/'ETF price'!V657</f>
        <v>3.5659704533876686E-2</v>
      </c>
      <c r="V656">
        <f ca="1">'ETF variations'!V656/'ETF price'!W657</f>
        <v>8.2977714556662259E-3</v>
      </c>
      <c r="W656">
        <f ca="1">'ETF variations'!W656/'ETF price'!X657</f>
        <v>9.7856933163714653E-3</v>
      </c>
      <c r="X656">
        <f ca="1">'ETF variations'!X656/'ETF price'!Y657</f>
        <v>1.2274959083469605E-2</v>
      </c>
      <c r="Y656">
        <f ca="1">'ETF variations'!Y656/'ETF price'!Z657</f>
        <v>8.8861334986567418E-3</v>
      </c>
      <c r="Z656">
        <f ca="1">'ETF variations'!Z656/'ETF price'!AA657</f>
        <v>6.9778633301250991E-3</v>
      </c>
      <c r="AA656">
        <f ca="1">'ETF variations'!AA656/'ETF price'!AB657</f>
        <v>1.2246460007654048E-2</v>
      </c>
      <c r="AB656">
        <f ca="1">'ETF variations'!AB656/'ETF price'!AC657</f>
        <v>6.437454279444213E-3</v>
      </c>
      <c r="AC656">
        <f ca="1">'ETF variations'!AC656/'ETF price'!AD657</f>
        <v>2.5339925834363421E-2</v>
      </c>
      <c r="AD656">
        <f ca="1">'ETF variations'!AD656/'ETF price'!AE657</f>
        <v>3.1250000000000076E-2</v>
      </c>
      <c r="AE656">
        <f ca="1">'ETF variations'!AE656/'ETF price'!AF657</f>
        <v>5.1454138702460947E-2</v>
      </c>
      <c r="AF656">
        <f ca="1">'ETF variations'!AF656/'ETF price'!AG657</f>
        <v>-4.7698545194379031E-4</v>
      </c>
    </row>
    <row r="657" spans="1:32" x14ac:dyDescent="0.2">
      <c r="A657">
        <f ca="1">'ETF variations'!A657/'ETF price'!B658</f>
        <v>5.4754773493073169E-3</v>
      </c>
      <c r="B657">
        <f ca="1">'ETF variations'!B657/'ETF price'!C658</f>
        <v>4.40449113686404E-3</v>
      </c>
      <c r="C657">
        <f ca="1">'ETF variations'!C657/'ETF price'!D658</f>
        <v>1.3650493309906813E-2</v>
      </c>
      <c r="D657">
        <f ca="1">'ETF variations'!D657/'ETF price'!E658</f>
        <v>-2.5265057523122143E-3</v>
      </c>
      <c r="E657">
        <f ca="1">'ETF variations'!E657/'ETF price'!F658</f>
        <v>1.0432886951105601E-2</v>
      </c>
      <c r="F657">
        <f ca="1">'ETF variations'!F657/'ETF price'!G658</f>
        <v>1.0036801605888637E-3</v>
      </c>
      <c r="G657">
        <f ca="1">'ETF variations'!G657/'ETF price'!H658</f>
        <v>-2.8643036161832545E-3</v>
      </c>
      <c r="H657">
        <f ca="1">'ETF variations'!H657/'ETF price'!I658</f>
        <v>3.5709562227218094E-3</v>
      </c>
      <c r="I657">
        <f ca="1">'ETF variations'!I657/'ETF price'!J658</f>
        <v>2.239965316666081E-3</v>
      </c>
      <c r="J657">
        <f ca="1">'ETF variations'!J657/'ETF price'!K658</f>
        <v>-5.2943225357019799E-3</v>
      </c>
      <c r="K657">
        <f ca="1">'ETF variations'!K657/'ETF price'!L658</f>
        <v>-8.8705518308406332E-3</v>
      </c>
      <c r="L657">
        <f ca="1">'ETF variations'!L657/'ETF price'!M658</f>
        <v>-5.5056505360764341E-3</v>
      </c>
      <c r="M657">
        <f ca="1">'ETF variations'!M657/'ETF price'!N658</f>
        <v>3.3660589060309832E-3</v>
      </c>
      <c r="N657">
        <f ca="1">'ETF variations'!N657/'ETF price'!O658</f>
        <v>-2.313167259786475E-2</v>
      </c>
      <c r="O657">
        <f ca="1">'ETF variations'!O657/'ETF price'!P658</f>
        <v>5.8440098898628456E-3</v>
      </c>
      <c r="P657">
        <f ca="1">'ETF variations'!P657/'ETF price'!Q658</f>
        <v>5.0675675675676459E-3</v>
      </c>
      <c r="Q657">
        <f ca="1">'ETF variations'!Q657/'ETF price'!R658</f>
        <v>0</v>
      </c>
      <c r="R657">
        <f ca="1">'ETF variations'!R657/'ETF price'!S658</f>
        <v>-1.7577115285197367E-2</v>
      </c>
      <c r="S657">
        <f ca="1">'ETF variations'!S657/'ETF price'!T658</f>
        <v>-6.2752129090092798E-3</v>
      </c>
      <c r="T657">
        <f ca="1">'ETF variations'!T657/'ETF price'!U658</f>
        <v>-1.3523956723338448E-2</v>
      </c>
      <c r="U657">
        <f ca="1">'ETF variations'!U657/'ETF price'!V658</f>
        <v>-1.4510575504180924E-2</v>
      </c>
      <c r="V657">
        <f ca="1">'ETF variations'!V657/'ETF price'!W658</f>
        <v>1.2226663531624642E-2</v>
      </c>
      <c r="W657">
        <f ca="1">'ETF variations'!W657/'ETF price'!X658</f>
        <v>1.027231320864427E-2</v>
      </c>
      <c r="X657">
        <f ca="1">'ETF variations'!X657/'ETF price'!Y658</f>
        <v>-1.2126111560225379E-3</v>
      </c>
      <c r="Y657">
        <f ca="1">'ETF variations'!Y657/'ETF price'!Z658</f>
        <v>1.4338385907415051E-2</v>
      </c>
      <c r="Z657">
        <f ca="1">'ETF variations'!Z657/'ETF price'!AA658</f>
        <v>3.5842293906809693E-3</v>
      </c>
      <c r="AA657">
        <f ca="1">'ETF variations'!AA657/'ETF price'!AB658</f>
        <v>-2.2684310018903108E-3</v>
      </c>
      <c r="AB657">
        <f ca="1">'ETF variations'!AB657/'ETF price'!AC658</f>
        <v>6.3962785288559044E-3</v>
      </c>
      <c r="AC657">
        <f ca="1">'ETF variations'!AC657/'ETF price'!AD658</f>
        <v>-2.4110910186859468E-2</v>
      </c>
      <c r="AD657">
        <f ca="1">'ETF variations'!AD657/'ETF price'!AE658</f>
        <v>-3.333333333333334E-2</v>
      </c>
      <c r="AE657">
        <f ca="1">'ETF variations'!AE657/'ETF price'!AF658</f>
        <v>-4.6808510638297815E-2</v>
      </c>
      <c r="AF657">
        <f ca="1">'ETF variations'!AF657/'ETF price'!AG658</f>
        <v>-1.264614650441408E-2</v>
      </c>
    </row>
    <row r="658" spans="1:32" x14ac:dyDescent="0.2">
      <c r="A658">
        <f ca="1">'ETF variations'!A658/'ETF price'!B659</f>
        <v>2.8764254130788956E-2</v>
      </c>
      <c r="B658">
        <f ca="1">'ETF variations'!B658/'ETF price'!C659</f>
        <v>2.6904137162575083E-2</v>
      </c>
      <c r="C658">
        <f ca="1">'ETF variations'!C658/'ETF price'!D659</f>
        <v>-3.1333333333333257E-3</v>
      </c>
      <c r="D658">
        <f ca="1">'ETF variations'!D658/'ETF price'!E659</f>
        <v>4.8079967434076602E-2</v>
      </c>
      <c r="E658">
        <f ca="1">'ETF variations'!E658/'ETF price'!F659</f>
        <v>1.6951764524579971E-2</v>
      </c>
      <c r="F658">
        <f ca="1">'ETF variations'!F658/'ETF price'!G659</f>
        <v>1.2032085561497307E-2</v>
      </c>
      <c r="G658">
        <f ca="1">'ETF variations'!G658/'ETF price'!H659</f>
        <v>1.9748653500897564E-2</v>
      </c>
      <c r="H658">
        <f ca="1">'ETF variations'!H658/'ETF price'!I659</f>
        <v>6.2598840274118153E-3</v>
      </c>
      <c r="I658">
        <f ca="1">'ETF variations'!I658/'ETF price'!J659</f>
        <v>8.543311344219557E-3</v>
      </c>
      <c r="J658">
        <f ca="1">'ETF variations'!J658/'ETF price'!K659</f>
        <v>1.5127109741578519E-2</v>
      </c>
      <c r="K658">
        <f ca="1">'ETF variations'!K658/'ETF price'!L659</f>
        <v>1.6859194505151321E-2</v>
      </c>
      <c r="L658">
        <f ca="1">'ETF variations'!L658/'ETF price'!M659</f>
        <v>1.3403263403263428E-2</v>
      </c>
      <c r="M658">
        <f ca="1">'ETF variations'!M658/'ETF price'!N659</f>
        <v>6.9890970086664795E-3</v>
      </c>
      <c r="N658">
        <f ca="1">'ETF variations'!N658/'ETF price'!O659</f>
        <v>2.8916211293260382E-2</v>
      </c>
      <c r="O658">
        <f ca="1">'ETF variations'!O658/'ETF price'!P659</f>
        <v>1.1955307262569756E-2</v>
      </c>
      <c r="P658">
        <f ca="1">'ETF variations'!P658/'ETF price'!Q659</f>
        <v>1.3365346138455395E-2</v>
      </c>
      <c r="Q658">
        <f ca="1">'ETF variations'!Q658/'ETF price'!R659</f>
        <v>1.5833801235261052E-2</v>
      </c>
      <c r="R658">
        <f ca="1">'ETF variations'!R658/'ETF price'!S659</f>
        <v>2.0171899666725113E-2</v>
      </c>
      <c r="S658">
        <f ca="1">'ETF variations'!S658/'ETF price'!T659</f>
        <v>8.1190798376183891E-3</v>
      </c>
      <c r="T658">
        <f ca="1">'ETF variations'!T658/'ETF price'!U659</f>
        <v>1.0706358532445399E-2</v>
      </c>
      <c r="U658">
        <f ca="1">'ETF variations'!U658/'ETF price'!V659</f>
        <v>2.5954579485899656E-2</v>
      </c>
      <c r="V658">
        <f ca="1">'ETF variations'!V658/'ETF price'!W659</f>
        <v>9.2915214866435697E-3</v>
      </c>
      <c r="W658">
        <f ca="1">'ETF variations'!W658/'ETF price'!X659</f>
        <v>1.2182254196642648E-2</v>
      </c>
      <c r="X658">
        <f ca="1">'ETF variations'!X658/'ETF price'!Y659</f>
        <v>2.2055847834884585E-2</v>
      </c>
      <c r="Y658">
        <f ca="1">'ETF variations'!Y658/'ETF price'!Z659</f>
        <v>8.7843295638125023E-3</v>
      </c>
      <c r="Z658">
        <f ca="1">'ETF variations'!Z658/'ETF price'!AA659</f>
        <v>-2.8571428571427964E-3</v>
      </c>
      <c r="AA658">
        <f ca="1">'ETF variations'!AA658/'ETF price'!AB659</f>
        <v>2.2925350511557425E-2</v>
      </c>
      <c r="AB658">
        <f ca="1">'ETF variations'!AB658/'ETF price'!AC659</f>
        <v>-4.4778275314170486E-3</v>
      </c>
      <c r="AC658">
        <f ca="1">'ETF variations'!AC658/'ETF price'!AD659</f>
        <v>-3.8295243977764112E-2</v>
      </c>
      <c r="AD658">
        <f ca="1">'ETF variations'!AD658/'ETF price'!AE659</f>
        <v>-3.0303030303030398E-2</v>
      </c>
      <c r="AE658">
        <f ca="1">'ETF variations'!AE658/'ETF price'!AF659</f>
        <v>2.2321428571428093E-3</v>
      </c>
      <c r="AF658">
        <f ca="1">'ETF variations'!AF658/'ETF price'!AG659</f>
        <v>3.1657805703238159E-2</v>
      </c>
    </row>
    <row r="659" spans="1:32" x14ac:dyDescent="0.2">
      <c r="A659">
        <f ca="1">'ETF variations'!A659/'ETF price'!B660</f>
        <v>1.6739809075691288E-3</v>
      </c>
      <c r="B659">
        <f ca="1">'ETF variations'!B659/'ETF price'!C660</f>
        <v>2.3101559355257354E-3</v>
      </c>
      <c r="C659">
        <f ca="1">'ETF variations'!C659/'ETF price'!D660</f>
        <v>5.751354243295561E-3</v>
      </c>
      <c r="D659">
        <f ca="1">'ETF variations'!D659/'ETF price'!E660</f>
        <v>-2.1146210944243443E-3</v>
      </c>
      <c r="E659">
        <f ca="1">'ETF variations'!E659/'ETF price'!F660</f>
        <v>4.3946052432187648E-3</v>
      </c>
      <c r="F659">
        <f ca="1">'ETF variations'!F659/'ETF price'!G660</f>
        <v>7.2655217965653515E-3</v>
      </c>
      <c r="G659">
        <f ca="1">'ETF variations'!G659/'ETF price'!H660</f>
        <v>2.8169014084507694E-3</v>
      </c>
      <c r="H659">
        <f ca="1">'ETF variations'!H659/'ETF price'!I660</f>
        <v>1.0477375417457704E-3</v>
      </c>
      <c r="I659">
        <f ca="1">'ETF variations'!I659/'ETF price'!J660</f>
        <v>5.7187790406757106E-4</v>
      </c>
      <c r="J659">
        <f ca="1">'ETF variations'!J659/'ETF price'!K660</f>
        <v>-6.8989306657464176E-4</v>
      </c>
      <c r="K659">
        <f ca="1">'ETF variations'!K659/'ETF price'!L660</f>
        <v>6.1406202026407001E-4</v>
      </c>
      <c r="L659">
        <f ca="1">'ETF variations'!L659/'ETF price'!M660</f>
        <v>-1.2938470385279385E-3</v>
      </c>
      <c r="M659">
        <f ca="1">'ETF variations'!M659/'ETF price'!N660</f>
        <v>9.7168239866731224E-4</v>
      </c>
      <c r="N659">
        <f ca="1">'ETF variations'!N659/'ETF price'!O660</f>
        <v>6.4173489710112669E-3</v>
      </c>
      <c r="O659">
        <f ca="1">'ETF variations'!O659/'ETF price'!P660</f>
        <v>-1.1041183614882888E-3</v>
      </c>
      <c r="P659">
        <f ca="1">'ETF variations'!P659/'ETF price'!Q660</f>
        <v>-7.1078818512086087E-4</v>
      </c>
      <c r="Q659">
        <f ca="1">'ETF variations'!Q659/'ETF price'!R660</f>
        <v>1.2160070749502481E-3</v>
      </c>
      <c r="R659">
        <f ca="1">'ETF variations'!R659/'ETF price'!S660</f>
        <v>6.7056396148555807E-3</v>
      </c>
      <c r="S659">
        <f ca="1">'ETF variations'!S659/'ETF price'!T660</f>
        <v>-6.2639821029083021E-3</v>
      </c>
      <c r="T659">
        <f ca="1">'ETF variations'!T659/'ETF price'!U660</f>
        <v>-1.4080868104896054E-2</v>
      </c>
      <c r="U659">
        <f ca="1">'ETF variations'!U659/'ETF price'!V660</f>
        <v>-9.9732425200680271E-3</v>
      </c>
      <c r="V659">
        <f ca="1">'ETF variations'!V659/'ETF price'!W660</f>
        <v>7.3647871116225604E-3</v>
      </c>
      <c r="W659">
        <f ca="1">'ETF variations'!W659/'ETF price'!X660</f>
        <v>6.4442759666414598E-3</v>
      </c>
      <c r="X659">
        <f ca="1">'ETF variations'!X659/'ETF price'!Y660</f>
        <v>1.4848544842605425E-2</v>
      </c>
      <c r="Y659">
        <f ca="1">'ETF variations'!Y659/'ETF price'!Z660</f>
        <v>7.0063056751076252E-3</v>
      </c>
      <c r="Z659">
        <f ca="1">'ETF variations'!Z659/'ETF price'!AA660</f>
        <v>-4.7755491881573843E-4</v>
      </c>
      <c r="AA659">
        <f ca="1">'ETF variations'!AA659/'ETF price'!AB660</f>
        <v>1.6299314687905082E-2</v>
      </c>
      <c r="AB659">
        <f ca="1">'ETF variations'!AB659/'ETF price'!AC660</f>
        <v>-2.1764364480557994E-3</v>
      </c>
      <c r="AC659">
        <f ca="1">'ETF variations'!AC659/'ETF price'!AD660</f>
        <v>4.1746949261400039E-2</v>
      </c>
      <c r="AD659">
        <f ca="1">'ETF variations'!AD659/'ETF price'!AE660</f>
        <v>4.7952586206896589E-2</v>
      </c>
      <c r="AE659">
        <f ca="1">'ETF variations'!AE659/'ETF price'!AF660</f>
        <v>8.9086859688196074E-3</v>
      </c>
      <c r="AF659">
        <f ca="1">'ETF variations'!AF659/'ETF price'!AG660</f>
        <v>3.7947997189037352E-2</v>
      </c>
    </row>
    <row r="660" spans="1:32" x14ac:dyDescent="0.2">
      <c r="A660">
        <f ca="1">'ETF variations'!A660/'ETF price'!B661</f>
        <v>1.6485998193315293E-2</v>
      </c>
      <c r="B660">
        <f ca="1">'ETF variations'!B660/'ETF price'!C661</f>
        <v>1.3933753557647007E-2</v>
      </c>
      <c r="C660">
        <f ca="1">'ETF variations'!C660/'ETF price'!D661</f>
        <v>-2.0147616197885319E-2</v>
      </c>
      <c r="D660">
        <f ca="1">'ETF variations'!D660/'ETF price'!E661</f>
        <v>1.6996064524499446E-2</v>
      </c>
      <c r="E660">
        <f ca="1">'ETF variations'!E660/'ETF price'!F661</f>
        <v>1.1466505733252943E-2</v>
      </c>
      <c r="F660">
        <f ca="1">'ETF variations'!F660/'ETF price'!G661</f>
        <v>1.8688524590163944E-2</v>
      </c>
      <c r="G660">
        <f ca="1">'ETF variations'!G660/'ETF price'!H661</f>
        <v>1.3342696629213448E-2</v>
      </c>
      <c r="H660">
        <f ca="1">'ETF variations'!H660/'ETF price'!I661</f>
        <v>6.0836004448224425E-3</v>
      </c>
      <c r="I660">
        <f ca="1">'ETF variations'!I660/'ETF price'!J661</f>
        <v>7.8945488318924745E-3</v>
      </c>
      <c r="J660">
        <f ca="1">'ETF variations'!J660/'ETF price'!K661</f>
        <v>2.0365895754228629E-2</v>
      </c>
      <c r="K660">
        <f ca="1">'ETF variations'!K660/'ETF price'!L661</f>
        <v>3.1502505881149619E-2</v>
      </c>
      <c r="L660">
        <f ca="1">'ETF variations'!L660/'ETF price'!M661</f>
        <v>2.8645458471282494E-2</v>
      </c>
      <c r="M660">
        <f ca="1">'ETF variations'!M660/'ETF price'!N661</f>
        <v>8.5979753154902857E-3</v>
      </c>
      <c r="N660">
        <f ca="1">'ETF variations'!N660/'ETF price'!O661</f>
        <v>1.8469656992084509E-2</v>
      </c>
      <c r="O660">
        <f ca="1">'ETF variations'!O660/'ETF price'!P661</f>
        <v>6.7425665966618703E-3</v>
      </c>
      <c r="P660">
        <f ca="1">'ETF variations'!P660/'ETF price'!Q661</f>
        <v>5.9274480360388838E-3</v>
      </c>
      <c r="Q660">
        <f ca="1">'ETF variations'!Q660/'ETF price'!R661</f>
        <v>4.7477089543999876E-3</v>
      </c>
      <c r="R660">
        <f ca="1">'ETF variations'!R660/'ETF price'!S661</f>
        <v>9.3936806148591685E-3</v>
      </c>
      <c r="S660">
        <f ca="1">'ETF variations'!S660/'ETF price'!T661</f>
        <v>-5.4029716343989643E-3</v>
      </c>
      <c r="T660">
        <f ca="1">'ETF variations'!T660/'ETF price'!U661</f>
        <v>-2.5419287211740013E-2</v>
      </c>
      <c r="U660">
        <f ca="1">'ETF variations'!U660/'ETF price'!V661</f>
        <v>2.2113022113022077E-2</v>
      </c>
      <c r="V660">
        <f ca="1">'ETF variations'!V660/'ETF price'!W661</f>
        <v>5.4832076764906295E-3</v>
      </c>
      <c r="W660">
        <f ca="1">'ETF variations'!W660/'ETF price'!X661</f>
        <v>6.5913370998117024E-3</v>
      </c>
      <c r="X660">
        <f ca="1">'ETF variations'!X660/'ETF price'!Y661</f>
        <v>9.1689426453374738E-3</v>
      </c>
      <c r="Y660">
        <f ca="1">'ETF variations'!Y660/'ETF price'!Z661</f>
        <v>6.8581651923267841E-3</v>
      </c>
      <c r="Z660">
        <f ca="1">'ETF variations'!Z660/'ETF price'!AA661</f>
        <v>5.972288580984233E-3</v>
      </c>
      <c r="AA660">
        <f ca="1">'ETF variations'!AA660/'ETF price'!AB661</f>
        <v>1.148168398031716E-2</v>
      </c>
      <c r="AB660">
        <f ca="1">'ETF variations'!AB660/'ETF price'!AC661</f>
        <v>4.3623673113275729E-3</v>
      </c>
      <c r="AC660">
        <f ca="1">'ETF variations'!AC660/'ETF price'!AD661</f>
        <v>-1.1713933415536235E-2</v>
      </c>
      <c r="AD660">
        <f ca="1">'ETF variations'!AD660/'ETF price'!AE661</f>
        <v>-1.2853470437017995E-2</v>
      </c>
      <c r="AE660">
        <f ca="1">'ETF variations'!AE660/'ETF price'!AF661</f>
        <v>-1.7660044150110389E-2</v>
      </c>
      <c r="AF660">
        <f ca="1">'ETF variations'!AF660/'ETF price'!AG661</f>
        <v>2.4148047844730316E-2</v>
      </c>
    </row>
    <row r="661" spans="1:32" x14ac:dyDescent="0.2">
      <c r="A661">
        <f ca="1">'ETF variations'!A661/'ETF price'!B662</f>
        <v>-3.5103310375473023E-3</v>
      </c>
      <c r="B661">
        <f ca="1">'ETF variations'!B661/'ETF price'!C662</f>
        <v>-3.3408531230089281E-3</v>
      </c>
      <c r="C661">
        <f ca="1">'ETF variations'!C661/'ETF price'!D662</f>
        <v>1.3707926167209431E-2</v>
      </c>
      <c r="D661">
        <f ca="1">'ETF variations'!D661/'ETF price'!E662</f>
        <v>-1.3225038271814872E-2</v>
      </c>
      <c r="E661">
        <f ca="1">'ETF variations'!E661/'ETF price'!F662</f>
        <v>4.1766109785200912E-3</v>
      </c>
      <c r="F661">
        <f ca="1">'ETF variations'!F661/'ETF price'!G662</f>
        <v>-5.471515931767033E-3</v>
      </c>
      <c r="G661">
        <f ca="1">'ETF variations'!G661/'ETF price'!H662</f>
        <v>-7.969507969507985E-3</v>
      </c>
      <c r="H661">
        <f ca="1">'ETF variations'!H661/'ETF price'!I662</f>
        <v>4.0312093628086867E-3</v>
      </c>
      <c r="I661">
        <f ca="1">'ETF variations'!I661/'ETF price'!J662</f>
        <v>2.622718412192129E-3</v>
      </c>
      <c r="J661">
        <f ca="1">'ETF variations'!J661/'ETF price'!K662</f>
        <v>-2.8416779431665487E-3</v>
      </c>
      <c r="K661">
        <f ca="1">'ETF variations'!K661/'ETF price'!L662</f>
        <v>-1.9831432821017375E-4</v>
      </c>
      <c r="L661">
        <f ca="1">'ETF variations'!L661/'ETF price'!M662</f>
        <v>-2.099076406381073E-3</v>
      </c>
      <c r="M661">
        <f ca="1">'ETF variations'!M661/'ETF price'!N662</f>
        <v>2.7498968788670815E-3</v>
      </c>
      <c r="N661">
        <f ca="1">'ETF variations'!N661/'ETF price'!O662</f>
        <v>-7.7720207253885887E-3</v>
      </c>
      <c r="O661">
        <f ca="1">'ETF variations'!O661/'ETF price'!P662</f>
        <v>-2.6350461133069734E-2</v>
      </c>
      <c r="P661">
        <f ca="1">'ETF variations'!P661/'ETF price'!Q662</f>
        <v>-2.5298554368321801E-2</v>
      </c>
      <c r="Q661">
        <f ca="1">'ETF variations'!Q661/'ETF price'!R662</f>
        <v>-3.6263736263736075E-3</v>
      </c>
      <c r="R661">
        <f ca="1">'ETF variations'!R661/'ETF price'!S662</f>
        <v>-8.6294416243654481E-3</v>
      </c>
      <c r="S661">
        <f ca="1">'ETF variations'!S661/'ETF price'!T662</f>
        <v>-4.074241738343135E-3</v>
      </c>
      <c r="T661">
        <f ca="1">'ETF variations'!T661/'ETF price'!U662</f>
        <v>-7.3944608765796876E-3</v>
      </c>
      <c r="U661">
        <f ca="1">'ETF variations'!U661/'ETF price'!V662</f>
        <v>-2.0673076923076909E-2</v>
      </c>
      <c r="V661">
        <f ca="1">'ETF variations'!V661/'ETF price'!W662</f>
        <v>-3.1810952056350959E-3</v>
      </c>
      <c r="W661">
        <f ca="1">'ETF variations'!W661/'ETF price'!X662</f>
        <v>-5.332086061740013E-3</v>
      </c>
      <c r="X661">
        <f ca="1">'ETF variations'!X661/'ETF price'!Y662</f>
        <v>-1.6238159675236737E-2</v>
      </c>
      <c r="Y661">
        <f ca="1">'ETF variations'!Y661/'ETF price'!Z662</f>
        <v>-5.7255676209279202E-3</v>
      </c>
      <c r="Z661">
        <f ca="1">'ETF variations'!Z661/'ETF price'!AA662</f>
        <v>9.4989313702206475E-4</v>
      </c>
      <c r="AA661">
        <f ca="1">'ETF variations'!AA661/'ETF price'!AB662</f>
        <v>-1.8738738738738724E-2</v>
      </c>
      <c r="AB661">
        <f ca="1">'ETF variations'!AB661/'ETF price'!AC662</f>
        <v>1.2306355870855778E-2</v>
      </c>
      <c r="AC661">
        <f ca="1">'ETF variations'!AC661/'ETF price'!AD662</f>
        <v>2.4953212726137957E-3</v>
      </c>
      <c r="AD661">
        <f ca="1">'ETF variations'!AD661/'ETF price'!AE662</f>
        <v>7.812500000000111E-3</v>
      </c>
      <c r="AE661">
        <f ca="1">'ETF variations'!AE661/'ETF price'!AF662</f>
        <v>4.0449438202247126E-2</v>
      </c>
      <c r="AF661">
        <f ca="1">'ETF variations'!AF661/'ETF price'!AG662</f>
        <v>7.7126487439399356E-3</v>
      </c>
    </row>
    <row r="662" spans="1:32" x14ac:dyDescent="0.2">
      <c r="A662">
        <f ca="1">'ETF variations'!A662/'ETF price'!B663</f>
        <v>5.8860251493802803E-3</v>
      </c>
      <c r="B662">
        <f ca="1">'ETF variations'!B662/'ETF price'!C663</f>
        <v>5.6846652267817949E-3</v>
      </c>
      <c r="C662">
        <f ca="1">'ETF variations'!C662/'ETF price'!D663</f>
        <v>-9.5059579595661234E-3</v>
      </c>
      <c r="D662">
        <f ca="1">'ETF variations'!D662/'ETF price'!E663</f>
        <v>1.4177978883861202E-2</v>
      </c>
      <c r="E662">
        <f ca="1">'ETF variations'!E662/'ETF price'!F663</f>
        <v>3.8621509209745266E-3</v>
      </c>
      <c r="F662">
        <f ca="1">'ETF variations'!F662/'ETF price'!G663</f>
        <v>2.3948220064724985E-2</v>
      </c>
      <c r="G662">
        <f ca="1">'ETF variations'!G662/'ETF price'!H663</f>
        <v>1.0827803003842203E-2</v>
      </c>
      <c r="H662">
        <f ca="1">'ETF variations'!H662/'ETF price'!I663</f>
        <v>1.6837197254242931E-3</v>
      </c>
      <c r="I662">
        <f ca="1">'ETF variations'!I662/'ETF price'!J663</f>
        <v>3.7116900562056327E-3</v>
      </c>
      <c r="J662">
        <f ca="1">'ETF variations'!J662/'ETF price'!K663</f>
        <v>5.2245894965396271E-3</v>
      </c>
      <c r="K662">
        <f ca="1">'ETF variations'!K662/'ETF price'!L663</f>
        <v>9.8185063969056328E-3</v>
      </c>
      <c r="L662">
        <f ca="1">'ETF variations'!L662/'ETF price'!M663</f>
        <v>4.3472163791894863E-3</v>
      </c>
      <c r="M662">
        <f ca="1">'ETF variations'!M662/'ETF price'!N663</f>
        <v>3.4279446044151924E-3</v>
      </c>
      <c r="N662">
        <f ca="1">'ETF variations'!N662/'ETF price'!O663</f>
        <v>1.3925152306353362E-2</v>
      </c>
      <c r="O662">
        <f ca="1">'ETF variations'!O662/'ETF price'!P663</f>
        <v>1.6914749661704044E-3</v>
      </c>
      <c r="P662">
        <f ca="1">'ETF variations'!P662/'ETF price'!Q663</f>
        <v>-3.2242463324203008E-4</v>
      </c>
      <c r="Q662">
        <f ca="1">'ETF variations'!Q662/'ETF price'!R663</f>
        <v>1.1470166537994838E-2</v>
      </c>
      <c r="R662">
        <f ca="1">'ETF variations'!R662/'ETF price'!S663</f>
        <v>1.6897081413210356E-2</v>
      </c>
      <c r="S662">
        <f ca="1">'ETF variations'!S662/'ETF price'!T663</f>
        <v>-4.9999999999999741E-3</v>
      </c>
      <c r="T662">
        <f ca="1">'ETF variations'!T662/'ETF price'!U663</f>
        <v>-1.6659894351889529E-2</v>
      </c>
      <c r="U662">
        <f ca="1">'ETF variations'!U662/'ETF price'!V663</f>
        <v>9.5729013254786579E-3</v>
      </c>
      <c r="V662">
        <f ca="1">'ETF variations'!V662/'ETF price'!W663</f>
        <v>-1.5956234328698493E-3</v>
      </c>
      <c r="W662">
        <f ca="1">'ETF variations'!W662/'ETF price'!X663</f>
        <v>-2.8214050597198475E-4</v>
      </c>
      <c r="X662">
        <f ca="1">'ETF variations'!X662/'ETF price'!Y663</f>
        <v>3.5370406759677678E-3</v>
      </c>
      <c r="Y662">
        <f ca="1">'ETF variations'!Y662/'ETF price'!Z663</f>
        <v>0</v>
      </c>
      <c r="Z662">
        <f ca="1">'ETF variations'!Z662/'ETF price'!AA663</f>
        <v>3.3214709371293138E-3</v>
      </c>
      <c r="AA662">
        <f ca="1">'ETF variations'!AA662/'ETF price'!AB663</f>
        <v>5.8758721997796597E-3</v>
      </c>
      <c r="AB662">
        <f ca="1">'ETF variations'!AB662/'ETF price'!AC663</f>
        <v>2.0022883295194587E-3</v>
      </c>
      <c r="AC662">
        <f ca="1">'ETF variations'!AC662/'ETF price'!AD663</f>
        <v>2.6135656502800135E-2</v>
      </c>
      <c r="AD662">
        <f ca="1">'ETF variations'!AD662/'ETF price'!AE663</f>
        <v>3.5142118863049077E-2</v>
      </c>
      <c r="AE662">
        <f ca="1">'ETF variations'!AE662/'ETF price'!AF663</f>
        <v>-6.4794816414687362E-3</v>
      </c>
      <c r="AF662">
        <f ca="1">'ETF variations'!AF662/'ETF price'!AG663</f>
        <v>3.9798819155915162E-2</v>
      </c>
    </row>
    <row r="663" spans="1:32" x14ac:dyDescent="0.2">
      <c r="A663">
        <f ca="1">'ETF variations'!A663/'ETF price'!B664</f>
        <v>-2.3007358808405116E-2</v>
      </c>
      <c r="B663">
        <f ca="1">'ETF variations'!B663/'ETF price'!C664</f>
        <v>-2.092639681121564E-2</v>
      </c>
      <c r="C663">
        <f ca="1">'ETF variations'!C663/'ETF price'!D664</f>
        <v>4.190321708569914E-3</v>
      </c>
      <c r="D663">
        <f ca="1">'ETF variations'!D663/'ETF price'!E664</f>
        <v>-3.4163338149060897E-2</v>
      </c>
      <c r="E663">
        <f ca="1">'ETF variations'!E663/'ETF price'!F664</f>
        <v>-1.0210121337673834E-2</v>
      </c>
      <c r="F663">
        <f ca="1">'ETF variations'!F663/'ETF price'!G664</f>
        <v>-1.6118836915297141E-2</v>
      </c>
      <c r="G663">
        <f ca="1">'ETF variations'!G663/'ETF price'!H664</f>
        <v>-9.3296475466482232E-3</v>
      </c>
      <c r="H663">
        <f ca="1">'ETF variations'!H663/'ETF price'!I664</f>
        <v>6.4649599172481454E-4</v>
      </c>
      <c r="I663">
        <f ca="1">'ETF variations'!I663/'ETF price'!J664</f>
        <v>-1.2678734944002734E-3</v>
      </c>
      <c r="J663">
        <f ca="1">'ETF variations'!J663/'ETF price'!K664</f>
        <v>-1.147485656429306E-2</v>
      </c>
      <c r="K663">
        <f ca="1">'ETF variations'!K663/'ETF price'!L664</f>
        <v>-1.6499705362404173E-2</v>
      </c>
      <c r="L663">
        <f ca="1">'ETF variations'!L663/'ETF price'!M664</f>
        <v>-1.4381457693381752E-2</v>
      </c>
      <c r="M663">
        <f ca="1">'ETF variations'!M663/'ETF price'!N664</f>
        <v>-2.0497403662203561E-3</v>
      </c>
      <c r="N663">
        <f ca="1">'ETF variations'!N663/'ETF price'!O664</f>
        <v>-2.6609442060085878E-2</v>
      </c>
      <c r="O663">
        <f ca="1">'ETF variations'!O663/'ETF price'!P664</f>
        <v>2.5892153551728466E-3</v>
      </c>
      <c r="P663">
        <f ca="1">'ETF variations'!P663/'ETF price'!Q664</f>
        <v>2.0158039025963553E-3</v>
      </c>
      <c r="Q663">
        <f ca="1">'ETF variations'!Q663/'ETF price'!R664</f>
        <v>-2.0717479009922336E-3</v>
      </c>
      <c r="R663">
        <f ca="1">'ETF variations'!R663/'ETF price'!S664</f>
        <v>-1.9301779120510214E-2</v>
      </c>
      <c r="S663">
        <f ca="1">'ETF variations'!S663/'ETF price'!T664</f>
        <v>-9.1365920511647203E-4</v>
      </c>
      <c r="T663">
        <f ca="1">'ETF variations'!T663/'ETF price'!U664</f>
        <v>1.3498622589531736E-2</v>
      </c>
      <c r="U663">
        <f ca="1">'ETF variations'!U663/'ETF price'!V664</f>
        <v>-2.552881108679806E-2</v>
      </c>
      <c r="V663">
        <f ca="1">'ETF variations'!V663/'ETF price'!W664</f>
        <v>5.7077625570776261E-3</v>
      </c>
      <c r="W663">
        <f ca="1">'ETF variations'!W663/'ETF price'!X664</f>
        <v>4.0451552210725005E-3</v>
      </c>
      <c r="X663">
        <f ca="1">'ETF variations'!X663/'ETF price'!Y664</f>
        <v>4.3078128059525914E-3</v>
      </c>
      <c r="Y663">
        <f ca="1">'ETF variations'!Y663/'ETF price'!Z664</f>
        <v>5.3613979348690055E-3</v>
      </c>
      <c r="Z663">
        <f ca="1">'ETF variations'!Z663/'ETF price'!AA664</f>
        <v>6.1480255379521877E-3</v>
      </c>
      <c r="AA663">
        <f ca="1">'ETF variations'!AA663/'ETF price'!AB664</f>
        <v>2.9207740051112921E-3</v>
      </c>
      <c r="AB663">
        <f ca="1">'ETF variations'!AB663/'ETF price'!AC664</f>
        <v>3.9965743648301619E-3</v>
      </c>
      <c r="AC663">
        <f ca="1">'ETF variations'!AC663/'ETF price'!AD664</f>
        <v>-1.8192844147968294E-2</v>
      </c>
      <c r="AD663">
        <f ca="1">'ETF variations'!AD663/'ETF price'!AE664</f>
        <v>-2.1467798302546165E-2</v>
      </c>
      <c r="AE663">
        <f ca="1">'ETF variations'!AE663/'ETF price'!AF664</f>
        <v>5.8695652173913149E-2</v>
      </c>
      <c r="AF663">
        <f ca="1">'ETF variations'!AF663/'ETF price'!AG664</f>
        <v>-3.4910620399579317E-2</v>
      </c>
    </row>
    <row r="664" spans="1:32" x14ac:dyDescent="0.2">
      <c r="A664">
        <f ca="1">'ETF variations'!A664/'ETF price'!B665</f>
        <v>1.6198557103316948E-2</v>
      </c>
      <c r="B664">
        <f ca="1">'ETF variations'!B664/'ETF price'!C665</f>
        <v>1.7811392271786013E-2</v>
      </c>
      <c r="C664">
        <f ca="1">'ETF variations'!C664/'ETF price'!D665</f>
        <v>-1.2585812356979434E-2</v>
      </c>
      <c r="D664">
        <f ca="1">'ETF variations'!D664/'ETF price'!E665</f>
        <v>2.6792784865815992E-2</v>
      </c>
      <c r="E664">
        <f ca="1">'ETF variations'!E664/'ETF price'!F665</f>
        <v>1.240843175362533E-2</v>
      </c>
      <c r="F664">
        <f ca="1">'ETF variations'!F664/'ETF price'!G665</f>
        <v>2.377128172181182E-2</v>
      </c>
      <c r="G664">
        <f ca="1">'ETF variations'!G664/'ETF price'!H665</f>
        <v>1.6044645971398579E-2</v>
      </c>
      <c r="H664">
        <f ca="1">'ETF variations'!H664/'ETF price'!I665</f>
        <v>4.3287246414264605E-3</v>
      </c>
      <c r="I664">
        <f ca="1">'ETF variations'!I664/'ETF price'!J665</f>
        <v>6.4179420269412273E-3</v>
      </c>
      <c r="J664">
        <f ca="1">'ETF variations'!J664/'ETF price'!K665</f>
        <v>1.0242403550699898E-2</v>
      </c>
      <c r="K664">
        <f ca="1">'ETF variations'!K664/'ETF price'!L665</f>
        <v>1.3680846814459802E-2</v>
      </c>
      <c r="L664">
        <f ca="1">'ETF variations'!L664/'ETF price'!M665</f>
        <v>1.0766397506728869E-2</v>
      </c>
      <c r="M664">
        <f ca="1">'ETF variations'!M664/'ETF price'!N665</f>
        <v>6.983431466520678E-3</v>
      </c>
      <c r="N664">
        <f ca="1">'ETF variations'!N664/'ETF price'!O665</f>
        <v>1.8518518518518594E-2</v>
      </c>
      <c r="O664">
        <f ca="1">'ETF variations'!O664/'ETF price'!P665</f>
        <v>1.4933752526386686E-2</v>
      </c>
      <c r="P664">
        <f ca="1">'ETF variations'!P664/'ETF price'!Q665</f>
        <v>1.6898688339905113E-2</v>
      </c>
      <c r="Q664">
        <f ca="1">'ETF variations'!Q664/'ETF price'!R665</f>
        <v>1.3221153846153934E-2</v>
      </c>
      <c r="R664">
        <f ca="1">'ETF variations'!R664/'ETF price'!S665</f>
        <v>2.3446859489987978E-2</v>
      </c>
      <c r="S664">
        <f ca="1">'ETF variations'!S664/'ETF price'!T665</f>
        <v>1.7832647462277116E-2</v>
      </c>
      <c r="T664">
        <f ca="1">'ETF variations'!T664/'ETF price'!U665</f>
        <v>2.6773579777113331E-2</v>
      </c>
      <c r="U664">
        <f ca="1">'ETF variations'!U664/'ETF price'!V665</f>
        <v>5.2145708582834419E-2</v>
      </c>
      <c r="V664">
        <f ca="1">'ETF variations'!V664/'ETF price'!W665</f>
        <v>8.6265607264472775E-3</v>
      </c>
      <c r="W664">
        <f ca="1">'ETF variations'!W664/'ETF price'!X665</f>
        <v>1.2086573596926749E-2</v>
      </c>
      <c r="X664">
        <f ca="1">'ETF variations'!X664/'ETF price'!Y665</f>
        <v>4.269838175082858E-2</v>
      </c>
      <c r="Y664">
        <f ca="1">'ETF variations'!Y664/'ETF price'!Z665</f>
        <v>1.1356903021923676E-2</v>
      </c>
      <c r="Z664">
        <f ca="1">'ETF variations'!Z664/'ETF price'!AA665</f>
        <v>1.927144535840189E-2</v>
      </c>
      <c r="AA664">
        <f ca="1">'ETF variations'!AA664/'ETF price'!AB665</f>
        <v>5.0782672005824522E-2</v>
      </c>
      <c r="AB664">
        <f ca="1">'ETF variations'!AB664/'ETF price'!AC665</f>
        <v>1.9903326698891182E-3</v>
      </c>
      <c r="AC664">
        <f ca="1">'ETF variations'!AC664/'ETF price'!AD665</f>
        <v>5.497220506485466E-2</v>
      </c>
      <c r="AD664">
        <f ca="1">'ETF variations'!AD664/'ETF price'!AE665</f>
        <v>5.561224489795917E-2</v>
      </c>
      <c r="AE664">
        <f ca="1">'ETF variations'!AE664/'ETF price'!AF665</f>
        <v>-3.9014373716632522E-2</v>
      </c>
      <c r="AF664">
        <f ca="1">'ETF variations'!AF664/'ETF price'!AG665</f>
        <v>6.6681194159947749E-2</v>
      </c>
    </row>
    <row r="665" spans="1:32" x14ac:dyDescent="0.2">
      <c r="A665">
        <f ca="1">'ETF variations'!A665/'ETF price'!B666</f>
        <v>-1.2546883372030729E-2</v>
      </c>
      <c r="B665">
        <f ca="1">'ETF variations'!B665/'ETF price'!C666</f>
        <v>-9.4653540456199198E-3</v>
      </c>
      <c r="C665">
        <f ca="1">'ETF variations'!C665/'ETF price'!D666</f>
        <v>-4.0897007702269395E-3</v>
      </c>
      <c r="D665">
        <f ca="1">'ETF variations'!D665/'ETF price'!E666</f>
        <v>-2.5108188011482863E-2</v>
      </c>
      <c r="E665">
        <f ca="1">'ETF variations'!E665/'ETF price'!F666</f>
        <v>-7.6786769049024817E-3</v>
      </c>
      <c r="F665">
        <f ca="1">'ETF variations'!F665/'ETF price'!G666</f>
        <v>-1.1923438970819033E-2</v>
      </c>
      <c r="G665">
        <f ca="1">'ETF variations'!G665/'ETF price'!H666</f>
        <v>-3.0895983522142073E-3</v>
      </c>
      <c r="H665">
        <f ca="1">'ETF variations'!H665/'ETF price'!I666</f>
        <v>-5.1463493084582884E-4</v>
      </c>
      <c r="I665">
        <f ca="1">'ETF variations'!I665/'ETF price'!J666</f>
        <v>-1.5416958654519894E-3</v>
      </c>
      <c r="J665">
        <f ca="1">'ETF variations'!J665/'ETF price'!K666</f>
        <v>-4.73132815140204E-4</v>
      </c>
      <c r="K665">
        <f ca="1">'ETF variations'!K665/'ETF price'!L666</f>
        <v>1.8717367747019774E-3</v>
      </c>
      <c r="L665">
        <f ca="1">'ETF variations'!L665/'ETF price'!M666</f>
        <v>-7.0077084793268617E-4</v>
      </c>
      <c r="M665">
        <f ca="1">'ETF variations'!M665/'ETF price'!N666</f>
        <v>-8.1588251291817059E-4</v>
      </c>
      <c r="N665">
        <f ca="1">'ETF variations'!N665/'ETF price'!O666</f>
        <v>-2.5974025974026958E-3</v>
      </c>
      <c r="O665">
        <f ca="1">'ETF variations'!O665/'ETF price'!P666</f>
        <v>8.9611682708264431E-3</v>
      </c>
      <c r="P665">
        <f ca="1">'ETF variations'!P665/'ETF price'!Q666</f>
        <v>9.4167919601170977E-3</v>
      </c>
      <c r="Q665">
        <f ca="1">'ETF variations'!Q665/'ETF price'!R666</f>
        <v>4.4214385851396162E-3</v>
      </c>
      <c r="R665">
        <f ca="1">'ETF variations'!R665/'ETF price'!S666</f>
        <v>2.8428093645485237E-3</v>
      </c>
      <c r="S665">
        <f ca="1">'ETF variations'!S665/'ETF price'!T666</f>
        <v>1.0332434860736607E-2</v>
      </c>
      <c r="T665">
        <f ca="1">'ETF variations'!T665/'ETF price'!U666</f>
        <v>3.0178689609530129E-2</v>
      </c>
      <c r="U665">
        <f ca="1">'ETF variations'!U665/'ETF price'!V666</f>
        <v>-1.1619634811477401E-2</v>
      </c>
      <c r="V665">
        <f ca="1">'ETF variations'!V665/'ETF price'!W666</f>
        <v>3.1510240828269316E-3</v>
      </c>
      <c r="W665">
        <f ca="1">'ETF variations'!W665/'ETF price'!X666</f>
        <v>2.5921125717459836E-3</v>
      </c>
      <c r="X665">
        <f ca="1">'ETF variations'!X665/'ETF price'!Y666</f>
        <v>-5.048616305160734E-3</v>
      </c>
      <c r="Y665">
        <f ca="1">'ETF variations'!Y665/'ETF price'!Z666</f>
        <v>3.1246948540182345E-3</v>
      </c>
      <c r="Z665">
        <f ca="1">'ETF variations'!Z665/'ETF price'!AA666</f>
        <v>-6.9172238874784487E-4</v>
      </c>
      <c r="AA665">
        <f ca="1">'ETF variations'!AA665/'ETF price'!AB666</f>
        <v>-7.4484670015589772E-3</v>
      </c>
      <c r="AB665">
        <f ca="1">'ETF variations'!AB665/'ETF price'!AC666</f>
        <v>7.5198637911464399E-3</v>
      </c>
      <c r="AC665">
        <f ca="1">'ETF variations'!AC665/'ETF price'!AD666</f>
        <v>-1.5222482435597075E-2</v>
      </c>
      <c r="AD665">
        <f ca="1">'ETF variations'!AD665/'ETF price'!AE666</f>
        <v>-5.3165780570325269E-3</v>
      </c>
      <c r="AE665">
        <f ca="1">'ETF variations'!AE665/'ETF price'!AF666</f>
        <v>4.0598290598290683E-2</v>
      </c>
      <c r="AF665">
        <f ca="1">'ETF variations'!AF665/'ETF price'!AG666</f>
        <v>-2.0837589376915284E-2</v>
      </c>
    </row>
    <row r="666" spans="1:32" x14ac:dyDescent="0.2">
      <c r="A666">
        <f ca="1">'ETF variations'!A666/'ETF price'!B667</f>
        <v>6.0592358127967592E-3</v>
      </c>
      <c r="B666">
        <f ca="1">'ETF variations'!B666/'ETF price'!C667</f>
        <v>4.6647636287684745E-3</v>
      </c>
      <c r="C666">
        <f ca="1">'ETF variations'!C666/'ETF price'!D667</f>
        <v>1.1292861542673172E-2</v>
      </c>
      <c r="D666">
        <f ca="1">'ETF variations'!D666/'ETF price'!E667</f>
        <v>1.1075462576363602E-2</v>
      </c>
      <c r="E666">
        <f ca="1">'ETF variations'!E666/'ETF price'!F667</f>
        <v>3.1249999999999069E-3</v>
      </c>
      <c r="F666">
        <f ca="1">'ETF variations'!F666/'ETF price'!G667</f>
        <v>6.3512226103525837E-3</v>
      </c>
      <c r="G666">
        <f ca="1">'ETF variations'!G666/'ETF price'!H667</f>
        <v>4.4765840220386561E-3</v>
      </c>
      <c r="H666">
        <f ca="1">'ETF variations'!H666/'ETF price'!I667</f>
        <v>1.5446997489863494E-3</v>
      </c>
      <c r="I666">
        <f ca="1">'ETF variations'!I666/'ETF price'!J667</f>
        <v>1.8950028074116384E-3</v>
      </c>
      <c r="J666">
        <f ca="1">'ETF variations'!J666/'ETF price'!K667</f>
        <v>-6.7622396537671796E-5</v>
      </c>
      <c r="K666">
        <f ca="1">'ETF variations'!K666/'ETF price'!L667</f>
        <v>-6.1946902654868201E-3</v>
      </c>
      <c r="L666">
        <f ca="1">'ETF variations'!L666/'ETF price'!M667</f>
        <v>1.8232819074335156E-3</v>
      </c>
      <c r="M666">
        <f ca="1">'ETF variations'!M666/'ETF price'!N667</f>
        <v>2.7218290691339165E-4</v>
      </c>
      <c r="N666">
        <f ca="1">'ETF variations'!N666/'ETF price'!O667</f>
        <v>-3.4722222222221483E-3</v>
      </c>
      <c r="O666">
        <f ca="1">'ETF variations'!O666/'ETF price'!P667</f>
        <v>-9.3201754385965844E-3</v>
      </c>
      <c r="P666">
        <f ca="1">'ETF variations'!P666/'ETF price'!Q667</f>
        <v>-9.5641266854813323E-3</v>
      </c>
      <c r="Q666">
        <f ca="1">'ETF variations'!Q666/'ETF price'!R667</f>
        <v>1.0736525660301821E-4</v>
      </c>
      <c r="R666">
        <f ca="1">'ETF variations'!R666/'ETF price'!S667</f>
        <v>4.1687510421877603E-3</v>
      </c>
      <c r="S666">
        <f ca="1">'ETF variations'!S666/'ETF price'!T667</f>
        <v>-4.891062694530878E-3</v>
      </c>
      <c r="T666">
        <f ca="1">'ETF variations'!T666/'ETF price'!U667</f>
        <v>-1.7217011435179282E-2</v>
      </c>
      <c r="U666">
        <f ca="1">'ETF variations'!U666/'ETF price'!V667</f>
        <v>-3.5988483685220388E-3</v>
      </c>
      <c r="V666">
        <f ca="1">'ETF variations'!V666/'ETF price'!W667</f>
        <v>5.1604218083912247E-3</v>
      </c>
      <c r="W666">
        <f ca="1">'ETF variations'!W666/'ETF price'!X667</f>
        <v>3.1394275161588498E-3</v>
      </c>
      <c r="X666">
        <f ca="1">'ETF variations'!X666/'ETF price'!Y667</f>
        <v>-7.3294493516256444E-3</v>
      </c>
      <c r="Y666">
        <f ca="1">'ETF variations'!Y666/'ETF price'!Z667</f>
        <v>2.3362211622699781E-3</v>
      </c>
      <c r="Z666">
        <f ca="1">'ETF variations'!Z666/'ETF price'!AA667</f>
        <v>2.5380710659898345E-3</v>
      </c>
      <c r="AA666">
        <f ca="1">'ETF variations'!AA666/'ETF price'!AB667</f>
        <v>-9.5986038394414875E-3</v>
      </c>
      <c r="AB666">
        <f ca="1">'ETF variations'!AB666/'ETF price'!AC667</f>
        <v>1.0561892691170256E-2</v>
      </c>
      <c r="AC666">
        <f ca="1">'ETF variations'!AC666/'ETF price'!AD667</f>
        <v>-2.794292508917948E-2</v>
      </c>
      <c r="AD666">
        <f ca="1">'ETF variations'!AD666/'ETF price'!AE667</f>
        <v>-1.9922254616132003E-2</v>
      </c>
      <c r="AE666">
        <f ca="1">'ETF variations'!AE666/'ETF price'!AF667</f>
        <v>-1.0266940451745343E-2</v>
      </c>
      <c r="AF666">
        <f ca="1">'ETF variations'!AF666/'ETF price'!AG667</f>
        <v>-3.5259753807636088E-2</v>
      </c>
    </row>
    <row r="667" spans="1:32" x14ac:dyDescent="0.2">
      <c r="A667">
        <f ca="1">'ETF variations'!A667/'ETF price'!B668</f>
        <v>-1.3798372960582594E-2</v>
      </c>
      <c r="B667">
        <f ca="1">'ETF variations'!B667/'ETF price'!C668</f>
        <v>-1.3184338184338206E-2</v>
      </c>
      <c r="C667">
        <f ca="1">'ETF variations'!C667/'ETF price'!D668</f>
        <v>-4.1824580400649555E-2</v>
      </c>
      <c r="D667">
        <f ca="1">'ETF variations'!D667/'ETF price'!E668</f>
        <v>-1.8039556618126517E-2</v>
      </c>
      <c r="E667">
        <f ca="1">'ETF variations'!E667/'ETF price'!F668</f>
        <v>-7.565643079661637E-3</v>
      </c>
      <c r="F667">
        <f ca="1">'ETF variations'!F667/'ETF price'!G668</f>
        <v>-1.1991164405175215E-2</v>
      </c>
      <c r="G667">
        <f ca="1">'ETF variations'!G667/'ETF price'!H668</f>
        <v>-9.5989029825163229E-3</v>
      </c>
      <c r="H667">
        <f ca="1">'ETF variations'!H667/'ETF price'!I668</f>
        <v>1.1567379988431231E-3</v>
      </c>
      <c r="I667">
        <f ca="1">'ETF variations'!I667/'ETF price'!J668</f>
        <v>-3.1523642732040274E-4</v>
      </c>
      <c r="J667">
        <f ca="1">'ETF variations'!J667/'ETF price'!K668</f>
        <v>-6.086427267194387E-4</v>
      </c>
      <c r="K667">
        <f ca="1">'ETF variations'!K667/'ETF price'!L668</f>
        <v>-5.2438903730086771E-3</v>
      </c>
      <c r="L667">
        <f ca="1">'ETF variations'!L667/'ETF price'!M668</f>
        <v>-3.9199216015679845E-3</v>
      </c>
      <c r="M667">
        <f ca="1">'ETF variations'!M667/'ETF price'!N668</f>
        <v>6.8027210884349877E-4</v>
      </c>
      <c r="N667">
        <f ca="1">'ETF variations'!N667/'ETF price'!O668</f>
        <v>-6.9686411149825845E-3</v>
      </c>
      <c r="O667">
        <f ca="1">'ETF variations'!O667/'ETF price'!P668</f>
        <v>-6.4194798007747465E-3</v>
      </c>
      <c r="P667">
        <f ca="1">'ETF variations'!P667/'ETF price'!Q668</f>
        <v>-6.8861801488048482E-3</v>
      </c>
      <c r="Q667">
        <f ca="1">'ETF variations'!Q667/'ETF price'!R668</f>
        <v>-4.2941492216855143E-3</v>
      </c>
      <c r="R667">
        <f ca="1">'ETF variations'!R667/'ETF price'!S668</f>
        <v>-1.8764530056459571E-2</v>
      </c>
      <c r="S667">
        <f ca="1">'ETF variations'!S667/'ETF price'!T668</f>
        <v>-1.2064343163538856E-2</v>
      </c>
      <c r="T667">
        <f ca="1">'ETF variations'!T667/'ETF price'!U668</f>
        <v>-1.3204340436658269E-2</v>
      </c>
      <c r="U667">
        <f ca="1">'ETF variations'!U667/'ETF price'!V668</f>
        <v>-1.4688177221285804E-2</v>
      </c>
      <c r="V667">
        <f ca="1">'ETF variations'!V667/'ETF price'!W668</f>
        <v>2.4553571428571302E-3</v>
      </c>
      <c r="W667">
        <f ca="1">'ETF variations'!W667/'ETF price'!X668</f>
        <v>2.6693667157585261E-3</v>
      </c>
      <c r="X667">
        <f ca="1">'ETF variations'!X667/'ETF price'!Y668</f>
        <v>7.9515335100341106E-3</v>
      </c>
      <c r="Y667">
        <f ca="1">'ETF variations'!Y667/'ETF price'!Z668</f>
        <v>3.3019326017286921E-3</v>
      </c>
      <c r="Z667">
        <f ca="1">'ETF variations'!Z667/'ETF price'!AA668</f>
        <v>-3.4522439585732033E-3</v>
      </c>
      <c r="AA667">
        <f ca="1">'ETF variations'!AA667/'ETF price'!AB668</f>
        <v>8.634361233480211E-3</v>
      </c>
      <c r="AB667">
        <f ca="1">'ETF variations'!AB667/'ETF price'!AC668</f>
        <v>-1.0033444816053495E-2</v>
      </c>
      <c r="AC667">
        <f ca="1">'ETF variations'!AC667/'ETF price'!AD668</f>
        <v>-3.9755351681957311E-2</v>
      </c>
      <c r="AD667">
        <f ca="1">'ETF variations'!AD667/'ETF price'!AE668</f>
        <v>-5.3049082796232036E-2</v>
      </c>
      <c r="AE667">
        <f ca="1">'ETF variations'!AE667/'ETF price'!AF668</f>
        <v>3.7344398340248899E-2</v>
      </c>
      <c r="AF667">
        <f ca="1">'ETF variations'!AF667/'ETF price'!AG668</f>
        <v>-4.9524221453287179E-2</v>
      </c>
    </row>
    <row r="668" spans="1:32" x14ac:dyDescent="0.2">
      <c r="A668">
        <f ca="1">'ETF variations'!A668/'ETF price'!B669</f>
        <v>-9.0237899917965086E-3</v>
      </c>
      <c r="B668">
        <f ca="1">'ETF variations'!B668/'ETF price'!C669</f>
        <v>-2.6685861760213166E-3</v>
      </c>
      <c r="C668">
        <f ca="1">'ETF variations'!C668/'ETF price'!D669</f>
        <v>-3.8140980364459701E-3</v>
      </c>
      <c r="D668">
        <f ca="1">'ETF variations'!D668/'ETF price'!E669</f>
        <v>-2.8773793714033007E-3</v>
      </c>
      <c r="E668">
        <f ca="1">'ETF variations'!E668/'ETF price'!F669</f>
        <v>2.989536621823447E-3</v>
      </c>
      <c r="F668">
        <f ca="1">'ETF variations'!F668/'ETF price'!G669</f>
        <v>2.8744809964867412E-3</v>
      </c>
      <c r="G668">
        <f ca="1">'ETF variations'!G668/'ETF price'!H669</f>
        <v>4.4998269297334371E-3</v>
      </c>
      <c r="H668">
        <f ca="1">'ETF variations'!H668/'ETF price'!I669</f>
        <v>2.1182360870403267E-3</v>
      </c>
      <c r="I668">
        <f ca="1">'ETF variations'!I668/'ETF price'!J669</f>
        <v>3.7139553624610288E-3</v>
      </c>
      <c r="J668">
        <f ca="1">'ETF variations'!J668/'ETF price'!K669</f>
        <v>3.3834077683042359E-3</v>
      </c>
      <c r="K668">
        <f ca="1">'ETF variations'!K668/'ETF price'!L669</f>
        <v>3.6801273125123364E-3</v>
      </c>
      <c r="L668">
        <f ca="1">'ETF variations'!L668/'ETF price'!M669</f>
        <v>9.5572733661277946E-3</v>
      </c>
      <c r="M668">
        <f ca="1">'ETF variations'!M668/'ETF price'!N669</f>
        <v>3.6709721278041607E-3</v>
      </c>
      <c r="N668">
        <f ca="1">'ETF variations'!N668/'ETF price'!O669</f>
        <v>7.8947368421052513E-3</v>
      </c>
      <c r="O668">
        <f ca="1">'ETF variations'!O668/'ETF price'!P669</f>
        <v>1.303330734098253E-2</v>
      </c>
      <c r="P668">
        <f ca="1">'ETF variations'!P668/'ETF price'!Q669</f>
        <v>1.2911452936957078E-2</v>
      </c>
      <c r="Q668">
        <f ca="1">'ETF variations'!Q668/'ETF price'!R669</f>
        <v>5.4986522911051761E-3</v>
      </c>
      <c r="R668">
        <f ca="1">'ETF variations'!R668/'ETF price'!S669</f>
        <v>1.235403621594173E-2</v>
      </c>
      <c r="S668">
        <f ca="1">'ETF variations'!S668/'ETF price'!T669</f>
        <v>1.1307100859339666E-2</v>
      </c>
      <c r="T668">
        <f ca="1">'ETF variations'!T668/'ETF price'!U669</f>
        <v>1.7090620031796396E-2</v>
      </c>
      <c r="U668">
        <f ca="1">'ETF variations'!U668/'ETF price'!V669</f>
        <v>-3.42130987292279E-3</v>
      </c>
      <c r="V668">
        <f ca="1">'ETF variations'!V668/'ETF price'!W669</f>
        <v>8.9067022934759682E-3</v>
      </c>
      <c r="W668">
        <f ca="1">'ETF variations'!W668/'ETF price'!X669</f>
        <v>7.8949784265124334E-3</v>
      </c>
      <c r="X668">
        <f ca="1">'ETF variations'!X668/'ETF price'!Y669</f>
        <v>2.441773102930042E-3</v>
      </c>
      <c r="Y668">
        <f ca="1">'ETF variations'!Y668/'ETF price'!Z669</f>
        <v>5.7109669925467371E-3</v>
      </c>
      <c r="Z668">
        <f ca="1">'ETF variations'!Z668/'ETF price'!AA669</f>
        <v>-3.9260969976904064E-3</v>
      </c>
      <c r="AA668">
        <f ca="1">'ETF variations'!AA668/'ETF price'!AB669</f>
        <v>2.7952480782668866E-3</v>
      </c>
      <c r="AB668">
        <f ca="1">'ETF variations'!AB668/'ETF price'!AC669</f>
        <v>-1.2668918918919399E-3</v>
      </c>
      <c r="AC668">
        <f ca="1">'ETF variations'!AC668/'ETF price'!AD669</f>
        <v>6.3694267515924472E-3</v>
      </c>
      <c r="AD668">
        <f ca="1">'ETF variations'!AD668/'ETF price'!AE669</f>
        <v>5.7591623036648909E-3</v>
      </c>
      <c r="AE668">
        <f ca="1">'ETF variations'!AE668/'ETF price'!AF669</f>
        <v>-2.2000000000000065E-2</v>
      </c>
      <c r="AF668">
        <f ca="1">'ETF variations'!AF668/'ETF price'!AG669</f>
        <v>8.4186575654151864E-3</v>
      </c>
    </row>
    <row r="669" spans="1:32" x14ac:dyDescent="0.2">
      <c r="A669">
        <f ca="1">'ETF variations'!A669/'ETF price'!B670</f>
        <v>1.3291022810890429E-2</v>
      </c>
      <c r="B669">
        <f ca="1">'ETF variations'!B669/'ETF price'!C670</f>
        <v>1.0386043973453935E-2</v>
      </c>
      <c r="C669">
        <f ca="1">'ETF variations'!C669/'ETF price'!D670</f>
        <v>0</v>
      </c>
      <c r="D669">
        <f ca="1">'ETF variations'!D669/'ETF price'!E670</f>
        <v>2.6148723640399496E-2</v>
      </c>
      <c r="E669">
        <f ca="1">'ETF variations'!E669/'ETF price'!F670</f>
        <v>7.1535022354695084E-3</v>
      </c>
      <c r="F669">
        <f ca="1">'ETF variations'!F669/'ETF price'!G670</f>
        <v>5.0955414012738903E-3</v>
      </c>
      <c r="G669">
        <f ca="1">'ETF variations'!G669/'ETF price'!H670</f>
        <v>2.0675396278428231E-3</v>
      </c>
      <c r="H669">
        <f ca="1">'ETF variations'!H669/'ETF price'!I670</f>
        <v>6.917755572636331E-3</v>
      </c>
      <c r="I669">
        <f ca="1">'ETF variations'!I669/'ETF price'!J670</f>
        <v>5.6899500820330063E-3</v>
      </c>
      <c r="J669">
        <f ca="1">'ETF variations'!J669/'ETF price'!K670</f>
        <v>-7.4183976261136793E-4</v>
      </c>
      <c r="K669">
        <f ca="1">'ETF variations'!K669/'ETF price'!L670</f>
        <v>3.4684372212863794E-3</v>
      </c>
      <c r="L669">
        <f ca="1">'ETF variations'!L669/'ETF price'!M670</f>
        <v>5.5687038841718297E-4</v>
      </c>
      <c r="M669">
        <f ca="1">'ETF variations'!M669/'ETF price'!N670</f>
        <v>4.7412625304796606E-3</v>
      </c>
      <c r="N669">
        <f ca="1">'ETF variations'!N669/'ETF price'!O670</f>
        <v>-9.5735422106178782E-3</v>
      </c>
      <c r="O669">
        <f ca="1">'ETF variations'!O669/'ETF price'!P670</f>
        <v>3.7387288321970905E-3</v>
      </c>
      <c r="P669">
        <f ca="1">'ETF variations'!P669/'ETF price'!Q670</f>
        <v>2.6752694940593547E-3</v>
      </c>
      <c r="Q669">
        <f ca="1">'ETF variations'!Q669/'ETF price'!R670</f>
        <v>1.0937164915290542E-2</v>
      </c>
      <c r="R669">
        <f ca="1">'ETF variations'!R669/'ETF price'!S670</f>
        <v>3.3433634236046682E-4</v>
      </c>
      <c r="S669">
        <f ca="1">'ETF variations'!S669/'ETF price'!T670</f>
        <v>-1.1180679785330949E-2</v>
      </c>
      <c r="T669">
        <f ca="1">'ETF variations'!T669/'ETF price'!U670</f>
        <v>-3.1652989449003424E-2</v>
      </c>
      <c r="U669">
        <f ca="1">'ETF variations'!U669/'ETF price'!V670</f>
        <v>1.2260912211868563E-2</v>
      </c>
      <c r="V669">
        <f ca="1">'ETF variations'!V669/'ETF price'!W670</f>
        <v>9.4901787684837716E-3</v>
      </c>
      <c r="W669">
        <f ca="1">'ETF variations'!W669/'ETF price'!X670</f>
        <v>9.654795518717443E-3</v>
      </c>
      <c r="X669">
        <f ca="1">'ETF variations'!X669/'ETF price'!Y670</f>
        <v>9.1811879332958975E-3</v>
      </c>
      <c r="Y669">
        <f ca="1">'ETF variations'!Y669/'ETF price'!Z670</f>
        <v>1.1068334937439764E-2</v>
      </c>
      <c r="Z669">
        <f ca="1">'ETF variations'!Z669/'ETF price'!AA670</f>
        <v>9.7380013911429301E-3</v>
      </c>
      <c r="AA669">
        <f ca="1">'ETF variations'!AA669/'ETF price'!AB670</f>
        <v>7.4912891986062668E-3</v>
      </c>
      <c r="AB669">
        <f ca="1">'ETF variations'!AB669/'ETF price'!AC670</f>
        <v>-1.0711768851303807E-2</v>
      </c>
      <c r="AC669">
        <f ca="1">'ETF variations'!AC669/'ETF price'!AD670</f>
        <v>-8.8607594936709212E-3</v>
      </c>
      <c r="AD669">
        <f ca="1">'ETF variations'!AD669/'ETF price'!AE670</f>
        <v>-1.0931806350858971E-2</v>
      </c>
      <c r="AE669">
        <f ca="1">'ETF variations'!AE669/'ETF price'!AF670</f>
        <v>-5.3169734151329202E-2</v>
      </c>
      <c r="AF669">
        <f ca="1">'ETF variations'!AF669/'ETF price'!AG670</f>
        <v>-1.962996389891691E-2</v>
      </c>
    </row>
    <row r="670" spans="1:32" x14ac:dyDescent="0.2">
      <c r="A670">
        <f ca="1">'ETF variations'!A670/'ETF price'!B671</f>
        <v>-4.5931103344982543E-2</v>
      </c>
      <c r="B670">
        <f ca="1">'ETF variations'!B670/'ETF price'!C671</f>
        <v>-4.4044113803857296E-2</v>
      </c>
      <c r="C670">
        <f ca="1">'ETF variations'!C670/'ETF price'!D671</f>
        <v>-2.3681225184344894E-2</v>
      </c>
      <c r="D670">
        <f ca="1">'ETF variations'!D670/'ETF price'!E671</f>
        <v>-7.6317383403997519E-2</v>
      </c>
      <c r="E670">
        <f ca="1">'ETF variations'!E670/'ETF price'!F671</f>
        <v>-2.2491861497484406E-2</v>
      </c>
      <c r="F670">
        <f ca="1">'ETF variations'!F670/'ETF price'!G671</f>
        <v>-4.4043092522179882E-2</v>
      </c>
      <c r="G670">
        <f ca="1">'ETF variations'!G670/'ETF price'!H671</f>
        <v>-2.4759284731774377E-2</v>
      </c>
      <c r="H670">
        <f ca="1">'ETF variations'!H670/'ETF price'!I671</f>
        <v>-1.9083969465647772E-3</v>
      </c>
      <c r="I670">
        <f ca="1">'ETF variations'!I670/'ETF price'!J671</f>
        <v>-3.9916695591809583E-3</v>
      </c>
      <c r="J670">
        <f ca="1">'ETF variations'!J670/'ETF price'!K671</f>
        <v>-1.6940001349800844E-2</v>
      </c>
      <c r="K670">
        <f ca="1">'ETF variations'!K670/'ETF price'!L671</f>
        <v>-2.5676476397392935E-2</v>
      </c>
      <c r="L670">
        <f ca="1">'ETF variations'!L670/'ETF price'!M671</f>
        <v>-2.2540698483372819E-2</v>
      </c>
      <c r="M670">
        <f ca="1">'ETF variations'!M670/'ETF price'!N671</f>
        <v>-2.966158824322487E-3</v>
      </c>
      <c r="N670">
        <f ca="1">'ETF variations'!N670/'ETF price'!O671</f>
        <v>-2.724077328646753E-2</v>
      </c>
      <c r="O670">
        <f ca="1">'ETF variations'!O670/'ETF price'!P671</f>
        <v>-2.4868536371603814E-2</v>
      </c>
      <c r="P670">
        <f ca="1">'ETF variations'!P670/'ETF price'!Q671</f>
        <v>-2.7309110884407156E-2</v>
      </c>
      <c r="Q670">
        <f ca="1">'ETF variations'!Q670/'ETF price'!R671</f>
        <v>-2.2698345354263901E-2</v>
      </c>
      <c r="R670">
        <f ca="1">'ETF variations'!R670/'ETF price'!S671</f>
        <v>-6.0494652406417188E-2</v>
      </c>
      <c r="S670">
        <f ca="1">'ETF variations'!S670/'ETF price'!T671</f>
        <v>-1.990049751243771E-2</v>
      </c>
      <c r="T670">
        <f ca="1">'ETF variations'!T670/'ETF price'!U671</f>
        <v>-4.3718052192628462E-2</v>
      </c>
      <c r="U670">
        <f ca="1">'ETF variations'!U670/'ETF price'!V671</f>
        <v>-3.5368217054263587E-2</v>
      </c>
      <c r="V670">
        <f ca="1">'ETF variations'!V670/'ETF price'!W671</f>
        <v>-7.4333187581985876E-3</v>
      </c>
      <c r="W670">
        <f ca="1">'ETF variations'!W670/'ETF price'!X671</f>
        <v>-9.923319801533553E-3</v>
      </c>
      <c r="X670">
        <f ca="1">'ETF variations'!X670/'ETF price'!Y671</f>
        <v>-1.3553657630894856E-2</v>
      </c>
      <c r="Y670">
        <f ca="1">'ETF variations'!Y670/'ETF price'!Z671</f>
        <v>-1.0756782484531133E-2</v>
      </c>
      <c r="Z670">
        <f ca="1">'ETF variations'!Z670/'ETF price'!AA671</f>
        <v>2.2962112514351646E-3</v>
      </c>
      <c r="AA670">
        <f ca="1">'ETF variations'!AA670/'ETF price'!AB671</f>
        <v>-1.2796126577900656E-2</v>
      </c>
      <c r="AB670">
        <f ca="1">'ETF variations'!AB670/'ETF price'!AC671</f>
        <v>-1.6953982048724857E-2</v>
      </c>
      <c r="AC670">
        <f ca="1">'ETF variations'!AC670/'ETF price'!AD671</f>
        <v>-1.8518518518518576E-2</v>
      </c>
      <c r="AD670">
        <f ca="1">'ETF variations'!AD670/'ETF price'!AE671</f>
        <v>-7.4210526315789477E-2</v>
      </c>
      <c r="AE670">
        <f ca="1">'ETF variations'!AE670/'ETF price'!AF671</f>
        <v>-4.3196544276456967E-3</v>
      </c>
      <c r="AF670">
        <f ca="1">'ETF variations'!AF670/'ETF price'!AG671</f>
        <v>-9.8273878020713523E-2</v>
      </c>
    </row>
    <row r="671" spans="1:32" x14ac:dyDescent="0.2">
      <c r="A671">
        <f ca="1">'ETF variations'!A671/'ETF price'!B672</f>
        <v>-2.568859711716952E-3</v>
      </c>
      <c r="B671">
        <f ca="1">'ETF variations'!B671/'ETF price'!C672</f>
        <v>-2.1505768284460509E-3</v>
      </c>
      <c r="C671">
        <f ca="1">'ETF variations'!C671/'ETF price'!D672</f>
        <v>1.2418300653594829E-2</v>
      </c>
      <c r="D671">
        <f ca="1">'ETF variations'!D671/'ETF price'!E672</f>
        <v>3.2786885245901106E-3</v>
      </c>
      <c r="E671">
        <f ca="1">'ETF variations'!E671/'ETF price'!F672</f>
        <v>-1.0899182561307884E-2</v>
      </c>
      <c r="F671">
        <f ca="1">'ETF variations'!F671/'ETF price'!G672</f>
        <v>-6.6291017567120594E-3</v>
      </c>
      <c r="G671">
        <f ca="1">'ETF variations'!G671/'ETF price'!H672</f>
        <v>2.4682651622002921E-3</v>
      </c>
      <c r="H671">
        <f ca="1">'ETF variations'!H671/'ETF price'!I672</f>
        <v>-1.7208413001912697E-3</v>
      </c>
      <c r="I671">
        <f ca="1">'ETF variations'!I671/'ETF price'!J672</f>
        <v>-1.6030667363651492E-3</v>
      </c>
      <c r="J671">
        <f ca="1">'ETF variations'!J671/'ETF price'!K672</f>
        <v>-1.0984484415762501E-3</v>
      </c>
      <c r="K671">
        <f ca="1">'ETF variations'!K671/'ETF price'!L672</f>
        <v>-1.419014798297188E-3</v>
      </c>
      <c r="L671">
        <f ca="1">'ETF variations'!L671/'ETF price'!M672</f>
        <v>-4.6975088967971292E-3</v>
      </c>
      <c r="M671">
        <f ca="1">'ETF variations'!M671/'ETF price'!N672</f>
        <v>-2.5693035835023356E-3</v>
      </c>
      <c r="N671">
        <f ca="1">'ETF variations'!N671/'ETF price'!O672</f>
        <v>-9.0334236675699772E-3</v>
      </c>
      <c r="O671">
        <f ca="1">'ETF variations'!O671/'ETF price'!P672</f>
        <v>-1.3818672059319222E-2</v>
      </c>
      <c r="P671">
        <f ca="1">'ETF variations'!P671/'ETF price'!Q672</f>
        <v>-1.4602662363856411E-2</v>
      </c>
      <c r="Q671">
        <f ca="1">'ETF variations'!Q671/'ETF price'!R672</f>
        <v>-4.1241588886476608E-3</v>
      </c>
      <c r="R671">
        <f ca="1">'ETF variations'!R671/'ETF price'!S672</f>
        <v>-8.0042689434364246E-3</v>
      </c>
      <c r="S671">
        <f ca="1">'ETF variations'!S671/'ETF price'!T672</f>
        <v>-7.3834794646977448E-3</v>
      </c>
      <c r="T671">
        <f ca="1">'ETF variations'!T671/'ETF price'!U672</f>
        <v>-2.0818680545787085E-2</v>
      </c>
      <c r="U671">
        <f ca="1">'ETF variations'!U671/'ETF price'!V672</f>
        <v>1.1551983927674557E-2</v>
      </c>
      <c r="V671">
        <f ca="1">'ETF variations'!V671/'ETF price'!W672</f>
        <v>1.1013215859031777E-3</v>
      </c>
      <c r="W671">
        <f ca="1">'ETF variations'!W671/'ETF price'!X672</f>
        <v>-1.2756264236902103E-3</v>
      </c>
      <c r="X671">
        <f ca="1">'ETF variations'!X671/'ETF price'!Y672</f>
        <v>-8.8462262375306969E-3</v>
      </c>
      <c r="Y671">
        <f ca="1">'ETF variations'!Y671/'ETF price'!Z672</f>
        <v>-1.1547344110854941E-3</v>
      </c>
      <c r="Z671">
        <f ca="1">'ETF variations'!Z671/'ETF price'!AA672</f>
        <v>2.2909507445590246E-3</v>
      </c>
      <c r="AA671">
        <f ca="1">'ETF variations'!AA671/'ETF price'!AB672</f>
        <v>-1.2086179716237603E-2</v>
      </c>
      <c r="AB671">
        <f ca="1">'ETF variations'!AB671/'ETF price'!AC672</f>
        <v>1.3913043478260778E-2</v>
      </c>
      <c r="AC671">
        <f ca="1">'ETF variations'!AC671/'ETF price'!AD672</f>
        <v>6.5061808718292543E-4</v>
      </c>
      <c r="AD671">
        <f ca="1">'ETF variations'!AD671/'ETF price'!AE672</f>
        <v>1.7055144968732882E-3</v>
      </c>
      <c r="AE671">
        <f ca="1">'ETF variations'!AE671/'ETF price'!AF672</f>
        <v>-2.1691973969632699E-3</v>
      </c>
      <c r="AF671">
        <f ca="1">'ETF variations'!AF671/'ETF price'!AG672</f>
        <v>1.7866258295048567E-3</v>
      </c>
    </row>
    <row r="672" spans="1:32" x14ac:dyDescent="0.2">
      <c r="A672">
        <f ca="1">'ETF variations'!A672/'ETF price'!B673</f>
        <v>-1.5262078504315983E-3</v>
      </c>
      <c r="B672">
        <f ca="1">'ETF variations'!B672/'ETF price'!C673</f>
        <v>-2.2282698032913138E-3</v>
      </c>
      <c r="C672">
        <f ca="1">'ETF variations'!C672/'ETF price'!D673</f>
        <v>1.1046553331898658E-2</v>
      </c>
      <c r="D672">
        <f ca="1">'ETF variations'!D672/'ETF price'!E673</f>
        <v>-5.3688141923434983E-3</v>
      </c>
      <c r="E672">
        <f ca="1">'ETF variations'!E672/'ETF price'!F673</f>
        <v>-7.1931435567799025E-3</v>
      </c>
      <c r="F672">
        <f ca="1">'ETF variations'!F672/'ETF price'!G673</f>
        <v>-1.3346680013346397E-3</v>
      </c>
      <c r="G672">
        <f ca="1">'ETF variations'!G672/'ETF price'!H673</f>
        <v>-2.4621878297573087E-3</v>
      </c>
      <c r="H672">
        <f ca="1">'ETF variations'!H672/'ETF price'!I673</f>
        <v>-1.3726616867777602E-2</v>
      </c>
      <c r="I672">
        <f ca="1">'ETF variations'!I672/'ETF price'!J673</f>
        <v>-1.2740409787427255E-2</v>
      </c>
      <c r="J672">
        <f ca="1">'ETF variations'!J672/'ETF price'!K673</f>
        <v>-4.8797250859107079E-3</v>
      </c>
      <c r="K672">
        <f ca="1">'ETF variations'!K672/'ETF price'!L673</f>
        <v>-4.4660982541615685E-3</v>
      </c>
      <c r="L672">
        <f ca="1">'ETF variations'!L672/'ETF price'!M673</f>
        <v>-9.2963386727689598E-3</v>
      </c>
      <c r="M672">
        <f ca="1">'ETF variations'!M672/'ETF price'!N673</f>
        <v>-1.1117136659436108E-2</v>
      </c>
      <c r="N672">
        <f ca="1">'ETF variations'!N672/'ETF price'!O673</f>
        <v>9.1157702825886834E-4</v>
      </c>
      <c r="O672">
        <f ca="1">'ETF variations'!O672/'ETF price'!P673</f>
        <v>-7.7466393255867716E-3</v>
      </c>
      <c r="P672">
        <f ca="1">'ETF variations'!P672/'ETF price'!Q673</f>
        <v>-6.9592271164237293E-3</v>
      </c>
      <c r="Q672">
        <f ca="1">'ETF variations'!Q672/'ETF price'!R673</f>
        <v>-7.8465562336529956E-3</v>
      </c>
      <c r="R672">
        <f ca="1">'ETF variations'!R672/'ETF price'!S673</f>
        <v>-6.4550833781604183E-3</v>
      </c>
      <c r="S672">
        <f ca="1">'ETF variations'!S672/'ETF price'!T673</f>
        <v>2.3245002324498911E-3</v>
      </c>
      <c r="T672">
        <f ca="1">'ETF variations'!T672/'ETF price'!U673</f>
        <v>4.0224105731935227E-3</v>
      </c>
      <c r="U672">
        <f ca="1">'ETF variations'!U672/'ETF price'!V673</f>
        <v>-7.1996027805362253E-3</v>
      </c>
      <c r="V672">
        <f ca="1">'ETF variations'!V672/'ETF price'!W673</f>
        <v>-1.1001100110011E-2</v>
      </c>
      <c r="W672">
        <f ca="1">'ETF variations'!W672/'ETF price'!X673</f>
        <v>-8.758324970349363E-3</v>
      </c>
      <c r="X672">
        <f ca="1">'ETF variations'!X672/'ETF price'!Y673</f>
        <v>-9.4948727687048998E-3</v>
      </c>
      <c r="Y672">
        <f ca="1">'ETF variations'!Y672/'ETF price'!Z673</f>
        <v>-8.9595375722542649E-3</v>
      </c>
      <c r="Z672">
        <f ca="1">'ETF variations'!Z672/'ETF price'!AA673</f>
        <v>-2.7428571428570843E-3</v>
      </c>
      <c r="AA672">
        <f ca="1">'ETF variations'!AA672/'ETF price'!AB673</f>
        <v>-9.75177304964534E-3</v>
      </c>
      <c r="AB672">
        <f ca="1">'ETF variations'!AB672/'ETF price'!AC673</f>
        <v>-1.114922813036002E-2</v>
      </c>
      <c r="AC672">
        <f ca="1">'ETF variations'!AC672/'ETF price'!AD673</f>
        <v>-3.6410923276983129E-2</v>
      </c>
      <c r="AD672">
        <f ca="1">'ETF variations'!AD672/'ETF price'!AE673</f>
        <v>-3.6889897843359935E-2</v>
      </c>
      <c r="AE672">
        <f ca="1">'ETF variations'!AE672/'ETF price'!AF673</f>
        <v>-1.9565217391304318E-2</v>
      </c>
      <c r="AF672">
        <f ca="1">'ETF variations'!AF672/'ETF price'!AG673</f>
        <v>1.5796178343948978E-2</v>
      </c>
    </row>
    <row r="673" spans="1:32" x14ac:dyDescent="0.2">
      <c r="A673">
        <f ca="1">'ETF variations'!A673/'ETF price'!B674</f>
        <v>-2.5937425364222628E-2</v>
      </c>
      <c r="B673">
        <f ca="1">'ETF variations'!B673/'ETF price'!C674</f>
        <v>-2.4016547987332746E-2</v>
      </c>
      <c r="C673">
        <f ca="1">'ETF variations'!C673/'ETF price'!D674</f>
        <v>2.8095069173465825E-2</v>
      </c>
      <c r="D673">
        <f ca="1">'ETF variations'!D673/'ETF price'!E674</f>
        <v>-4.2806852851443339E-2</v>
      </c>
      <c r="E673">
        <f ca="1">'ETF variations'!E673/'ETF price'!F674</f>
        <v>-2.7901957761677233E-2</v>
      </c>
      <c r="F673">
        <f ca="1">'ETF variations'!F673/'ETF price'!G674</f>
        <v>-3.1072502505846967E-2</v>
      </c>
      <c r="G673">
        <f ca="1">'ETF variations'!G673/'ETF price'!H674</f>
        <v>-1.5867418899858932E-2</v>
      </c>
      <c r="H673">
        <f ca="1">'ETF variations'!H673/'ETF price'!I674</f>
        <v>-3.4308648368720947E-3</v>
      </c>
      <c r="I673">
        <f ca="1">'ETF variations'!I673/'ETF price'!J674</f>
        <v>-5.1265733276763849E-3</v>
      </c>
      <c r="J673">
        <f ca="1">'ETF variations'!J673/'ETF price'!K674</f>
        <v>-1.4089370812901389E-2</v>
      </c>
      <c r="K673">
        <f ca="1">'ETF variations'!K673/'ETF price'!L674</f>
        <v>-1.5905383360522045E-2</v>
      </c>
      <c r="L673">
        <f ca="1">'ETF variations'!L673/'ETF price'!M674</f>
        <v>-1.804532986863E-2</v>
      </c>
      <c r="M673">
        <f ca="1">'ETF variations'!M673/'ETF price'!N674</f>
        <v>-6.0323553605703007E-3</v>
      </c>
      <c r="N673">
        <f ca="1">'ETF variations'!N673/'ETF price'!O674</f>
        <v>-2.7322404371584764E-2</v>
      </c>
      <c r="O673">
        <f ca="1">'ETF variations'!O673/'ETF price'!P674</f>
        <v>-1.2514351320321346E-2</v>
      </c>
      <c r="P673">
        <f ca="1">'ETF variations'!P673/'ETF price'!Q674</f>
        <v>-1.2944183362189852E-2</v>
      </c>
      <c r="Q673">
        <f ca="1">'ETF variations'!Q673/'ETF price'!R674</f>
        <v>-1.2631810193321678E-2</v>
      </c>
      <c r="R673">
        <f ca="1">'ETF variations'!R673/'ETF price'!S674</f>
        <v>-2.1837213499368232E-2</v>
      </c>
      <c r="S673">
        <f ca="1">'ETF variations'!S673/'ETF price'!T674</f>
        <v>-1.345083487940627E-2</v>
      </c>
      <c r="T673">
        <f ca="1">'ETF variations'!T673/'ETF price'!U674</f>
        <v>-1.3735870653884586E-2</v>
      </c>
      <c r="U673">
        <f ca="1">'ETF variations'!U673/'ETF price'!V674</f>
        <v>-2.5506376594148613E-2</v>
      </c>
      <c r="V673">
        <f ca="1">'ETF variations'!V673/'ETF price'!W674</f>
        <v>-1.4682981090100192E-2</v>
      </c>
      <c r="W673">
        <f ca="1">'ETF variations'!W673/'ETF price'!X674</f>
        <v>-1.583064887252645E-2</v>
      </c>
      <c r="X673">
        <f ca="1">'ETF variations'!X673/'ETF price'!Y674</f>
        <v>-1.9171779141104295E-2</v>
      </c>
      <c r="Y673">
        <f ca="1">'ETF variations'!Y673/'ETF price'!Z674</f>
        <v>-1.7983863128220166E-2</v>
      </c>
      <c r="Z673">
        <f ca="1">'ETF variations'!Z673/'ETF price'!AA674</f>
        <v>0</v>
      </c>
      <c r="AA673">
        <f ca="1">'ETF variations'!AA673/'ETF price'!AB674</f>
        <v>-1.8084153983885371E-2</v>
      </c>
      <c r="AB673">
        <f ca="1">'ETF variations'!AB673/'ETF price'!AC674</f>
        <v>-2.1682567215959188E-3</v>
      </c>
      <c r="AC673">
        <f ca="1">'ETF variations'!AC673/'ETF price'!AD674</f>
        <v>-5.1956815114709821E-2</v>
      </c>
      <c r="AD673">
        <f ca="1">'ETF variations'!AD673/'ETF price'!AE674</f>
        <v>-4.5963464938125968E-2</v>
      </c>
      <c r="AE673">
        <f ca="1">'ETF variations'!AE673/'ETF price'!AF674</f>
        <v>1.7738359201773853E-2</v>
      </c>
      <c r="AF673">
        <f ca="1">'ETF variations'!AF673/'ETF price'!AG674</f>
        <v>-5.1918735891647867E-2</v>
      </c>
    </row>
    <row r="674" spans="1:32" x14ac:dyDescent="0.2">
      <c r="A674">
        <f ca="1">'ETF variations'!A674/'ETF price'!B675</f>
        <v>1.6378972145939603E-2</v>
      </c>
      <c r="B674">
        <f ca="1">'ETF variations'!B674/'ETF price'!C675</f>
        <v>1.3504135641540307E-2</v>
      </c>
      <c r="C674">
        <f ca="1">'ETF variations'!C674/'ETF price'!D675</f>
        <v>8.6260437512939072E-3</v>
      </c>
      <c r="D674">
        <f ca="1">'ETF variations'!D674/'ETF price'!E675</f>
        <v>1.9761682930417305E-2</v>
      </c>
      <c r="E674">
        <f ca="1">'ETF variations'!E674/'ETF price'!F675</f>
        <v>6.1845861084681344E-3</v>
      </c>
      <c r="F674">
        <f ca="1">'ETF variations'!F674/'ETF price'!G675</f>
        <v>1.551724137931032E-2</v>
      </c>
      <c r="G674">
        <f ca="1">'ETF variations'!G674/'ETF price'!H675</f>
        <v>7.8824793980651689E-3</v>
      </c>
      <c r="H674">
        <f ca="1">'ETF variations'!H674/'ETF price'!I675</f>
        <v>7.0152646963300589E-3</v>
      </c>
      <c r="I674">
        <f ca="1">'ETF variations'!I674/'ETF price'!J675</f>
        <v>6.9298837911794618E-3</v>
      </c>
      <c r="J674">
        <f ca="1">'ETF variations'!J674/'ETF price'!K675</f>
        <v>1.2469352014010516E-2</v>
      </c>
      <c r="K674">
        <f ca="1">'ETF variations'!K674/'ETF price'!L675</f>
        <v>1.4193949440530507E-2</v>
      </c>
      <c r="L674">
        <f ca="1">'ETF variations'!L674/'ETF price'!M675</f>
        <v>1.8376947956483387E-2</v>
      </c>
      <c r="M674">
        <f ca="1">'ETF variations'!M674/'ETF price'!N675</f>
        <v>7.5862068965516852E-3</v>
      </c>
      <c r="N674">
        <f ca="1">'ETF variations'!N674/'ETF price'!O675</f>
        <v>1.4981273408239714E-2</v>
      </c>
      <c r="O674">
        <f ca="1">'ETF variations'!O674/'ETF price'!P675</f>
        <v>7.2084641320775524E-3</v>
      </c>
      <c r="P674">
        <f ca="1">'ETF variations'!P674/'ETF price'!Q675</f>
        <v>4.9281657200133926E-3</v>
      </c>
      <c r="Q674">
        <f ca="1">'ETF variations'!Q674/'ETF price'!R675</f>
        <v>9.6784959394816388E-3</v>
      </c>
      <c r="R674">
        <f ca="1">'ETF variations'!R674/'ETF price'!S675</f>
        <v>6.0885608856088239E-3</v>
      </c>
      <c r="S674">
        <f ca="1">'ETF variations'!S674/'ETF price'!T675</f>
        <v>2.8208744710859768E-3</v>
      </c>
      <c r="T674">
        <f ca="1">'ETF variations'!T674/'ETF price'!U675</f>
        <v>4.9325402582328327E-3</v>
      </c>
      <c r="U674">
        <f ca="1">'ETF variations'!U674/'ETF price'!V675</f>
        <v>-2.0528611752630155E-2</v>
      </c>
      <c r="V674">
        <f ca="1">'ETF variations'!V674/'ETF price'!W675</f>
        <v>1.4901783698351856E-2</v>
      </c>
      <c r="W674">
        <f ca="1">'ETF variations'!W674/'ETF price'!X675</f>
        <v>1.3186196577200006E-2</v>
      </c>
      <c r="X674">
        <f ca="1">'ETF variations'!X674/'ETF price'!Y675</f>
        <v>6.4503518373730537E-3</v>
      </c>
      <c r="Y674">
        <f ca="1">'ETF variations'!Y674/'ETF price'!Z675</f>
        <v>1.1977826173035121E-2</v>
      </c>
      <c r="Z674">
        <f ca="1">'ETF variations'!Z674/'ETF price'!AA675</f>
        <v>1.1918404767361815E-2</v>
      </c>
      <c r="AA674">
        <f ca="1">'ETF variations'!AA674/'ETF price'!AB675</f>
        <v>7.8409919766593665E-3</v>
      </c>
      <c r="AB674">
        <f ca="1">'ETF variations'!AB674/'ETF price'!AC675</f>
        <v>5.7945820657673535E-4</v>
      </c>
      <c r="AC674">
        <f ca="1">'ETF variations'!AC674/'ETF price'!AD675</f>
        <v>6.2633451957295305E-2</v>
      </c>
      <c r="AD674">
        <f ca="1">'ETF variations'!AD674/'ETF price'!AE675</f>
        <v>7.1031500926497751E-2</v>
      </c>
      <c r="AE674">
        <f ca="1">'ETF variations'!AE674/'ETF price'!AF675</f>
        <v>-8.7145969498910555E-2</v>
      </c>
      <c r="AF674">
        <f ca="1">'ETF variations'!AF674/'ETF price'!AG675</f>
        <v>8.4656084656084735E-2</v>
      </c>
    </row>
    <row r="675" spans="1:32" x14ac:dyDescent="0.2">
      <c r="A675">
        <f ca="1">'ETF variations'!A675/'ETF price'!B676</f>
        <v>1.4957058766766491E-2</v>
      </c>
      <c r="B675">
        <f ca="1">'ETF variations'!B675/'ETF price'!C676</f>
        <v>1.0141199548457571E-2</v>
      </c>
      <c r="C675">
        <f ca="1">'ETF variations'!C675/'ETF price'!D676</f>
        <v>5.3366174055829311E-3</v>
      </c>
      <c r="D675">
        <f ca="1">'ETF variations'!D675/'ETF price'!E676</f>
        <v>1.0530871321407951E-2</v>
      </c>
      <c r="E675">
        <f ca="1">'ETF variations'!E675/'ETF price'!F676</f>
        <v>7.0921985815602159E-3</v>
      </c>
      <c r="F675">
        <f ca="1">'ETF variations'!F675/'ETF price'!G676</f>
        <v>-1.3582342954159303E-3</v>
      </c>
      <c r="G675">
        <f ca="1">'ETF variations'!G675/'ETF price'!H676</f>
        <v>7.1098471382863759E-4</v>
      </c>
      <c r="H675">
        <f ca="1">'ETF variations'!H675/'ETF price'!I676</f>
        <v>4.579758756369786E-3</v>
      </c>
      <c r="I675">
        <f ca="1">'ETF variations'!I675/'ETF price'!J676</f>
        <v>4.0940213171455674E-3</v>
      </c>
      <c r="J675">
        <f ca="1">'ETF variations'!J675/'ETF price'!K676</f>
        <v>2.6984017159066378E-3</v>
      </c>
      <c r="K675">
        <f ca="1">'ETF variations'!K675/'ETF price'!L676</f>
        <v>2.1452650934722008E-3</v>
      </c>
      <c r="L675">
        <f ca="1">'ETF variations'!L675/'ETF price'!M676</f>
        <v>2.7428901400317271E-3</v>
      </c>
      <c r="M675">
        <f ca="1">'ETF variations'!M675/'ETF price'!N676</f>
        <v>4.2436687200547883E-3</v>
      </c>
      <c r="N675">
        <f ca="1">'ETF variations'!N675/'ETF price'!O676</f>
        <v>7.3800738007380141E-3</v>
      </c>
      <c r="O675">
        <f ca="1">'ETF variations'!O675/'ETF price'!P676</f>
        <v>-1.719958443957053E-2</v>
      </c>
      <c r="P675">
        <f ca="1">'ETF variations'!P675/'ETF price'!Q676</f>
        <v>-1.7205552323165219E-2</v>
      </c>
      <c r="Q675">
        <f ca="1">'ETF variations'!Q675/'ETF price'!R676</f>
        <v>4.4072278536791583E-4</v>
      </c>
      <c r="R675">
        <f ca="1">'ETF variations'!R675/'ETF price'!S676</f>
        <v>-4.4012470199890335E-3</v>
      </c>
      <c r="S675">
        <f ca="1">'ETF variations'!S675/'ETF price'!T676</f>
        <v>-1.4533520862634729E-2</v>
      </c>
      <c r="T675">
        <f ca="1">'ETF variations'!T675/'ETF price'!U676</f>
        <v>-3.3347769597228273E-2</v>
      </c>
      <c r="U675">
        <f ca="1">'ETF variations'!U675/'ETF price'!V676</f>
        <v>-1.8339009693476625E-3</v>
      </c>
      <c r="V675">
        <f ca="1">'ETF variations'!V675/'ETF price'!W676</f>
        <v>-1.0233592880978883E-2</v>
      </c>
      <c r="W675">
        <f ca="1">'ETF variations'!W675/'ETF price'!X676</f>
        <v>-9.8763153036736887E-3</v>
      </c>
      <c r="X675">
        <f ca="1">'ETF variations'!X675/'ETF price'!Y676</f>
        <v>-8.5453486113809436E-3</v>
      </c>
      <c r="Y675">
        <f ca="1">'ETF variations'!Y675/'ETF price'!Z676</f>
        <v>-9.9775017118263736E-3</v>
      </c>
      <c r="Z675">
        <f ca="1">'ETF variations'!Z675/'ETF price'!AA676</f>
        <v>1.7667044167610446E-2</v>
      </c>
      <c r="AA675">
        <f ca="1">'ETF variations'!AA675/'ETF price'!AB676</f>
        <v>-8.6846390446897771E-3</v>
      </c>
      <c r="AB675">
        <f ca="1">'ETF variations'!AB675/'ETF price'!AC676</f>
        <v>4.922542348342311E-3</v>
      </c>
      <c r="AC675">
        <f ca="1">'ETF variations'!AC675/'ETF price'!AD676</f>
        <v>1.3395847287340995E-2</v>
      </c>
      <c r="AD675">
        <f ca="1">'ETF variations'!AD675/'ETF price'!AE676</f>
        <v>1.4417531718569781E-2</v>
      </c>
      <c r="AE675">
        <f ca="1">'ETF variations'!AE675/'ETF price'!AF676</f>
        <v>2.386634844868684E-3</v>
      </c>
      <c r="AF675">
        <f ca="1">'ETF variations'!AF675/'ETF price'!AG676</f>
        <v>3.6341463414634192E-2</v>
      </c>
    </row>
    <row r="676" spans="1:32" x14ac:dyDescent="0.2">
      <c r="A676">
        <f ca="1">'ETF variations'!A676/'ETF price'!B677</f>
        <v>3.4131964251758781E-2</v>
      </c>
      <c r="B676">
        <f ca="1">'ETF variations'!B676/'ETF price'!C677</f>
        <v>2.8817440688833962E-2</v>
      </c>
      <c r="C676">
        <f ca="1">'ETF variations'!C676/'ETF price'!D677</f>
        <v>-6.1249489587587155E-3</v>
      </c>
      <c r="D676">
        <f ca="1">'ETF variations'!D676/'ETF price'!E677</f>
        <v>4.644301689269565E-2</v>
      </c>
      <c r="E676">
        <f ca="1">'ETF variations'!E676/'ETF price'!F677</f>
        <v>1.1893583724569608E-2</v>
      </c>
      <c r="F676">
        <f ca="1">'ETF variations'!F676/'ETF price'!G677</f>
        <v>2.0061203672220328E-2</v>
      </c>
      <c r="G676">
        <f ca="1">'ETF variations'!G676/'ETF price'!H677</f>
        <v>1.5985790408525855E-2</v>
      </c>
      <c r="H676">
        <f ca="1">'ETF variations'!H676/'ETF price'!I677</f>
        <v>-2.9536406831899829E-3</v>
      </c>
      <c r="I676">
        <f ca="1">'ETF variations'!I676/'ETF price'!J677</f>
        <v>-2.3901581722320098E-3</v>
      </c>
      <c r="J676">
        <f ca="1">'ETF variations'!J676/'ETF price'!K677</f>
        <v>4.8302511730611173E-3</v>
      </c>
      <c r="K676">
        <f ca="1">'ETF variations'!K676/'ETF price'!L677</f>
        <v>8.1549439347605654E-3</v>
      </c>
      <c r="L676">
        <f ca="1">'ETF variations'!L676/'ETF price'!M677</f>
        <v>4.4630002879355356E-3</v>
      </c>
      <c r="M676">
        <f ca="1">'ETF variations'!M676/'ETF price'!N677</f>
        <v>-2.9989094874590901E-3</v>
      </c>
      <c r="N676">
        <f ca="1">'ETF variations'!N676/'ETF price'!O677</f>
        <v>5.49450549450554E-3</v>
      </c>
      <c r="O676">
        <f ca="1">'ETF variations'!O676/'ETF price'!P677</f>
        <v>-9.2788348602302825E-3</v>
      </c>
      <c r="P676">
        <f ca="1">'ETF variations'!P676/'ETF price'!Q677</f>
        <v>-6.7658998646819794E-3</v>
      </c>
      <c r="Q676">
        <f ca="1">'ETF variations'!Q676/'ETF price'!R677</f>
        <v>2.4229074889867718E-3</v>
      </c>
      <c r="R676">
        <f ca="1">'ETF variations'!R676/'ETF price'!S677</f>
        <v>1.9524774359918996E-2</v>
      </c>
      <c r="S676">
        <f ca="1">'ETF variations'!S676/'ETF price'!T677</f>
        <v>9.0390104662227064E-3</v>
      </c>
      <c r="T676">
        <f ca="1">'ETF variations'!T676/'ETF price'!U677</f>
        <v>1.3291517323775398E-2</v>
      </c>
      <c r="U676">
        <f ca="1">'ETF variations'!U676/'ETF price'!V677</f>
        <v>6.2729658792650925E-2</v>
      </c>
      <c r="V676">
        <f ca="1">'ETF variations'!V676/'ETF price'!W677</f>
        <v>-4.7201618341200461E-3</v>
      </c>
      <c r="W676">
        <f ca="1">'ETF variations'!W676/'ETF price'!X677</f>
        <v>-3.5424629439731094E-3</v>
      </c>
      <c r="X676">
        <f ca="1">'ETF variations'!X676/'ETF price'!Y677</f>
        <v>-1.0381978452497435E-2</v>
      </c>
      <c r="Y676">
        <f ca="1">'ETF variations'!Y676/'ETF price'!Z677</f>
        <v>-6.0270724236735447E-3</v>
      </c>
      <c r="Z676">
        <f ca="1">'ETF variations'!Z676/'ETF price'!AA677</f>
        <v>-2.6708212775427877E-3</v>
      </c>
      <c r="AA676">
        <f ca="1">'ETF variations'!AA676/'ETF price'!AB677</f>
        <v>-1.1680963679503569E-2</v>
      </c>
      <c r="AB676">
        <f ca="1">'ETF variations'!AB676/'ETF price'!AC677</f>
        <v>1.3254574268837369E-2</v>
      </c>
      <c r="AC676">
        <f ca="1">'ETF variations'!AC676/'ETF price'!AD677</f>
        <v>-1.123595505617977E-2</v>
      </c>
      <c r="AD676">
        <f ca="1">'ETF variations'!AD676/'ETF price'!AE677</f>
        <v>-6.8220579874929506E-3</v>
      </c>
      <c r="AE676">
        <f ca="1">'ETF variations'!AE676/'ETF price'!AF677</f>
        <v>1.6666666666666521E-2</v>
      </c>
      <c r="AF676">
        <f ca="1">'ETF variations'!AF676/'ETF price'!AG677</f>
        <v>-3.7655919039774931E-3</v>
      </c>
    </row>
    <row r="677" spans="1:32" x14ac:dyDescent="0.2">
      <c r="A677">
        <f ca="1">'ETF variations'!A677/'ETF price'!B678</f>
        <v>8.2743403511998312E-3</v>
      </c>
      <c r="B677">
        <f ca="1">'ETF variations'!B677/'ETF price'!C678</f>
        <v>7.6925816446453505E-3</v>
      </c>
      <c r="C677">
        <f ca="1">'ETF variations'!C677/'ETF price'!D678</f>
        <v>4.7932073404561491E-4</v>
      </c>
      <c r="D677">
        <f ca="1">'ETF variations'!D677/'ETF price'!E678</f>
        <v>-4.4108953662862025E-3</v>
      </c>
      <c r="E677">
        <f ca="1">'ETF variations'!E677/'ETF price'!F678</f>
        <v>1.3300340241261978E-2</v>
      </c>
      <c r="F677">
        <f ca="1">'ETF variations'!F677/'ETF price'!G678</f>
        <v>1.4999999999999977E-2</v>
      </c>
      <c r="G677">
        <f ca="1">'ETF variations'!G677/'ETF price'!H678</f>
        <v>3.4965034965034219E-3</v>
      </c>
      <c r="H677">
        <f ca="1">'ETF variations'!H677/'ETF price'!I678</f>
        <v>3.606388459556944E-3</v>
      </c>
      <c r="I677">
        <f ca="1">'ETF variations'!I677/'ETF price'!J678</f>
        <v>5.0736382214079268E-3</v>
      </c>
      <c r="J677">
        <f ca="1">'ETF variations'!J677/'ETF price'!K678</f>
        <v>-4.1203131437990848E-4</v>
      </c>
      <c r="K677">
        <f ca="1">'ETF variations'!K677/'ETF price'!L678</f>
        <v>1.617795753286113E-3</v>
      </c>
      <c r="L677">
        <f ca="1">'ETF variations'!L677/'ETF price'!M678</f>
        <v>2.2932492475277455E-3</v>
      </c>
      <c r="M677">
        <f ca="1">'ETF variations'!M677/'ETF price'!N678</f>
        <v>5.3322395406070625E-3</v>
      </c>
      <c r="N677">
        <f ca="1">'ETF variations'!N677/'ETF price'!O678</f>
        <v>1.8214936247722745E-3</v>
      </c>
      <c r="O677">
        <f ca="1">'ETF variations'!O677/'ETF price'!P678</f>
        <v>9.0100770598696527E-3</v>
      </c>
      <c r="P677">
        <f ca="1">'ETF variations'!P677/'ETF price'!Q678</f>
        <v>9.0258855585831251E-3</v>
      </c>
      <c r="Q677">
        <f ca="1">'ETF variations'!Q677/'ETF price'!R678</f>
        <v>9.2287409360580479E-3</v>
      </c>
      <c r="R677">
        <f ca="1">'ETF variations'!R677/'ETF price'!S678</f>
        <v>3.3242999096657566E-2</v>
      </c>
      <c r="S677">
        <f ca="1">'ETF variations'!S677/'ETF price'!T678</f>
        <v>1.9330504479019336E-2</v>
      </c>
      <c r="T677">
        <f ca="1">'ETF variations'!T677/'ETF price'!U678</f>
        <v>3.0066322770818076E-2</v>
      </c>
      <c r="U677">
        <f ca="1">'ETF variations'!U677/'ETF price'!V678</f>
        <v>-1.111385527290696E-2</v>
      </c>
      <c r="V677">
        <f ca="1">'ETF variations'!V677/'ETF price'!W678</f>
        <v>2.2583559168925342E-3</v>
      </c>
      <c r="W677">
        <f ca="1">'ETF variations'!W677/'ETF price'!X678</f>
        <v>4.1163813265974155E-3</v>
      </c>
      <c r="X677">
        <f ca="1">'ETF variations'!X677/'ETF price'!Y678</f>
        <v>5.5423594615992477E-3</v>
      </c>
      <c r="Y677">
        <f ca="1">'ETF variations'!Y677/'ETF price'!Z678</f>
        <v>3.180914512922539E-3</v>
      </c>
      <c r="Z677">
        <f ca="1">'ETF variations'!Z677/'ETF price'!AA678</f>
        <v>1.7853157777281475E-3</v>
      </c>
      <c r="AA677">
        <f ca="1">'ETF variations'!AA677/'ETF price'!AB678</f>
        <v>3.8781163434903204E-3</v>
      </c>
      <c r="AB677">
        <f ca="1">'ETF variations'!AB677/'ETF price'!AC678</f>
        <v>6.54059434096414E-3</v>
      </c>
      <c r="AC677">
        <f ca="1">'ETF variations'!AC677/'ETF price'!AD678</f>
        <v>1.0695187165775291E-2</v>
      </c>
      <c r="AD677">
        <f ca="1">'ETF variations'!AD677/'ETF price'!AE678</f>
        <v>1.3165426445334884E-2</v>
      </c>
      <c r="AE677">
        <f ca="1">'ETF variations'!AE677/'ETF price'!AF678</f>
        <v>-2.5761124121779728E-2</v>
      </c>
      <c r="AF677">
        <f ca="1">'ETF variations'!AF677/'ETF price'!AG678</f>
        <v>1.0394519253484641E-2</v>
      </c>
    </row>
    <row r="678" spans="1:32" x14ac:dyDescent="0.2">
      <c r="A678">
        <f ca="1">'ETF variations'!A678/'ETF price'!B679</f>
        <v>5.0150451354061924E-3</v>
      </c>
      <c r="B678">
        <f ca="1">'ETF variations'!B678/'ETF price'!C679</f>
        <v>5.902102845025679E-3</v>
      </c>
      <c r="C678">
        <f ca="1">'ETF variations'!C678/'ETF price'!D679</f>
        <v>-4.6540277872836001E-3</v>
      </c>
      <c r="D678">
        <f ca="1">'ETF variations'!D678/'ETF price'!E679</f>
        <v>1.7858774093358894E-2</v>
      </c>
      <c r="E678">
        <f ca="1">'ETF variations'!E678/'ETF price'!F679</f>
        <v>1.1599511599511678E-2</v>
      </c>
      <c r="F678">
        <f ca="1">'ETF variations'!F678/'ETF price'!G679</f>
        <v>2.9556650246305373E-3</v>
      </c>
      <c r="G678">
        <f ca="1">'ETF variations'!G678/'ETF price'!H679</f>
        <v>1.3937282229965231E-2</v>
      </c>
      <c r="H678">
        <f ca="1">'ETF variations'!H678/'ETF price'!I679</f>
        <v>2.0533880903490323E-3</v>
      </c>
      <c r="I678">
        <f ca="1">'ETF variations'!I678/'ETF price'!J679</f>
        <v>3.0849049989483119E-3</v>
      </c>
      <c r="J678">
        <f ca="1">'ETF variations'!J678/'ETF price'!K679</f>
        <v>1.5457543281121188E-2</v>
      </c>
      <c r="K678">
        <f ca="1">'ETF variations'!K678/'ETF price'!L679</f>
        <v>2.1704017767009805E-2</v>
      </c>
      <c r="L678">
        <f ca="1">'ETF variations'!L678/'ETF price'!M679</f>
        <v>1.7160017160016996E-2</v>
      </c>
      <c r="M678">
        <f ca="1">'ETF variations'!M678/'ETF price'!N679</f>
        <v>2.5839793281653436E-3</v>
      </c>
      <c r="N678">
        <f ca="1">'ETF variations'!N678/'ETF price'!O679</f>
        <v>3.0909090909090896E-2</v>
      </c>
      <c r="O678">
        <f ca="1">'ETF variations'!O678/'ETF price'!P679</f>
        <v>5.6397603101868638E-3</v>
      </c>
      <c r="P678">
        <f ca="1">'ETF variations'!P678/'ETF price'!Q679</f>
        <v>6.1603375527426495E-3</v>
      </c>
      <c r="Q678">
        <f ca="1">'ETF variations'!Q678/'ETF price'!R679</f>
        <v>9.0354887872849798E-3</v>
      </c>
      <c r="R678">
        <f ca="1">'ETF variations'!R678/'ETF price'!S679</f>
        <v>2.5528938625633869E-2</v>
      </c>
      <c r="S678">
        <f ca="1">'ETF variations'!S678/'ETF price'!T679</f>
        <v>1.8501387604069909E-3</v>
      </c>
      <c r="T678">
        <f ca="1">'ETF variations'!T678/'ETF price'!U679</f>
        <v>-7.1540992988978623E-4</v>
      </c>
      <c r="U678">
        <f ca="1">'ETF variations'!U678/'ETF price'!V679</f>
        <v>1.3486513486513465E-2</v>
      </c>
      <c r="V678">
        <f ca="1">'ETF variations'!V678/'ETF price'!W679</f>
        <v>2.9292474087425743E-3</v>
      </c>
      <c r="W678">
        <f ca="1">'ETF variations'!W678/'ETF price'!X679</f>
        <v>6.2424298891270071E-3</v>
      </c>
      <c r="X678">
        <f ca="1">'ETF variations'!X678/'ETF price'!Y679</f>
        <v>2.4409448818897679E-2</v>
      </c>
      <c r="Y678">
        <f ca="1">'ETF variations'!Y678/'ETF price'!Z679</f>
        <v>4.5580657946888E-3</v>
      </c>
      <c r="Z678">
        <f ca="1">'ETF variations'!Z678/'ETF price'!AA679</f>
        <v>7.1285364223657895E-3</v>
      </c>
      <c r="AA678">
        <f ca="1">'ETF variations'!AA678/'ETF price'!AB679</f>
        <v>2.6857983811626213E-2</v>
      </c>
      <c r="AB678">
        <f ca="1">'ETF variations'!AB678/'ETF price'!AC679</f>
        <v>-2.5427320242973131E-3</v>
      </c>
      <c r="AC678">
        <f ca="1">'ETF variations'!AC678/'ETF price'!AD679</f>
        <v>2.3148148148148244E-2</v>
      </c>
      <c r="AD678">
        <f ca="1">'ETF variations'!AD678/'ETF price'!AE679</f>
        <v>2.3728813559322132E-2</v>
      </c>
      <c r="AE678">
        <f ca="1">'ETF variations'!AE678/'ETF price'!AF679</f>
        <v>3.1249999999999972E-2</v>
      </c>
      <c r="AF678">
        <f ca="1">'ETF variations'!AF678/'ETF price'!AG679</f>
        <v>1.2158054711246107E-2</v>
      </c>
    </row>
    <row r="679" spans="1:32" x14ac:dyDescent="0.2">
      <c r="A679">
        <f ca="1">'ETF variations'!A679/'ETF price'!B680</f>
        <v>-3.810560696788257E-3</v>
      </c>
      <c r="B679">
        <f ca="1">'ETF variations'!B679/'ETF price'!C680</f>
        <v>-5.8674724193662287E-3</v>
      </c>
      <c r="C679">
        <f ca="1">'ETF variations'!C679/'ETF price'!D680</f>
        <v>3.0667675170184826E-2</v>
      </c>
      <c r="D679">
        <f ca="1">'ETF variations'!D679/'ETF price'!E680</f>
        <v>-1.3327350235584469E-2</v>
      </c>
      <c r="E679">
        <f ca="1">'ETF variations'!E679/'ETF price'!F680</f>
        <v>6.4876282438140103E-3</v>
      </c>
      <c r="F679">
        <f ca="1">'ETF variations'!F679/'ETF price'!G680</f>
        <v>-6.5487884741321459E-4</v>
      </c>
      <c r="G679">
        <f ca="1">'ETF variations'!G679/'ETF price'!H680</f>
        <v>1.3745704467353658E-3</v>
      </c>
      <c r="H679">
        <f ca="1">'ETF variations'!H679/'ETF price'!I680</f>
        <v>6.9159836065574576E-3</v>
      </c>
      <c r="I679">
        <f ca="1">'ETF variations'!I679/'ETF price'!J680</f>
        <v>6.0110435451178699E-3</v>
      </c>
      <c r="J679">
        <f ca="1">'ETF variations'!J679/'ETF price'!K680</f>
        <v>1.8943237940599496E-3</v>
      </c>
      <c r="K679">
        <f ca="1">'ETF variations'!K679/'ETF price'!L680</f>
        <v>6.9163126173310335E-4</v>
      </c>
      <c r="L679">
        <f ca="1">'ETF variations'!L679/'ETF price'!M680</f>
        <v>1.2652889076339578E-3</v>
      </c>
      <c r="M679">
        <f ca="1">'ETF variations'!M679/'ETF price'!N680</f>
        <v>6.9180683667933417E-3</v>
      </c>
      <c r="N679">
        <f ca="1">'ETF variations'!N679/'ETF price'!O680</f>
        <v>-7.9365079365079239E-3</v>
      </c>
      <c r="O679">
        <f ca="1">'ETF variations'!O679/'ETF price'!P680</f>
        <v>1.1449935740156441E-2</v>
      </c>
      <c r="P679">
        <f ca="1">'ETF variations'!P679/'ETF price'!Q680</f>
        <v>1.3503312924599508E-2</v>
      </c>
      <c r="Q679">
        <f ca="1">'ETF variations'!Q679/'ETF price'!R680</f>
        <v>9.2782392922645326E-3</v>
      </c>
      <c r="R679">
        <f ca="1">'ETF variations'!R679/'ETF price'!S680</f>
        <v>-6.820119352088516E-4</v>
      </c>
      <c r="S679">
        <f ca="1">'ETF variations'!S679/'ETF price'!T680</f>
        <v>7.3868882733148728E-3</v>
      </c>
      <c r="T679">
        <f ca="1">'ETF variations'!T679/'ETF price'!U680</f>
        <v>1.4891179839633333E-2</v>
      </c>
      <c r="U679">
        <f ca="1">'ETF variations'!U679/'ETF price'!V680</f>
        <v>-2.464268112370136E-4</v>
      </c>
      <c r="V679">
        <f ca="1">'ETF variations'!V679/'ETF price'!W680</f>
        <v>1.3030779600089989E-2</v>
      </c>
      <c r="W679">
        <f ca="1">'ETF variations'!W679/'ETF price'!X680</f>
        <v>1.2407407407407438E-2</v>
      </c>
      <c r="X679">
        <f ca="1">'ETF variations'!X679/'ETF price'!Y680</f>
        <v>1.2490392006149089E-2</v>
      </c>
      <c r="Y679">
        <f ca="1">'ETF variations'!Y679/'ETF price'!Z680</f>
        <v>1.400670743736439E-2</v>
      </c>
      <c r="Z679">
        <f ca="1">'ETF variations'!Z679/'ETF price'!AA680</f>
        <v>3.3178500331784689E-3</v>
      </c>
      <c r="AA679">
        <f ca="1">'ETF variations'!AA679/'ETF price'!AB680</f>
        <v>1.2898602651379414E-2</v>
      </c>
      <c r="AB679">
        <f ca="1">'ETF variations'!AB679/'ETF price'!AC680</f>
        <v>1.5012037954963918E-2</v>
      </c>
      <c r="AC679">
        <f ca="1">'ETF variations'!AC679/'ETF price'!AD680</f>
        <v>-4.3309631544925654E-2</v>
      </c>
      <c r="AD679">
        <f ca="1">'ETF variations'!AD679/'ETF price'!AE680</f>
        <v>-3.1456953642384121E-2</v>
      </c>
      <c r="AE679">
        <f ca="1">'ETF variations'!AE679/'ETF price'!AF680</f>
        <v>1.6317016317016382E-2</v>
      </c>
      <c r="AF679">
        <f ca="1">'ETF variations'!AF679/'ETF price'!AG680</f>
        <v>-2.9106029106029059E-2</v>
      </c>
    </row>
    <row r="680" spans="1:32" x14ac:dyDescent="0.2">
      <c r="A680">
        <f ca="1">'ETF variations'!A680/'ETF price'!B681</f>
        <v>-1.9581056466302679E-3</v>
      </c>
      <c r="B680">
        <f ca="1">'ETF variations'!B680/'ETF price'!C681</f>
        <v>-5.1245803145425633E-4</v>
      </c>
      <c r="C680">
        <f ca="1">'ETF variations'!C680/'ETF price'!D681</f>
        <v>-3.1356327973847413E-3</v>
      </c>
      <c r="D680">
        <f ca="1">'ETF variations'!D680/'ETF price'!E681</f>
        <v>1.2279425140986457E-3</v>
      </c>
      <c r="E680">
        <f ca="1">'ETF variations'!E680/'ETF price'!F681</f>
        <v>-2.2485384500073673E-3</v>
      </c>
      <c r="F680">
        <f ca="1">'ETF variations'!F680/'ETF price'!G681</f>
        <v>-1.6382699868938634E-3</v>
      </c>
      <c r="G680">
        <f ca="1">'ETF variations'!G680/'ETF price'!H681</f>
        <v>7.2065888812628976E-3</v>
      </c>
      <c r="H680">
        <f ca="1">'ETF variations'!H680/'ETF price'!I681</f>
        <v>-1.0302721953701377E-2</v>
      </c>
      <c r="I680">
        <f ca="1">'ETF variations'!I680/'ETF price'!J681</f>
        <v>-8.6847773223094563E-3</v>
      </c>
      <c r="J680">
        <f ca="1">'ETF variations'!J680/'ETF price'!K681</f>
        <v>-1.7556891079748187E-3</v>
      </c>
      <c r="K680">
        <f ca="1">'ETF variations'!K680/'ETF price'!L681</f>
        <v>-3.2582938388625426E-3</v>
      </c>
      <c r="L680">
        <f ca="1">'ETF variations'!L680/'ETF price'!M681</f>
        <v>-7.0204998595896036E-4</v>
      </c>
      <c r="M680">
        <f ca="1">'ETF variations'!M680/'ETF price'!N681</f>
        <v>-1.0103731644887511E-2</v>
      </c>
      <c r="N680">
        <f ca="1">'ETF variations'!N680/'ETF price'!O681</f>
        <v>1.6888888888888846E-2</v>
      </c>
      <c r="O680">
        <f ca="1">'ETF variations'!O680/'ETF price'!P681</f>
        <v>1.351507450617999E-2</v>
      </c>
      <c r="P680">
        <f ca="1">'ETF variations'!P680/'ETF price'!Q681</f>
        <v>1.4564713670969802E-2</v>
      </c>
      <c r="Q680">
        <f ca="1">'ETF variations'!Q680/'ETF price'!R681</f>
        <v>1.9241047568146106E-3</v>
      </c>
      <c r="R680">
        <f ca="1">'ETF variations'!R680/'ETF price'!S681</f>
        <v>8.5309674117040025E-4</v>
      </c>
      <c r="S680">
        <f ca="1">'ETF variations'!S680/'ETF price'!T681</f>
        <v>6.8744271310723455E-3</v>
      </c>
      <c r="T680">
        <f ca="1">'ETF variations'!T680/'ETF price'!U681</f>
        <v>1.1851015801354451E-2</v>
      </c>
      <c r="U680">
        <f ca="1">'ETF variations'!U680/'ETF price'!V681</f>
        <v>2.1937392161695848E-2</v>
      </c>
      <c r="V680">
        <f ca="1">'ETF variations'!V680/'ETF price'!W681</f>
        <v>5.3226879574183828E-3</v>
      </c>
      <c r="W680">
        <f ca="1">'ETF variations'!W680/'ETF price'!X681</f>
        <v>5.5789281141393763E-3</v>
      </c>
      <c r="X680">
        <f ca="1">'ETF variations'!X680/'ETF price'!Y681</f>
        <v>7.4017840197381016E-3</v>
      </c>
      <c r="Y680">
        <f ca="1">'ETF variations'!Y680/'ETF price'!Z681</f>
        <v>4.7665369649806336E-3</v>
      </c>
      <c r="Z680">
        <f ca="1">'ETF variations'!Z680/'ETF price'!AA681</f>
        <v>-7.9365079365079239E-3</v>
      </c>
      <c r="AA680">
        <f ca="1">'ETF variations'!AA680/'ETF price'!AB681</f>
        <v>8.3126989741775532E-3</v>
      </c>
      <c r="AB680">
        <f ca="1">'ETF variations'!AB680/'ETF price'!AC681</f>
        <v>-3.7672666387609322E-3</v>
      </c>
      <c r="AC680">
        <f ca="1">'ETF variations'!AC680/'ETF price'!AD681</f>
        <v>3.5135135135135102E-2</v>
      </c>
      <c r="AD680">
        <f ca="1">'ETF variations'!AD680/'ETF price'!AE681</f>
        <v>3.5897435897435839E-2</v>
      </c>
      <c r="AE680">
        <f ca="1">'ETF variations'!AE680/'ETF price'!AF681</f>
        <v>2.0642201834862352E-2</v>
      </c>
      <c r="AF680">
        <f ca="1">'ETF variations'!AF680/'ETF price'!AG681</f>
        <v>2.9026885557934781E-2</v>
      </c>
    </row>
    <row r="681" spans="1:32" x14ac:dyDescent="0.2">
      <c r="A681">
        <f ca="1">'ETF variations'!A681/'ETF price'!B682</f>
        <v>-9.1253364967833189E-3</v>
      </c>
      <c r="B681">
        <f ca="1">'ETF variations'!B681/'ETF price'!C682</f>
        <v>-4.6144870140202854E-3</v>
      </c>
      <c r="C681">
        <f ca="1">'ETF variations'!C681/'ETF price'!D682</f>
        <v>-1.0708071208673311E-3</v>
      </c>
      <c r="D681">
        <f ca="1">'ETF variations'!D681/'ETF price'!E682</f>
        <v>-1.103792868498754E-2</v>
      </c>
      <c r="E681">
        <f ca="1">'ETF variations'!E681/'ETF price'!F682</f>
        <v>-8.5637019230770332E-3</v>
      </c>
      <c r="F681">
        <f ca="1">'ETF variations'!F681/'ETF price'!G682</f>
        <v>-3.610108303249079E-3</v>
      </c>
      <c r="G681">
        <f ca="1">'ETF variations'!G681/'ETF price'!H682</f>
        <v>-2.0442930153322749E-3</v>
      </c>
      <c r="H681">
        <f ca="1">'ETF variations'!H681/'ETF price'!I682</f>
        <v>-1.6707364092018436E-3</v>
      </c>
      <c r="I681">
        <f ca="1">'ETF variations'!I681/'ETF price'!J682</f>
        <v>-1.8573030557892821E-3</v>
      </c>
      <c r="J681">
        <f ca="1">'ETF variations'!J681/'ETF price'!K682</f>
        <v>-2.0970033146181575E-3</v>
      </c>
      <c r="K681">
        <f ca="1">'ETF variations'!K681/'ETF price'!L682</f>
        <v>-1.3868251609707833E-3</v>
      </c>
      <c r="L681">
        <f ca="1">'ETF variations'!L681/'ETF price'!M682</f>
        <v>4.2152592384433237E-4</v>
      </c>
      <c r="M681">
        <f ca="1">'ETF variations'!M681/'ETF price'!N682</f>
        <v>-2.7218290691358507E-4</v>
      </c>
      <c r="N681">
        <f ca="1">'ETF variations'!N681/'ETF price'!O682</f>
        <v>-7.8671328671328557E-3</v>
      </c>
      <c r="O681">
        <f ca="1">'ETF variations'!O681/'ETF price'!P682</f>
        <v>1.9375427399134001E-3</v>
      </c>
      <c r="P681">
        <f ca="1">'ETF variations'!P681/'ETF price'!Q682</f>
        <v>1.3050570962480489E-3</v>
      </c>
      <c r="Q681">
        <f ca="1">'ETF variations'!Q681/'ETF price'!R682</f>
        <v>-4.2675770831111246E-3</v>
      </c>
      <c r="R681">
        <f ca="1">'ETF variations'!R681/'ETF price'!S682</f>
        <v>-3.9209001022842971E-3</v>
      </c>
      <c r="S681">
        <f ca="1">'ETF variations'!S681/'ETF price'!T682</f>
        <v>-6.3723258989531444E-3</v>
      </c>
      <c r="T681">
        <f ca="1">'ETF variations'!T681/'ETF price'!U682</f>
        <v>-1.4779698828778616E-2</v>
      </c>
      <c r="U681">
        <f ca="1">'ETF variations'!U681/'ETF price'!V682</f>
        <v>-2.4119633381567801E-4</v>
      </c>
      <c r="V681">
        <f ca="1">'ETF variations'!V681/'ETF price'!W682</f>
        <v>-3.0884623869402287E-3</v>
      </c>
      <c r="W681">
        <f ca="1">'ETF variations'!W681/'ETF price'!X682</f>
        <v>-1.6371077762619992E-3</v>
      </c>
      <c r="X681">
        <f ca="1">'ETF variations'!X681/'ETF price'!Y682</f>
        <v>3.9562923888470398E-3</v>
      </c>
      <c r="Y681">
        <f ca="1">'ETF variations'!Y681/'ETF price'!Z682</f>
        <v>-1.5490366928067652E-3</v>
      </c>
      <c r="Z681">
        <f ca="1">'ETF variations'!Z681/'ETF price'!AA682</f>
        <v>-2.8888888888889456E-3</v>
      </c>
      <c r="AA681">
        <f ca="1">'ETF variations'!AA681/'ETF price'!AB682</f>
        <v>4.3851955797228554E-3</v>
      </c>
      <c r="AB681">
        <f ca="1">'ETF variations'!AB681/'ETF price'!AC682</f>
        <v>-2.8011204481807043E-4</v>
      </c>
      <c r="AC681">
        <f ca="1">'ETF variations'!AC681/'ETF price'!AD682</f>
        <v>-1.0443864229765022E-2</v>
      </c>
      <c r="AD681">
        <f ca="1">'ETF variations'!AD681/'ETF price'!AE682</f>
        <v>5.50055005500636E-4</v>
      </c>
      <c r="AE681">
        <f ca="1">'ETF variations'!AE681/'ETF price'!AF682</f>
        <v>-2.2471910112359071E-3</v>
      </c>
      <c r="AF681">
        <f ca="1">'ETF variations'!AF681/'ETF price'!AG682</f>
        <v>-1.2716763005780281E-2</v>
      </c>
    </row>
    <row r="682" spans="1:32" x14ac:dyDescent="0.2">
      <c r="A682">
        <f ca="1">'ETF variations'!A682/'ETF price'!B683</f>
        <v>2.9700234839066249E-2</v>
      </c>
      <c r="B682">
        <f ca="1">'ETF variations'!B682/'ETF price'!C683</f>
        <v>2.9573712255772606E-2</v>
      </c>
      <c r="C682">
        <f ca="1">'ETF variations'!C682/'ETF price'!D683</f>
        <v>7.1017017285274174E-3</v>
      </c>
      <c r="D682">
        <f ca="1">'ETF variations'!D682/'ETF price'!E683</f>
        <v>4.2577622634576567E-2</v>
      </c>
      <c r="E682">
        <f ca="1">'ETF variations'!E682/'ETF price'!F683</f>
        <v>1.742688286103964E-2</v>
      </c>
      <c r="F682">
        <f ca="1">'ETF variations'!F682/'ETF price'!G683</f>
        <v>2.272727272727277E-2</v>
      </c>
      <c r="G682">
        <f ca="1">'ETF variations'!G682/'ETF price'!H683</f>
        <v>1.6046432229429922E-2</v>
      </c>
      <c r="H682">
        <f ca="1">'ETF variations'!H682/'ETF price'!I683</f>
        <v>3.6045314109164122E-3</v>
      </c>
      <c r="I682">
        <f ca="1">'ETF variations'!I682/'ETF price'!J683</f>
        <v>5.687603131692605E-3</v>
      </c>
      <c r="J682">
        <f ca="1">'ETF variations'!J682/'ETF price'!K683</f>
        <v>1.3218546637743956E-2</v>
      </c>
      <c r="K682">
        <f ca="1">'ETF variations'!K682/'ETF price'!L683</f>
        <v>1.6069834341831211E-2</v>
      </c>
      <c r="L682">
        <f ca="1">'ETF variations'!L682/'ETF price'!M683</f>
        <v>1.0814606741572978E-2</v>
      </c>
      <c r="M682">
        <f ca="1">'ETF variations'!M682/'ETF price'!N683</f>
        <v>3.9477266539614253E-3</v>
      </c>
      <c r="N682">
        <f ca="1">'ETF variations'!N682/'ETF price'!O683</f>
        <v>1.8502202643171883E-2</v>
      </c>
      <c r="O682">
        <f ca="1">'ETF variations'!O682/'ETF price'!P683</f>
        <v>1.194403367079965E-2</v>
      </c>
      <c r="P682">
        <f ca="1">'ETF variations'!P682/'ETF price'!Q683</f>
        <v>1.2870641902899953E-2</v>
      </c>
      <c r="Q682">
        <f ca="1">'ETF variations'!Q682/'ETF price'!R683</f>
        <v>1.5107682417229151E-2</v>
      </c>
      <c r="R682">
        <f ca="1">'ETF variations'!R682/'ETF price'!S683</f>
        <v>3.3886702036624965E-2</v>
      </c>
      <c r="S682">
        <f ca="1">'ETF variations'!S682/'ETF price'!T683</f>
        <v>1.7865322950068742E-2</v>
      </c>
      <c r="T682">
        <f ca="1">'ETF variations'!T682/'ETF price'!U683</f>
        <v>2.9578262100198181E-2</v>
      </c>
      <c r="U682">
        <f ca="1">'ETF variations'!U682/'ETF price'!V683</f>
        <v>-7.4788902291918515E-3</v>
      </c>
      <c r="V682">
        <f ca="1">'ETF variations'!V682/'ETF price'!W683</f>
        <v>1.1064394777605666E-2</v>
      </c>
      <c r="W682">
        <f ca="1">'ETF variations'!W682/'ETF price'!X683</f>
        <v>1.3118338343809764E-2</v>
      </c>
      <c r="X682">
        <f ca="1">'ETF variations'!X682/'ETF price'!Y683</f>
        <v>2.4770125727153317E-2</v>
      </c>
      <c r="Y682">
        <f ca="1">'ETF variations'!Y682/'ETF price'!Z683</f>
        <v>1.3284204402210847E-2</v>
      </c>
      <c r="Z682">
        <f ca="1">'ETF variations'!Z682/'ETF price'!AA683</f>
        <v>-2.4515266324938588E-3</v>
      </c>
      <c r="AA682">
        <f ca="1">'ETF variations'!AA682/'ETF price'!AB683</f>
        <v>2.8292001397135953E-2</v>
      </c>
      <c r="AB682">
        <f ca="1">'ETF variations'!AB682/'ETF price'!AC683</f>
        <v>-9.5264780050433265E-3</v>
      </c>
      <c r="AC682">
        <f ca="1">'ETF variations'!AC682/'ETF price'!AD683</f>
        <v>5.2770448548812708E-2</v>
      </c>
      <c r="AD682">
        <f ca="1">'ETF variations'!AD682/'ETF price'!AE683</f>
        <v>5.3875755909840589E-2</v>
      </c>
      <c r="AE682">
        <f ca="1">'ETF variations'!AE682/'ETF price'!AF683</f>
        <v>1.3513513513513424E-2</v>
      </c>
      <c r="AF682">
        <f ca="1">'ETF variations'!AF682/'ETF price'!AG683</f>
        <v>2.9508196721311428E-2</v>
      </c>
    </row>
    <row r="683" spans="1:32" x14ac:dyDescent="0.2">
      <c r="A683">
        <f ca="1">'ETF variations'!A683/'ETF price'!B684</f>
        <v>-4.874340398890991E-3</v>
      </c>
      <c r="B683">
        <f ca="1">'ETF variations'!B683/'ETF price'!C684</f>
        <v>-3.5021133442594199E-3</v>
      </c>
      <c r="C683">
        <f ca="1">'ETF variations'!C683/'ETF price'!D684</f>
        <v>2.7275146354443628E-3</v>
      </c>
      <c r="D683">
        <f ca="1">'ETF variations'!D683/'ETF price'!E684</f>
        <v>-1.462619498656338E-2</v>
      </c>
      <c r="E683">
        <f ca="1">'ETF variations'!E683/'ETF price'!F684</f>
        <v>1.2809055704498055E-2</v>
      </c>
      <c r="F683">
        <f ca="1">'ETF variations'!F683/'ETF price'!G684</f>
        <v>-1.9323671497585273E-3</v>
      </c>
      <c r="G683">
        <f ca="1">'ETF variations'!G683/'ETF price'!H684</f>
        <v>-6.7204301075269772E-3</v>
      </c>
      <c r="H683">
        <f ca="1">'ETF variations'!H683/'ETF price'!I684</f>
        <v>-4.1046690610568653E-3</v>
      </c>
      <c r="I683">
        <f ca="1">'ETF variations'!I683/'ETF price'!J684</f>
        <v>-4.8175946936637997E-3</v>
      </c>
      <c r="J683">
        <f ca="1">'ETF variations'!J683/'ETF price'!K684</f>
        <v>-9.9685555629892893E-3</v>
      </c>
      <c r="K683">
        <f ca="1">'ETF variations'!K683/'ETF price'!L684</f>
        <v>-8.0054671482964693E-3</v>
      </c>
      <c r="L683">
        <f ca="1">'ETF variations'!L683/'ETF price'!M684</f>
        <v>-8.6147005696818758E-3</v>
      </c>
      <c r="M683">
        <f ca="1">'ETF variations'!M683/'ETF price'!N684</f>
        <v>-6.7796610169491523E-3</v>
      </c>
      <c r="N683">
        <f ca="1">'ETF variations'!N683/'ETF price'!O684</f>
        <v>-2.0761245674740501E-2</v>
      </c>
      <c r="O683">
        <f ca="1">'ETF variations'!O683/'ETF price'!P684</f>
        <v>-2.2482014388487933E-3</v>
      </c>
      <c r="P683">
        <f ca="1">'ETF variations'!P683/'ETF price'!Q684</f>
        <v>-1.367218915875838E-3</v>
      </c>
      <c r="Q683">
        <f ca="1">'ETF variations'!Q683/'ETF price'!R684</f>
        <v>-7.0719864893392624E-3</v>
      </c>
      <c r="R683">
        <f ca="1">'ETF variations'!R683/'ETF price'!S684</f>
        <v>-4.9660652209889149E-4</v>
      </c>
      <c r="S683">
        <f ca="1">'ETF variations'!S683/'ETF price'!T684</f>
        <v>0</v>
      </c>
      <c r="T683">
        <f ca="1">'ETF variations'!T683/'ETF price'!U684</f>
        <v>2.3367697594501953E-3</v>
      </c>
      <c r="U683">
        <f ca="1">'ETF variations'!U683/'ETF price'!V684</f>
        <v>-1.1667476908118715E-2</v>
      </c>
      <c r="V683">
        <f ca="1">'ETF variations'!V683/'ETF price'!W684</f>
        <v>-6.5659881812215226E-4</v>
      </c>
      <c r="W683">
        <f ca="1">'ETF variations'!W683/'ETF price'!X684</f>
        <v>-4.4060785900548053E-3</v>
      </c>
      <c r="X683">
        <f ca="1">'ETF variations'!X683/'ETF price'!Y684</f>
        <v>-1.6297381431972176E-2</v>
      </c>
      <c r="Y683">
        <f ca="1">'ETF variations'!Y683/'ETF price'!Z684</f>
        <v>-2.2966507177033003E-3</v>
      </c>
      <c r="Z683">
        <f ca="1">'ETF variations'!Z683/'ETF price'!AA684</f>
        <v>-1.7873100983020174E-3</v>
      </c>
      <c r="AA683">
        <f ca="1">'ETF variations'!AA683/'ETF price'!AB684</f>
        <v>-2.0210597826087039E-2</v>
      </c>
      <c r="AB683">
        <f ca="1">'ETF variations'!AB683/'ETF price'!AC684</f>
        <v>-9.900990099009941E-3</v>
      </c>
      <c r="AC683">
        <f ca="1">'ETF variations'!AC683/'ETF price'!AD684</f>
        <v>1.2531328320801959E-2</v>
      </c>
      <c r="AD683">
        <f ca="1">'ETF variations'!AD683/'ETF price'!AE684</f>
        <v>-6.7814293166407174E-3</v>
      </c>
      <c r="AE683">
        <f ca="1">'ETF variations'!AE683/'ETF price'!AF684</f>
        <v>-2.2222222222221749E-3</v>
      </c>
      <c r="AF683">
        <f ca="1">'ETF variations'!AF683/'ETF price'!AG684</f>
        <v>-7.2793448589626997E-3</v>
      </c>
    </row>
    <row r="684" spans="1:32" x14ac:dyDescent="0.2">
      <c r="A684">
        <f ca="1">'ETF variations'!A684/'ETF price'!B685</f>
        <v>-1.9772614928324169E-3</v>
      </c>
      <c r="B684">
        <f ca="1">'ETF variations'!B684/'ETF price'!C685</f>
        <v>-3.462483986012352E-4</v>
      </c>
      <c r="C684">
        <f ca="1">'ETF variations'!C684/'ETF price'!D685</f>
        <v>9.7525376501028261E-3</v>
      </c>
      <c r="D684">
        <f ca="1">'ETF variations'!D684/'ETF price'!E685</f>
        <v>3.889658872446035E-3</v>
      </c>
      <c r="E684">
        <f ca="1">'ETF variations'!E684/'ETF price'!F685</f>
        <v>8.2352941176470924E-3</v>
      </c>
      <c r="F684">
        <f ca="1">'ETF variations'!F684/'ETF price'!G685</f>
        <v>4.8402710551791591E-3</v>
      </c>
      <c r="G684">
        <f ca="1">'ETF variations'!G684/'ETF price'!H685</f>
        <v>2.3680649526387106E-3</v>
      </c>
      <c r="H684">
        <f ca="1">'ETF variations'!H684/'ETF price'!I685</f>
        <v>-5.6671818650180028E-3</v>
      </c>
      <c r="I684">
        <f ca="1">'ETF variations'!I684/'ETF price'!J685</f>
        <v>-3.402673027677309E-3</v>
      </c>
      <c r="J684">
        <f ca="1">'ETF variations'!J684/'ETF price'!K685</f>
        <v>-1.6218407892958354E-2</v>
      </c>
      <c r="K684">
        <f ca="1">'ETF variations'!K684/'ETF price'!L685</f>
        <v>-2.3816553488829856E-2</v>
      </c>
      <c r="L684">
        <f ca="1">'ETF variations'!L684/'ETF price'!M685</f>
        <v>-1.7238962859144918E-2</v>
      </c>
      <c r="M684">
        <f ca="1">'ETF variations'!M684/'ETF price'!N685</f>
        <v>-4.2320819112628295E-3</v>
      </c>
      <c r="N684">
        <f ca="1">'ETF variations'!N684/'ETF price'!O685</f>
        <v>-2.2968197879858637E-2</v>
      </c>
      <c r="O684">
        <f ca="1">'ETF variations'!O684/'ETF price'!P685</f>
        <v>4.055881027489854E-3</v>
      </c>
      <c r="P684">
        <f ca="1">'ETF variations'!P684/'ETF price'!Q685</f>
        <v>1.1919143110252106E-2</v>
      </c>
      <c r="Q684">
        <f ca="1">'ETF variations'!Q684/'ETF price'!R685</f>
        <v>4.2521526522802779E-3</v>
      </c>
      <c r="R684">
        <f ca="1">'ETF variations'!R684/'ETF price'!S685</f>
        <v>5.1341503809207547E-3</v>
      </c>
      <c r="S684">
        <f ca="1">'ETF variations'!S684/'ETF price'!T685</f>
        <v>4.5004500450052044E-4</v>
      </c>
      <c r="T684">
        <f ca="1">'ETF variations'!T684/'ETF price'!U685</f>
        <v>-9.188151398793221E-3</v>
      </c>
      <c r="U684">
        <f ca="1">'ETF variations'!U684/'ETF price'!V685</f>
        <v>6.8863748155435604E-3</v>
      </c>
      <c r="V684">
        <f ca="1">'ETF variations'!V684/'ETF price'!W685</f>
        <v>-4.8182216381953327E-3</v>
      </c>
      <c r="W684">
        <f ca="1">'ETF variations'!W684/'ETF price'!X685</f>
        <v>1.4450867052022813E-3</v>
      </c>
      <c r="X684">
        <f ca="1">'ETF variations'!X684/'ETF price'!Y685</f>
        <v>-9.4936708860759132E-3</v>
      </c>
      <c r="Y684">
        <f ca="1">'ETF variations'!Y684/'ETF price'!Z685</f>
        <v>-1.2468827930175489E-3</v>
      </c>
      <c r="Z684">
        <f ca="1">'ETF variations'!Z684/'ETF price'!AA685</f>
        <v>4.0286481647269405E-3</v>
      </c>
      <c r="AA684">
        <f ca="1">'ETF variations'!AA684/'ETF price'!AB685</f>
        <v>-1.4560582423296869E-2</v>
      </c>
      <c r="AB684">
        <f ca="1">'ETF variations'!AB684/'ETF price'!AC685</f>
        <v>6.7142857142856978E-3</v>
      </c>
      <c r="AC684">
        <f ca="1">'ETF variations'!AC684/'ETF price'!AD685</f>
        <v>3.0321782178217724E-2</v>
      </c>
      <c r="AD684">
        <f ca="1">'ETF variations'!AD684/'ETF price'!AE685</f>
        <v>7.3529411764706185E-3</v>
      </c>
      <c r="AE684">
        <f ca="1">'ETF variations'!AE684/'ETF price'!AF685</f>
        <v>4.4543429844097048E-3</v>
      </c>
      <c r="AF684">
        <f ca="1">'ETF variations'!AF684/'ETF price'!AG685</f>
        <v>2.6581118240146577E-2</v>
      </c>
    </row>
    <row r="685" spans="1:32" x14ac:dyDescent="0.2">
      <c r="A685">
        <f ca="1">'ETF variations'!A685/'ETF price'!B686</f>
        <v>6.8440722229727146E-3</v>
      </c>
      <c r="B685">
        <f ca="1">'ETF variations'!B685/'ETF price'!C686</f>
        <v>9.0228949464861569E-3</v>
      </c>
      <c r="C685">
        <f ca="1">'ETF variations'!C685/'ETF price'!D686</f>
        <v>-7.8186596583442701E-3</v>
      </c>
      <c r="D685">
        <f ca="1">'ETF variations'!D685/'ETF price'!E686</f>
        <v>1.2113654582702409E-2</v>
      </c>
      <c r="E685">
        <f ca="1">'ETF variations'!E685/'ETF price'!F686</f>
        <v>0</v>
      </c>
      <c r="F685">
        <f ca="1">'ETF variations'!F685/'ETF price'!G686</f>
        <v>6.1014771997430226E-3</v>
      </c>
      <c r="G685">
        <f ca="1">'ETF variations'!G685/'ETF price'!H686</f>
        <v>1.0799865001687489E-2</v>
      </c>
      <c r="H685">
        <f ca="1">'ETF variations'!H685/'ETF price'!I686</f>
        <v>-2.0077720207254033E-3</v>
      </c>
      <c r="I685">
        <f ca="1">'ETF variations'!I685/'ETF price'!J686</f>
        <v>-2.463921154523215E-3</v>
      </c>
      <c r="J685">
        <f ca="1">'ETF variations'!J685/'ETF price'!K686</f>
        <v>-3.4345377112240689E-3</v>
      </c>
      <c r="K685">
        <f ca="1">'ETF variations'!K685/'ETF price'!L686</f>
        <v>-4.839197499747999E-3</v>
      </c>
      <c r="L685">
        <f ca="1">'ETF variations'!L685/'ETF price'!M686</f>
        <v>-6.2749572162007659E-3</v>
      </c>
      <c r="M685">
        <f ca="1">'ETF variations'!M685/'ETF price'!N686</f>
        <v>-1.6451878256101529E-3</v>
      </c>
      <c r="N685">
        <f ca="1">'ETF variations'!N685/'ETF price'!O686</f>
        <v>-4.5207956600368731E-4</v>
      </c>
      <c r="O685">
        <f ca="1">'ETF variations'!O685/'ETF price'!P686</f>
        <v>-2.4685816876121956E-3</v>
      </c>
      <c r="P685">
        <f ca="1">'ETF variations'!P685/'ETF price'!Q686</f>
        <v>-2.8651014723438074E-3</v>
      </c>
      <c r="Q685">
        <f ca="1">'ETF variations'!Q685/'ETF price'!R686</f>
        <v>1.3655128612257926E-2</v>
      </c>
      <c r="R685">
        <f ca="1">'ETF variations'!R685/'ETF price'!S686</f>
        <v>4.2181578513758484E-2</v>
      </c>
      <c r="S685">
        <f ca="1">'ETF variations'!S685/'ETF price'!T686</f>
        <v>1.6644174538911427E-2</v>
      </c>
      <c r="T685">
        <f ca="1">'ETF variations'!T685/'ETF price'!U686</f>
        <v>1.4394463667820157E-2</v>
      </c>
      <c r="U685">
        <f ca="1">'ETF variations'!U685/'ETF price'!V686</f>
        <v>1.3922813873961904E-2</v>
      </c>
      <c r="V685">
        <f ca="1">'ETF variations'!V685/'ETF price'!W686</f>
        <v>-8.3626760563379286E-3</v>
      </c>
      <c r="W685">
        <f ca="1">'ETF variations'!W685/'ETF price'!X686</f>
        <v>-9.1089466089465266E-3</v>
      </c>
      <c r="X685">
        <f ca="1">'ETF variations'!X685/'ETF price'!Y686</f>
        <v>-1.2967487314414541E-2</v>
      </c>
      <c r="Y685">
        <f ca="1">'ETF variations'!Y685/'ETF price'!Z686</f>
        <v>-3.5532507442618878E-3</v>
      </c>
      <c r="Z685">
        <f ca="1">'ETF variations'!Z685/'ETF price'!AA686</f>
        <v>0</v>
      </c>
      <c r="AA685">
        <f ca="1">'ETF variations'!AA685/'ETF price'!AB686</f>
        <v>-1.3544415127528639E-2</v>
      </c>
      <c r="AB685">
        <f ca="1">'ETF variations'!AB685/'ETF price'!AC686</f>
        <v>3.8314176245210162E-3</v>
      </c>
      <c r="AC685">
        <f ca="1">'ETF variations'!AC685/'ETF price'!AD686</f>
        <v>1.8018018018018701E-3</v>
      </c>
      <c r="AD685">
        <f ca="1">'ETF variations'!AD685/'ETF price'!AE686</f>
        <v>1.6684045881126187E-2</v>
      </c>
      <c r="AE685">
        <f ca="1">'ETF variations'!AE685/'ETF price'!AF686</f>
        <v>2.8824833702882462E-2</v>
      </c>
      <c r="AF685">
        <f ca="1">'ETF variations'!AF685/'ETF price'!AG686</f>
        <v>4.9107142857142926E-2</v>
      </c>
    </row>
    <row r="686" spans="1:32" x14ac:dyDescent="0.2">
      <c r="A686">
        <f ca="1">'ETF variations'!A686/'ETF price'!B687</f>
        <v>2.8621260229863884E-3</v>
      </c>
      <c r="B686">
        <f ca="1">'ETF variations'!B686/'ETF price'!C687</f>
        <v>6.6937850780081072E-4</v>
      </c>
      <c r="C686">
        <f ca="1">'ETF variations'!C686/'ETF price'!D687</f>
        <v>4.039467584928241E-3</v>
      </c>
      <c r="D686">
        <f ca="1">'ETF variations'!D686/'ETF price'!E687</f>
        <v>4.4442488779372494E-3</v>
      </c>
      <c r="E686">
        <f ca="1">'ETF variations'!E686/'ETF price'!F687</f>
        <v>-7.4387397899650688E-3</v>
      </c>
      <c r="F686">
        <f ca="1">'ETF variations'!F686/'ETF price'!G687</f>
        <v>7.3412065113310065E-3</v>
      </c>
      <c r="G686">
        <f ca="1">'ETF variations'!G686/'ETF price'!H687</f>
        <v>-7.6794657762938373E-3</v>
      </c>
      <c r="H686">
        <f ca="1">'ETF variations'!H686/'ETF price'!I687</f>
        <v>-9.7345707054318897E-3</v>
      </c>
      <c r="I686">
        <f ca="1">'ETF variations'!I686/'ETF price'!J687</f>
        <v>-9.91531404375442E-3</v>
      </c>
      <c r="J686">
        <f ca="1">'ETF variations'!J686/'ETF price'!K687</f>
        <v>-1.6542597187758516E-2</v>
      </c>
      <c r="K686">
        <f ca="1">'ETF variations'!K686/'ETF price'!L687</f>
        <v>-9.7254584135345341E-3</v>
      </c>
      <c r="L686">
        <f ca="1">'ETF variations'!L686/'ETF price'!M687</f>
        <v>-1.7508610792193069E-2</v>
      </c>
      <c r="M686">
        <f ca="1">'ETF variations'!M686/'ETF price'!N687</f>
        <v>-1.0436693216149286E-2</v>
      </c>
      <c r="N686">
        <f ca="1">'ETF variations'!N686/'ETF price'!O687</f>
        <v>-1.7639077340569905E-2</v>
      </c>
      <c r="O686">
        <f ca="1">'ETF variations'!O686/'ETF price'!P687</f>
        <v>-1.957255343082125E-2</v>
      </c>
      <c r="P686">
        <f ca="1">'ETF variations'!P686/'ETF price'!Q687</f>
        <v>-1.9953707398834702E-2</v>
      </c>
      <c r="Q686">
        <f ca="1">'ETF variations'!Q686/'ETF price'!R687</f>
        <v>-6.6833751044277417E-3</v>
      </c>
      <c r="R686">
        <f ca="1">'ETF variations'!R686/'ETF price'!S687</f>
        <v>-6.4822134387351243E-3</v>
      </c>
      <c r="S686">
        <f ca="1">'ETF variations'!S686/'ETF price'!T687</f>
        <v>-8.4070796460177545E-3</v>
      </c>
      <c r="T686">
        <f ca="1">'ETF variations'!T686/'ETF price'!U687</f>
        <v>-2.4696411515895786E-2</v>
      </c>
      <c r="U686">
        <f ca="1">'ETF variations'!U686/'ETF price'!V687</f>
        <v>-2.2404239942182602E-2</v>
      </c>
      <c r="V686">
        <f ca="1">'ETF variations'!V686/'ETF price'!W687</f>
        <v>-5.9920106524634512E-3</v>
      </c>
      <c r="W686">
        <f ca="1">'ETF variations'!W686/'ETF price'!X687</f>
        <v>-6.7352325475562849E-3</v>
      </c>
      <c r="X686">
        <f ca="1">'ETF variations'!X686/'ETF price'!Y687</f>
        <v>-1.2947448591012942E-2</v>
      </c>
      <c r="Y686">
        <f ca="1">'ETF variations'!Y686/'ETF price'!Z687</f>
        <v>-9.7340015420200945E-3</v>
      </c>
      <c r="Z686">
        <f ca="1">'ETF variations'!Z686/'ETF price'!AA687</f>
        <v>-4.2353990191707032E-3</v>
      </c>
      <c r="AA686">
        <f ca="1">'ETF variations'!AA686/'ETF price'!AB687</f>
        <v>-1.4978601997146868E-2</v>
      </c>
      <c r="AB686">
        <f ca="1">'ETF variations'!AB686/'ETF price'!AC687</f>
        <v>3.9581566299123714E-3</v>
      </c>
      <c r="AC686">
        <f ca="1">'ETF variations'!AC686/'ETF price'!AD687</f>
        <v>-2.3381294964028812E-2</v>
      </c>
      <c r="AD686">
        <f ca="1">'ETF variations'!AD686/'ETF price'!AE687</f>
        <v>-1.8974358974359024E-2</v>
      </c>
      <c r="AE686">
        <f ca="1">'ETF variations'!AE686/'ETF price'!AF687</f>
        <v>-1.7241379310344845E-2</v>
      </c>
      <c r="AF686">
        <f ca="1">'ETF variations'!AF686/'ETF price'!AG687</f>
        <v>-4.6808510638297633E-3</v>
      </c>
    </row>
    <row r="687" spans="1:32" x14ac:dyDescent="0.2">
      <c r="A687">
        <f ca="1">'ETF variations'!A687/'ETF price'!B688</f>
        <v>1.324414715719063E-2</v>
      </c>
      <c r="B687">
        <f ca="1">'ETF variations'!B687/'ETF price'!C688</f>
        <v>1.2400946794278101E-2</v>
      </c>
      <c r="C687">
        <f ca="1">'ETF variations'!C687/'ETF price'!D688</f>
        <v>-2.2952117134942739E-2</v>
      </c>
      <c r="D687">
        <f ca="1">'ETF variations'!D687/'ETF price'!E688</f>
        <v>3.5747141542909693E-2</v>
      </c>
      <c r="E687">
        <f ca="1">'ETF variations'!E687/'ETF price'!F688</f>
        <v>3.5268185157973416E-3</v>
      </c>
      <c r="F687">
        <f ca="1">'ETF variations'!F687/'ETF price'!G688</f>
        <v>2.249683143219279E-2</v>
      </c>
      <c r="G687">
        <f ca="1">'ETF variations'!G687/'ETF price'!H688</f>
        <v>1.8842530282638031E-2</v>
      </c>
      <c r="H687">
        <f ca="1">'ETF variations'!H687/'ETF price'!I688</f>
        <v>3.3422897961857979E-3</v>
      </c>
      <c r="I687">
        <f ca="1">'ETF variations'!I687/'ETF price'!J688</f>
        <v>3.7777540183185515E-3</v>
      </c>
      <c r="J687">
        <f ca="1">'ETF variations'!J687/'ETF price'!K688</f>
        <v>1.0933557611438199E-2</v>
      </c>
      <c r="K687">
        <f ca="1">'ETF variations'!K687/'ETF price'!L688</f>
        <v>4.5012787723784937E-3</v>
      </c>
      <c r="L687">
        <f ca="1">'ETF variations'!L687/'ETF price'!M688</f>
        <v>1.5629564709319421E-2</v>
      </c>
      <c r="M687">
        <f ca="1">'ETF variations'!M687/'ETF price'!N688</f>
        <v>3.469331112961421E-3</v>
      </c>
      <c r="N687">
        <f ca="1">'ETF variations'!N687/'ETF price'!O688</f>
        <v>1.4732965009208118E-2</v>
      </c>
      <c r="O687">
        <f ca="1">'ETF variations'!O687/'ETF price'!P688</f>
        <v>-1.9619091326296394E-2</v>
      </c>
      <c r="P687">
        <f ca="1">'ETF variations'!P687/'ETF price'!Q688</f>
        <v>-2.0848603306458199E-2</v>
      </c>
      <c r="Q687">
        <f ca="1">'ETF variations'!Q687/'ETF price'!R688</f>
        <v>2.071068124474347E-2</v>
      </c>
      <c r="R687">
        <f ca="1">'ETF variations'!R687/'ETF price'!S688</f>
        <v>2.2278803309993499E-2</v>
      </c>
      <c r="S687">
        <f ca="1">'ETF variations'!S687/'ETF price'!T688</f>
        <v>-8.9245872378402175E-3</v>
      </c>
      <c r="T687">
        <f ca="1">'ETF variations'!T687/'ETF price'!U688</f>
        <v>-3.4555120313374356E-2</v>
      </c>
      <c r="U687">
        <f ca="1">'ETF variations'!U687/'ETF price'!V688</f>
        <v>3.3514046328240503E-2</v>
      </c>
      <c r="V687">
        <f ca="1">'ETF variations'!V687/'ETF price'!W688</f>
        <v>5.1350747934807766E-3</v>
      </c>
      <c r="W687">
        <f ca="1">'ETF variations'!W687/'ETF price'!X688</f>
        <v>5.2231283789975942E-3</v>
      </c>
      <c r="X687">
        <f ca="1">'ETF variations'!X687/'ETF price'!Y688</f>
        <v>8.8734567901233349E-3</v>
      </c>
      <c r="Y687">
        <f ca="1">'ETF variations'!Y687/'ETF price'!Z688</f>
        <v>4.4768856447687955E-3</v>
      </c>
      <c r="Z687">
        <f ca="1">'ETF variations'!Z687/'ETF price'!AA688</f>
        <v>-9.8500111931946448E-3</v>
      </c>
      <c r="AA687">
        <f ca="1">'ETF variations'!AA687/'ETF price'!AB688</f>
        <v>1.1042722664735688E-2</v>
      </c>
      <c r="AB687">
        <f ca="1">'ETF variations'!AB687/'ETF price'!AC688</f>
        <v>-8.1667136018022859E-3</v>
      </c>
      <c r="AC687">
        <f ca="1">'ETF variations'!AC687/'ETF price'!AD688</f>
        <v>2.8852056476366017E-2</v>
      </c>
      <c r="AD687">
        <f ca="1">'ETF variations'!AD687/'ETF price'!AE688</f>
        <v>2.5091479351803475E-2</v>
      </c>
      <c r="AE687">
        <f ca="1">'ETF variations'!AE687/'ETF price'!AF688</f>
        <v>8.7719298245614117E-3</v>
      </c>
      <c r="AF687">
        <f ca="1">'ETF variations'!AF687/'ETF price'!AG688</f>
        <v>5.5365540829414202E-2</v>
      </c>
    </row>
    <row r="688" spans="1:32" x14ac:dyDescent="0.2">
      <c r="A688">
        <f ca="1">'ETF variations'!A688/'ETF price'!B689</f>
        <v>-9.3301645981867989E-3</v>
      </c>
      <c r="B688">
        <f ca="1">'ETF variations'!B688/'ETF price'!C689</f>
        <v>-8.9623041084285707E-3</v>
      </c>
      <c r="C688">
        <f ca="1">'ETF variations'!C688/'ETF price'!D689</f>
        <v>6.1428378560822536E-3</v>
      </c>
      <c r="D688">
        <f ca="1">'ETF variations'!D688/'ETF price'!E689</f>
        <v>-1.58609313538891E-2</v>
      </c>
      <c r="E688">
        <f ca="1">'ETF variations'!E688/'ETF price'!F689</f>
        <v>-3.0751208083175858E-3</v>
      </c>
      <c r="F688">
        <f ca="1">'ETF variations'!F688/'ETF price'!G689</f>
        <v>-8.3669042454292877E-3</v>
      </c>
      <c r="G688">
        <f ca="1">'ETF variations'!G688/'ETF price'!H689</f>
        <v>2.3117569352708151E-3</v>
      </c>
      <c r="H688">
        <f ca="1">'ETF variations'!H688/'ETF price'!I689</f>
        <v>-5.2253429131276347E-4</v>
      </c>
      <c r="I688">
        <f ca="1">'ETF variations'!I688/'ETF price'!J689</f>
        <v>-4.8286880880523946E-3</v>
      </c>
      <c r="J688">
        <f ca="1">'ETF variations'!J688/'ETF price'!K689</f>
        <v>4.5757071547420725E-3</v>
      </c>
      <c r="K688">
        <f ca="1">'ETF variations'!K688/'ETF price'!L689</f>
        <v>2.4442407577147276E-3</v>
      </c>
      <c r="L688">
        <f ca="1">'ETF variations'!L688/'ETF price'!M689</f>
        <v>4.0270386883359864E-3</v>
      </c>
      <c r="M688">
        <f ca="1">'ETF variations'!M688/'ETF price'!N689</f>
        <v>4.1488037615822345E-4</v>
      </c>
      <c r="N688">
        <f ca="1">'ETF variations'!N688/'ETF price'!O689</f>
        <v>1.179673321234127E-2</v>
      </c>
      <c r="O688">
        <f ca="1">'ETF variations'!O688/'ETF price'!P689</f>
        <v>2.0362785254534756E-2</v>
      </c>
      <c r="P688">
        <f ca="1">'ETF variations'!P688/'ETF price'!Q689</f>
        <v>1.2476087498960326E-2</v>
      </c>
      <c r="Q688">
        <f ca="1">'ETF variations'!Q688/'ETF price'!R689</f>
        <v>-1.750952724276462E-3</v>
      </c>
      <c r="R688">
        <f ca="1">'ETF variations'!R688/'ETF price'!S689</f>
        <v>-6.2266500622652624E-4</v>
      </c>
      <c r="S688">
        <f ca="1">'ETF variations'!S688/'ETF price'!T689</f>
        <v>4.9527239981989836E-3</v>
      </c>
      <c r="T688">
        <f ca="1">'ETF variations'!T688/'ETF price'!U689</f>
        <v>1.8258223445877277E-2</v>
      </c>
      <c r="U688">
        <f ca="1">'ETF variations'!U688/'ETF price'!V689</f>
        <v>2.5274201239866532E-2</v>
      </c>
      <c r="V688">
        <f ca="1">'ETF variations'!V688/'ETF price'!W689</f>
        <v>2.8876055086627154E-3</v>
      </c>
      <c r="W688">
        <f ca="1">'ETF variations'!W688/'ETF price'!X689</f>
        <v>-1.0027347310847714E-3</v>
      </c>
      <c r="X688">
        <f ca="1">'ETF variations'!X688/'ETF price'!Y689</f>
        <v>9.5602294455075082E-4</v>
      </c>
      <c r="Y688">
        <f ca="1">'ETF variations'!Y688/'ETF price'!Z689</f>
        <v>2.5191357426606448E-3</v>
      </c>
      <c r="Z688">
        <f ca="1">'ETF variations'!Z688/'ETF price'!AA689</f>
        <v>1.3565453312232032E-3</v>
      </c>
      <c r="AA688">
        <f ca="1">'ETF variations'!AA688/'ETF price'!AB689</f>
        <v>1.2533572068039443E-3</v>
      </c>
      <c r="AB688">
        <f ca="1">'ETF variations'!AB688/'ETF price'!AC689</f>
        <v>7.0982396365697274E-4</v>
      </c>
      <c r="AC688">
        <f ca="1">'ETF variations'!AC688/'ETF price'!AD689</f>
        <v>1.4319809069212316E-2</v>
      </c>
      <c r="AD688">
        <f ca="1">'ETF variations'!AD688/'ETF price'!AE689</f>
        <v>1.3768485466598653E-2</v>
      </c>
      <c r="AE688">
        <f ca="1">'ETF variations'!AE688/'ETF price'!AF689</f>
        <v>2.1739130434784079E-3</v>
      </c>
      <c r="AF688">
        <f ca="1">'ETF variations'!AF688/'ETF price'!AG689</f>
        <v>-2.0255215718043368E-4</v>
      </c>
    </row>
    <row r="689" spans="1:32" x14ac:dyDescent="0.2">
      <c r="A689">
        <f ca="1">'ETF variations'!A689/'ETF price'!B690</f>
        <v>2.9320302087960754E-3</v>
      </c>
      <c r="B689">
        <f ca="1">'ETF variations'!B689/'ETF price'!C690</f>
        <v>2.666849015317193E-3</v>
      </c>
      <c r="C689">
        <f ca="1">'ETF variations'!C689/'ETF price'!D690</f>
        <v>4.4280442804427809E-3</v>
      </c>
      <c r="D689">
        <f ca="1">'ETF variations'!D689/'ETF price'!E690</f>
        <v>-8.9822932783221732E-3</v>
      </c>
      <c r="E689">
        <f ca="1">'ETF variations'!E689/'ETF price'!F690</f>
        <v>2.9377203290247185E-3</v>
      </c>
      <c r="F689">
        <f ca="1">'ETF variations'!F689/'ETF price'!G690</f>
        <v>4.6874999999999556E-3</v>
      </c>
      <c r="G689">
        <f ca="1">'ETF variations'!G689/'ETF price'!H690</f>
        <v>6.58978583196032E-4</v>
      </c>
      <c r="H689">
        <f ca="1">'ETF variations'!H689/'ETF price'!I690</f>
        <v>6.5350934518363605E-3</v>
      </c>
      <c r="I689">
        <f ca="1">'ETF variations'!I689/'ETF price'!J690</f>
        <v>6.8143708302114527E-3</v>
      </c>
      <c r="J689">
        <f ca="1">'ETF variations'!J689/'ETF price'!K690</f>
        <v>4.830917874396057E-3</v>
      </c>
      <c r="K689">
        <f ca="1">'ETF variations'!K689/'ETF price'!L690</f>
        <v>3.7590165599917739E-3</v>
      </c>
      <c r="L689">
        <f ca="1">'ETF variations'!L689/'ETF price'!M690</f>
        <v>1.4324595330168893E-4</v>
      </c>
      <c r="M689">
        <f ca="1">'ETF variations'!M689/'ETF price'!N690</f>
        <v>6.3588609344759984E-3</v>
      </c>
      <c r="N689">
        <f ca="1">'ETF variations'!N689/'ETF price'!O690</f>
        <v>8.9686098654708207E-3</v>
      </c>
      <c r="O689">
        <f ca="1">'ETF variations'!O689/'ETF price'!P690</f>
        <v>6.9962151622892472E-3</v>
      </c>
      <c r="P689">
        <f ca="1">'ETF variations'!P689/'ETF price'!Q690</f>
        <v>6.0790273556230578E-3</v>
      </c>
      <c r="Q689">
        <f ca="1">'ETF variations'!Q689/'ETF price'!R690</f>
        <v>-5.5716054477920581E-3</v>
      </c>
      <c r="R689">
        <f ca="1">'ETF variations'!R689/'ETF price'!S690</f>
        <v>-7.4766355140187535E-3</v>
      </c>
      <c r="S689">
        <f ca="1">'ETF variations'!S689/'ETF price'!T690</f>
        <v>-2.2401433691756592E-3</v>
      </c>
      <c r="T689">
        <f ca="1">'ETF variations'!T689/'ETF price'!U690</f>
        <v>-4.9807883876475641E-3</v>
      </c>
      <c r="U689">
        <f ca="1">'ETF variations'!U689/'ETF price'!V690</f>
        <v>2.5581395348837077E-3</v>
      </c>
      <c r="V689">
        <f ca="1">'ETF variations'!V689/'ETF price'!W690</f>
        <v>3.7652270210410126E-3</v>
      </c>
      <c r="W689">
        <f ca="1">'ETF variations'!W689/'ETF price'!X690</f>
        <v>2.9199744502234983E-3</v>
      </c>
      <c r="X689">
        <f ca="1">'ETF variations'!X689/'ETF price'!Y690</f>
        <v>1.0315186246418322E-2</v>
      </c>
      <c r="Y689">
        <f ca="1">'ETF variations'!Y689/'ETF price'!Z690</f>
        <v>4.1557939499372457E-3</v>
      </c>
      <c r="Z689">
        <f ca="1">'ETF variations'!Z689/'ETF price'!AA690</f>
        <v>8.5798148566268353E-3</v>
      </c>
      <c r="AA689">
        <f ca="1">'ETF variations'!AA689/'ETF price'!AB690</f>
        <v>1.2160228898426318E-2</v>
      </c>
      <c r="AB689">
        <f ca="1">'ETF variations'!AB689/'ETF price'!AC690</f>
        <v>-3.5466023549439638E-3</v>
      </c>
      <c r="AC689">
        <f ca="1">'ETF variations'!AC689/'ETF price'!AD690</f>
        <v>-3.7647058823529443E-2</v>
      </c>
      <c r="AD689">
        <f ca="1">'ETF variations'!AD689/'ETF price'!AE690</f>
        <v>-3.4708249496981779E-2</v>
      </c>
      <c r="AE689">
        <f ca="1">'ETF variations'!AE689/'ETF price'!AF690</f>
        <v>2.8199566160520582E-2</v>
      </c>
      <c r="AF689">
        <f ca="1">'ETF variations'!AF689/'ETF price'!AG690</f>
        <v>-4.7811993517017815E-2</v>
      </c>
    </row>
    <row r="690" spans="1:32" x14ac:dyDescent="0.2">
      <c r="A690">
        <f ca="1">'ETF variations'!A690/'ETF price'!B691</f>
        <v>-2.4362154500354359E-2</v>
      </c>
      <c r="B690">
        <f ca="1">'ETF variations'!B690/'ETF price'!C691</f>
        <v>-2.5131282820705193E-2</v>
      </c>
      <c r="C690">
        <f ca="1">'ETF variations'!C690/'ETF price'!D691</f>
        <v>1.3025182018569156E-2</v>
      </c>
      <c r="D690">
        <f ca="1">'ETF variations'!D690/'ETF price'!E691</f>
        <v>-2.8015091721236861E-2</v>
      </c>
      <c r="E690">
        <f ca="1">'ETF variations'!E690/'ETF price'!F691</f>
        <v>-1.3913298183948489E-2</v>
      </c>
      <c r="F690">
        <f ca="1">'ETF variations'!F690/'ETF price'!G691</f>
        <v>-1.5552099533437015E-2</v>
      </c>
      <c r="G690">
        <f ca="1">'ETF variations'!G690/'ETF price'!H691</f>
        <v>-8.8903523213697579E-3</v>
      </c>
      <c r="H690">
        <f ca="1">'ETF variations'!H690/'ETF price'!I691</f>
        <v>-5.2590572652902361E-3</v>
      </c>
      <c r="I690">
        <f ca="1">'ETF variations'!I690/'ETF price'!J691</f>
        <v>-6.5201984408220235E-3</v>
      </c>
      <c r="J690">
        <f ca="1">'ETF variations'!J690/'ETF price'!K691</f>
        <v>-5.7005494505493418E-3</v>
      </c>
      <c r="K690">
        <f ca="1">'ETF variations'!K690/'ETF price'!L691</f>
        <v>-8.4008097165991728E-3</v>
      </c>
      <c r="L690">
        <f ca="1">'ETF variations'!L690/'ETF price'!M691</f>
        <v>-8.7367516470925159E-3</v>
      </c>
      <c r="M690">
        <f ca="1">'ETF variations'!M690/'ETF price'!N691</f>
        <v>-6.3186813186812329E-3</v>
      </c>
      <c r="N690">
        <f ca="1">'ETF variations'!N690/'ETF price'!O691</f>
        <v>-1.1555555555555624E-2</v>
      </c>
      <c r="O690">
        <f ca="1">'ETF variations'!O690/'ETF price'!P691</f>
        <v>2.2779043280182234E-2</v>
      </c>
      <c r="P690">
        <f ca="1">'ETF variations'!P690/'ETF price'!Q691</f>
        <v>2.1801257450804294E-2</v>
      </c>
      <c r="Q690">
        <f ca="1">'ETF variations'!Q690/'ETF price'!R691</f>
        <v>-2.4901431832329828E-3</v>
      </c>
      <c r="R690">
        <f ca="1">'ETF variations'!R690/'ETF price'!S691</f>
        <v>1.8832391713748361E-3</v>
      </c>
      <c r="S690">
        <f ca="1">'ETF variations'!S690/'ETF price'!T691</f>
        <v>1.7512348450830741E-2</v>
      </c>
      <c r="T690">
        <f ca="1">'ETF variations'!T690/'ETF price'!U691</f>
        <v>3.1321510297482806E-2</v>
      </c>
      <c r="U690">
        <f ca="1">'ETF variations'!U690/'ETF price'!V691</f>
        <v>-1.0206448619809736E-2</v>
      </c>
      <c r="V690">
        <f ca="1">'ETF variations'!V690/'ETF price'!W691</f>
        <v>-5.2956751985878637E-3</v>
      </c>
      <c r="W690">
        <f ca="1">'ETF variations'!W690/'ETF price'!X691</f>
        <v>-6.4598307706304594E-3</v>
      </c>
      <c r="X690">
        <f ca="1">'ETF variations'!X690/'ETF price'!Y691</f>
        <v>-2.7793533749290958E-2</v>
      </c>
      <c r="Y690">
        <f ca="1">'ETF variations'!Y690/'ETF price'!Z691</f>
        <v>-7.603464870067432E-3</v>
      </c>
      <c r="Z690">
        <f ca="1">'ETF variations'!Z690/'ETF price'!AA691</f>
        <v>-6.0443250503694453E-3</v>
      </c>
      <c r="AA690">
        <f ca="1">'ETF variations'!AA690/'ETF price'!AB691</f>
        <v>-3.3392226148409906E-2</v>
      </c>
      <c r="AB690">
        <f ca="1">'ETF variations'!AB690/'ETF price'!AC691</f>
        <v>1.7796127562642369E-2</v>
      </c>
      <c r="AC690">
        <f ca="1">'ETF variations'!AC690/'ETF price'!AD691</f>
        <v>-3.5452322738386312E-2</v>
      </c>
      <c r="AD690">
        <f ca="1">'ETF variations'!AD690/'ETF price'!AE691</f>
        <v>-8.3376758728504502E-2</v>
      </c>
      <c r="AE690">
        <f ca="1">'ETF variations'!AE690/'ETF price'!AF691</f>
        <v>4.2194092827003314E-3</v>
      </c>
      <c r="AF690">
        <f ca="1">'ETF variations'!AF690/'ETF price'!AG691</f>
        <v>-5.3191489361702128E-2</v>
      </c>
    </row>
    <row r="691" spans="1:32" x14ac:dyDescent="0.2">
      <c r="A691">
        <f ca="1">'ETF variations'!A691/'ETF price'!B692</f>
        <v>7.4003450467628965E-3</v>
      </c>
      <c r="B691">
        <f ca="1">'ETF variations'!B691/'ETF price'!C692</f>
        <v>6.2961278813530083E-3</v>
      </c>
      <c r="C691">
        <f ca="1">'ETF variations'!C691/'ETF price'!D692</f>
        <v>-8.5718053540813858E-3</v>
      </c>
      <c r="D691">
        <f ca="1">'ETF variations'!D691/'ETF price'!E692</f>
        <v>1.3474322937580914E-2</v>
      </c>
      <c r="E691">
        <f ca="1">'ETF variations'!E691/'ETF price'!F692</f>
        <v>4.9012327342937518E-3</v>
      </c>
      <c r="F691">
        <f ca="1">'ETF variations'!F691/'ETF price'!G692</f>
        <v>3.4755134281201578E-3</v>
      </c>
      <c r="G691">
        <f ca="1">'ETF variations'!G691/'ETF price'!H692</f>
        <v>4.9833887043188897E-3</v>
      </c>
      <c r="H691">
        <f ca="1">'ETF variations'!H691/'ETF price'!I692</f>
        <v>-2.0233666209777579E-3</v>
      </c>
      <c r="I691">
        <f ca="1">'ETF variations'!I691/'ETF price'!J692</f>
        <v>-9.6304751034398145E-4</v>
      </c>
      <c r="J691">
        <f ca="1">'ETF variations'!J691/'ETF price'!K692</f>
        <v>2.072252538509438E-4</v>
      </c>
      <c r="K691">
        <f ca="1">'ETF variations'!K691/'ETF price'!L692</f>
        <v>1.2248647545167353E-3</v>
      </c>
      <c r="L691">
        <f ca="1">'ETF variations'!L691/'ETF price'!M692</f>
        <v>8.813755237682408E-3</v>
      </c>
      <c r="M691">
        <f ca="1">'ETF variations'!M691/'ETF price'!N692</f>
        <v>-1.1058888581697303E-3</v>
      </c>
      <c r="N691">
        <f ca="1">'ETF variations'!N691/'ETF price'!O692</f>
        <v>-1.7985611510790984E-3</v>
      </c>
      <c r="O691">
        <f ca="1">'ETF variations'!O691/'ETF price'!P692</f>
        <v>1.0244988864142558E-2</v>
      </c>
      <c r="P691">
        <f ca="1">'ETF variations'!P691/'ETF price'!Q692</f>
        <v>1.102764903308291E-2</v>
      </c>
      <c r="Q691">
        <f ca="1">'ETF variations'!Q691/'ETF price'!R692</f>
        <v>-3.8485541918036668E-3</v>
      </c>
      <c r="R691">
        <f ca="1">'ETF variations'!R691/'ETF price'!S692</f>
        <v>-5.3258145363409056E-3</v>
      </c>
      <c r="S691">
        <f ca="1">'ETF variations'!S691/'ETF price'!T692</f>
        <v>8.3848190644307714E-3</v>
      </c>
      <c r="T691">
        <f ca="1">'ETF variations'!T691/'ETF price'!U692</f>
        <v>9.0140063791430552E-3</v>
      </c>
      <c r="U691">
        <f ca="1">'ETF variations'!U691/'ETF price'!V692</f>
        <v>-5.1558471994375167E-3</v>
      </c>
      <c r="V691">
        <f ca="1">'ETF variations'!V691/'ETF price'!W692</f>
        <v>1.1091393078971664E-3</v>
      </c>
      <c r="W691">
        <f ca="1">'ETF variations'!W691/'ETF price'!X692</f>
        <v>7.3260073260071699E-4</v>
      </c>
      <c r="X691">
        <f ca="1">'ETF variations'!X691/'ETF price'!Y692</f>
        <v>-1.7502917152859472E-3</v>
      </c>
      <c r="Y691">
        <f ca="1">'ETF variations'!Y691/'ETF price'!Z692</f>
        <v>6.7888662593354075E-4</v>
      </c>
      <c r="Z691">
        <f ca="1">'ETF variations'!Z691/'ETF price'!AA692</f>
        <v>-3.6036036036035269E-3</v>
      </c>
      <c r="AA691">
        <f ca="1">'ETF variations'!AA691/'ETF price'!AB692</f>
        <v>-2.1933832937305327E-3</v>
      </c>
      <c r="AB691">
        <f ca="1">'ETF variations'!AB691/'ETF price'!AC692</f>
        <v>-7.8332633934814402E-3</v>
      </c>
      <c r="AC691">
        <f ca="1">'ETF variations'!AC691/'ETF price'!AD692</f>
        <v>-3.4854245880861785E-2</v>
      </c>
      <c r="AD691">
        <f ca="1">'ETF variations'!AD691/'ETF price'!AE692</f>
        <v>-2.558271745309831E-2</v>
      </c>
      <c r="AE691">
        <f ca="1">'ETF variations'!AE691/'ETF price'!AF692</f>
        <v>4.8319327731092529E-2</v>
      </c>
      <c r="AF691">
        <f ca="1">'ETF variations'!AF691/'ETF price'!AG692</f>
        <v>1.3258426966292211E-2</v>
      </c>
    </row>
    <row r="692" spans="1:32" x14ac:dyDescent="0.2">
      <c r="A692">
        <f ca="1">'ETF variations'!A692/'ETF price'!B693</f>
        <v>4.1461985668575238E-3</v>
      </c>
      <c r="B692">
        <f ca="1">'ETF variations'!B692/'ETF price'!C693</f>
        <v>3.9278389933608939E-3</v>
      </c>
      <c r="C692">
        <f ca="1">'ETF variations'!C692/'ETF price'!D693</f>
        <v>1.8555466879489172E-2</v>
      </c>
      <c r="D692">
        <f ca="1">'ETF variations'!D692/'ETF price'!E693</f>
        <v>3.5659255998239147E-3</v>
      </c>
      <c r="E692">
        <f ca="1">'ETF variations'!E692/'ETF price'!F693</f>
        <v>-3.3993496896244425E-3</v>
      </c>
      <c r="F692">
        <f ca="1">'ETF variations'!F692/'ETF price'!G693</f>
        <v>-6.2972292191436664E-3</v>
      </c>
      <c r="G692">
        <f ca="1">'ETF variations'!G692/'ETF price'!H693</f>
        <v>-4.6280991735537375E-3</v>
      </c>
      <c r="H692">
        <f ca="1">'ETF variations'!H692/'ETF price'!I693</f>
        <v>-9.025506867233456E-3</v>
      </c>
      <c r="I692">
        <f ca="1">'ETF variations'!I692/'ETF price'!J693</f>
        <v>-9.8182726980613391E-3</v>
      </c>
      <c r="J692">
        <f ca="1">'ETF variations'!J692/'ETF price'!K693</f>
        <v>-1.5124309392265176E-2</v>
      </c>
      <c r="K692">
        <f ca="1">'ETF variations'!K692/'ETF price'!L693</f>
        <v>-1.4782342746457363E-2</v>
      </c>
      <c r="L692">
        <f ca="1">'ETF variations'!L692/'ETF price'!M693</f>
        <v>-1.2603838441707184E-2</v>
      </c>
      <c r="M692">
        <f ca="1">'ETF variations'!M692/'ETF price'!N693</f>
        <v>-9.825629670633931E-3</v>
      </c>
      <c r="N692">
        <f ca="1">'ETF variations'!N692/'ETF price'!O693</f>
        <v>-2.162162162162164E-2</v>
      </c>
      <c r="O692">
        <f ca="1">'ETF variations'!O692/'ETF price'!P693</f>
        <v>1.7636684303350907E-2</v>
      </c>
      <c r="P692">
        <f ca="1">'ETF variations'!P692/'ETF price'!Q693</f>
        <v>1.809990515333549E-2</v>
      </c>
      <c r="Q692">
        <f ca="1">'ETF variations'!Q692/'ETF price'!R693</f>
        <v>-1.106818419129166E-2</v>
      </c>
      <c r="R692">
        <f ca="1">'ETF variations'!R692/'ETF price'!S693</f>
        <v>-9.2913385826772187E-3</v>
      </c>
      <c r="S692">
        <f ca="1">'ETF variations'!S692/'ETF price'!T693</f>
        <v>1.4442013129102768E-2</v>
      </c>
      <c r="T692">
        <f ca="1">'ETF variations'!T692/'ETF price'!U693</f>
        <v>4.0819131390874092E-2</v>
      </c>
      <c r="U692">
        <f ca="1">'ETF variations'!U692/'ETF price'!V693</f>
        <v>-1.9081272084805707E-2</v>
      </c>
      <c r="V692">
        <f ca="1">'ETF variations'!V692/'ETF price'!W693</f>
        <v>-5.3179703079991574E-3</v>
      </c>
      <c r="W692">
        <f ca="1">'ETF variations'!W692/'ETF price'!X693</f>
        <v>-3.7518301610541416E-3</v>
      </c>
      <c r="X692">
        <f ca="1">'ETF variations'!X692/'ETF price'!Y693</f>
        <v>1.3637249172024214E-3</v>
      </c>
      <c r="Y692">
        <f ca="1">'ETF variations'!Y692/'ETF price'!Z693</f>
        <v>-4.6520643535569294E-3</v>
      </c>
      <c r="Z692">
        <f ca="1">'ETF variations'!Z692/'ETF price'!AA693</f>
        <v>-9.719710669077751E-3</v>
      </c>
      <c r="AA692">
        <f ca="1">'ETF variations'!AA692/'ETF price'!AB693</f>
        <v>2.3813885326982131E-3</v>
      </c>
      <c r="AB692">
        <f ca="1">'ETF variations'!AB692/'ETF price'!AC693</f>
        <v>3.3836176512053412E-3</v>
      </c>
      <c r="AC692">
        <f ca="1">'ETF variations'!AC692/'ETF price'!AD693</f>
        <v>2.6263952724884534E-3</v>
      </c>
      <c r="AD692">
        <f ca="1">'ETF variations'!AD692/'ETF price'!AE693</f>
        <v>1.4002333722286956E-2</v>
      </c>
      <c r="AE692">
        <f ca="1">'ETF variations'!AE692/'ETF price'!AF693</f>
        <v>-2.2044088176352769E-2</v>
      </c>
      <c r="AF692">
        <f ca="1">'ETF variations'!AF692/'ETF price'!AG693</f>
        <v>2.6613439787091914E-3</v>
      </c>
    </row>
    <row r="693" spans="1:32" x14ac:dyDescent="0.2">
      <c r="A693">
        <f ca="1">'ETF variations'!A693/'ETF price'!B694</f>
        <v>1.1130559669673667E-2</v>
      </c>
      <c r="B693">
        <f ca="1">'ETF variations'!B693/'ETF price'!C694</f>
        <v>1.2810747178173218E-2</v>
      </c>
      <c r="C693">
        <f ca="1">'ETF variations'!C693/'ETF price'!D694</f>
        <v>8.9454782892589256E-3</v>
      </c>
      <c r="D693">
        <f ca="1">'ETF variations'!D693/'ETF price'!E694</f>
        <v>1.3686611686260767E-2</v>
      </c>
      <c r="E693">
        <f ca="1">'ETF variations'!E693/'ETF price'!F694</f>
        <v>1.7054723416876631E-2</v>
      </c>
      <c r="F693">
        <f ca="1">'ETF variations'!F693/'ETF price'!G694</f>
        <v>1.6159695817490546E-2</v>
      </c>
      <c r="G693">
        <f ca="1">'ETF variations'!G693/'ETF price'!H694</f>
        <v>9.6313517103951887E-3</v>
      </c>
      <c r="H693">
        <f ca="1">'ETF variations'!H693/'ETF price'!I694</f>
        <v>7.9197465681082446E-4</v>
      </c>
      <c r="I693">
        <f ca="1">'ETF variations'!I693/'ETF price'!J694</f>
        <v>1.6946708011827624E-3</v>
      </c>
      <c r="J693">
        <f ca="1">'ETF variations'!J693/'ETF price'!K694</f>
        <v>9.0456489727227547E-3</v>
      </c>
      <c r="K693">
        <f ca="1">'ETF variations'!K693/'ETF price'!L694</f>
        <v>9.002483443708657E-3</v>
      </c>
      <c r="L693">
        <f ca="1">'ETF variations'!L693/'ETF price'!M694</f>
        <v>8.2680591818974098E-3</v>
      </c>
      <c r="M693">
        <f ca="1">'ETF variations'!M693/'ETF price'!N694</f>
        <v>2.0964360587002891E-3</v>
      </c>
      <c r="N693">
        <f ca="1">'ETF variations'!N693/'ETF price'!O694</f>
        <v>1.4732965009208118E-2</v>
      </c>
      <c r="O693">
        <f ca="1">'ETF variations'!O693/'ETF price'!P694</f>
        <v>9.3154246100521417E-3</v>
      </c>
      <c r="P693">
        <f ca="1">'ETF variations'!P693/'ETF price'!Q694</f>
        <v>9.6265817871283993E-3</v>
      </c>
      <c r="Q693">
        <f ca="1">'ETF variations'!Q693/'ETF price'!R694</f>
        <v>4.856931686200063E-3</v>
      </c>
      <c r="R693">
        <f ca="1">'ETF variations'!R693/'ETF price'!S694</f>
        <v>1.3034493721189006E-2</v>
      </c>
      <c r="S693">
        <f ca="1">'ETF variations'!S693/'ETF price'!T694</f>
        <v>2.5884383088869162E-3</v>
      </c>
      <c r="T693">
        <f ca="1">'ETF variations'!T693/'ETF price'!U694</f>
        <v>8.1869800607419826E-3</v>
      </c>
      <c r="U693">
        <f ca="1">'ETF variations'!U693/'ETF price'!V694</f>
        <v>1.1767531219980835E-2</v>
      </c>
      <c r="V693">
        <f ca="1">'ETF variations'!V693/'ETF price'!W694</f>
        <v>1.6930274003118691E-2</v>
      </c>
      <c r="W693">
        <f ca="1">'ETF variations'!W693/'ETF price'!X694</f>
        <v>1.7176448975842657E-2</v>
      </c>
      <c r="X693">
        <f ca="1">'ETF variations'!X693/'ETF price'!Y694</f>
        <v>1.8482490272373597E-2</v>
      </c>
      <c r="Y693">
        <f ca="1">'ETF variations'!Y693/'ETF price'!Z694</f>
        <v>1.9376825705939578E-2</v>
      </c>
      <c r="Z693">
        <f ca="1">'ETF variations'!Z693/'ETF price'!AA694</f>
        <v>-6.6194932663775196E-3</v>
      </c>
      <c r="AA693">
        <f ca="1">'ETF variations'!AA693/'ETF price'!AB694</f>
        <v>2.0467836257310024E-2</v>
      </c>
      <c r="AB693">
        <f ca="1">'ETF variations'!AB693/'ETF price'!AC694</f>
        <v>8.0089925530419156E-3</v>
      </c>
      <c r="AC693">
        <f ca="1">'ETF variations'!AC693/'ETF price'!AD694</f>
        <v>2.6850032743942379E-2</v>
      </c>
      <c r="AD693">
        <f ca="1">'ETF variations'!AD693/'ETF price'!AE694</f>
        <v>2.2439585730725006E-2</v>
      </c>
      <c r="AE693">
        <f ca="1">'ETF variations'!AE693/'ETF price'!AF694</f>
        <v>-2.4590163934426253E-2</v>
      </c>
      <c r="AF693">
        <f ca="1">'ETF variations'!AF693/'ETF price'!AG694</f>
        <v>3.251493032514928E-2</v>
      </c>
    </row>
    <row r="694" spans="1:32" x14ac:dyDescent="0.2">
      <c r="A694">
        <f ca="1">'ETF variations'!A694/'ETF price'!B695</f>
        <v>-6.8800213058723553E-3</v>
      </c>
      <c r="B694">
        <f ca="1">'ETF variations'!B694/'ETF price'!C695</f>
        <v>-7.1789963079446394E-3</v>
      </c>
      <c r="C694">
        <f ca="1">'ETF variations'!C694/'ETF price'!D695</f>
        <v>6.4716541548015994E-4</v>
      </c>
      <c r="D694">
        <f ca="1">'ETF variations'!D694/'ETF price'!E695</f>
        <v>-2.7263285442272107E-3</v>
      </c>
      <c r="E694">
        <f ca="1">'ETF variations'!E694/'ETF price'!F695</f>
        <v>-1.0936132983377079E-2</v>
      </c>
      <c r="F694">
        <f ca="1">'ETF variations'!F694/'ETF price'!G695</f>
        <v>-7.1718116619894114E-3</v>
      </c>
      <c r="G694">
        <f ca="1">'ETF variations'!G694/'ETF price'!H695</f>
        <v>-7.5657894736841083E-3</v>
      </c>
      <c r="H694">
        <f ca="1">'ETF variations'!H694/'ETF price'!I695</f>
        <v>-4.4183592719598229E-3</v>
      </c>
      <c r="I694">
        <f ca="1">'ETF variations'!I694/'ETF price'!J695</f>
        <v>-5.219394550232132E-3</v>
      </c>
      <c r="J694">
        <f ca="1">'ETF variations'!J694/'ETF price'!K695</f>
        <v>-1.1952744961779005E-2</v>
      </c>
      <c r="K694">
        <f ca="1">'ETF variations'!K694/'ETF price'!L695</f>
        <v>-1.2101322941236866E-2</v>
      </c>
      <c r="L694">
        <f ca="1">'ETF variations'!L694/'ETF price'!M695</f>
        <v>-1.6256653718889506E-2</v>
      </c>
      <c r="M694">
        <f ca="1">'ETF variations'!M694/'ETF price'!N695</f>
        <v>-6.6945606694561221E-3</v>
      </c>
      <c r="N694">
        <f ca="1">'ETF variations'!N694/'ETF price'!O695</f>
        <v>-1.2704174228675027E-2</v>
      </c>
      <c r="O694">
        <f ca="1">'ETF variations'!O694/'ETF price'!P695</f>
        <v>3.5415325177076441E-3</v>
      </c>
      <c r="P694">
        <f ca="1">'ETF variations'!P694/'ETF price'!Q695</f>
        <v>4.3060361399461919E-3</v>
      </c>
      <c r="Q694">
        <f ca="1">'ETF variations'!Q694/'ETF price'!R695</f>
        <v>-2.9421036040769271E-3</v>
      </c>
      <c r="R694">
        <f ca="1">'ETF variations'!R694/'ETF price'!S695</f>
        <v>2.0398556409854476E-3</v>
      </c>
      <c r="S694">
        <f ca="1">'ETF variations'!S694/'ETF price'!T695</f>
        <v>1.3769363166953541E-2</v>
      </c>
      <c r="T694">
        <f ca="1">'ETF variations'!T694/'ETF price'!U695</f>
        <v>3.7328094302554141E-2</v>
      </c>
      <c r="U694">
        <f ca="1">'ETF variations'!U694/'ETF price'!V695</f>
        <v>1.8039401851412246E-2</v>
      </c>
      <c r="V694">
        <f ca="1">'ETF variations'!V694/'ETF price'!W695</f>
        <v>-1.2267250821467584E-2</v>
      </c>
      <c r="W694">
        <f ca="1">'ETF variations'!W694/'ETF price'!X695</f>
        <v>-1.1829510565287955E-2</v>
      </c>
      <c r="X694">
        <f ca="1">'ETF variations'!X694/'ETF price'!Y695</f>
        <v>-5.730659025788047E-3</v>
      </c>
      <c r="Y694">
        <f ca="1">'ETF variations'!Y694/'ETF price'!Z695</f>
        <v>-1.3468335084535262E-2</v>
      </c>
      <c r="Z694">
        <f ca="1">'ETF variations'!Z694/'ETF price'!AA695</f>
        <v>-7.3529411764705942E-3</v>
      </c>
      <c r="AA694">
        <f ca="1">'ETF variations'!AA694/'ETF price'!AB695</f>
        <v>-4.4770773638968479E-3</v>
      </c>
      <c r="AB694">
        <f ca="1">'ETF variations'!AB694/'ETF price'!AC695</f>
        <v>-1.9514914970727708E-3</v>
      </c>
      <c r="AC694">
        <f ca="1">'ETF variations'!AC694/'ETF price'!AD695</f>
        <v>1.0841836734693874E-2</v>
      </c>
      <c r="AD694">
        <f ca="1">'ETF variations'!AD694/'ETF price'!AE695</f>
        <v>1.4631401238041731E-2</v>
      </c>
      <c r="AE694">
        <f ca="1">'ETF variations'!AE694/'ETF price'!AF695</f>
        <v>-3.781512605042011E-2</v>
      </c>
      <c r="AF694">
        <f ca="1">'ETF variations'!AF694/'ETF price'!AG695</f>
        <v>-2.4207369323050613E-2</v>
      </c>
    </row>
    <row r="695" spans="1:32" x14ac:dyDescent="0.2">
      <c r="A695">
        <f ca="1">'ETF variations'!A695/'ETF price'!B696</f>
        <v>1.8682399213372568E-2</v>
      </c>
      <c r="B695">
        <f ca="1">'ETF variations'!B695/'ETF price'!C696</f>
        <v>1.8232215412161554E-2</v>
      </c>
      <c r="C695">
        <f ca="1">'ETF variations'!C695/'ETF price'!D696</f>
        <v>2.4576380804552803E-3</v>
      </c>
      <c r="D695">
        <f ca="1">'ETF variations'!D695/'ETF price'!E696</f>
        <v>9.8502929051855516E-3</v>
      </c>
      <c r="E695">
        <f ca="1">'ETF variations'!E695/'ETF price'!F696</f>
        <v>1.6217013121038015E-2</v>
      </c>
      <c r="F695">
        <f ca="1">'ETF variations'!F695/'ETF price'!G696</f>
        <v>3.4547738693467157E-3</v>
      </c>
      <c r="G695">
        <f ca="1">'ETF variations'!G695/'ETF price'!H696</f>
        <v>0</v>
      </c>
      <c r="H695">
        <f ca="1">'ETF variations'!H695/'ETF price'!I696</f>
        <v>5.4315426906007365E-3</v>
      </c>
      <c r="I695">
        <f ca="1">'ETF variations'!I695/'ETF price'!J696</f>
        <v>5.319148936170106E-3</v>
      </c>
      <c r="J695">
        <f ca="1">'ETF variations'!J695/'ETF price'!K696</f>
        <v>5.767337178224737E-3</v>
      </c>
      <c r="K695">
        <f ca="1">'ETF variations'!K695/'ETF price'!L696</f>
        <v>7.9933561714937828E-3</v>
      </c>
      <c r="L695">
        <f ca="1">'ETF variations'!L695/'ETF price'!M696</f>
        <v>1.3161743199766513E-3</v>
      </c>
      <c r="M695">
        <f ca="1">'ETF variations'!M695/'ETF price'!N696</f>
        <v>5.3355798932883383E-3</v>
      </c>
      <c r="N695">
        <f ca="1">'ETF variations'!N695/'ETF price'!O696</f>
        <v>1.8382352941176078E-3</v>
      </c>
      <c r="O695">
        <f ca="1">'ETF variations'!O695/'ETF price'!P696</f>
        <v>-2.609346593947184E-2</v>
      </c>
      <c r="P695">
        <f ca="1">'ETF variations'!P695/'ETF price'!Q696</f>
        <v>-2.5802005971977786E-2</v>
      </c>
      <c r="Q695">
        <f ca="1">'ETF variations'!Q695/'ETF price'!R696</f>
        <v>-4.636948045104834E-3</v>
      </c>
      <c r="R695">
        <f ca="1">'ETF variations'!R695/'ETF price'!S696</f>
        <v>-1.7851550266207338E-2</v>
      </c>
      <c r="S695">
        <f ca="1">'ETF variations'!S695/'ETF price'!T696</f>
        <v>-2.334465195246168E-2</v>
      </c>
      <c r="T695">
        <f ca="1">'ETF variations'!T695/'ETF price'!U696</f>
        <v>-4.3055555555555514E-2</v>
      </c>
      <c r="U695">
        <f ca="1">'ETF variations'!U695/'ETF price'!V696</f>
        <v>-5.4791326649568699E-2</v>
      </c>
      <c r="V695">
        <f ca="1">'ETF variations'!V695/'ETF price'!W696</f>
        <v>5.7662452872033268E-3</v>
      </c>
      <c r="W695">
        <f ca="1">'ETF variations'!W695/'ETF price'!X696</f>
        <v>5.3915745225257168E-3</v>
      </c>
      <c r="X695">
        <f ca="1">'ETF variations'!X695/'ETF price'!Y696</f>
        <v>-1.3448607108549526E-3</v>
      </c>
      <c r="Y695">
        <f ca="1">'ETF variations'!Y695/'ETF price'!Z696</f>
        <v>6.196746707978317E-3</v>
      </c>
      <c r="Z695">
        <f ca="1">'ETF variations'!Z695/'ETF price'!AA696</f>
        <v>3.0092592592591539E-3</v>
      </c>
      <c r="AA695">
        <f ca="1">'ETF variations'!AA695/'ETF price'!AB696</f>
        <v>-3.0581039755351986E-3</v>
      </c>
      <c r="AB695">
        <f ca="1">'ETF variations'!AB695/'ETF price'!AC696</f>
        <v>2.1787709497206736E-2</v>
      </c>
      <c r="AC695">
        <f ca="1">'ETF variations'!AC695/'ETF price'!AD696</f>
        <v>-1.1356466876971592E-2</v>
      </c>
      <c r="AD695">
        <f ca="1">'ETF variations'!AD695/'ETF price'!AE696</f>
        <v>-1.7193566278424971E-2</v>
      </c>
      <c r="AE695">
        <f ca="1">'ETF variations'!AE695/'ETF price'!AF696</f>
        <v>1.746724890829696E-2</v>
      </c>
      <c r="AF695">
        <f ca="1">'ETF variations'!AF695/'ETF price'!AG696</f>
        <v>-1.0976948408342482E-2</v>
      </c>
    </row>
    <row r="696" spans="1:32" x14ac:dyDescent="0.2">
      <c r="A696">
        <f ca="1">'ETF variations'!A696/'ETF price'!B697</f>
        <v>1.1188136188136239E-2</v>
      </c>
      <c r="B696">
        <f ca="1">'ETF variations'!B696/'ETF price'!C697</f>
        <v>1.11932096782375E-2</v>
      </c>
      <c r="C696">
        <f ca="1">'ETF variations'!C696/'ETF price'!D697</f>
        <v>1.2967741935483812E-2</v>
      </c>
      <c r="D696">
        <f ca="1">'ETF variations'!D696/'ETF price'!E697</f>
        <v>1.0441732554142347E-2</v>
      </c>
      <c r="E696">
        <f ca="1">'ETF variations'!E696/'ETF price'!F697</f>
        <v>2.1180908167706274E-2</v>
      </c>
      <c r="F696">
        <f ca="1">'ETF variations'!F696/'ETF price'!G697</f>
        <v>1.5649452269170803E-3</v>
      </c>
      <c r="G696">
        <f ca="1">'ETF variations'!G696/'ETF price'!H697</f>
        <v>6.2976466688762917E-3</v>
      </c>
      <c r="H696">
        <f ca="1">'ETF variations'!H696/'ETF price'!I697</f>
        <v>1.0211476381843412E-2</v>
      </c>
      <c r="I696">
        <f ca="1">'ETF variations'!I696/'ETF price'!J697</f>
        <v>8.5663895187704561E-3</v>
      </c>
      <c r="J696">
        <f ca="1">'ETF variations'!J696/'ETF price'!K697</f>
        <v>9.7902097902088361E-4</v>
      </c>
      <c r="K696">
        <f ca="1">'ETF variations'!K696/'ETF price'!L697</f>
        <v>-8.1359423274973437E-3</v>
      </c>
      <c r="L696">
        <f ca="1">'ETF variations'!L696/'ETF price'!M697</f>
        <v>-6.572221410836904E-3</v>
      </c>
      <c r="M696">
        <f ca="1">'ETF variations'!M696/'ETF price'!N697</f>
        <v>9.4972067039107103E-3</v>
      </c>
      <c r="N696">
        <f ca="1">'ETF variations'!N696/'ETF price'!O697</f>
        <v>-1.1009174311926696E-2</v>
      </c>
      <c r="O696">
        <f ca="1">'ETF variations'!O696/'ETF price'!P697</f>
        <v>6.0393104205557421E-3</v>
      </c>
      <c r="P696">
        <f ca="1">'ETF variations'!P696/'ETF price'!Q697</f>
        <v>4.0867651681861855E-3</v>
      </c>
      <c r="Q696">
        <f ca="1">'ETF variations'!Q696/'ETF price'!R697</f>
        <v>6.3525674960295845E-3</v>
      </c>
      <c r="R696">
        <f ca="1">'ETF variations'!R696/'ETF price'!S697</f>
        <v>5.8992346938776235E-3</v>
      </c>
      <c r="S696">
        <f ca="1">'ETF variations'!S696/'ETF price'!T697</f>
        <v>-8.691873098652882E-3</v>
      </c>
      <c r="T696">
        <f ca="1">'ETF variations'!T696/'ETF price'!U697</f>
        <v>-7.1249505211770179E-3</v>
      </c>
      <c r="U696">
        <f ca="1">'ETF variations'!U696/'ETF price'!V697</f>
        <v>-1.2086827824371042E-2</v>
      </c>
      <c r="V696">
        <f ca="1">'ETF variations'!V696/'ETF price'!W697</f>
        <v>9.2613009922822859E-3</v>
      </c>
      <c r="W696">
        <f ca="1">'ETF variations'!W696/'ETF price'!X697</f>
        <v>8.9074713688420647E-3</v>
      </c>
      <c r="X696">
        <f ca="1">'ETF variations'!X696/'ETF price'!Y697</f>
        <v>1.1350519430550278E-2</v>
      </c>
      <c r="Y696">
        <f ca="1">'ETF variations'!Y696/'ETF price'!Z697</f>
        <v>9.9114703618167922E-3</v>
      </c>
      <c r="Z696">
        <f ca="1">'ETF variations'!Z696/'ETF price'!AA697</f>
        <v>4.615739672283205E-4</v>
      </c>
      <c r="AA696">
        <f ca="1">'ETF variations'!AA696/'ETF price'!AB697</f>
        <v>1.2991699747383595E-2</v>
      </c>
      <c r="AB696">
        <f ca="1">'ETF variations'!AB696/'ETF price'!AC697</f>
        <v>7.2443958447239087E-3</v>
      </c>
      <c r="AC696">
        <f ca="1">'ETF variations'!AC696/'ETF price'!AD697</f>
        <v>-1.4677728142948336E-2</v>
      </c>
      <c r="AD696">
        <f ca="1">'ETF variations'!AD696/'ETF price'!AE697</f>
        <v>-2.0880361173814754E-2</v>
      </c>
      <c r="AE696">
        <f ca="1">'ETF variations'!AE696/'ETF price'!AF697</f>
        <v>-2.1459227467810699E-3</v>
      </c>
      <c r="AF696">
        <f ca="1">'ETF variations'!AF696/'ETF price'!AG697</f>
        <v>-2.6637069922308455E-2</v>
      </c>
    </row>
    <row r="697" spans="1:32" x14ac:dyDescent="0.2">
      <c r="A697">
        <f ca="1">'ETF variations'!A697/'ETF price'!B698</f>
        <v>-2.6033757105047196E-4</v>
      </c>
      <c r="B697">
        <f ca="1">'ETF variations'!B697/'ETF price'!C698</f>
        <v>9.0293453724617895E-4</v>
      </c>
      <c r="C697">
        <f ca="1">'ETF variations'!C697/'ETF price'!D698</f>
        <v>-1.8151710082160336E-2</v>
      </c>
      <c r="D697">
        <f ca="1">'ETF variations'!D697/'ETF price'!E698</f>
        <v>-7.0167977886455698E-3</v>
      </c>
      <c r="E697">
        <f ca="1">'ETF variations'!E697/'ETF price'!F698</f>
        <v>1.4774825969598043E-2</v>
      </c>
      <c r="F697">
        <f ca="1">'ETF variations'!F697/'ETF price'!G698</f>
        <v>-3.1250000000004885E-4</v>
      </c>
      <c r="G697">
        <f ca="1">'ETF variations'!G697/'ETF price'!H698</f>
        <v>-3.952569169960507E-3</v>
      </c>
      <c r="H697">
        <f ca="1">'ETF variations'!H697/'ETF price'!I698</f>
        <v>-3.7172296856657961E-3</v>
      </c>
      <c r="I697">
        <f ca="1">'ETF variations'!I697/'ETF price'!J698</f>
        <v>-3.3546268869776162E-3</v>
      </c>
      <c r="J697">
        <f ca="1">'ETF variations'!J697/'ETF price'!K698</f>
        <v>6.9861673885841322E-5</v>
      </c>
      <c r="K697">
        <f ca="1">'ETF variations'!K697/'ETF price'!L698</f>
        <v>-9.3448240058149109E-4</v>
      </c>
      <c r="L697">
        <f ca="1">'ETF variations'!L697/'ETF price'!M698</f>
        <v>4.4104675095561801E-4</v>
      </c>
      <c r="M697">
        <f ca="1">'ETF variations'!M697/'ETF price'!N698</f>
        <v>-4.288876591034896E-3</v>
      </c>
      <c r="N697">
        <f ca="1">'ETF variations'!N697/'ETF price'!O698</f>
        <v>-7.4211502782931425E-3</v>
      </c>
      <c r="O697">
        <f ca="1">'ETF variations'!O697/'ETF price'!P698</f>
        <v>6.7670814232699229E-3</v>
      </c>
      <c r="P697">
        <f ca="1">'ETF variations'!P697/'ETF price'!Q698</f>
        <v>7.670632435817188E-3</v>
      </c>
      <c r="Q697">
        <f ca="1">'ETF variations'!Q697/'ETF price'!R698</f>
        <v>2.3145712782745805E-3</v>
      </c>
      <c r="R697">
        <f ca="1">'ETF variations'!R697/'ETF price'!S698</f>
        <v>9.827230939927047E-3</v>
      </c>
      <c r="S697">
        <f ca="1">'ETF variations'!S697/'ETF price'!T698</f>
        <v>1.9728189390618274E-2</v>
      </c>
      <c r="T697">
        <f ca="1">'ETF variations'!T697/'ETF price'!U698</f>
        <v>3.3488372093023203E-2</v>
      </c>
      <c r="U697">
        <f ca="1">'ETF variations'!U697/'ETF price'!V698</f>
        <v>-3.6953807740324522E-2</v>
      </c>
      <c r="V697">
        <f ca="1">'ETF variations'!V697/'ETF price'!W698</f>
        <v>-3.0587721214769621E-3</v>
      </c>
      <c r="W697">
        <f ca="1">'ETF variations'!W697/'ETF price'!X698</f>
        <v>-2.1621621621621162E-3</v>
      </c>
      <c r="X697">
        <f ca="1">'ETF variations'!X697/'ETF price'!Y698</f>
        <v>-1.7120030435610312E-3</v>
      </c>
      <c r="Y697">
        <f ca="1">'ETF variations'!Y697/'ETF price'!Z698</f>
        <v>-3.71605526441163E-3</v>
      </c>
      <c r="Z697">
        <f ca="1">'ETF variations'!Z697/'ETF price'!AA698</f>
        <v>-8.3044982698961805E-3</v>
      </c>
      <c r="AA697">
        <f ca="1">'ETF variations'!AA697/'ETF price'!AB698</f>
        <v>-8.906305664409896E-4</v>
      </c>
      <c r="AB697">
        <f ca="1">'ETF variations'!AB697/'ETF price'!AC698</f>
        <v>3.7997014520287846E-3</v>
      </c>
      <c r="AC697">
        <f ca="1">'ETF variations'!AC697/'ETF price'!AD698</f>
        <v>-2.0725388601036288E-2</v>
      </c>
      <c r="AD697">
        <f ca="1">'ETF variations'!AD697/'ETF price'!AE698</f>
        <v>-2.0749279538905069E-2</v>
      </c>
      <c r="AE697">
        <f ca="1">'ETF variations'!AE697/'ETF price'!AF698</f>
        <v>6.4516129032258021E-2</v>
      </c>
      <c r="AF697">
        <f ca="1">'ETF variations'!AF697/'ETF price'!AG698</f>
        <v>-8.6659064994299324E-3</v>
      </c>
    </row>
    <row r="698" spans="1:32" x14ac:dyDescent="0.2">
      <c r="A698">
        <f ca="1">'ETF variations'!A698/'ETF price'!B699</f>
        <v>1.7360357623367288E-3</v>
      </c>
      <c r="B698">
        <f ca="1">'ETF variations'!B698/'ETF price'!C699</f>
        <v>3.0905962344844095E-3</v>
      </c>
      <c r="C698">
        <f ca="1">'ETF variations'!C698/'ETF price'!D699</f>
        <v>1.2973533990665693E-4</v>
      </c>
      <c r="D698">
        <f ca="1">'ETF variations'!D698/'ETF price'!E699</f>
        <v>8.3940042826552812E-3</v>
      </c>
      <c r="E698">
        <f ca="1">'ETF variations'!E698/'ETF price'!F699</f>
        <v>3.3599328013439013E-3</v>
      </c>
      <c r="F698">
        <f ca="1">'ETF variations'!F698/'ETF price'!G699</f>
        <v>6.5645514223196125E-3</v>
      </c>
      <c r="G698">
        <f ca="1">'ETF variations'!G698/'ETF price'!H699</f>
        <v>1.0582010582010592E-2</v>
      </c>
      <c r="H698">
        <f ca="1">'ETF variations'!H698/'ETF price'!I699</f>
        <v>7.3312823198270344E-3</v>
      </c>
      <c r="I698">
        <f ca="1">'ETF variations'!I698/'ETF price'!J699</f>
        <v>8.9161026963154276E-3</v>
      </c>
      <c r="J698">
        <f ca="1">'ETF variations'!J698/'ETF price'!K699</f>
        <v>1.7045057631854682E-2</v>
      </c>
      <c r="K698">
        <f ca="1">'ETF variations'!K698/'ETF price'!L699</f>
        <v>2.5566410309707004E-2</v>
      </c>
      <c r="L698">
        <f ca="1">'ETF variations'!L698/'ETF price'!M699</f>
        <v>1.9103600293901502E-2</v>
      </c>
      <c r="M698">
        <f ca="1">'ETF variations'!M698/'ETF price'!N699</f>
        <v>8.892594136445749E-3</v>
      </c>
      <c r="N698">
        <f ca="1">'ETF variations'!N698/'ETF price'!O699</f>
        <v>2.6635514018691603E-2</v>
      </c>
      <c r="O698">
        <f ca="1">'ETF variations'!O698/'ETF price'!P699</f>
        <v>6.1795316565482154E-3</v>
      </c>
      <c r="P698">
        <f ca="1">'ETF variations'!P698/'ETF price'!Q699</f>
        <v>7.0685101755475887E-3</v>
      </c>
      <c r="Q698">
        <f ca="1">'ETF variations'!Q698/'ETF price'!R699</f>
        <v>6.5078198803401339E-3</v>
      </c>
      <c r="R698">
        <f ca="1">'ETF variations'!R698/'ETF price'!S699</f>
        <v>1.5068278135300595E-2</v>
      </c>
      <c r="S698">
        <f ca="1">'ETF variations'!S698/'ETF price'!T699</f>
        <v>8.5984522785896697E-4</v>
      </c>
      <c r="T698">
        <f ca="1">'ETF variations'!T698/'ETF price'!U699</f>
        <v>-3.600360036003615E-3</v>
      </c>
      <c r="U698">
        <f ca="1">'ETF variations'!U698/'ETF price'!V699</f>
        <v>1.944516463572725E-2</v>
      </c>
      <c r="V698">
        <f ca="1">'ETF variations'!V698/'ETF price'!W699</f>
        <v>1.9285557747096109E-2</v>
      </c>
      <c r="W698">
        <f ca="1">'ETF variations'!W698/'ETF price'!X699</f>
        <v>2.0314192849404115E-2</v>
      </c>
      <c r="X698">
        <f ca="1">'ETF variations'!X698/'ETF price'!Y699</f>
        <v>2.9916158536585372E-2</v>
      </c>
      <c r="Y698">
        <f ca="1">'ETF variations'!Y698/'ETF price'!Z699</f>
        <v>2.2570772762050492E-2</v>
      </c>
      <c r="Z698">
        <f ca="1">'ETF variations'!Z698/'ETF price'!AA699</f>
        <v>1.0234938357757564E-2</v>
      </c>
      <c r="AA698">
        <f ca="1">'ETF variations'!AA698/'ETF price'!AB699</f>
        <v>3.4587270458192147E-2</v>
      </c>
      <c r="AB698">
        <f ca="1">'ETF variations'!AB698/'ETF price'!AC699</f>
        <v>1.2843044477490913E-2</v>
      </c>
      <c r="AC698">
        <f ca="1">'ETF variations'!AC698/'ETF price'!AD699</f>
        <v>4.8280423280423312E-2</v>
      </c>
      <c r="AD698">
        <f ca="1">'ETF variations'!AD698/'ETF price'!AE699</f>
        <v>5.8269570335491586E-2</v>
      </c>
      <c r="AE698">
        <f ca="1">'ETF variations'!AE698/'ETF price'!AF699</f>
        <v>-2.2222222222222286E-2</v>
      </c>
      <c r="AF698">
        <f ca="1">'ETF variations'!AF698/'ETF price'!AG699</f>
        <v>5.7740970784449001E-2</v>
      </c>
    </row>
    <row r="699" spans="1:32" x14ac:dyDescent="0.2">
      <c r="A699">
        <f ca="1">'ETF variations'!A699/'ETF price'!B700</f>
        <v>1.3041029418136089E-2</v>
      </c>
      <c r="B699">
        <f ca="1">'ETF variations'!B699/'ETF price'!C700</f>
        <v>1.2390913330224403E-2</v>
      </c>
      <c r="C699">
        <f ca="1">'ETF variations'!C699/'ETF price'!D700</f>
        <v>2.9186664937085782E-3</v>
      </c>
      <c r="D699">
        <f ca="1">'ETF variations'!D699/'ETF price'!E700</f>
        <v>1.8432005436167517E-2</v>
      </c>
      <c r="E699">
        <f ca="1">'ETF variations'!E699/'ETF price'!F700</f>
        <v>1.116227152225454E-3</v>
      </c>
      <c r="F699">
        <f ca="1">'ETF variations'!F699/'ETF price'!G700</f>
        <v>6.2111801242234694E-3</v>
      </c>
      <c r="G699">
        <f ca="1">'ETF variations'!G699/'ETF price'!H700</f>
        <v>2.9450261780104665E-3</v>
      </c>
      <c r="H699">
        <f ca="1">'ETF variations'!H699/'ETF price'!I700</f>
        <v>5.5234258236404104E-3</v>
      </c>
      <c r="I699">
        <f ca="1">'ETF variations'!I699/'ETF price'!J700</f>
        <v>5.4656445201590733E-3</v>
      </c>
      <c r="J699">
        <f ca="1">'ETF variations'!J699/'ETF price'!K700</f>
        <v>8.2423243354629125E-4</v>
      </c>
      <c r="K699">
        <f ca="1">'ETF variations'!K699/'ETF price'!L700</f>
        <v>3.9521686258612316E-3</v>
      </c>
      <c r="L699">
        <f ca="1">'ETF variations'!L699/'ETF price'!M700</f>
        <v>8.7959625090122499E-3</v>
      </c>
      <c r="M699">
        <f ca="1">'ETF variations'!M699/'ETF price'!N700</f>
        <v>5.9220493045036059E-3</v>
      </c>
      <c r="N699">
        <f ca="1">'ETF variations'!N699/'ETF price'!O700</f>
        <v>1.3199817933545868E-2</v>
      </c>
      <c r="O699">
        <f ca="1">'ETF variations'!O699/'ETF price'!P700</f>
        <v>-4.309880400819551E-4</v>
      </c>
      <c r="P699">
        <f ca="1">'ETF variations'!P699/'ETF price'!Q700</f>
        <v>-3.0852294639414244E-3</v>
      </c>
      <c r="Q699">
        <f ca="1">'ETF variations'!Q699/'ETF price'!R700</f>
        <v>5.7357388674522591E-3</v>
      </c>
      <c r="R699">
        <f ca="1">'ETF variations'!R699/'ETF price'!S700</f>
        <v>-6.1852481830843129E-4</v>
      </c>
      <c r="S699">
        <f ca="1">'ETF variations'!S699/'ETF price'!T700</f>
        <v>-1.546391752577317E-2</v>
      </c>
      <c r="T699">
        <f ca="1">'ETF variations'!T699/'ETF price'!U700</f>
        <v>-2.0131629887727296E-2</v>
      </c>
      <c r="U699">
        <f ca="1">'ETF variations'!U699/'ETF price'!V700</f>
        <v>-1.1190233977619474E-2</v>
      </c>
      <c r="V699">
        <f ca="1">'ETF variations'!V699/'ETF price'!W700</f>
        <v>6.2352182326381239E-3</v>
      </c>
      <c r="W699">
        <f ca="1">'ETF variations'!W699/'ETF price'!X700</f>
        <v>7.6984337669231953E-3</v>
      </c>
      <c r="X699">
        <f ca="1">'ETF variations'!X699/'ETF price'!Y700</f>
        <v>9.9907493061980809E-3</v>
      </c>
      <c r="Y699">
        <f ca="1">'ETF variations'!Y699/'ETF price'!Z700</f>
        <v>7.5757575757575968E-3</v>
      </c>
      <c r="Z699">
        <f ca="1">'ETF variations'!Z699/'ETF price'!AA700</f>
        <v>6.9076675109370749E-3</v>
      </c>
      <c r="AA699">
        <f ca="1">'ETF variations'!AA699/'ETF price'!AB700</f>
        <v>7.9269343443046838E-3</v>
      </c>
      <c r="AB699">
        <f ca="1">'ETF variations'!AB699/'ETF price'!AC700</f>
        <v>4.2712226374798873E-3</v>
      </c>
      <c r="AC699">
        <f ca="1">'ETF variations'!AC699/'ETF price'!AD700</f>
        <v>5.6782334384858066E-2</v>
      </c>
      <c r="AD699">
        <f ca="1">'ETF variations'!AD699/'ETF price'!AE700</f>
        <v>4.3937708565072252E-2</v>
      </c>
      <c r="AE699">
        <f ca="1">'ETF variations'!AE699/'ETF price'!AF700</f>
        <v>6.1983471074380679E-3</v>
      </c>
      <c r="AF699">
        <f ca="1">'ETF variations'!AF699/'ETF price'!AG700</f>
        <v>5.1761635493692969E-2</v>
      </c>
    </row>
    <row r="700" spans="1:32" x14ac:dyDescent="0.2">
      <c r="A700">
        <f ca="1">'ETF variations'!A700/'ETF price'!B701</f>
        <v>-2.1982721751774813E-2</v>
      </c>
      <c r="B700">
        <f ca="1">'ETF variations'!B700/'ETF price'!C701</f>
        <v>-1.8029874317299528E-2</v>
      </c>
      <c r="C700">
        <f ca="1">'ETF variations'!C700/'ETF price'!D701</f>
        <v>3.6862187156437511E-3</v>
      </c>
      <c r="D700">
        <f ca="1">'ETF variations'!D700/'ETF price'!E701</f>
        <v>-5.1876563803169295E-2</v>
      </c>
      <c r="E700">
        <f ca="1">'ETF variations'!E700/'ETF price'!F701</f>
        <v>-9.7560975609756496E-3</v>
      </c>
      <c r="F700">
        <f ca="1">'ETF variations'!F700/'ETF price'!G701</f>
        <v>-2.4999999999999963E-2</v>
      </c>
      <c r="G700">
        <f ca="1">'ETF variations'!G700/'ETF price'!H701</f>
        <v>-9.1353996737356478E-3</v>
      </c>
      <c r="H700">
        <f ca="1">'ETF variations'!H700/'ETF price'!I701</f>
        <v>-1.2214036448235845E-2</v>
      </c>
      <c r="I700">
        <f ca="1">'ETF variations'!I700/'ETF price'!J701</f>
        <v>-9.9541122484997982E-3</v>
      </c>
      <c r="J700">
        <f ca="1">'ETF variations'!J700/'ETF price'!K701</f>
        <v>7.5492416443610744E-4</v>
      </c>
      <c r="K700">
        <f ca="1">'ETF variations'!K700/'ETF price'!L701</f>
        <v>2.4225295245786727E-3</v>
      </c>
      <c r="L700">
        <f ca="1">'ETF variations'!L700/'ETF price'!M701</f>
        <v>2.429959977129813E-3</v>
      </c>
      <c r="M700">
        <f ca="1">'ETF variations'!M700/'ETF price'!N701</f>
        <v>-9.1730558598028707E-3</v>
      </c>
      <c r="N700">
        <f ca="1">'ETF variations'!N700/'ETF price'!O701</f>
        <v>-1.3477088948787092E-2</v>
      </c>
      <c r="O700">
        <f ca="1">'ETF variations'!O700/'ETF price'!P701</f>
        <v>0</v>
      </c>
      <c r="P700">
        <f ca="1">'ETF variations'!P700/'ETF price'!Q701</f>
        <v>-3.1334622823984505E-2</v>
      </c>
      <c r="Q700">
        <f ca="1">'ETF variations'!Q700/'ETF price'!R701</f>
        <v>-1.0369141435088586E-3</v>
      </c>
      <c r="R700">
        <f ca="1">'ETF variations'!R700/'ETF price'!S701</f>
        <v>-6.8079839084016361E-3</v>
      </c>
      <c r="S700">
        <f ca="1">'ETF variations'!S700/'ETF price'!T701</f>
        <v>-1.9197207678883128E-2</v>
      </c>
      <c r="T700">
        <f ca="1">'ETF variations'!T700/'ETF price'!U701</f>
        <v>-4.174897932306073E-2</v>
      </c>
      <c r="U700">
        <f ca="1">'ETF variations'!U700/'ETF price'!V701</f>
        <v>-3.5236625514403409E-2</v>
      </c>
      <c r="V700">
        <f ca="1">'ETF variations'!V700/'ETF price'!W701</f>
        <v>2.1367521367521673E-3</v>
      </c>
      <c r="W700">
        <f ca="1">'ETF variations'!W700/'ETF price'!X701</f>
        <v>2.9855988760098648E-3</v>
      </c>
      <c r="X700">
        <f ca="1">'ETF variations'!X700/'ETF price'!Y701</f>
        <v>9.342370397508664E-3</v>
      </c>
      <c r="Y700">
        <f ca="1">'ETF variations'!Y700/'ETF price'!Z701</f>
        <v>0</v>
      </c>
      <c r="Z700">
        <f ca="1">'ETF variations'!Z700/'ETF price'!AA701</f>
        <v>1.2577178138577734E-2</v>
      </c>
      <c r="AA700">
        <f ca="1">'ETF variations'!AA700/'ETF price'!AB701</f>
        <v>1.0942041374593958E-2</v>
      </c>
      <c r="AB700">
        <f ca="1">'ETF variations'!AB700/'ETF price'!AC701</f>
        <v>-1.3290802764474887E-4</v>
      </c>
      <c r="AC700">
        <f ca="1">'ETF variations'!AC700/'ETF price'!AD701</f>
        <v>1.1940298507462433E-3</v>
      </c>
      <c r="AD700">
        <f ca="1">'ETF variations'!AD700/'ETF price'!AE701</f>
        <v>1.6515716568993005E-2</v>
      </c>
      <c r="AE700">
        <f ca="1">'ETF variations'!AE700/'ETF price'!AF701</f>
        <v>-1.437371663244359E-2</v>
      </c>
      <c r="AF700">
        <f ca="1">'ETF variations'!AF700/'ETF price'!AG701</f>
        <v>5.1695616211745246E-3</v>
      </c>
    </row>
    <row r="701" spans="1:32" x14ac:dyDescent="0.2">
      <c r="A701">
        <f ca="1">'ETF variations'!A701/'ETF price'!B702</f>
        <v>3.1047752317648219E-3</v>
      </c>
      <c r="B701">
        <f ca="1">'ETF variations'!B701/'ETF price'!C702</f>
        <v>3.702338671848885E-3</v>
      </c>
      <c r="C701">
        <f ca="1">'ETF variations'!C701/'ETF price'!D702</f>
        <v>6.7010309278351839E-3</v>
      </c>
      <c r="D701">
        <f ca="1">'ETF variations'!D701/'ETF price'!E702</f>
        <v>0</v>
      </c>
      <c r="E701">
        <f ca="1">'ETF variations'!E701/'ETF price'!F702</f>
        <v>3.2371569317382687E-3</v>
      </c>
      <c r="F701">
        <f ca="1">'ETF variations'!F701/'ETF price'!G702</f>
        <v>-9.4966761633431904E-4</v>
      </c>
      <c r="G701">
        <f ca="1">'ETF variations'!G701/'ETF price'!H702</f>
        <v>5.5976292393809073E-3</v>
      </c>
      <c r="H701">
        <f ca="1">'ETF variations'!H701/'ETF price'!I702</f>
        <v>2.8132155708211113E-3</v>
      </c>
      <c r="I701">
        <f ca="1">'ETF variations'!I701/'ETF price'!J702</f>
        <v>3.8505419281231602E-3</v>
      </c>
      <c r="J701">
        <f ca="1">'ETF variations'!J701/'ETF price'!K702</f>
        <v>3.977506514881447E-3</v>
      </c>
      <c r="K701">
        <f ca="1">'ETF variations'!K701/'ETF price'!L702</f>
        <v>9.4653106434397106E-3</v>
      </c>
      <c r="L701">
        <f ca="1">'ETF variations'!L701/'ETF price'!M702</f>
        <v>-4.5629545130471015E-3</v>
      </c>
      <c r="M701">
        <f ca="1">'ETF variations'!M701/'ETF price'!N702</f>
        <v>3.4544700842890699E-3</v>
      </c>
      <c r="N701">
        <f ca="1">'ETF variations'!N701/'ETF price'!O702</f>
        <v>1.2750455373406083E-2</v>
      </c>
      <c r="O701">
        <f ca="1">'ETF variations'!O701/'ETF price'!P702</f>
        <v>-2.7595127735259271E-2</v>
      </c>
      <c r="P701">
        <f ca="1">'ETF variations'!P701/'ETF price'!Q702</f>
        <v>5.9904153354632585E-3</v>
      </c>
      <c r="Q701">
        <f ca="1">'ETF variations'!Q701/'ETF price'!R702</f>
        <v>7.7849283786589158E-3</v>
      </c>
      <c r="R701">
        <f ca="1">'ETF variations'!R701/'ETF price'!S702</f>
        <v>2.0719738276990158E-2</v>
      </c>
      <c r="S701">
        <f ca="1">'ETF variations'!S701/'ETF price'!T702</f>
        <v>-2.6690391459074166E-3</v>
      </c>
      <c r="T701">
        <f ca="1">'ETF variations'!T701/'ETF price'!U702</f>
        <v>-4.9477735019241263E-3</v>
      </c>
      <c r="U701">
        <f ca="1">'ETF variations'!U701/'ETF price'!V702</f>
        <v>6.3982937883231674E-3</v>
      </c>
      <c r="V701">
        <f ca="1">'ETF variations'!V701/'ETF price'!W702</f>
        <v>1.2366737739872033E-2</v>
      </c>
      <c r="W701">
        <f ca="1">'ETF variations'!W701/'ETF price'!X702</f>
        <v>1.225704780248648E-2</v>
      </c>
      <c r="X701">
        <f ca="1">'ETF variations'!X701/'ETF price'!Y702</f>
        <v>1.4156079854809458E-2</v>
      </c>
      <c r="Y701">
        <f ca="1">'ETF variations'!Y701/'ETF price'!Z702</f>
        <v>1.3088276246170951E-2</v>
      </c>
      <c r="Z701">
        <f ca="1">'ETF variations'!Z701/'ETF price'!AA702</f>
        <v>9.9367660343269576E-3</v>
      </c>
      <c r="AA701">
        <f ca="1">'ETF variations'!AA701/'ETF price'!AB702</f>
        <v>1.3698630136986219E-2</v>
      </c>
      <c r="AB701">
        <f ca="1">'ETF variations'!AB701/'ETF price'!AC702</f>
        <v>-9.3047986175728136E-3</v>
      </c>
      <c r="AC701">
        <f ca="1">'ETF variations'!AC701/'ETF price'!AD702</f>
        <v>1.0733452593917694E-2</v>
      </c>
      <c r="AD701">
        <f ca="1">'ETF variations'!AD701/'ETF price'!AE702</f>
        <v>9.9580712788260636E-3</v>
      </c>
      <c r="AE701">
        <f ca="1">'ETF variations'!AE701/'ETF price'!AF702</f>
        <v>-6.2500000000000524E-3</v>
      </c>
      <c r="AF701">
        <f ca="1">'ETF variations'!AF701/'ETF price'!AG702</f>
        <v>6.6035795103888101E-2</v>
      </c>
    </row>
    <row r="702" spans="1:32" x14ac:dyDescent="0.2">
      <c r="A702">
        <f ca="1">'ETF variations'!A702/'ETF price'!B703</f>
        <v>3.0515715593531414E-3</v>
      </c>
      <c r="B702">
        <f ca="1">'ETF variations'!B702/'ETF price'!C703</f>
        <v>3.9390449485086935E-3</v>
      </c>
      <c r="C702">
        <f ca="1">'ETF variations'!C702/'ETF price'!D703</f>
        <v>1.920122887864896E-4</v>
      </c>
      <c r="D702">
        <f ca="1">'ETF variations'!D702/'ETF price'!E703</f>
        <v>7.8729767769176277E-3</v>
      </c>
      <c r="E702">
        <f ca="1">'ETF variations'!E702/'ETF price'!F703</f>
        <v>-7.0145903479232829E-4</v>
      </c>
      <c r="F702">
        <f ca="1">'ETF variations'!F702/'ETF price'!G703</f>
        <v>-2.2179974651457633E-3</v>
      </c>
      <c r="G702">
        <f ca="1">'ETF variations'!G702/'ETF price'!H703</f>
        <v>-2.6195153896528584E-3</v>
      </c>
      <c r="H702">
        <f ca="1">'ETF variations'!H702/'ETF price'!I703</f>
        <v>-5.8063674321504099E-3</v>
      </c>
      <c r="I702">
        <f ca="1">'ETF variations'!I702/'ETF price'!J703</f>
        <v>-5.8957238244069649E-3</v>
      </c>
      <c r="J702">
        <f ca="1">'ETF variations'!J702/'ETF price'!K703</f>
        <v>-4.8497267759563386E-3</v>
      </c>
      <c r="K702">
        <f ca="1">'ETF variations'!K702/'ETF price'!L703</f>
        <v>-9.4763092269326971E-3</v>
      </c>
      <c r="L702">
        <f ca="1">'ETF variations'!L702/'ETF price'!M703</f>
        <v>-1.0027216731127386E-2</v>
      </c>
      <c r="M702">
        <f ca="1">'ETF variations'!M702/'ETF price'!N703</f>
        <v>-5.783530707794019E-3</v>
      </c>
      <c r="N702">
        <f ca="1">'ETF variations'!N702/'ETF price'!O703</f>
        <v>-1.9784172661870401E-2</v>
      </c>
      <c r="O702">
        <f ca="1">'ETF variations'!O702/'ETF price'!P703</f>
        <v>4.7666555814212044E-3</v>
      </c>
      <c r="P702">
        <f ca="1">'ETF variations'!P702/'ETF price'!Q703</f>
        <v>4.7637951568082117E-3</v>
      </c>
      <c r="Q702">
        <f ca="1">'ETF variations'!Q702/'ETF price'!R703</f>
        <v>1.5449582861261867E-3</v>
      </c>
      <c r="R702">
        <f ca="1">'ETF variations'!R702/'ETF price'!S703</f>
        <v>2.7472527472528516E-3</v>
      </c>
      <c r="S702">
        <f ca="1">'ETF variations'!S702/'ETF price'!T703</f>
        <v>1.3380909901872249E-3</v>
      </c>
      <c r="T702">
        <f ca="1">'ETF variations'!T702/'ETF price'!U703</f>
        <v>3.0386740331491552E-3</v>
      </c>
      <c r="U702">
        <f ca="1">'ETF variations'!U702/'ETF price'!V703</f>
        <v>-1.9337748344370777E-2</v>
      </c>
      <c r="V702">
        <f ca="1">'ETF variations'!V702/'ETF price'!W703</f>
        <v>2.7379949452401553E-3</v>
      </c>
      <c r="W702">
        <f ca="1">'ETF variations'!W702/'ETF price'!X703</f>
        <v>3.5460992907801123E-3</v>
      </c>
      <c r="X702">
        <f ca="1">'ETF variations'!X702/'ETF price'!Y703</f>
        <v>8.052970651395772E-3</v>
      </c>
      <c r="Y702">
        <f ca="1">'ETF variations'!Y702/'ETF price'!Z703</f>
        <v>4.1231445849368043E-3</v>
      </c>
      <c r="Z702">
        <f ca="1">'ETF variations'!Z702/'ETF price'!AA703</f>
        <v>-6.4847942754919308E-3</v>
      </c>
      <c r="AA702">
        <f ca="1">'ETF variations'!AA702/'ETF price'!AB703</f>
        <v>8.6753420086753946E-3</v>
      </c>
      <c r="AB702">
        <f ca="1">'ETF variations'!AB702/'ETF price'!AC703</f>
        <v>-5.3669663222871667E-4</v>
      </c>
      <c r="AC702">
        <f ca="1">'ETF variations'!AC702/'ETF price'!AD703</f>
        <v>-1.2979351032448311E-2</v>
      </c>
      <c r="AD702">
        <f ca="1">'ETF variations'!AD702/'ETF price'!AE703</f>
        <v>-1.3492475350285315E-2</v>
      </c>
      <c r="AE702">
        <f ca="1">'ETF variations'!AE702/'ETF price'!AF703</f>
        <v>7.9664570230608134E-2</v>
      </c>
      <c r="AF702">
        <f ca="1">'ETF variations'!AF702/'ETF price'!AG703</f>
        <v>-2.5279814743342382E-2</v>
      </c>
    </row>
    <row r="703" spans="1:32" x14ac:dyDescent="0.2">
      <c r="A703">
        <f ca="1">'ETF variations'!A703/'ETF price'!B704</f>
        <v>3.5638228519274768E-3</v>
      </c>
      <c r="B703">
        <f ca="1">'ETF variations'!B703/'ETF price'!C704</f>
        <v>3.4414537232538137E-3</v>
      </c>
      <c r="C703">
        <f ca="1">'ETF variations'!C703/'ETF price'!D704</f>
        <v>-1.5869968644013681E-2</v>
      </c>
      <c r="D703">
        <f ca="1">'ETF variations'!D703/'ETF price'!E704</f>
        <v>9.1643028583900479E-4</v>
      </c>
      <c r="E703">
        <f ca="1">'ETF variations'!E703/'ETF price'!F704</f>
        <v>1.6846834199072066E-3</v>
      </c>
      <c r="F703">
        <f ca="1">'ETF variations'!F703/'ETF price'!G704</f>
        <v>1.778342330898694E-2</v>
      </c>
      <c r="G703">
        <f ca="1">'ETF variations'!G703/'ETF price'!H704</f>
        <v>4.9244911359159083E-3</v>
      </c>
      <c r="H703">
        <f ca="1">'ETF variations'!H703/'ETF price'!I704</f>
        <v>4.8559616772754716E-3</v>
      </c>
      <c r="I703">
        <f ca="1">'ETF variations'!I703/'ETF price'!J704</f>
        <v>5.1089674883887347E-3</v>
      </c>
      <c r="J703">
        <f ca="1">'ETF variations'!J703/'ETF price'!K704</f>
        <v>1.5100555975015367E-3</v>
      </c>
      <c r="K703">
        <f ca="1">'ETF variations'!K703/'ETF price'!L704</f>
        <v>5.3373615307150167E-3</v>
      </c>
      <c r="L703">
        <f ca="1">'ETF variations'!L703/'ETF price'!M704</f>
        <v>2.3151497612501314E-3</v>
      </c>
      <c r="M703">
        <f ca="1">'ETF variations'!M703/'ETF price'!N704</f>
        <v>4.9861495844875266E-3</v>
      </c>
      <c r="N703">
        <f ca="1">'ETF variations'!N703/'ETF price'!O704</f>
        <v>6.8807339449540629E-3</v>
      </c>
      <c r="O703">
        <f ca="1">'ETF variations'!O703/'ETF price'!P704</f>
        <v>-3.309796999117356E-3</v>
      </c>
      <c r="P703">
        <f ca="1">'ETF variations'!P703/'ETF price'!Q704</f>
        <v>-4.4251284077439926E-3</v>
      </c>
      <c r="Q703">
        <f ca="1">'ETF variations'!Q703/'ETF price'!R704</f>
        <v>4.0106951871657819E-3</v>
      </c>
      <c r="R703">
        <f ca="1">'ETF variations'!R703/'ETF price'!S704</f>
        <v>1.4459665144596694E-2</v>
      </c>
      <c r="S703">
        <f ca="1">'ETF variations'!S703/'ETF price'!T704</f>
        <v>-5.3452115812918036E-3</v>
      </c>
      <c r="T703">
        <f ca="1">'ETF variations'!T703/'ETF price'!U704</f>
        <v>-1.7075185899201446E-2</v>
      </c>
      <c r="U703">
        <f ca="1">'ETF variations'!U703/'ETF price'!V704</f>
        <v>8.6439762290653772E-3</v>
      </c>
      <c r="V703">
        <f ca="1">'ETF variations'!V703/'ETF price'!W704</f>
        <v>2.1003990758239888E-4</v>
      </c>
      <c r="W703">
        <f ca="1">'ETF variations'!W703/'ETF price'!X704</f>
        <v>2.5855382228734928E-4</v>
      </c>
      <c r="X703">
        <f ca="1">'ETF variations'!X703/'ETF price'!Y704</f>
        <v>-1.2604296112196003E-2</v>
      </c>
      <c r="Y703">
        <f ca="1">'ETF variations'!Y703/'ETF price'!Z704</f>
        <v>1.277488821972813E-3</v>
      </c>
      <c r="Z703">
        <f ca="1">'ETF variations'!Z703/'ETF price'!AA704</f>
        <v>6.9772676119739425E-3</v>
      </c>
      <c r="AA703">
        <f ca="1">'ETF variations'!AA703/'ETF price'!AB704</f>
        <v>-1.3562686073436988E-2</v>
      </c>
      <c r="AB703">
        <f ca="1">'ETF variations'!AB703/'ETF price'!AC704</f>
        <v>-2.8191703584372904E-3</v>
      </c>
      <c r="AC703">
        <f ca="1">'ETF variations'!AC703/'ETF price'!AD704</f>
        <v>2.510460251046014E-2</v>
      </c>
      <c r="AD703">
        <f ca="1">'ETF variations'!AD703/'ETF price'!AE704</f>
        <v>2.6827985270909939E-2</v>
      </c>
      <c r="AE703">
        <f ca="1">'ETF variations'!AE703/'ETF price'!AF704</f>
        <v>2.9126213592232903E-2</v>
      </c>
      <c r="AF703">
        <f ca="1">'ETF variations'!AF703/'ETF price'!AG704</f>
        <v>5.6424470401900642E-2</v>
      </c>
    </row>
    <row r="704" spans="1:32" x14ac:dyDescent="0.2">
      <c r="A704">
        <f ca="1">'ETF variations'!A704/'ETF price'!B705</f>
        <v>4.6771469403664306E-3</v>
      </c>
      <c r="B704">
        <f ca="1">'ETF variations'!B704/'ETF price'!C705</f>
        <v>5.5835376764530537E-3</v>
      </c>
      <c r="C704">
        <f ca="1">'ETF variations'!C704/'ETF price'!D705</f>
        <v>3.9014240197671785E-3</v>
      </c>
      <c r="D704">
        <f ca="1">'ETF variations'!D704/'ETF price'!E705</f>
        <v>-1.8747820020928096E-3</v>
      </c>
      <c r="E704">
        <f ca="1">'ETF variations'!E704/'ETF price'!F705</f>
        <v>-3.6440084092500481E-3</v>
      </c>
      <c r="F704">
        <f ca="1">'ETF variations'!F704/'ETF price'!G705</f>
        <v>3.1201248049937962E-4</v>
      </c>
      <c r="G704">
        <f ca="1">'ETF variations'!G704/'ETF price'!H705</f>
        <v>-5.8804312316236432E-3</v>
      </c>
      <c r="H704">
        <f ca="1">'ETF variations'!H704/'ETF price'!I705</f>
        <v>-1.175471821328272E-2</v>
      </c>
      <c r="I704">
        <f ca="1">'ETF variations'!I704/'ETF price'!J705</f>
        <v>-1.2120996694273516E-2</v>
      </c>
      <c r="J704">
        <f ca="1">'ETF variations'!J704/'ETF price'!K705</f>
        <v>-1.3158796518401669E-2</v>
      </c>
      <c r="K704">
        <f ca="1">'ETF variations'!K704/'ETF price'!L705</f>
        <v>-1.6828608634678881E-2</v>
      </c>
      <c r="L704">
        <f ca="1">'ETF variations'!L704/'ETF price'!M705</f>
        <v>-1.385881333910775E-2</v>
      </c>
      <c r="M704">
        <f ca="1">'ETF variations'!M704/'ETF price'!N705</f>
        <v>-1.1714443219404748E-2</v>
      </c>
      <c r="N704">
        <f ca="1">'ETF variations'!N704/'ETF price'!O705</f>
        <v>-1.8678815489749437E-2</v>
      </c>
      <c r="O704">
        <f ca="1">'ETF variations'!O704/'ETF price'!P705</f>
        <v>-2.988709320345475E-3</v>
      </c>
      <c r="P704">
        <f ca="1">'ETF variations'!P704/'ETF price'!Q705</f>
        <v>-2.5398841177870718E-3</v>
      </c>
      <c r="Q704">
        <f ca="1">'ETF variations'!Q704/'ETF price'!R705</f>
        <v>-7.6820649390556186E-3</v>
      </c>
      <c r="R704">
        <f ca="1">'ETF variations'!R704/'ETF price'!S705</f>
        <v>-5.7014253563392294E-3</v>
      </c>
      <c r="S704">
        <f ca="1">'ETF variations'!S704/'ETF price'!T705</f>
        <v>3.134796238244527E-3</v>
      </c>
      <c r="T704">
        <f ca="1">'ETF variations'!T704/'ETF price'!U705</f>
        <v>1.2328383300644574E-2</v>
      </c>
      <c r="U704">
        <f ca="1">'ETF variations'!U704/'ETF price'!V705</f>
        <v>-1.1783610069630551E-2</v>
      </c>
      <c r="V704">
        <f ca="1">'ETF variations'!V704/'ETF price'!W705</f>
        <v>-7.9798404031918412E-3</v>
      </c>
      <c r="W704">
        <f ca="1">'ETF variations'!W704/'ETF price'!X705</f>
        <v>-1.059796656901606E-2</v>
      </c>
      <c r="X704">
        <f ca="1">'ETF variations'!X704/'ETF price'!Y705</f>
        <v>-2.8407047824523524E-2</v>
      </c>
      <c r="Y704">
        <f ca="1">'ETF variations'!Y704/'ETF price'!Z705</f>
        <v>-9.2955436070355432E-3</v>
      </c>
      <c r="Z704">
        <f ca="1">'ETF variations'!Z704/'ETF price'!AA705</f>
        <v>-2.0563254358515907E-2</v>
      </c>
      <c r="AA704">
        <f ca="1">'ETF variations'!AA704/'ETF price'!AB705</f>
        <v>-2.9342723004694836E-2</v>
      </c>
      <c r="AB704">
        <f ca="1">'ETF variations'!AB704/'ETF price'!AC705</f>
        <v>1.7501346257403803E-3</v>
      </c>
      <c r="AC704">
        <f ca="1">'ETF variations'!AC704/'ETF price'!AD705</f>
        <v>-5.8309037900863045E-4</v>
      </c>
      <c r="AD704">
        <f ca="1">'ETF variations'!AD704/'ETF price'!AE705</f>
        <v>-1.2807377049180328E-2</v>
      </c>
      <c r="AE704">
        <f ca="1">'ETF variations'!AE704/'ETF price'!AF705</f>
        <v>0</v>
      </c>
      <c r="AF704">
        <f ca="1">'ETF variations'!AF704/'ETF price'!AG705</f>
        <v>3.0734632683658183E-2</v>
      </c>
    </row>
    <row r="705" spans="1:32" x14ac:dyDescent="0.2">
      <c r="A705">
        <f ca="1">'ETF variations'!A705/'ETF price'!B706</f>
        <v>-1.0345273503168631E-3</v>
      </c>
      <c r="B705">
        <f ca="1">'ETF variations'!B705/'ETF price'!C706</f>
        <v>-6.9200731550583935E-4</v>
      </c>
      <c r="C705">
        <f ca="1">'ETF variations'!C705/'ETF price'!D706</f>
        <v>6.4771034393419271E-3</v>
      </c>
      <c r="D705">
        <f ca="1">'ETF variations'!D705/'ETF price'!E706</f>
        <v>-3.7129253483597358E-3</v>
      </c>
      <c r="E705">
        <f ca="1">'ETF variations'!E705/'ETF price'!F706</f>
        <v>-5.4860036573357793E-3</v>
      </c>
      <c r="F705">
        <f ca="1">'ETF variations'!F705/'ETF price'!G706</f>
        <v>-1.1852776044915862E-2</v>
      </c>
      <c r="G705">
        <f ca="1">'ETF variations'!G705/'ETF price'!H706</f>
        <v>-3.2862306933947229E-3</v>
      </c>
      <c r="H705">
        <f ca="1">'ETF variations'!H705/'ETF price'!I706</f>
        <v>-1.4537765149012017E-3</v>
      </c>
      <c r="I705">
        <f ca="1">'ETF variations'!I705/'ETF price'!J706</f>
        <v>-1.6911341393207658E-3</v>
      </c>
      <c r="J705">
        <f ca="1">'ETF variations'!J705/'ETF price'!K706</f>
        <v>6.944926731016671E-5</v>
      </c>
      <c r="K705">
        <f ca="1">'ETF variations'!K705/'ETF price'!L706</f>
        <v>1.2226184411613891E-3</v>
      </c>
      <c r="L705">
        <f ca="1">'ETF variations'!L705/'ETF price'!M706</f>
        <v>2.7814375640462263E-3</v>
      </c>
      <c r="M705">
        <f ca="1">'ETF variations'!M705/'ETF price'!N706</f>
        <v>-2.0917584716216913E-3</v>
      </c>
      <c r="N705">
        <f ca="1">'ETF variations'!N705/'ETF price'!O706</f>
        <v>2.7855153203343677E-3</v>
      </c>
      <c r="O705">
        <f ca="1">'ETF variations'!O705/'ETF price'!P706</f>
        <v>2.3315199289442429E-3</v>
      </c>
      <c r="P705">
        <f ca="1">'ETF variations'!P705/'ETF price'!Q706</f>
        <v>1.1936022917163323E-3</v>
      </c>
      <c r="Q705">
        <f ca="1">'ETF variations'!Q705/'ETF price'!R706</f>
        <v>-9.1866226259289911E-3</v>
      </c>
      <c r="R705">
        <f ca="1">'ETF variations'!R705/'ETF price'!S706</f>
        <v>-6.0359136864341556E-3</v>
      </c>
      <c r="S705">
        <f ca="1">'ETF variations'!S705/'ETF price'!T706</f>
        <v>1.7410714285714311E-2</v>
      </c>
      <c r="T705">
        <f ca="1">'ETF variations'!T705/'ETF price'!U706</f>
        <v>2.3802933849986142E-2</v>
      </c>
      <c r="U705">
        <f ca="1">'ETF variations'!U705/'ETF price'!V706</f>
        <v>1.0298102981029881E-2</v>
      </c>
      <c r="V705">
        <f ca="1">'ETF variations'!V705/'ETF price'!W706</f>
        <v>-1.9051651143099789E-3</v>
      </c>
      <c r="W705">
        <f ca="1">'ETF variations'!W705/'ETF price'!X706</f>
        <v>-1.0450230775930032E-3</v>
      </c>
      <c r="X705">
        <f ca="1">'ETF variations'!X705/'ETF price'!Y706</f>
        <v>8.8823094004441897E-3</v>
      </c>
      <c r="Y705">
        <f ca="1">'ETF variations'!Y705/'ETF price'!Z706</f>
        <v>-1.1958421488363119E-3</v>
      </c>
      <c r="Z705">
        <f ca="1">'ETF variations'!Z705/'ETF price'!AA706</f>
        <v>1.5974440894568754E-3</v>
      </c>
      <c r="AA705">
        <f ca="1">'ETF variations'!AA705/'ETF price'!AB706</f>
        <v>1.2610122646398287E-2</v>
      </c>
      <c r="AB705">
        <f ca="1">'ETF variations'!AB705/'ETF price'!AC706</f>
        <v>-9.6761188012363785E-3</v>
      </c>
      <c r="AC705">
        <f ca="1">'ETF variations'!AC705/'ETF price'!AD706</f>
        <v>-1.2252042007001217E-2</v>
      </c>
      <c r="AD705">
        <f ca="1">'ETF variations'!AD705/'ETF price'!AE706</f>
        <v>-4.1515308770108091E-3</v>
      </c>
      <c r="AE705">
        <f ca="1">'ETF variations'!AE705/'ETF price'!AF706</f>
        <v>3.584905660377366E-2</v>
      </c>
      <c r="AF705">
        <f ca="1">'ETF variations'!AF705/'ETF price'!AG706</f>
        <v>1.2727272727272778E-3</v>
      </c>
    </row>
    <row r="706" spans="1:32" x14ac:dyDescent="0.2">
      <c r="A706">
        <f ca="1">'ETF variations'!A706/'ETF price'!B707</f>
        <v>-1.4325782092772354E-2</v>
      </c>
      <c r="B706">
        <f ca="1">'ETF variations'!B706/'ETF price'!C707</f>
        <v>-1.5531483405055084E-2</v>
      </c>
      <c r="C706">
        <f ca="1">'ETF variations'!C706/'ETF price'!D707</f>
        <v>1.6732093442307699E-3</v>
      </c>
      <c r="D706">
        <f ca="1">'ETF variations'!D706/'ETF price'!E707</f>
        <v>-8.9442300947037024E-3</v>
      </c>
      <c r="E706">
        <f ca="1">'ETF variations'!E706/'ETF price'!F707</f>
        <v>-1.8387553041018346E-2</v>
      </c>
      <c r="F706">
        <f ca="1">'ETF variations'!F706/'ETF price'!G707</f>
        <v>-1.7992424242424251E-2</v>
      </c>
      <c r="G706">
        <f ca="1">'ETF variations'!G706/'ETF price'!H707</f>
        <v>-1.055060995713804E-2</v>
      </c>
      <c r="H706">
        <f ca="1">'ETF variations'!H706/'ETF price'!I707</f>
        <v>-4.6985639600291701E-3</v>
      </c>
      <c r="I706">
        <f ca="1">'ETF variations'!I706/'ETF price'!J707</f>
        <v>-6.2353577221119531E-3</v>
      </c>
      <c r="J706">
        <f ca="1">'ETF variations'!J706/'ETF price'!K707</f>
        <v>-1.2777777777777801E-2</v>
      </c>
      <c r="K706">
        <f ca="1">'ETF variations'!K706/'ETF price'!L707</f>
        <v>-1.6281672941894722E-2</v>
      </c>
      <c r="L706">
        <f ca="1">'ETF variations'!L706/'ETF price'!M707</f>
        <v>-1.3722627737226245E-2</v>
      </c>
      <c r="M706">
        <f ca="1">'ETF variations'!M706/'ETF price'!N707</f>
        <v>-5.4499720514253848E-3</v>
      </c>
      <c r="N706">
        <f ca="1">'ETF variations'!N706/'ETF price'!O707</f>
        <v>-1.4814814814814828E-2</v>
      </c>
      <c r="O706">
        <f ca="1">'ETF variations'!O706/'ETF price'!P707</f>
        <v>-5.2060256978289634E-3</v>
      </c>
      <c r="P706">
        <f ca="1">'ETF variations'!P706/'ETF price'!Q707</f>
        <v>-5.2455889365760344E-3</v>
      </c>
      <c r="Q706">
        <f ca="1">'ETF variations'!Q706/'ETF price'!R707</f>
        <v>-2.7086154807791532E-3</v>
      </c>
      <c r="R706">
        <f ca="1">'ETF variations'!R706/'ETF price'!S707</f>
        <v>-1.7914073174434594E-2</v>
      </c>
      <c r="S706">
        <f ca="1">'ETF variations'!S706/'ETF price'!T707</f>
        <v>-5.7042562527423873E-3</v>
      </c>
      <c r="T706">
        <f ca="1">'ETF variations'!T706/'ETF price'!U707</f>
        <v>-5.8123817247905758E-3</v>
      </c>
      <c r="U706">
        <f ca="1">'ETF variations'!U706/'ETF price'!V707</f>
        <v>-6.4377682403434005E-3</v>
      </c>
      <c r="V706">
        <f ca="1">'ETF variations'!V706/'ETF price'!W707</f>
        <v>-8.4835630965003498E-4</v>
      </c>
      <c r="W706">
        <f ca="1">'ETF variations'!W706/'ETF price'!X707</f>
        <v>-2.0050562287506736E-3</v>
      </c>
      <c r="X706">
        <f ca="1">'ETF variations'!X706/'ETF price'!Y707</f>
        <v>-5.5025678650038766E-4</v>
      </c>
      <c r="Y706">
        <f ca="1">'ETF variations'!Y706/'ETF price'!Z707</f>
        <v>-2.8550377601768489E-3</v>
      </c>
      <c r="Z706">
        <f ca="1">'ETF variations'!Z706/'ETF price'!AA707</f>
        <v>9.7972203235361065E-3</v>
      </c>
      <c r="AA706">
        <f ca="1">'ETF variations'!AA706/'ETF price'!AB707</f>
        <v>6.8236096895256144E-4</v>
      </c>
      <c r="AB706">
        <f ca="1">'ETF variations'!AB706/'ETF price'!AC707</f>
        <v>1.3434658705387558E-2</v>
      </c>
      <c r="AC706">
        <f ca="1">'ETF variations'!AC706/'ETF price'!AD707</f>
        <v>-3.1896042528056653E-2</v>
      </c>
      <c r="AD706">
        <f ca="1">'ETF variations'!AD706/'ETF price'!AE707</f>
        <v>-1.6675351745700898E-2</v>
      </c>
      <c r="AE706">
        <f ca="1">'ETF variations'!AE706/'ETF price'!AF707</f>
        <v>-7.2859744990892593E-3</v>
      </c>
      <c r="AF706">
        <f ca="1">'ETF variations'!AF706/'ETF price'!AG707</f>
        <v>-3.9404394407118244E-2</v>
      </c>
    </row>
    <row r="707" spans="1:32" x14ac:dyDescent="0.2">
      <c r="A707">
        <f ca="1">'ETF variations'!A707/'ETF price'!B708</f>
        <v>2.9330648338658999E-3</v>
      </c>
      <c r="B707">
        <f ca="1">'ETF variations'!B707/'ETF price'!C708</f>
        <v>3.3998224723240595E-3</v>
      </c>
      <c r="C707">
        <f ca="1">'ETF variations'!C707/'ETF price'!D708</f>
        <v>1.3556055252168232E-2</v>
      </c>
      <c r="D707">
        <f ca="1">'ETF variations'!D707/'ETF price'!E708</f>
        <v>5.5742346487348228E-3</v>
      </c>
      <c r="E707">
        <f ca="1">'ETF variations'!E707/'ETF price'!F708</f>
        <v>5.4755043227665045E-3</v>
      </c>
      <c r="F707">
        <f ca="1">'ETF variations'!F707/'ETF price'!G708</f>
        <v>1.1250401800064334E-2</v>
      </c>
      <c r="G707">
        <f ca="1">'ETF variations'!G707/'ETF price'!H708</f>
        <v>-3.9986671109630452E-3</v>
      </c>
      <c r="H707">
        <f ca="1">'ETF variations'!H707/'ETF price'!I708</f>
        <v>-6.5824468085106981E-3</v>
      </c>
      <c r="I707">
        <f ca="1">'ETF variations'!I707/'ETF price'!J708</f>
        <v>-6.0568692876832144E-3</v>
      </c>
      <c r="J707">
        <f ca="1">'ETF variations'!J707/'ETF price'!K708</f>
        <v>-4.0095666854248254E-3</v>
      </c>
      <c r="K707">
        <f ca="1">'ETF variations'!K707/'ETF price'!L708</f>
        <v>5.9997931105823764E-3</v>
      </c>
      <c r="L707">
        <f ca="1">'ETF variations'!L707/'ETF price'!M708</f>
        <v>-4.2924807578449712E-3</v>
      </c>
      <c r="M707">
        <f ca="1">'ETF variations'!M707/'ETF price'!N708</f>
        <v>-6.322888857664786E-3</v>
      </c>
      <c r="N707">
        <f ca="1">'ETF variations'!N707/'ETF price'!O708</f>
        <v>-1.2218045112782027E-2</v>
      </c>
      <c r="O707">
        <f ca="1">'ETF variations'!O707/'ETF price'!P708</f>
        <v>-1.1134617525893681E-4</v>
      </c>
      <c r="P707">
        <f ca="1">'ETF variations'!P707/'ETF price'!Q708</f>
        <v>2.3969319271333604E-4</v>
      </c>
      <c r="Q707">
        <f ca="1">'ETF variations'!Q707/'ETF price'!R708</f>
        <v>-1.2221874020683188E-2</v>
      </c>
      <c r="R707">
        <f ca="1">'ETF variations'!R707/'ETF price'!S708</f>
        <v>-3.8645849435770601E-3</v>
      </c>
      <c r="S707">
        <f ca="1">'ETF variations'!S707/'ETF price'!T708</f>
        <v>-4.4130626654905397E-4</v>
      </c>
      <c r="T707">
        <f ca="1">'ETF variations'!T707/'ETF price'!U708</f>
        <v>-6.6621346023112834E-3</v>
      </c>
      <c r="U707">
        <f ca="1">'ETF variations'!U707/'ETF price'!V708</f>
        <v>4.5896328293736962E-3</v>
      </c>
      <c r="V707">
        <f ca="1">'ETF variations'!V707/'ETF price'!W708</f>
        <v>8.4907662916576412E-4</v>
      </c>
      <c r="W707">
        <f ca="1">'ETF variations'!W707/'ETF price'!X708</f>
        <v>1.5723270440250927E-3</v>
      </c>
      <c r="X707">
        <f ca="1">'ETF variations'!X707/'ETF price'!Y708</f>
        <v>4.4044778858505209E-3</v>
      </c>
      <c r="Y707">
        <f ca="1">'ETF variations'!Y707/'ETF price'!Z708</f>
        <v>3.3250207813798785E-3</v>
      </c>
      <c r="Z707">
        <f ca="1">'ETF variations'!Z707/'ETF price'!AA708</f>
        <v>2.256317689530718E-3</v>
      </c>
      <c r="AA707">
        <f ca="1">'ETF variations'!AA707/'ETF price'!AB708</f>
        <v>5.1142175247187909E-3</v>
      </c>
      <c r="AB707">
        <f ca="1">'ETF variations'!AB707/'ETF price'!AC708</f>
        <v>-4.5527584359936176E-3</v>
      </c>
      <c r="AC707">
        <f ca="1">'ETF variations'!AC707/'ETF price'!AD708</f>
        <v>1.9524100061012829E-2</v>
      </c>
      <c r="AD707">
        <f ca="1">'ETF variations'!AD707/'ETF price'!AE708</f>
        <v>2.8086910439851488E-2</v>
      </c>
      <c r="AE707">
        <f ca="1">'ETF variations'!AE707/'ETF price'!AF708</f>
        <v>5.5045871559632996E-2</v>
      </c>
      <c r="AF707">
        <f ca="1">'ETF variations'!AF707/'ETF price'!AG708</f>
        <v>1.7013232514177669E-2</v>
      </c>
    </row>
    <row r="708" spans="1:32" x14ac:dyDescent="0.2">
      <c r="A708">
        <f ca="1">'ETF variations'!A708/'ETF price'!B709</f>
        <v>5.194238323876027E-3</v>
      </c>
      <c r="B708">
        <f ca="1">'ETF variations'!B708/'ETF price'!C709</f>
        <v>4.7402857524369603E-3</v>
      </c>
      <c r="C708">
        <f ca="1">'ETF variations'!C708/'ETF price'!D709</f>
        <v>-1.1916835699797132E-2</v>
      </c>
      <c r="D708">
        <f ca="1">'ETF variations'!D708/'ETF price'!E709</f>
        <v>1.0030796304443472E-2</v>
      </c>
      <c r="E708">
        <f ca="1">'ETF variations'!E708/'ETF price'!F709</f>
        <v>5.7323015190599838E-3</v>
      </c>
      <c r="F708">
        <f ca="1">'ETF variations'!F708/'ETF price'!G709</f>
        <v>5.4036872218689814E-3</v>
      </c>
      <c r="G708">
        <f ca="1">'ETF variations'!G708/'ETF price'!H709</f>
        <v>1.0036801605888637E-3</v>
      </c>
      <c r="H708">
        <f ca="1">'ETF variations'!H708/'ETF price'!I709</f>
        <v>-5.4882537982731622E-3</v>
      </c>
      <c r="I708">
        <f ca="1">'ETF variations'!I708/'ETF price'!J709</f>
        <v>-5.1450465243569601E-3</v>
      </c>
      <c r="J708">
        <f ca="1">'ETF variations'!J708/'ETF price'!K709</f>
        <v>-5.6501165336543893E-4</v>
      </c>
      <c r="K708">
        <f ca="1">'ETF variations'!K708/'ETF price'!L709</f>
        <v>-1.0282776349613812E-3</v>
      </c>
      <c r="L708">
        <f ca="1">'ETF variations'!L708/'ETF price'!M709</f>
        <v>-2.3784748030325049E-3</v>
      </c>
      <c r="M708">
        <f ca="1">'ETF variations'!M708/'ETF price'!N709</f>
        <v>-5.3733031674207503E-3</v>
      </c>
      <c r="N708">
        <f ca="1">'ETF variations'!N708/'ETF price'!O709</f>
        <v>-1.9029495718363059E-3</v>
      </c>
      <c r="O708">
        <f ca="1">'ETF variations'!O708/'ETF price'!P709</f>
        <v>-3.3407572383074765E-4</v>
      </c>
      <c r="P708">
        <f ca="1">'ETF variations'!P708/'ETF price'!Q709</f>
        <v>1.0384215991692265E-3</v>
      </c>
      <c r="Q708">
        <f ca="1">'ETF variations'!Q708/'ETF price'!R709</f>
        <v>-6.3451776649747094E-3</v>
      </c>
      <c r="R708">
        <f ca="1">'ETF variations'!R708/'ETF price'!S709</f>
        <v>-6.6728739913096309E-3</v>
      </c>
      <c r="S708">
        <f ca="1">'ETF variations'!S708/'ETF price'!T709</f>
        <v>7.064017660044157E-3</v>
      </c>
      <c r="T708">
        <f ca="1">'ETF variations'!T708/'ETF price'!U709</f>
        <v>1.6014234875444861E-2</v>
      </c>
      <c r="U708">
        <f ca="1">'ETF variations'!U708/'ETF price'!V709</f>
        <v>4.6761623219564688E-2</v>
      </c>
      <c r="V708">
        <f ca="1">'ETF variations'!V708/'ETF price'!W709</f>
        <v>-1.1028632025450605E-2</v>
      </c>
      <c r="W708">
        <f ca="1">'ETF variations'!W708/'ETF price'!X709</f>
        <v>-1.1163439734868316E-2</v>
      </c>
      <c r="X708">
        <f ca="1">'ETF variations'!X708/'ETF price'!Y709</f>
        <v>-1.8088799561483553E-2</v>
      </c>
      <c r="Y708">
        <f ca="1">'ETF variations'!Y708/'ETF price'!Z709</f>
        <v>-1.288778422166981E-2</v>
      </c>
      <c r="Z708">
        <f ca="1">'ETF variations'!Z708/'ETF price'!AA709</f>
        <v>-7.8793336334984556E-3</v>
      </c>
      <c r="AA708">
        <f ca="1">'ETF variations'!AA708/'ETF price'!AB709</f>
        <v>-1.7978290366350107E-2</v>
      </c>
      <c r="AB708">
        <f ca="1">'ETF variations'!AB708/'ETF price'!AC709</f>
        <v>5.380683346784927E-3</v>
      </c>
      <c r="AC708">
        <f ca="1">'ETF variations'!AC708/'ETF price'!AD709</f>
        <v>-2.2142429682824715E-2</v>
      </c>
      <c r="AD708">
        <f ca="1">'ETF variations'!AD708/'ETF price'!AE709</f>
        <v>-2.2680412371133905E-2</v>
      </c>
      <c r="AE708">
        <f ca="1">'ETF variations'!AE708/'ETF price'!AF709</f>
        <v>-1.7391304347825717E-3</v>
      </c>
      <c r="AF708">
        <f ca="1">'ETF variations'!AF708/'ETF price'!AG709</f>
        <v>-2.3791821561338182E-2</v>
      </c>
    </row>
    <row r="709" spans="1:32" x14ac:dyDescent="0.2">
      <c r="A709">
        <f ca="1">'ETF variations'!A709/'ETF price'!B710</f>
        <v>-3.0396456641622815E-4</v>
      </c>
      <c r="B709">
        <f ca="1">'ETF variations'!B709/'ETF price'!C710</f>
        <v>2.0433251378829459E-3</v>
      </c>
      <c r="C709">
        <f ca="1">'ETF variations'!C709/'ETF price'!D710</f>
        <v>-3.3294842186297136E-2</v>
      </c>
      <c r="D709">
        <f ca="1">'ETF variations'!D709/'ETF price'!E710</f>
        <v>6.0980921683067494E-4</v>
      </c>
      <c r="E709">
        <f ca="1">'ETF variations'!E709/'ETF price'!F710</f>
        <v>1.2824166429180562E-3</v>
      </c>
      <c r="F709">
        <f ca="1">'ETF variations'!F709/'ETF price'!G710</f>
        <v>1.5491621877963909E-2</v>
      </c>
      <c r="G709">
        <f ca="1">'ETF variations'!G709/'ETF price'!H710</f>
        <v>9.6925133689839283E-3</v>
      </c>
      <c r="H709">
        <f ca="1">'ETF variations'!H709/'ETF price'!I710</f>
        <v>1.4805841577495045E-3</v>
      </c>
      <c r="I709">
        <f ca="1">'ETF variations'!I709/'ETF price'!J710</f>
        <v>2.6775234741784706E-3</v>
      </c>
      <c r="J709">
        <f ca="1">'ETF variations'!J709/'ETF price'!K710</f>
        <v>8.6919652321392014E-3</v>
      </c>
      <c r="K709">
        <f ca="1">'ETF variations'!K709/'ETF price'!L710</f>
        <v>1.3793103448275751E-2</v>
      </c>
      <c r="L709">
        <f ca="1">'ETF variations'!L709/'ETF price'!M710</f>
        <v>1.8328118015198985E-2</v>
      </c>
      <c r="M709">
        <f ca="1">'ETF variations'!M709/'ETF price'!N710</f>
        <v>1.9903326698891182E-3</v>
      </c>
      <c r="N709">
        <f ca="1">'ETF variations'!N709/'ETF price'!O710</f>
        <v>1.5490943755958022E-2</v>
      </c>
      <c r="O709">
        <f ca="1">'ETF variations'!O709/'ETF price'!P710</f>
        <v>-6.3495599866324297E-3</v>
      </c>
      <c r="P709">
        <f ca="1">'ETF variations'!P709/'ETF price'!Q710</f>
        <v>-7.1816150654324248E-3</v>
      </c>
      <c r="Q709">
        <f ca="1">'ETF variations'!Q709/'ETF price'!R710</f>
        <v>8.3014048531290033E-3</v>
      </c>
      <c r="R709">
        <f ca="1">'ETF variations'!R709/'ETF price'!S710</f>
        <v>2.5464771129510941E-2</v>
      </c>
      <c r="S709">
        <f ca="1">'ETF variations'!S709/'ETF price'!T710</f>
        <v>-2.6742656729504578E-2</v>
      </c>
      <c r="T709">
        <f ca="1">'ETF variations'!T709/'ETF price'!U710</f>
        <v>-5.1192240334096688E-2</v>
      </c>
      <c r="U709">
        <f ca="1">'ETF variations'!U709/'ETF price'!V710</f>
        <v>2.3876765083440298E-2</v>
      </c>
      <c r="V709">
        <f ca="1">'ETF variations'!V709/'ETF price'!W710</f>
        <v>1.2438344413467688E-2</v>
      </c>
      <c r="W709">
        <f ca="1">'ETF variations'!W709/'ETF price'!X710</f>
        <v>1.3318045510672121E-2</v>
      </c>
      <c r="X709">
        <f ca="1">'ETF variations'!X709/'ETF price'!Y710</f>
        <v>2.8098250837365054E-2</v>
      </c>
      <c r="Y709">
        <f ca="1">'ETF variations'!Y709/'ETF price'!Z710</f>
        <v>1.2776275296092422E-2</v>
      </c>
      <c r="Z709">
        <f ca="1">'ETF variations'!Z709/'ETF price'!AA710</f>
        <v>3.176764238711154E-3</v>
      </c>
      <c r="AA709">
        <f ca="1">'ETF variations'!AA709/'ETF price'!AB710</f>
        <v>2.8670120898100237E-2</v>
      </c>
      <c r="AB709">
        <f ca="1">'ETF variations'!AB709/'ETF price'!AC710</f>
        <v>-1.2443136205512345E-2</v>
      </c>
      <c r="AC709">
        <f ca="1">'ETF variations'!AC709/'ETF price'!AD710</f>
        <v>2.5091799265605882E-2</v>
      </c>
      <c r="AD709">
        <f ca="1">'ETF variations'!AD709/'ETF price'!AE710</f>
        <v>4.3776371308016787E-2</v>
      </c>
      <c r="AE709">
        <f ca="1">'ETF variations'!AE709/'ETF price'!AF710</f>
        <v>8.7108013937281913E-3</v>
      </c>
      <c r="AF709">
        <f ca="1">'ETF variations'!AF709/'ETF price'!AG710</f>
        <v>8.3015993907083002E-2</v>
      </c>
    </row>
    <row r="710" spans="1:32" x14ac:dyDescent="0.2">
      <c r="A710">
        <f ca="1">'ETF variations'!A710/'ETF price'!B711</f>
        <v>1.3465380939970439E-2</v>
      </c>
      <c r="B710">
        <f ca="1">'ETF variations'!B710/'ETF price'!C711</f>
        <v>1.182048774018136E-2</v>
      </c>
      <c r="C710">
        <f ca="1">'ETF variations'!C710/'ETF price'!D711</f>
        <v>6.7688632291459964E-3</v>
      </c>
      <c r="D710">
        <f ca="1">'ETF variations'!D710/'ETF price'!E711</f>
        <v>2.459515932439494E-2</v>
      </c>
      <c r="E710">
        <f ca="1">'ETF variations'!E710/'ETF price'!F711</f>
        <v>1.3946207485413463E-2</v>
      </c>
      <c r="F710">
        <f ca="1">'ETF variations'!F710/'ETF price'!G711</f>
        <v>8.7173100871731374E-3</v>
      </c>
      <c r="G710">
        <f ca="1">'ETF variations'!G710/'ETF price'!H711</f>
        <v>1.3240648791790514E-3</v>
      </c>
      <c r="H710">
        <f ca="1">'ETF variations'!H710/'ETF price'!I711</f>
        <v>-2.7551911833881902E-3</v>
      </c>
      <c r="I710">
        <f ca="1">'ETF variations'!I710/'ETF price'!J711</f>
        <v>-2.0850861469802581E-3</v>
      </c>
      <c r="J710">
        <f ca="1">'ETF variations'!J710/'ETF price'!K711</f>
        <v>-2.2418383074122293E-3</v>
      </c>
      <c r="K710">
        <f ca="1">'ETF variations'!K710/'ETF price'!L711</f>
        <v>7.1073205401571112E-4</v>
      </c>
      <c r="L710">
        <f ca="1">'ETF variations'!L710/'ETF price'!M711</f>
        <v>6.7310506292068148E-3</v>
      </c>
      <c r="M710">
        <f ca="1">'ETF variations'!M710/'ETF price'!N711</f>
        <v>-1.2769580022701959E-3</v>
      </c>
      <c r="N710">
        <f ca="1">'ETF variations'!N710/'ETF price'!O711</f>
        <v>-5.1631072518187951E-3</v>
      </c>
      <c r="O710">
        <f ca="1">'ETF variations'!O710/'ETF price'!P711</f>
        <v>-1.3004484304932697E-2</v>
      </c>
      <c r="P710">
        <f ca="1">'ETF variations'!P710/'ETF price'!Q711</f>
        <v>-1.3261533515512021E-2</v>
      </c>
      <c r="Q710">
        <f ca="1">'ETF variations'!Q710/'ETF price'!R711</f>
        <v>-6.438674266413336E-3</v>
      </c>
      <c r="R710">
        <f ca="1">'ETF variations'!R710/'ETF price'!S711</f>
        <v>4.5703839122488018E-4</v>
      </c>
      <c r="S710">
        <f ca="1">'ETF variations'!S710/'ETF price'!T711</f>
        <v>-1.8018018018017634E-3</v>
      </c>
      <c r="T710">
        <f ca="1">'ETF variations'!T710/'ETF price'!U711</f>
        <v>-1.0932841118841546E-2</v>
      </c>
      <c r="U710">
        <f ca="1">'ETF variations'!U710/'ETF price'!V711</f>
        <v>-3.5857572718154457E-2</v>
      </c>
      <c r="V710">
        <f ca="1">'ETF variations'!V710/'ETF price'!W711</f>
        <v>-6.1427663630586561E-3</v>
      </c>
      <c r="W710">
        <f ca="1">'ETF variations'!W710/'ETF price'!X711</f>
        <v>-5.9187048481156483E-3</v>
      </c>
      <c r="X710">
        <f ca="1">'ETF variations'!X710/'ETF price'!Y711</f>
        <v>-4.343891402714968E-3</v>
      </c>
      <c r="Y710">
        <f ca="1">'ETF variations'!Y710/'ETF price'!Z711</f>
        <v>-1.7495395948434415E-3</v>
      </c>
      <c r="Z710">
        <f ca="1">'ETF variations'!Z710/'ETF price'!AA711</f>
        <v>-9.0477267586518556E-3</v>
      </c>
      <c r="AA710">
        <f ca="1">'ETF variations'!AA710/'ETF price'!AB711</f>
        <v>-5.8764271323035831E-3</v>
      </c>
      <c r="AB710">
        <f ca="1">'ETF variations'!AB710/'ETF price'!AC711</f>
        <v>0</v>
      </c>
      <c r="AC710">
        <f ca="1">'ETF variations'!AC710/'ETF price'!AD711</f>
        <v>5.0149253731343275E-2</v>
      </c>
      <c r="AD710">
        <f ca="1">'ETF variations'!AD710/'ETF price'!AE711</f>
        <v>4.2950985346134486E-2</v>
      </c>
      <c r="AE710">
        <f ca="1">'ETF variations'!AE710/'ETF price'!AF711</f>
        <v>-1.2089810017271206E-2</v>
      </c>
      <c r="AF710">
        <f ca="1">'ETF variations'!AF710/'ETF price'!AG711</f>
        <v>1.9338959212376833E-3</v>
      </c>
    </row>
    <row r="711" spans="1:32" x14ac:dyDescent="0.2">
      <c r="A711">
        <f ca="1">'ETF variations'!A711/'ETF price'!B712</f>
        <v>-1.5900908623349818E-2</v>
      </c>
      <c r="B711">
        <f ca="1">'ETF variations'!B711/'ETF price'!C712</f>
        <v>-1.310787783457858E-2</v>
      </c>
      <c r="C711">
        <f ca="1">'ETF variations'!C711/'ETF price'!D712</f>
        <v>-1.9774569903105357E-3</v>
      </c>
      <c r="D711">
        <f ca="1">'ETF variations'!D711/'ETF price'!E712</f>
        <v>-3.5263627480137706E-2</v>
      </c>
      <c r="E711">
        <f ca="1">'ETF variations'!E711/'ETF price'!F712</f>
        <v>-1.0947368421052648E-2</v>
      </c>
      <c r="F711">
        <f ca="1">'ETF variations'!F711/'ETF price'!G712</f>
        <v>-6.1728395061716121E-4</v>
      </c>
      <c r="G711">
        <f ca="1">'ETF variations'!G711/'ETF price'!H712</f>
        <v>-4.9586776859503658E-3</v>
      </c>
      <c r="H711">
        <f ca="1">'ETF variations'!H711/'ETF price'!I712</f>
        <v>-1.8867924528301963E-3</v>
      </c>
      <c r="I711">
        <f ca="1">'ETF variations'!I711/'ETF price'!J712</f>
        <v>-1.5762463343108753E-3</v>
      </c>
      <c r="J711">
        <f ca="1">'ETF variations'!J711/'ETF price'!K712</f>
        <v>-7.0214857463775496E-5</v>
      </c>
      <c r="K711">
        <f ca="1">'ETF variations'!K711/'ETF price'!L712</f>
        <v>-1.4204545454545511E-3</v>
      </c>
      <c r="L711">
        <f ca="1">'ETF variations'!L711/'ETF price'!M712</f>
        <v>9.5930232558139039E-3</v>
      </c>
      <c r="M711">
        <f ca="1">'ETF variations'!M711/'ETF price'!N712</f>
        <v>-1.8468532461996796E-3</v>
      </c>
      <c r="N711">
        <f ca="1">'ETF variations'!N711/'ETF price'!O712</f>
        <v>-1.8872375560273246E-3</v>
      </c>
      <c r="O711">
        <f ca="1">'ETF variations'!O711/'ETF price'!P712</f>
        <v>6.2471603816446741E-3</v>
      </c>
      <c r="P711">
        <f ca="1">'ETF variations'!P711/'ETF price'!Q712</f>
        <v>2.1177812169097102E-3</v>
      </c>
      <c r="Q711">
        <f ca="1">'ETF variations'!Q711/'ETF price'!R712</f>
        <v>5.4180388823967399E-3</v>
      </c>
      <c r="R711">
        <f ca="1">'ETF variations'!R711/'ETF price'!S712</f>
        <v>-1.7207248363027186E-2</v>
      </c>
      <c r="S711">
        <f ca="1">'ETF variations'!S711/'ETF price'!T712</f>
        <v>1.2635379061371892E-2</v>
      </c>
      <c r="T711">
        <f ca="1">'ETF variations'!T711/'ETF price'!U712</f>
        <v>2.4404249210450802E-2</v>
      </c>
      <c r="U711">
        <f ca="1">'ETF variations'!U711/'ETF price'!V712</f>
        <v>1.1183355006501942E-2</v>
      </c>
      <c r="V711">
        <f ca="1">'ETF variations'!V711/'ETF price'!W712</f>
        <v>4.4757033248082022E-3</v>
      </c>
      <c r="W711">
        <f ca="1">'ETF variations'!W711/'ETF price'!X712</f>
        <v>5.8663864810437069E-3</v>
      </c>
      <c r="X711">
        <f ca="1">'ETF variations'!X711/'ETF price'!Y712</f>
        <v>8.3621159789129401E-3</v>
      </c>
      <c r="Y711">
        <f ca="1">'ETF variations'!Y711/'ETF price'!Z712</f>
        <v>-1.5404482981274807E-2</v>
      </c>
      <c r="Z711">
        <f ca="1">'ETF variations'!Z711/'ETF price'!AA712</f>
        <v>3.6521342159323575E-3</v>
      </c>
      <c r="AA711">
        <f ca="1">'ETF variations'!AA711/'ETF price'!AB712</f>
        <v>1.0133423408208097E-2</v>
      </c>
      <c r="AB711">
        <f ca="1">'ETF variations'!AB711/'ETF price'!AC712</f>
        <v>-8.8063947974529964E-3</v>
      </c>
      <c r="AC711">
        <f ca="1">'ETF variations'!AC711/'ETF price'!AD712</f>
        <v>-1.7055144968732882E-3</v>
      </c>
      <c r="AD711">
        <f ca="1">'ETF variations'!AD711/'ETF price'!AE712</f>
        <v>-8.7209302325581255E-3</v>
      </c>
      <c r="AE711">
        <f ca="1">'ETF variations'!AE711/'ETF price'!AF712</f>
        <v>1.7482517482517577E-2</v>
      </c>
      <c r="AF711">
        <f ca="1">'ETF variations'!AF711/'ETF price'!AG712</f>
        <v>-1.4739427969819327E-2</v>
      </c>
    </row>
    <row r="712" spans="1:32" x14ac:dyDescent="0.2">
      <c r="A712">
        <f ca="1">'ETF variations'!A712/'ETF price'!B713</f>
        <v>-3.2097905143504218E-2</v>
      </c>
      <c r="B712">
        <f ca="1">'ETF variations'!B712/'ETF price'!C713</f>
        <v>-3.3238145836100567E-2</v>
      </c>
      <c r="C712">
        <f ca="1">'ETF variations'!C712/'ETF price'!D713</f>
        <v>1.4728221385641569E-2</v>
      </c>
      <c r="D712">
        <f ca="1">'ETF variations'!D712/'ETF price'!E713</f>
        <v>-3.879860835865593E-2</v>
      </c>
      <c r="E712">
        <f ca="1">'ETF variations'!E712/'ETF price'!F713</f>
        <v>-1.6319000993330578E-2</v>
      </c>
      <c r="F712">
        <f ca="1">'ETF variations'!F712/'ETF price'!G713</f>
        <v>-1.9147621988882056E-2</v>
      </c>
      <c r="G712">
        <f ca="1">'ETF variations'!G712/'ETF price'!H713</f>
        <v>-2.1262458471760816E-2</v>
      </c>
      <c r="H712">
        <f ca="1">'ETF variations'!H712/'ETF price'!I713</f>
        <v>-8.4391034296516336E-3</v>
      </c>
      <c r="I712">
        <f ca="1">'ETF variations'!I712/'ETF price'!J713</f>
        <v>-9.8762712486690808E-3</v>
      </c>
      <c r="J712">
        <f ca="1">'ETF variations'!J712/'ETF price'!K713</f>
        <v>-1.4886595042483004E-2</v>
      </c>
      <c r="K712">
        <f ca="1">'ETF variations'!K712/'ETF price'!L713</f>
        <v>-1.4123145702093077E-2</v>
      </c>
      <c r="L712">
        <f ca="1">'ETF variations'!L712/'ETF price'!M713</f>
        <v>-1.8139936654189334E-2</v>
      </c>
      <c r="M712">
        <f ca="1">'ETF variations'!M712/'ETF price'!N713</f>
        <v>-9.1090236265300387E-3</v>
      </c>
      <c r="N712">
        <f ca="1">'ETF variations'!N712/'ETF price'!O713</f>
        <v>-1.8671708815882749E-2</v>
      </c>
      <c r="O712">
        <f ca="1">'ETF variations'!O712/'ETF price'!P713</f>
        <v>-6.3212552206795601E-3</v>
      </c>
      <c r="P712">
        <f ca="1">'ETF variations'!P712/'ETF price'!Q713</f>
        <v>4.9581402909859339E-3</v>
      </c>
      <c r="Q712">
        <f ca="1">'ETF variations'!Q712/'ETF price'!R713</f>
        <v>-1.3207945900253593E-2</v>
      </c>
      <c r="R712">
        <f ca="1">'ETF variations'!R712/'ETF price'!S713</f>
        <v>-1.4719553765106953E-2</v>
      </c>
      <c r="S712">
        <f ca="1">'ETF variations'!S712/'ETF price'!T713</f>
        <v>6.6844919786095622E-3</v>
      </c>
      <c r="T712">
        <f ca="1">'ETF variations'!T712/'ETF price'!U713</f>
        <v>2.4103139013452898E-2</v>
      </c>
      <c r="U712">
        <f ca="1">'ETF variations'!U712/'ETF price'!V713</f>
        <v>2.4434156378600712E-2</v>
      </c>
      <c r="V712">
        <f ca="1">'ETF variations'!V712/'ETF price'!W713</f>
        <v>-1.3791640144281893E-2</v>
      </c>
      <c r="W712">
        <f ca="1">'ETF variations'!W712/'ETF price'!X713</f>
        <v>-1.4362813370473465E-2</v>
      </c>
      <c r="X712">
        <f ca="1">'ETF variations'!X712/'ETF price'!Y713</f>
        <v>-1.4782765458806567E-2</v>
      </c>
      <c r="Y712">
        <f ca="1">'ETF variations'!Y712/'ETF price'!Z713</f>
        <v>-1.1242270938728719E-3</v>
      </c>
      <c r="Z712">
        <f ca="1">'ETF variations'!Z712/'ETF price'!AA713</f>
        <v>-1.7511939959062906E-2</v>
      </c>
      <c r="AA712">
        <f ca="1">'ETF variations'!AA712/'ETF price'!AB713</f>
        <v>-1.4378866410299271E-2</v>
      </c>
      <c r="AB712">
        <f ca="1">'ETF variations'!AB712/'ETF price'!AC713</f>
        <v>1.2165117550574093E-2</v>
      </c>
      <c r="AC712">
        <f ca="1">'ETF variations'!AC712/'ETF price'!AD713</f>
        <v>-4.2710706150341692E-2</v>
      </c>
      <c r="AD712">
        <f ca="1">'ETF variations'!AD712/'ETF price'!AE713</f>
        <v>-2.8347996089931663E-2</v>
      </c>
      <c r="AE712">
        <f ca="1">'ETF variations'!AE712/'ETF price'!AF713</f>
        <v>-1.71821305841936E-3</v>
      </c>
      <c r="AF712">
        <f ca="1">'ETF variations'!AF712/'ETF price'!AG713</f>
        <v>-9.1718610863757766E-2</v>
      </c>
    </row>
    <row r="713" spans="1:32" x14ac:dyDescent="0.2">
      <c r="A713">
        <f ca="1">'ETF variations'!A713/'ETF price'!B714</f>
        <v>7.5143988480920959E-3</v>
      </c>
      <c r="B713">
        <f ca="1">'ETF variations'!B713/'ETF price'!C714</f>
        <v>7.1612570839774568E-3</v>
      </c>
      <c r="C713">
        <f ca="1">'ETF variations'!C713/'ETF price'!D714</f>
        <v>2.8052590471231466E-2</v>
      </c>
      <c r="D713">
        <f ca="1">'ETF variations'!D713/'ETF price'!E714</f>
        <v>1.0629524420416116E-2</v>
      </c>
      <c r="E713">
        <f ca="1">'ETF variations'!E713/'ETF price'!F714</f>
        <v>1.442585112522377E-4</v>
      </c>
      <c r="F713">
        <f ca="1">'ETF variations'!F713/'ETF price'!G714</f>
        <v>7.5566750629722425E-3</v>
      </c>
      <c r="G713">
        <f ca="1">'ETF variations'!G713/'ETF price'!H714</f>
        <v>7.1283095723014547E-3</v>
      </c>
      <c r="H713">
        <f ca="1">'ETF variations'!H713/'ETF price'!I714</f>
        <v>5.9236059099884563E-3</v>
      </c>
      <c r="I713">
        <f ca="1">'ETF variations'!I713/'ETF price'!J714</f>
        <v>7.5645209136755431E-3</v>
      </c>
      <c r="J713">
        <f ca="1">'ETF variations'!J713/'ETF price'!K714</f>
        <v>1.7748948606458117E-2</v>
      </c>
      <c r="K713">
        <f ca="1">'ETF variations'!K713/'ETF price'!L714</f>
        <v>2.3085643615376635E-2</v>
      </c>
      <c r="L713">
        <f ca="1">'ETF variations'!L713/'ETF price'!M714</f>
        <v>1.3782991202346008E-2</v>
      </c>
      <c r="M713">
        <f ca="1">'ETF variations'!M713/'ETF price'!N714</f>
        <v>7.1818442976156272E-3</v>
      </c>
      <c r="N713">
        <f ca="1">'ETF variations'!N713/'ETF price'!O714</f>
        <v>1.05973025048169E-2</v>
      </c>
      <c r="O713">
        <f ca="1">'ETF variations'!O713/'ETF price'!P714</f>
        <v>1.7494036124048529E-2</v>
      </c>
      <c r="P713">
        <f ca="1">'ETF variations'!P713/'ETF price'!Q714</f>
        <v>-7.4409576188935759E-3</v>
      </c>
      <c r="Q713">
        <f ca="1">'ETF variations'!Q713/'ETF price'!R714</f>
        <v>-2.7840239854374678E-3</v>
      </c>
      <c r="R713">
        <f ca="1">'ETF variations'!R713/'ETF price'!S714</f>
        <v>4.2459506211667873E-3</v>
      </c>
      <c r="S713">
        <f ca="1">'ETF variations'!S713/'ETF price'!T714</f>
        <v>-1.0624169986719719E-2</v>
      </c>
      <c r="T713">
        <f ca="1">'ETF variations'!T713/'ETF price'!U714</f>
        <v>-1.450465243568695E-2</v>
      </c>
      <c r="U713">
        <f ca="1">'ETF variations'!U713/'ETF price'!V714</f>
        <v>-1.0042681395932499E-3</v>
      </c>
      <c r="V713">
        <f ca="1">'ETF variations'!V713/'ETF price'!W714</f>
        <v>3.442340791738462E-3</v>
      </c>
      <c r="W713">
        <f ca="1">'ETF variations'!W713/'ETF price'!X714</f>
        <v>-3.53263269451614E-4</v>
      </c>
      <c r="X713">
        <f ca="1">'ETF variations'!X713/'ETF price'!Y714</f>
        <v>-8.0512351326623554E-3</v>
      </c>
      <c r="Y713">
        <f ca="1">'ETF variations'!Y713/'ETF price'!Z714</f>
        <v>-7.1281185518664893E-3</v>
      </c>
      <c r="Z713">
        <f ca="1">'ETF variations'!Z713/'ETF price'!AA714</f>
        <v>-1.0648148148148167E-2</v>
      </c>
      <c r="AA713">
        <f ca="1">'ETF variations'!AA713/'ETF price'!AB714</f>
        <v>-5.2586938083121672E-3</v>
      </c>
      <c r="AB713">
        <f ca="1">'ETF variations'!AB713/'ETF price'!AC714</f>
        <v>7.4274139095205943E-2</v>
      </c>
      <c r="AC713">
        <f ca="1">'ETF variations'!AC713/'ETF price'!AD714</f>
        <v>-5.3539559785841682E-3</v>
      </c>
      <c r="AD713">
        <f ca="1">'ETF variations'!AD713/'ETF price'!AE714</f>
        <v>-6.0362173038229341E-2</v>
      </c>
      <c r="AE713">
        <f ca="1">'ETF variations'!AE713/'ETF price'!AF714</f>
        <v>8.2616179001721246E-2</v>
      </c>
      <c r="AF713">
        <f ca="1">'ETF variations'!AF713/'ETF price'!AG714</f>
        <v>-1.6470588235294185E-2</v>
      </c>
    </row>
    <row r="714" spans="1:32" x14ac:dyDescent="0.2">
      <c r="A714">
        <f ca="1">'ETF variations'!A714/'ETF price'!B715</f>
        <v>-7.5923362065109866E-4</v>
      </c>
      <c r="B714">
        <f ca="1">'ETF variations'!B714/'ETF price'!C715</f>
        <v>-9.7191672208305629E-4</v>
      </c>
      <c r="C714">
        <f ca="1">'ETF variations'!C714/'ETF price'!D715</f>
        <v>2.0892687559354299E-2</v>
      </c>
      <c r="D714">
        <f ca="1">'ETF variations'!D714/'ETF price'!E715</f>
        <v>-5.7575482818025669E-3</v>
      </c>
      <c r="E714">
        <f ca="1">'ETF variations'!E714/'ETF price'!F715</f>
        <v>-7.2118851867874166E-4</v>
      </c>
      <c r="F714">
        <f ca="1">'ETF variations'!F714/'ETF price'!G715</f>
        <v>3.4374999999999822E-3</v>
      </c>
      <c r="G714">
        <f ca="1">'ETF variations'!G714/'ETF price'!H715</f>
        <v>0</v>
      </c>
      <c r="H714">
        <f ca="1">'ETF variations'!H714/'ETF price'!I715</f>
        <v>-6.5655881954785351E-3</v>
      </c>
      <c r="I714">
        <f ca="1">'ETF variations'!I714/'ETF price'!J715</f>
        <v>-5.1891653172384247E-3</v>
      </c>
      <c r="J714">
        <f ca="1">'ETF variations'!J714/'ETF price'!K715</f>
        <v>4.9026474296115128E-4</v>
      </c>
      <c r="K714">
        <f ca="1">'ETF variations'!K714/'ETF price'!L715</f>
        <v>-5.0367684093882497E-4</v>
      </c>
      <c r="L714">
        <f ca="1">'ETF variations'!L714/'ETF price'!M715</f>
        <v>-6.653167486259672E-3</v>
      </c>
      <c r="M714">
        <f ca="1">'ETF variations'!M714/'ETF price'!N715</f>
        <v>-6.1323445521963317E-3</v>
      </c>
      <c r="N714">
        <f ca="1">'ETF variations'!N714/'ETF price'!O715</f>
        <v>1.2392755004766349E-2</v>
      </c>
      <c r="O714">
        <f ca="1">'ETF variations'!O714/'ETF price'!P715</f>
        <v>6.6986714301664457E-3</v>
      </c>
      <c r="P714">
        <f ca="1">'ETF variations'!P714/'ETF price'!Q715</f>
        <v>1.8171447196870957E-2</v>
      </c>
      <c r="Q714">
        <f ca="1">'ETF variations'!Q714/'ETF price'!R715</f>
        <v>4.402448190701287E-3</v>
      </c>
      <c r="R714">
        <f ca="1">'ETF variations'!R714/'ETF price'!S715</f>
        <v>-5.0109614782336406E-3</v>
      </c>
      <c r="S714">
        <f ca="1">'ETF variations'!S714/'ETF price'!T715</f>
        <v>1.700223713646528E-2</v>
      </c>
      <c r="T714">
        <f ca="1">'ETF variations'!T714/'ETF price'!U715</f>
        <v>3.151902249375188E-2</v>
      </c>
      <c r="U714">
        <f ca="1">'ETF variations'!U714/'ETF price'!V715</f>
        <v>3.2420206081930115E-2</v>
      </c>
      <c r="V714">
        <f ca="1">'ETF variations'!V714/'ETF price'!W715</f>
        <v>-7.7186963979416689E-3</v>
      </c>
      <c r="W714">
        <f ca="1">'ETF variations'!W714/'ETF price'!X715</f>
        <v>-5.3891686544747719E-3</v>
      </c>
      <c r="X714">
        <f ca="1">'ETF variations'!X714/'ETF price'!Y715</f>
        <v>-7.3787124146836112E-3</v>
      </c>
      <c r="Y714">
        <f ca="1">'ETF variations'!Y714/'ETF price'!Z715</f>
        <v>1.2469299074249079E-2</v>
      </c>
      <c r="Z714">
        <f ca="1">'ETF variations'!Z714/'ETF price'!AA715</f>
        <v>1.1230697239120188E-2</v>
      </c>
      <c r="AA714">
        <f ca="1">'ETF variations'!AA714/'ETF price'!AB715</f>
        <v>-8.6971350613915081E-3</v>
      </c>
      <c r="AB714">
        <f ca="1">'ETF variations'!AB714/'ETF price'!AC715</f>
        <v>-1.8730358265241921E-2</v>
      </c>
      <c r="AC714">
        <f ca="1">'ETF variations'!AC714/'ETF price'!AD715</f>
        <v>-3.3492822966507102E-2</v>
      </c>
      <c r="AD714">
        <f ca="1">'ETF variations'!AD714/'ETF price'!AE715</f>
        <v>-2.9978586723768668E-2</v>
      </c>
      <c r="AE714">
        <f ca="1">'ETF variations'!AE714/'ETF price'!AF715</f>
        <v>-1.5898251192368783E-2</v>
      </c>
      <c r="AF714">
        <f ca="1">'ETF variations'!AF714/'ETF price'!AG715</f>
        <v>-3.0103668261562962E-2</v>
      </c>
    </row>
    <row r="715" spans="1:32" x14ac:dyDescent="0.2">
      <c r="A715">
        <f ca="1">'ETF variations'!A715/'ETF price'!B716</f>
        <v>1.4078841512469728E-2</v>
      </c>
      <c r="B715">
        <f ca="1">'ETF variations'!B715/'ETF price'!C716</f>
        <v>1.4490527393753217E-2</v>
      </c>
      <c r="C715">
        <f ca="1">'ETF variations'!C715/'ETF price'!D716</f>
        <v>-1.5503875968992248E-3</v>
      </c>
      <c r="D715">
        <f ca="1">'ETF variations'!D715/'ETF price'!E716</f>
        <v>1.1672974328575999E-2</v>
      </c>
      <c r="E715">
        <f ca="1">'ETF variations'!E715/'ETF price'!F716</f>
        <v>1.4867205542725189E-2</v>
      </c>
      <c r="F715">
        <f ca="1">'ETF variations'!F715/'ETF price'!G716</f>
        <v>2.2111491747119304E-2</v>
      </c>
      <c r="G715">
        <f ca="1">'ETF variations'!G715/'ETF price'!H716</f>
        <v>1.3818672059319062E-2</v>
      </c>
      <c r="H715">
        <f ca="1">'ETF variations'!H715/'ETF price'!I716</f>
        <v>7.3584519997273558E-3</v>
      </c>
      <c r="I715">
        <f ca="1">'ETF variations'!I715/'ETF price'!J716</f>
        <v>8.4717546520662219E-3</v>
      </c>
      <c r="J715">
        <f ca="1">'ETF variations'!J715/'ETF price'!K716</f>
        <v>1.547077353867699E-2</v>
      </c>
      <c r="K715">
        <f ca="1">'ETF variations'!K715/'ETF price'!L716</f>
        <v>1.4110058455956517E-2</v>
      </c>
      <c r="L715">
        <f ca="1">'ETF variations'!L715/'ETF price'!M716</f>
        <v>1.150262085032021E-2</v>
      </c>
      <c r="M715">
        <f ca="1">'ETF variations'!M715/'ETF price'!N716</f>
        <v>8.3225713875735158E-3</v>
      </c>
      <c r="N715">
        <f ca="1">'ETF variations'!N715/'ETF price'!O716</f>
        <v>6.5913370998117032E-3</v>
      </c>
      <c r="O715">
        <f ca="1">'ETF variations'!O715/'ETF price'!P716</f>
        <v>3.7595652656094047E-2</v>
      </c>
      <c r="P715">
        <f ca="1">'ETF variations'!P715/'ETF price'!Q716</f>
        <v>6.9627851140455404E-3</v>
      </c>
      <c r="Q715">
        <f ca="1">'ETF variations'!Q715/'ETF price'!R716</f>
        <v>1.4966859097712269E-3</v>
      </c>
      <c r="R715">
        <f ca="1">'ETF variations'!R715/'ETF price'!S716</f>
        <v>1.7784073024866266E-2</v>
      </c>
      <c r="S715">
        <f ca="1">'ETF variations'!S715/'ETF price'!T716</f>
        <v>6.1592608886933816E-3</v>
      </c>
      <c r="T715">
        <f ca="1">'ETF variations'!T715/'ETF price'!U716</f>
        <v>5.9227352268138066E-3</v>
      </c>
      <c r="U715">
        <f ca="1">'ETF variations'!U715/'ETF price'!V716</f>
        <v>1.7283349561830596E-2</v>
      </c>
      <c r="V715">
        <f ca="1">'ETF variations'!V715/'ETF price'!W716</f>
        <v>9.2912705272255765E-3</v>
      </c>
      <c r="W715">
        <f ca="1">'ETF variations'!W715/'ETF price'!X716</f>
        <v>1.1369692662995213E-2</v>
      </c>
      <c r="X715">
        <f ca="1">'ETF variations'!X715/'ETF price'!Y716</f>
        <v>1.598215944991636E-2</v>
      </c>
      <c r="Y715">
        <f ca="1">'ETF variations'!Y715/'ETF price'!Z716</f>
        <v>6.8482925919014642E-2</v>
      </c>
      <c r="Z715">
        <f ca="1">'ETF variations'!Z715/'ETF price'!AA716</f>
        <v>1.3651087459509565E-2</v>
      </c>
      <c r="AA715">
        <f ca="1">'ETF variations'!AA715/'ETF price'!AB716</f>
        <v>1.7202821262687081E-2</v>
      </c>
      <c r="AB715">
        <f ca="1">'ETF variations'!AB715/'ETF price'!AC716</f>
        <v>7.5582884960287396E-3</v>
      </c>
      <c r="AC715">
        <f ca="1">'ETF variations'!AC715/'ETF price'!AD716</f>
        <v>1.8564356435643609E-2</v>
      </c>
      <c r="AD715">
        <f ca="1">'ETF variations'!AD715/'ETF price'!AE716</f>
        <v>3.3664459161147867E-2</v>
      </c>
      <c r="AE715">
        <f ca="1">'ETF variations'!AE715/'ETF price'!AF716</f>
        <v>-4.0387722132471729E-2</v>
      </c>
      <c r="AF715">
        <f ca="1">'ETF variations'!AF715/'ETF price'!AG716</f>
        <v>4.9537512846865445E-2</v>
      </c>
    </row>
    <row r="716" spans="1:32" x14ac:dyDescent="0.2">
      <c r="A716">
        <f ca="1">'ETF variations'!A716/'ETF price'!B717</f>
        <v>2.8471946758341082E-2</v>
      </c>
      <c r="B716">
        <f ca="1">'ETF variations'!B716/'ETF price'!C717</f>
        <v>3.1326233617658447E-2</v>
      </c>
      <c r="C716">
        <f ca="1">'ETF variations'!C716/'ETF price'!D717</f>
        <v>-4.5341614906831661E-3</v>
      </c>
      <c r="D716">
        <f ca="1">'ETF variations'!D716/'ETF price'!E717</f>
        <v>2.9161220534547252E-2</v>
      </c>
      <c r="E716">
        <f ca="1">'ETF variations'!E716/'ETF price'!F717</f>
        <v>4.0392547290570381E-2</v>
      </c>
      <c r="F716">
        <f ca="1">'ETF variations'!F716/'ETF price'!G717</f>
        <v>1.3406459475929241E-2</v>
      </c>
      <c r="G716">
        <f ca="1">'ETF variations'!G716/'ETF price'!H717</f>
        <v>2.09441489361703E-2</v>
      </c>
      <c r="H716">
        <f ca="1">'ETF variations'!H716/'ETF price'!I717</f>
        <v>1.2850862360500354E-3</v>
      </c>
      <c r="I716">
        <f ca="1">'ETF variations'!I716/'ETF price'!J717</f>
        <v>3.5216434336022722E-3</v>
      </c>
      <c r="J716">
        <f ca="1">'ETF variations'!J716/'ETF price'!K717</f>
        <v>1.0616296704811746E-2</v>
      </c>
      <c r="K716">
        <f ca="1">'ETF variations'!K716/'ETF price'!L717</f>
        <v>1.8087855297157555E-2</v>
      </c>
      <c r="L716">
        <f ca="1">'ETF variations'!L716/'ETF price'!M717</f>
        <v>1.85691665467109E-2</v>
      </c>
      <c r="M716">
        <f ca="1">'ETF variations'!M716/'ETF price'!N717</f>
        <v>3.7000142308240376E-3</v>
      </c>
      <c r="N716">
        <f ca="1">'ETF variations'!N716/'ETF price'!O717</f>
        <v>9.3545369504209209E-3</v>
      </c>
      <c r="O716">
        <f ca="1">'ETF variations'!O716/'ETF price'!P717</f>
        <v>-4.5959811885421852E-3</v>
      </c>
      <c r="P716">
        <f ca="1">'ETF variations'!P716/'ETF price'!Q717</f>
        <v>4.0931489429343555E-2</v>
      </c>
      <c r="Q716">
        <f ca="1">'ETF variations'!Q716/'ETF price'!R717</f>
        <v>1.377028181041836E-2</v>
      </c>
      <c r="R716">
        <f ca="1">'ETF variations'!R716/'ETF price'!S717</f>
        <v>8.0717488789237651E-2</v>
      </c>
      <c r="S716">
        <f ca="1">'ETF variations'!S716/'ETF price'!T717</f>
        <v>-1.0931351114997814E-2</v>
      </c>
      <c r="T716">
        <f ca="1">'ETF variations'!T716/'ETF price'!U717</f>
        <v>-2.5424862839555427E-3</v>
      </c>
      <c r="U716">
        <f ca="1">'ETF variations'!U716/'ETF price'!V717</f>
        <v>-0.10863843024647044</v>
      </c>
      <c r="V716">
        <f ca="1">'ETF variations'!V716/'ETF price'!W717</f>
        <v>6.0800685078141646E-2</v>
      </c>
      <c r="W716">
        <f ca="1">'ETF variations'!W716/'ETF price'!X717</f>
        <v>6.7714737396803032E-2</v>
      </c>
      <c r="X716">
        <f ca="1">'ETF variations'!X716/'ETF price'!Y717</f>
        <v>0.11926102066947129</v>
      </c>
      <c r="Y716">
        <f ca="1">'ETF variations'!Y716/'ETF price'!Z717</f>
        <v>-1.7464198393293748E-2</v>
      </c>
      <c r="Z716">
        <f ca="1">'ETF variations'!Z716/'ETF price'!AA717</f>
        <v>-2.6706231454005972E-2</v>
      </c>
      <c r="AA716">
        <f ca="1">'ETF variations'!AA716/'ETF price'!AB717</f>
        <v>0.13411128023000168</v>
      </c>
      <c r="AB716">
        <f ca="1">'ETF variations'!AB716/'ETF price'!AC717</f>
        <v>1.8944691671964334E-2</v>
      </c>
      <c r="AC716">
        <f ca="1">'ETF variations'!AC716/'ETF price'!AD717</f>
        <v>0.10571081409477512</v>
      </c>
      <c r="AD716">
        <f ca="1">'ETF variations'!AD716/'ETF price'!AE717</f>
        <v>9.6636412172984451E-2</v>
      </c>
      <c r="AE716">
        <f ca="1">'ETF variations'!AE716/'ETF price'!AF717</f>
        <v>-5.723905723905736E-2</v>
      </c>
      <c r="AF716">
        <f ca="1">'ETF variations'!AF716/'ETF price'!AG717</f>
        <v>0.18350959655307475</v>
      </c>
    </row>
    <row r="717" spans="1:32" x14ac:dyDescent="0.2">
      <c r="A717">
        <f ca="1">'ETF variations'!A717/'ETF price'!B718</f>
        <v>1.744161131347758E-2</v>
      </c>
      <c r="B717">
        <f ca="1">'ETF variations'!B717/'ETF price'!C718</f>
        <v>2.0489062168643348E-2</v>
      </c>
      <c r="C717">
        <f ca="1">'ETF variations'!C717/'ETF price'!D718</f>
        <v>3.6188931178635056E-3</v>
      </c>
      <c r="D717">
        <f ca="1">'ETF variations'!D717/'ETF price'!E718</f>
        <v>2.0846106683016515E-2</v>
      </c>
      <c r="E717">
        <f ca="1">'ETF variations'!E717/'ETF price'!F718</f>
        <v>9.432672590567296E-3</v>
      </c>
      <c r="F717">
        <f ca="1">'ETF variations'!F717/'ETF price'!G718</f>
        <v>8.418520745640444E-3</v>
      </c>
      <c r="G717">
        <f ca="1">'ETF variations'!G717/'ETF price'!H718</f>
        <v>2.0188863562357454E-2</v>
      </c>
      <c r="H717">
        <f ca="1">'ETF variations'!H717/'ETF price'!I718</f>
        <v>7.2277762766821243E-3</v>
      </c>
      <c r="I717">
        <f ca="1">'ETF variations'!I717/'ETF price'!J718</f>
        <v>6.5799093434713097E-3</v>
      </c>
      <c r="J717">
        <f ca="1">'ETF variations'!J717/'ETF price'!K718</f>
        <v>9.6862210095499043E-3</v>
      </c>
      <c r="K717">
        <f ca="1">'ETF variations'!K717/'ETF price'!L718</f>
        <v>5.5642327215931998E-3</v>
      </c>
      <c r="L717">
        <f ca="1">'ETF variations'!L717/'ETF price'!M718</f>
        <v>1.2860373092142404E-2</v>
      </c>
      <c r="M717">
        <f ca="1">'ETF variations'!M717/'ETF price'!N718</f>
        <v>6.6638309939032877E-3</v>
      </c>
      <c r="N717">
        <f ca="1">'ETF variations'!N717/'ETF price'!O718</f>
        <v>6.4874884151992851E-3</v>
      </c>
      <c r="O717">
        <f ca="1">'ETF variations'!O717/'ETF price'!P718</f>
        <v>6.6573606786213312E-3</v>
      </c>
      <c r="P717">
        <f ca="1">'ETF variations'!P717/'ETF price'!Q718</f>
        <v>-2.6723677177979254E-3</v>
      </c>
      <c r="Q717">
        <f ca="1">'ETF variations'!Q717/'ETF price'!R718</f>
        <v>3.8959671475203173E-3</v>
      </c>
      <c r="R717">
        <f ca="1">'ETF variations'!R717/'ETF price'!S718</f>
        <v>-3.1478036915152221E-3</v>
      </c>
      <c r="S717">
        <f ca="1">'ETF variations'!S717/'ETF price'!T718</f>
        <v>1.0167992926613635E-2</v>
      </c>
      <c r="T717">
        <f ca="1">'ETF variations'!T717/'ETF price'!U718</f>
        <v>1.6098738932115687E-3</v>
      </c>
      <c r="U717">
        <f ca="1">'ETF variations'!U717/'ETF price'!V718</f>
        <v>8.8590604026845179E-3</v>
      </c>
      <c r="V717">
        <f ca="1">'ETF variations'!V717/'ETF price'!W718</f>
        <v>-1.6145307769929309E-2</v>
      </c>
      <c r="W717">
        <f ca="1">'ETF variations'!W717/'ETF price'!X718</f>
        <v>-1.7191741383564937E-2</v>
      </c>
      <c r="X717">
        <f ca="1">'ETF variations'!X717/'ETF price'!Y718</f>
        <v>-3.252165386501054E-2</v>
      </c>
      <c r="Y717">
        <f ca="1">'ETF variations'!Y717/'ETF price'!Z718</f>
        <v>8.2651972982581475E-3</v>
      </c>
      <c r="Z717">
        <f ca="1">'ETF variations'!Z717/'ETF price'!AA718</f>
        <v>1.2429643527204529E-2</v>
      </c>
      <c r="AA717">
        <f ca="1">'ETF variations'!AA717/'ETF price'!AB718</f>
        <v>-3.6236206382344267E-2</v>
      </c>
      <c r="AB717">
        <f ca="1">'ETF variations'!AB717/'ETF price'!AC718</f>
        <v>-4.8664836536061965E-3</v>
      </c>
      <c r="AC717">
        <f ca="1">'ETF variations'!AC717/'ETF price'!AD718</f>
        <v>4.1208791208791208E-2</v>
      </c>
      <c r="AD717">
        <f ca="1">'ETF variations'!AD717/'ETF price'!AE718</f>
        <v>6.3291139240507577E-3</v>
      </c>
      <c r="AE717">
        <f ca="1">'ETF variations'!AE717/'ETF price'!AF718</f>
        <v>-2.142857142857129E-2</v>
      </c>
      <c r="AF717">
        <f ca="1">'ETF variations'!AF717/'ETF price'!AG718</f>
        <v>3.5743835843124336E-2</v>
      </c>
    </row>
    <row r="718" spans="1:32" x14ac:dyDescent="0.2">
      <c r="A718">
        <f ca="1">'ETF variations'!A718/'ETF price'!B719</f>
        <v>-1.0951057198213753E-3</v>
      </c>
      <c r="B718">
        <f ca="1">'ETF variations'!B718/'ETF price'!C719</f>
        <v>-1.7583963425356437E-3</v>
      </c>
      <c r="C718">
        <f ca="1">'ETF variations'!C718/'ETF price'!D719</f>
        <v>-4.8492384208890342E-3</v>
      </c>
      <c r="D718">
        <f ca="1">'ETF variations'!D718/'ETF price'!E719</f>
        <v>-7.4646074646073819E-3</v>
      </c>
      <c r="E718">
        <f ca="1">'ETF variations'!E718/'ETF price'!F719</f>
        <v>4.3336944745394528E-3</v>
      </c>
      <c r="F718">
        <f ca="1">'ETF variations'!F718/'ETF price'!G719</f>
        <v>5.6648777579009464E-3</v>
      </c>
      <c r="G718">
        <f ca="1">'ETF variations'!G718/'ETF price'!H719</f>
        <v>1.3405681455474041E-2</v>
      </c>
      <c r="H718">
        <f ca="1">'ETF variations'!H718/'ETF price'!I719</f>
        <v>7.1759104017168071E-3</v>
      </c>
      <c r="I718">
        <f ca="1">'ETF variations'!I718/'ETF price'!J719</f>
        <v>7.6626961069146335E-3</v>
      </c>
      <c r="J718">
        <f ca="1">'ETF variations'!J718/'ETF price'!K719</f>
        <v>5.6073503580596137E-3</v>
      </c>
      <c r="K718">
        <f ca="1">'ETF variations'!K718/'ETF price'!L719</f>
        <v>1.1358120570818383E-2</v>
      </c>
      <c r="L718">
        <f ca="1">'ETF variations'!L718/'ETF price'!M719</f>
        <v>3.9067950327891883E-3</v>
      </c>
      <c r="M718">
        <f ca="1">'ETF variations'!M718/'ETF price'!N719</f>
        <v>7.4647887323943821E-3</v>
      </c>
      <c r="N718">
        <f ca="1">'ETF variations'!N718/'ETF price'!O719</f>
        <v>-8.2872928176795455E-3</v>
      </c>
      <c r="O718">
        <f ca="1">'ETF variations'!O718/'ETF price'!P719</f>
        <v>5.6533333333333453E-3</v>
      </c>
      <c r="P718">
        <f ca="1">'ETF variations'!P718/'ETF price'!Q719</f>
        <v>4.9762670341448913E-3</v>
      </c>
      <c r="Q718">
        <f ca="1">'ETF variations'!Q718/'ETF price'!R719</f>
        <v>-9.1252359974827411E-3</v>
      </c>
      <c r="R718">
        <f ca="1">'ETF variations'!R718/'ETF price'!S719</f>
        <v>-5.7413520884169039E-3</v>
      </c>
      <c r="S718">
        <f ca="1">'ETF variations'!S718/'ETF price'!T719</f>
        <v>-1.5317286652078837E-2</v>
      </c>
      <c r="T718">
        <f ca="1">'ETF variations'!T718/'ETF price'!U719</f>
        <v>-2.0492901151888579E-2</v>
      </c>
      <c r="U718">
        <f ca="1">'ETF variations'!U718/'ETF price'!V719</f>
        <v>-4.0979244278871722E-2</v>
      </c>
      <c r="V718">
        <f ca="1">'ETF variations'!V718/'ETF price'!W719</f>
        <v>9.0256410256409798E-3</v>
      </c>
      <c r="W718">
        <f ca="1">'ETF variations'!W718/'ETF price'!X719</f>
        <v>8.7880816873116604E-3</v>
      </c>
      <c r="X718">
        <f ca="1">'ETF variations'!X718/'ETF price'!Y719</f>
        <v>5.40540540540541E-3</v>
      </c>
      <c r="Y718">
        <f ca="1">'ETF variations'!Y718/'ETF price'!Z719</f>
        <v>1.8157778757161763E-2</v>
      </c>
      <c r="Z718">
        <f ca="1">'ETF variations'!Z718/'ETF price'!AA719</f>
        <v>1.7141533472318622E-2</v>
      </c>
      <c r="AA718">
        <f ca="1">'ETF variations'!AA718/'ETF price'!AB719</f>
        <v>5.4154417453196437E-3</v>
      </c>
      <c r="AB718">
        <f ca="1">'ETF variations'!AB718/'ETF price'!AC719</f>
        <v>-1.5047021943574237E-3</v>
      </c>
      <c r="AC718">
        <f ca="1">'ETF variations'!AC718/'ETF price'!AD719</f>
        <v>7.3878627968338032E-3</v>
      </c>
      <c r="AD718">
        <f ca="1">'ETF variations'!AD718/'ETF price'!AE719</f>
        <v>1.4513788098692588E-3</v>
      </c>
      <c r="AE718">
        <f ca="1">'ETF variations'!AE718/'ETF price'!AF719</f>
        <v>-1.6423357664233713E-2</v>
      </c>
      <c r="AF718">
        <f ca="1">'ETF variations'!AF718/'ETF price'!AG719</f>
        <v>-7.6689567023486812E-3</v>
      </c>
    </row>
    <row r="719" spans="1:32" x14ac:dyDescent="0.2">
      <c r="A719">
        <f ca="1">'ETF variations'!A719/'ETF price'!B720</f>
        <v>-5.5236970821386502E-3</v>
      </c>
      <c r="B719">
        <f ca="1">'ETF variations'!B719/'ETF price'!C720</f>
        <v>-4.0834627764345256E-3</v>
      </c>
      <c r="C719">
        <f ca="1">'ETF variations'!C719/'ETF price'!D720</f>
        <v>-3.2485787467981622E-3</v>
      </c>
      <c r="D719">
        <f ca="1">'ETF variations'!D719/'ETF price'!E720</f>
        <v>-2.5025933609958594E-2</v>
      </c>
      <c r="E719">
        <f ca="1">'ETF variations'!E719/'ETF price'!F720</f>
        <v>9.0345199568500779E-3</v>
      </c>
      <c r="F719">
        <f ca="1">'ETF variations'!F719/'ETF price'!G720</f>
        <v>2.3717758671807118E-3</v>
      </c>
      <c r="G719">
        <f ca="1">'ETF variations'!G719/'ETF price'!H720</f>
        <v>2.2047244094488281E-3</v>
      </c>
      <c r="H719">
        <f ca="1">'ETF variations'!H719/'ETF price'!I720</f>
        <v>-5.8596351045411867E-3</v>
      </c>
      <c r="I719">
        <f ca="1">'ETF variations'!I719/'ETF price'!J720</f>
        <v>-4.7212311240854947E-3</v>
      </c>
      <c r="J719">
        <f ca="1">'ETF variations'!J719/'ETF price'!K720</f>
        <v>-7.5915351024521032E-3</v>
      </c>
      <c r="K719">
        <f ca="1">'ETF variations'!K719/'ETF price'!L720</f>
        <v>-6.2392013822231297E-3</v>
      </c>
      <c r="L719">
        <f ca="1">'ETF variations'!L719/'ETF price'!M720</f>
        <v>4.0305767894369985E-3</v>
      </c>
      <c r="M719">
        <f ca="1">'ETF variations'!M719/'ETF price'!N720</f>
        <v>-4.0542429749756224E-3</v>
      </c>
      <c r="N719">
        <f ca="1">'ETF variations'!N719/'ETF price'!O720</f>
        <v>1.1142061281337139E-2</v>
      </c>
      <c r="O719">
        <f ca="1">'ETF variations'!O719/'ETF price'!P720</f>
        <v>-5.3033517182859563E-3</v>
      </c>
      <c r="P719">
        <f ca="1">'ETF variations'!P719/'ETF price'!Q720</f>
        <v>7.6940656661841304E-3</v>
      </c>
      <c r="Q719">
        <f ca="1">'ETF variations'!Q719/'ETF price'!R720</f>
        <v>-4.3400021170741671E-3</v>
      </c>
      <c r="R719">
        <f ca="1">'ETF variations'!R719/'ETF price'!S720</f>
        <v>-9.52793417063659E-3</v>
      </c>
      <c r="S719">
        <f ca="1">'ETF variations'!S719/'ETF price'!T720</f>
        <v>-1.5999999999999976E-2</v>
      </c>
      <c r="T719">
        <f ca="1">'ETF variations'!T719/'ETF price'!U720</f>
        <v>-2.9946670313140952E-2</v>
      </c>
      <c r="U719">
        <f ca="1">'ETF variations'!U719/'ETF price'!V720</f>
        <v>2.7746947835738463E-3</v>
      </c>
      <c r="V719">
        <f ca="1">'ETF variations'!V719/'ETF price'!W720</f>
        <v>1.4230534661516627E-2</v>
      </c>
      <c r="W719">
        <f ca="1">'ETF variations'!W719/'ETF price'!X720</f>
        <v>1.8418650958267641E-2</v>
      </c>
      <c r="X719">
        <f ca="1">'ETF variations'!X719/'ETF price'!Y720</f>
        <v>2.8393817204301036E-2</v>
      </c>
      <c r="Y719">
        <f ca="1">'ETF variations'!Y719/'ETF price'!Z720</f>
        <v>-3.7226214180591014E-3</v>
      </c>
      <c r="Z719">
        <f ca="1">'ETF variations'!Z719/'ETF price'!AA720</f>
        <v>-8.6540651332269528E-3</v>
      </c>
      <c r="AA719">
        <f ca="1">'ETF variations'!AA719/'ETF price'!AB720</f>
        <v>3.0932594644505859E-2</v>
      </c>
      <c r="AB719">
        <f ca="1">'ETF variations'!AB719/'ETF price'!AC720</f>
        <v>-1.6325505462764719E-3</v>
      </c>
      <c r="AC719">
        <f ca="1">'ETF variations'!AC719/'ETF price'!AD720</f>
        <v>0.14091147197485601</v>
      </c>
      <c r="AD719">
        <f ca="1">'ETF variations'!AD719/'ETF price'!AE720</f>
        <v>0.13574879227053152</v>
      </c>
      <c r="AE719">
        <f ca="1">'ETF variations'!AE719/'ETF price'!AF720</f>
        <v>0.12801484230055665</v>
      </c>
      <c r="AF719">
        <f ca="1">'ETF variations'!AF719/'ETF price'!AG720</f>
        <v>0.1751730800193205</v>
      </c>
    </row>
    <row r="720" spans="1:32" x14ac:dyDescent="0.2">
      <c r="A720">
        <f ca="1">'ETF variations'!A720/'ETF price'!B721</f>
        <v>1.2719949120204002E-3</v>
      </c>
      <c r="B720">
        <f ca="1">'ETF variations'!B720/'ETF price'!C721</f>
        <v>1.7526369951119628E-3</v>
      </c>
      <c r="C720">
        <f ca="1">'ETF variations'!C720/'ETF price'!D721</f>
        <v>-2.5258539642745225E-2</v>
      </c>
      <c r="D720">
        <f ca="1">'ETF variations'!D720/'ETF price'!E721</f>
        <v>-1.0905705545950169E-2</v>
      </c>
      <c r="E720">
        <f ca="1">'ETF variations'!E720/'ETF price'!F721</f>
        <v>1.3363624214893913E-4</v>
      </c>
      <c r="F720">
        <f ca="1">'ETF variations'!F720/'ETF price'!G721</f>
        <v>-1.5675835551611981E-2</v>
      </c>
      <c r="G720">
        <f ca="1">'ETF variations'!G720/'ETF price'!H721</f>
        <v>-9.1137649277183898E-3</v>
      </c>
      <c r="H720">
        <f ca="1">'ETF variations'!H720/'ETF price'!I721</f>
        <v>-1.3931681178834645E-2</v>
      </c>
      <c r="I720">
        <f ca="1">'ETF variations'!I720/'ETF price'!J721</f>
        <v>-1.4520567786790438E-2</v>
      </c>
      <c r="J720">
        <f ca="1">'ETF variations'!J720/'ETF price'!K721</f>
        <v>-2.2745735174654651E-2</v>
      </c>
      <c r="K720">
        <f ca="1">'ETF variations'!K720/'ETF price'!L721</f>
        <v>-2.9170288805177205E-2</v>
      </c>
      <c r="L720">
        <f ca="1">'ETF variations'!L720/'ETF price'!M721</f>
        <v>-1.730343300110742E-2</v>
      </c>
      <c r="M720">
        <f ca="1">'ETF variations'!M720/'ETF price'!N721</f>
        <v>-1.4458169567658635E-2</v>
      </c>
      <c r="N720">
        <f ca="1">'ETF variations'!N720/'ETF price'!O721</f>
        <v>-2.9384756657483954E-2</v>
      </c>
      <c r="O720">
        <f ca="1">'ETF variations'!O720/'ETF price'!P721</f>
        <v>7.7841757304329701E-3</v>
      </c>
      <c r="P720">
        <f ca="1">'ETF variations'!P720/'ETF price'!Q721</f>
        <v>-6.198971877834844E-3</v>
      </c>
      <c r="Q720">
        <f ca="1">'ETF variations'!Q720/'ETF price'!R721</f>
        <v>-1.7010418881565049E-2</v>
      </c>
      <c r="R720">
        <f ca="1">'ETF variations'!R720/'ETF price'!S721</f>
        <v>-2.5214983238595015E-2</v>
      </c>
      <c r="S720">
        <f ca="1">'ETF variations'!S720/'ETF price'!T721</f>
        <v>-5.4200542005420505E-3</v>
      </c>
      <c r="T720">
        <f ca="1">'ETF variations'!T720/'ETF price'!U721</f>
        <v>-3.5241048773611504E-3</v>
      </c>
      <c r="U720">
        <f ca="1">'ETF variations'!U720/'ETF price'!V721</f>
        <v>-3.9291643608190416E-2</v>
      </c>
      <c r="V720">
        <f ca="1">'ETF variations'!V720/'ETF price'!W721</f>
        <v>-3.0066145520144033E-3</v>
      </c>
      <c r="W720">
        <f ca="1">'ETF variations'!W720/'ETF price'!X721</f>
        <v>-3.1771894093686401E-3</v>
      </c>
      <c r="X720">
        <f ca="1">'ETF variations'!X720/'ETF price'!Y721</f>
        <v>-5.8813919294232872E-3</v>
      </c>
      <c r="Y720">
        <f ca="1">'ETF variations'!Y720/'ETF price'!Z721</f>
        <v>-1.7379214459502972E-4</v>
      </c>
      <c r="Z720">
        <f ca="1">'ETF variations'!Z720/'ETF price'!AA721</f>
        <v>-1.2634964392373174E-2</v>
      </c>
      <c r="AA720">
        <f ca="1">'ETF variations'!AA720/'ETF price'!AB721</f>
        <v>-5.8217644424541064E-3</v>
      </c>
      <c r="AB720">
        <f ca="1">'ETF variations'!AB720/'ETF price'!AC721</f>
        <v>6.1635220125785522E-3</v>
      </c>
      <c r="AC720">
        <f ca="1">'ETF variations'!AC720/'ETF price'!AD721</f>
        <v>9.1827364554635318E-4</v>
      </c>
      <c r="AD720">
        <f ca="1">'ETF variations'!AD720/'ETF price'!AE721</f>
        <v>2.8923862186303686E-2</v>
      </c>
      <c r="AE720">
        <f ca="1">'ETF variations'!AE720/'ETF price'!AF721</f>
        <v>4.1118421052631582E-2</v>
      </c>
      <c r="AF720">
        <f ca="1">'ETF variations'!AF720/'ETF price'!AG721</f>
        <v>-1.5344567749006582E-2</v>
      </c>
    </row>
    <row r="721" spans="1:32" x14ac:dyDescent="0.2">
      <c r="A721">
        <f ca="1">'ETF variations'!A721/'ETF price'!B722</f>
        <v>-3.4723692568282582E-3</v>
      </c>
      <c r="B721">
        <f ca="1">'ETF variations'!B721/'ETF price'!C722</f>
        <v>-4.0288277876759458E-3</v>
      </c>
      <c r="C721">
        <f ca="1">'ETF variations'!C721/'ETF price'!D722</f>
        <v>4.3081275720163806E-3</v>
      </c>
      <c r="D721">
        <f ca="1">'ETF variations'!D721/'ETF price'!E722</f>
        <v>-2.1245125722737703E-2</v>
      </c>
      <c r="E721">
        <f ca="1">'ETF variations'!E721/'ETF price'!F722</f>
        <v>-2.53874933190804E-3</v>
      </c>
      <c r="F721">
        <f ca="1">'ETF variations'!F721/'ETF price'!G722</f>
        <v>-1.0216346153846256E-2</v>
      </c>
      <c r="G721">
        <f ca="1">'ETF variations'!G721/'ETF price'!H722</f>
        <v>-5.7088487155090295E-3</v>
      </c>
      <c r="H721">
        <f ca="1">'ETF variations'!H721/'ETF price'!I722</f>
        <v>-2.6490965901371168E-3</v>
      </c>
      <c r="I721">
        <f ca="1">'ETF variations'!I721/'ETF price'!J722</f>
        <v>-3.1600220466652834E-3</v>
      </c>
      <c r="J721">
        <f ca="1">'ETF variations'!J721/'ETF price'!K722</f>
        <v>-3.8791909116098794E-3</v>
      </c>
      <c r="K721">
        <f ca="1">'ETF variations'!K721/'ETF price'!L722</f>
        <v>-4.9746293901104365E-3</v>
      </c>
      <c r="L721">
        <f ca="1">'ETF variations'!L721/'ETF price'!M722</f>
        <v>2.95816312156653E-3</v>
      </c>
      <c r="M721">
        <f ca="1">'ETF variations'!M721/'ETF price'!N722</f>
        <v>-3.8456060390257233E-3</v>
      </c>
      <c r="N721">
        <f ca="1">'ETF variations'!N721/'ETF price'!O722</f>
        <v>2.8382213812676782E-3</v>
      </c>
      <c r="O721">
        <f ca="1">'ETF variations'!O721/'ETF price'!P722</f>
        <v>3.8091207279652884E-3</v>
      </c>
      <c r="P721">
        <f ca="1">'ETF variations'!P721/'ETF price'!Q722</f>
        <v>5.172676099193506E-3</v>
      </c>
      <c r="Q721">
        <f ca="1">'ETF variations'!Q721/'ETF price'!R722</f>
        <v>2.3794073112698797E-3</v>
      </c>
      <c r="R721">
        <f ca="1">'ETF variations'!R721/'ETF price'!S722</f>
        <v>-1.5699760765550196E-2</v>
      </c>
      <c r="S721">
        <f ca="1">'ETF variations'!S721/'ETF price'!T722</f>
        <v>-3.1789282470481512E-3</v>
      </c>
      <c r="T721">
        <f ca="1">'ETF variations'!T721/'ETF price'!U722</f>
        <v>5.6585089828838954E-4</v>
      </c>
      <c r="U721">
        <f ca="1">'ETF variations'!U721/'ETF price'!V722</f>
        <v>3.4562211981568132E-3</v>
      </c>
      <c r="V721">
        <f ca="1">'ETF variations'!V721/'ETF price'!W722</f>
        <v>6.0313630880581295E-4</v>
      </c>
      <c r="W721">
        <f ca="1">'ETF variations'!W721/'ETF price'!X722</f>
        <v>-2.28832951945081E-3</v>
      </c>
      <c r="X721">
        <f ca="1">'ETF variations'!X721/'ETF price'!Y722</f>
        <v>-7.3952341824158234E-3</v>
      </c>
      <c r="Y721">
        <f ca="1">'ETF variations'!Y721/'ETF price'!Z722</f>
        <v>-2.0858682426560847E-3</v>
      </c>
      <c r="Z721">
        <f ca="1">'ETF variations'!Z721/'ETF price'!AA722</f>
        <v>7.9106561191252551E-3</v>
      </c>
      <c r="AA721">
        <f ca="1">'ETF variations'!AA721/'ETF price'!AB722</f>
        <v>-6.1561561561561057E-3</v>
      </c>
      <c r="AB721">
        <f ca="1">'ETF variations'!AB721/'ETF price'!AC722</f>
        <v>2.5003125390674189E-3</v>
      </c>
      <c r="AC721">
        <f ca="1">'ETF variations'!AC721/'ETF price'!AD722</f>
        <v>-2.0183486238532167E-2</v>
      </c>
      <c r="AD721">
        <f ca="1">'ETF variations'!AD721/'ETF price'!AE722</f>
        <v>0</v>
      </c>
      <c r="AE721">
        <f ca="1">'ETF variations'!AE721/'ETF price'!AF722</f>
        <v>5.2132701421800959E-2</v>
      </c>
      <c r="AF721">
        <f ca="1">'ETF variations'!AF721/'ETF price'!AG722</f>
        <v>-9.8372060665089842E-2</v>
      </c>
    </row>
    <row r="722" spans="1:32" x14ac:dyDescent="0.2">
      <c r="A722">
        <f ca="1">'ETF variations'!A722/'ETF price'!B723</f>
        <v>-3.3994815790592417E-3</v>
      </c>
      <c r="B722">
        <f ca="1">'ETF variations'!B722/'ETF price'!C723</f>
        <v>-4.0612409347300267E-3</v>
      </c>
      <c r="C722">
        <f ca="1">'ETF variations'!C722/'ETF price'!D723</f>
        <v>1.2484794160957735E-2</v>
      </c>
      <c r="D722">
        <f ca="1">'ETF variations'!D722/'ETF price'!E723</f>
        <v>-5.9531986994548454E-4</v>
      </c>
      <c r="E722">
        <f ca="1">'ETF variations'!E722/'ETF price'!F723</f>
        <v>-2.7461486939049044E-2</v>
      </c>
      <c r="F722">
        <f ca="1">'ETF variations'!F722/'ETF price'!G723</f>
        <v>-1.0625379477838322E-2</v>
      </c>
      <c r="G722">
        <f ca="1">'ETF variations'!G722/'ETF price'!H723</f>
        <v>-1.2440191387559826E-2</v>
      </c>
      <c r="H722">
        <f ca="1">'ETF variations'!H722/'ETF price'!I723</f>
        <v>-1.5732479738473078E-2</v>
      </c>
      <c r="I722">
        <f ca="1">'ETF variations'!I722/'ETF price'!J723</f>
        <v>-1.739835600280153E-2</v>
      </c>
      <c r="J722">
        <f ca="1">'ETF variations'!J722/'ETF price'!K723</f>
        <v>-2.5799721835883225E-2</v>
      </c>
      <c r="K722">
        <f ca="1">'ETF variations'!K722/'ETF price'!L723</f>
        <v>-3.0496950304969614E-2</v>
      </c>
      <c r="L722">
        <f ca="1">'ETF variations'!L722/'ETF price'!M723</f>
        <v>-3.286516853932589E-2</v>
      </c>
      <c r="M722">
        <f ca="1">'ETF variations'!M722/'ETF price'!N723</f>
        <v>-1.6728624535316011E-2</v>
      </c>
      <c r="N722">
        <f ca="1">'ETF variations'!N722/'ETF price'!O723</f>
        <v>-3.7735849056603807E-2</v>
      </c>
      <c r="O722">
        <f ca="1">'ETF variations'!O722/'ETF price'!P723</f>
        <v>-1.4757035943923323E-3</v>
      </c>
      <c r="P722">
        <f ca="1">'ETF variations'!P722/'ETF price'!Q723</f>
        <v>4.1622521568034764E-3</v>
      </c>
      <c r="Q722">
        <f ca="1">'ETF variations'!Q722/'ETF price'!R723</f>
        <v>-8.2002589555460192E-3</v>
      </c>
      <c r="R722">
        <f ca="1">'ETF variations'!R722/'ETF price'!S723</f>
        <v>-1.10891690718518E-2</v>
      </c>
      <c r="S722">
        <f ca="1">'ETF variations'!S722/'ETF price'!T723</f>
        <v>-9.1116173120726993E-4</v>
      </c>
      <c r="T722">
        <f ca="1">'ETF variations'!T722/'ETF price'!U723</f>
        <v>7.9174324897497844E-3</v>
      </c>
      <c r="U722">
        <f ca="1">'ETF variations'!U722/'ETF price'!V723</f>
        <v>2.0952927669345488E-2</v>
      </c>
      <c r="V722">
        <f ca="1">'ETF variations'!V722/'ETF price'!W723</f>
        <v>-2.6120152702431695E-3</v>
      </c>
      <c r="W722">
        <f ca="1">'ETF variations'!W722/'ETF price'!X723</f>
        <v>-3.1127129750982592E-3</v>
      </c>
      <c r="X722">
        <f ca="1">'ETF variations'!X722/'ETF price'!Y723</f>
        <v>-8.1125827814569861E-3</v>
      </c>
      <c r="Y722">
        <f ca="1">'ETF variations'!Y722/'ETF price'!Z723</f>
        <v>4.3546420484236199E-3</v>
      </c>
      <c r="Z722">
        <f ca="1">'ETF variations'!Z722/'ETF price'!AA723</f>
        <v>-9.002770083102506E-3</v>
      </c>
      <c r="AA722">
        <f ca="1">'ETF variations'!AA722/'ETF price'!AB723</f>
        <v>-5.4388880495543053E-3</v>
      </c>
      <c r="AB722">
        <f ca="1">'ETF variations'!AB722/'ETF price'!AC723</f>
        <v>-4.2399301658561346E-3</v>
      </c>
      <c r="AC722">
        <f ca="1">'ETF variations'!AC722/'ETF price'!AD723</f>
        <v>-2.3408239700374533E-2</v>
      </c>
      <c r="AD722">
        <f ca="1">'ETF variations'!AD722/'ETF price'!AE723</f>
        <v>-2.5217031831335383E-2</v>
      </c>
      <c r="AE722">
        <f ca="1">'ETF variations'!AE722/'ETF price'!AF723</f>
        <v>0.10060060060060058</v>
      </c>
      <c r="AF722">
        <f ca="1">'ETF variations'!AF722/'ETF price'!AG723</f>
        <v>-4.0740740740740751E-2</v>
      </c>
    </row>
    <row r="723" spans="1:32" x14ac:dyDescent="0.2">
      <c r="A723">
        <f ca="1">'ETF variations'!A723/'ETF price'!B724</f>
        <v>-2.4815588624056594E-2</v>
      </c>
      <c r="B723">
        <f ca="1">'ETF variations'!B723/'ETF price'!C724</f>
        <v>-2.4321175442570911E-2</v>
      </c>
      <c r="C723">
        <f ca="1">'ETF variations'!C723/'ETF price'!D724</f>
        <v>-1.4544074870367382E-3</v>
      </c>
      <c r="D723">
        <f ca="1">'ETF variations'!D723/'ETF price'!E724</f>
        <v>-3.2212243401759537E-2</v>
      </c>
      <c r="E723">
        <f ca="1">'ETF variations'!E723/'ETF price'!F724</f>
        <v>-2.272727272727261E-2</v>
      </c>
      <c r="F723">
        <f ca="1">'ETF variations'!F723/'ETF price'!G724</f>
        <v>-1.472844430807008E-2</v>
      </c>
      <c r="G723">
        <f ca="1">'ETF variations'!G723/'ETF price'!H724</f>
        <v>-1.5503875968992262E-2</v>
      </c>
      <c r="H723">
        <f ca="1">'ETF variations'!H723/'ETF price'!I724</f>
        <v>-1.8544146138942754E-2</v>
      </c>
      <c r="I723">
        <f ca="1">'ETF variations'!I723/'ETF price'!J724</f>
        <v>-2.1757887234122412E-2</v>
      </c>
      <c r="J723">
        <f ca="1">'ETF variations'!J723/'ETF price'!K724</f>
        <v>-4.78977799985724E-2</v>
      </c>
      <c r="K723">
        <f ca="1">'ETF variations'!K723/'ETF price'!L724</f>
        <v>-5.2908415841584115E-2</v>
      </c>
      <c r="L723">
        <f ca="1">'ETF variations'!L723/'ETF price'!M724</f>
        <v>-4.0371768806273613E-2</v>
      </c>
      <c r="M723">
        <f ca="1">'ETF variations'!M723/'ETF price'!N724</f>
        <v>-2.181183655663807E-2</v>
      </c>
      <c r="N723">
        <f ca="1">'ETF variations'!N723/'ETF price'!O724</f>
        <v>-5.3921568627450879E-2</v>
      </c>
      <c r="O723">
        <f ca="1">'ETF variations'!O723/'ETF price'!P724</f>
        <v>1.3300960624933926E-2</v>
      </c>
      <c r="P723">
        <f ca="1">'ETF variations'!P723/'ETF price'!Q724</f>
        <v>-4.7479086592809965E-3</v>
      </c>
      <c r="Q723">
        <f ca="1">'ETF variations'!Q723/'ETF price'!R724</f>
        <v>-6.9625761531766812E-3</v>
      </c>
      <c r="R723">
        <f ca="1">'ETF variations'!R723/'ETF price'!S724</f>
        <v>-7.6804915514588575E-4</v>
      </c>
      <c r="S723">
        <f ca="1">'ETF variations'!S723/'ETF price'!T724</f>
        <v>-5.0159598723209953E-3</v>
      </c>
      <c r="T723">
        <f ca="1">'ETF variations'!T723/'ETF price'!U724</f>
        <v>-2.160190770093991E-2</v>
      </c>
      <c r="U723">
        <f ca="1">'ETF variations'!U723/'ETF price'!V724</f>
        <v>-3.5423109361821706E-2</v>
      </c>
      <c r="V723">
        <f ca="1">'ETF variations'!V723/'ETF price'!W724</f>
        <v>4.6333601933923624E-3</v>
      </c>
      <c r="W723">
        <f ca="1">'ETF variations'!W723/'ETF price'!X724</f>
        <v>4.601479046836502E-3</v>
      </c>
      <c r="X723">
        <f ca="1">'ETF variations'!X723/'ETF price'!Y724</f>
        <v>8.345852111501296E-4</v>
      </c>
      <c r="Y723">
        <f ca="1">'ETF variations'!Y723/'ETF price'!Z724</f>
        <v>4.07561567811319E-3</v>
      </c>
      <c r="Z723">
        <f ca="1">'ETF variations'!Z723/'ETF price'!AA724</f>
        <v>1.164686699277828E-3</v>
      </c>
      <c r="AA723">
        <f ca="1">'ETF variations'!AA723/'ETF price'!AB724</f>
        <v>1.5190642564188235E-4</v>
      </c>
      <c r="AB723">
        <f ca="1">'ETF variations'!AB723/'ETF price'!AC724</f>
        <v>-4.7589229805885466E-3</v>
      </c>
      <c r="AC723">
        <f ca="1">'ETF variations'!AC723/'ETF price'!AD724</f>
        <v>2.1093000958772833E-2</v>
      </c>
      <c r="AD723">
        <f ca="1">'ETF variations'!AD723/'ETF price'!AE724</f>
        <v>4.5801526717557335E-2</v>
      </c>
      <c r="AE723">
        <f ca="1">'ETF variations'!AE723/'ETF price'!AF724</f>
        <v>0.12141882673942708</v>
      </c>
      <c r="AF723">
        <f ca="1">'ETF variations'!AF723/'ETF price'!AG724</f>
        <v>3.0244530244530402E-2</v>
      </c>
    </row>
    <row r="724" spans="1:32" x14ac:dyDescent="0.2">
      <c r="A724">
        <f ca="1">'ETF variations'!A724/'ETF price'!B725</f>
        <v>3.2355384548116858E-3</v>
      </c>
      <c r="B724">
        <f ca="1">'ETF variations'!B724/'ETF price'!C725</f>
        <v>2.9355667965834343E-3</v>
      </c>
      <c r="C724">
        <f ca="1">'ETF variations'!C724/'ETF price'!D725</f>
        <v>6.7126844405040994E-3</v>
      </c>
      <c r="D724">
        <f ca="1">'ETF variations'!D724/'ETF price'!E725</f>
        <v>1.2925524359642013E-2</v>
      </c>
      <c r="E724">
        <f ca="1">'ETF variations'!E724/'ETF price'!F725</f>
        <v>-4.228329809725118E-3</v>
      </c>
      <c r="F724">
        <f ca="1">'ETF variations'!F724/'ETF price'!G725</f>
        <v>3.4257240734973352E-3</v>
      </c>
      <c r="G724">
        <f ca="1">'ETF variations'!G724/'ETF price'!H725</f>
        <v>3.9370078740157809E-3</v>
      </c>
      <c r="H724">
        <f ca="1">'ETF variations'!H724/'ETF price'!I725</f>
        <v>7.0501974055269543E-4</v>
      </c>
      <c r="I724">
        <f ca="1">'ETF variations'!I724/'ETF price'!J725</f>
        <v>3.8347969474981424E-5</v>
      </c>
      <c r="J724">
        <f ca="1">'ETF variations'!J724/'ETF price'!K725</f>
        <v>-2.5491078122657326E-3</v>
      </c>
      <c r="K724">
        <f ca="1">'ETF variations'!K724/'ETF price'!L725</f>
        <v>1.4156593705760151E-3</v>
      </c>
      <c r="L724">
        <f ca="1">'ETF variations'!L724/'ETF price'!M725</f>
        <v>-2.2699757869248105E-3</v>
      </c>
      <c r="M724">
        <f ca="1">'ETF variations'!M724/'ETF price'!N725</f>
        <v>2.9730935037922156E-4</v>
      </c>
      <c r="N724">
        <f ca="1">'ETF variations'!N724/'ETF price'!O725</f>
        <v>-3.1088082901555582E-3</v>
      </c>
      <c r="O724">
        <f ca="1">'ETF variations'!O724/'ETF price'!P725</f>
        <v>-6.3548286279820759E-3</v>
      </c>
      <c r="P724">
        <f ca="1">'ETF variations'!P724/'ETF price'!Q725</f>
        <v>1.4160230198394703E-2</v>
      </c>
      <c r="Q724">
        <f ca="1">'ETF variations'!Q724/'ETF price'!R725</f>
        <v>7.7782646801051025E-3</v>
      </c>
      <c r="R724">
        <f ca="1">'ETF variations'!R724/'ETF price'!S725</f>
        <v>2.0753266717909433E-2</v>
      </c>
      <c r="S724">
        <f ca="1">'ETF variations'!S724/'ETF price'!T725</f>
        <v>2.2914757103574702E-2</v>
      </c>
      <c r="T724">
        <f ca="1">'ETF variations'!T724/'ETF price'!U725</f>
        <v>3.3261648745519616E-2</v>
      </c>
      <c r="U724">
        <f ca="1">'ETF variations'!U724/'ETF price'!V725</f>
        <v>6.1206645292917758E-3</v>
      </c>
      <c r="V724">
        <f ca="1">'ETF variations'!V724/'ETF price'!W725</f>
        <v>3.0078203328655641E-3</v>
      </c>
      <c r="W724">
        <f ca="1">'ETF variations'!W724/'ETF price'!X725</f>
        <v>3.4353018158024022E-3</v>
      </c>
      <c r="X724">
        <f ca="1">'ETF variations'!X724/'ETF price'!Y725</f>
        <v>-1.5010006671114645E-3</v>
      </c>
      <c r="Y724">
        <f ca="1">'ETF variations'!Y724/'ETF price'!Z725</f>
        <v>-6.7363330166681154E-3</v>
      </c>
      <c r="Z724">
        <f ca="1">'ETF variations'!Z724/'ETF price'!AA725</f>
        <v>8.8413215449046675E-3</v>
      </c>
      <c r="AA724">
        <f ca="1">'ETF variations'!AA724/'ETF price'!AB725</f>
        <v>-1.8226002430134346E-3</v>
      </c>
      <c r="AB724">
        <f ca="1">'ETF variations'!AB724/'ETF price'!AC725</f>
        <v>1.2583364791745313E-2</v>
      </c>
      <c r="AC724">
        <f ca="1">'ETF variations'!AC724/'ETF price'!AD725</f>
        <v>1.0798122065727719E-2</v>
      </c>
      <c r="AD724">
        <f ca="1">'ETF variations'!AD724/'ETF price'!AE725</f>
        <v>4.0551500405521342E-4</v>
      </c>
      <c r="AE724">
        <f ca="1">'ETF variations'!AE724/'ETF price'!AF725</f>
        <v>-6.8126520681265262E-2</v>
      </c>
      <c r="AF724">
        <f ca="1">'ETF variations'!AF724/'ETF price'!AG725</f>
        <v>-6.4022485946284144E-3</v>
      </c>
    </row>
    <row r="725" spans="1:32" x14ac:dyDescent="0.2">
      <c r="A725">
        <f ca="1">'ETF variations'!A725/'ETF price'!B726</f>
        <v>8.1935062105034824E-3</v>
      </c>
      <c r="B725">
        <f ca="1">'ETF variations'!B725/'ETF price'!C726</f>
        <v>1.2319751289853041E-2</v>
      </c>
      <c r="C725">
        <f ca="1">'ETF variations'!C725/'ETF price'!D726</f>
        <v>5.0323960495698874E-4</v>
      </c>
      <c r="D725">
        <f ca="1">'ETF variations'!D725/'ETF price'!E726</f>
        <v>1.9164251659343583E-3</v>
      </c>
      <c r="E725">
        <f ca="1">'ETF variations'!E725/'ETF price'!F726</f>
        <v>6.5109695682943197E-3</v>
      </c>
      <c r="F725">
        <f ca="1">'ETF variations'!F725/'ETF price'!G726</f>
        <v>1.8621973929236545E-2</v>
      </c>
      <c r="G725">
        <f ca="1">'ETF variations'!G725/'ETF price'!H726</f>
        <v>2.2875816993464144E-3</v>
      </c>
      <c r="H725">
        <f ca="1">'ETF variations'!H725/'ETF price'!I726</f>
        <v>-5.143018176694306E-3</v>
      </c>
      <c r="I725">
        <f ca="1">'ETF variations'!I725/'ETF price'!J726</f>
        <v>-2.0323644451260554E-3</v>
      </c>
      <c r="J725">
        <f ca="1">'ETF variations'!J725/'ETF price'!K726</f>
        <v>2.6307877330125854E-3</v>
      </c>
      <c r="K725">
        <f ca="1">'ETF variations'!K725/'ETF price'!L726</f>
        <v>1.3157894736842193E-2</v>
      </c>
      <c r="L725">
        <f ca="1">'ETF variations'!L725/'ETF price'!M726</f>
        <v>1.0010617321401434E-2</v>
      </c>
      <c r="M725">
        <f ca="1">'ETF variations'!M725/'ETF price'!N726</f>
        <v>-3.5666518056176114E-3</v>
      </c>
      <c r="N725">
        <f ca="1">'ETF variations'!N725/'ETF price'!O726</f>
        <v>1.4553014553014613E-2</v>
      </c>
      <c r="O725">
        <f ca="1">'ETF variations'!O725/'ETF price'!P726</f>
        <v>1.0065003145313566E-2</v>
      </c>
      <c r="P725">
        <f ca="1">'ETF variations'!P725/'ETF price'!Q726</f>
        <v>-4.7039498245351708E-3</v>
      </c>
      <c r="Q725">
        <f ca="1">'ETF variations'!Q725/'ETF price'!R726</f>
        <v>-3.2612240460919359E-3</v>
      </c>
      <c r="R725">
        <f ca="1">'ETF variations'!R725/'ETF price'!S726</f>
        <v>8.8855421686745359E-3</v>
      </c>
      <c r="S725">
        <f ca="1">'ETF variations'!S725/'ETF price'!T726</f>
        <v>3.1362007168458908E-3</v>
      </c>
      <c r="T725">
        <f ca="1">'ETF variations'!T725/'ETF price'!U726</f>
        <v>3.3300957402526586E-3</v>
      </c>
      <c r="U725">
        <f ca="1">'ETF variations'!U725/'ETF price'!V726</f>
        <v>-1.4774044032445106E-2</v>
      </c>
      <c r="V725">
        <f ca="1">'ETF variations'!V725/'ETF price'!W726</f>
        <v>-6.5973610555778769E-3</v>
      </c>
      <c r="W725">
        <f ca="1">'ETF variations'!W725/'ETF price'!X726</f>
        <v>-4.6462341049886479E-3</v>
      </c>
      <c r="X725">
        <f ca="1">'ETF variations'!X725/'ETF price'!Y726</f>
        <v>-4.6767997327542016E-3</v>
      </c>
      <c r="Y725">
        <f ca="1">'ETF variations'!Y725/'ETF price'!Z726</f>
        <v>-1.4781323363185959E-3</v>
      </c>
      <c r="Z725">
        <f ca="1">'ETF variations'!Z725/'ETF price'!AA726</f>
        <v>4.1512915129151224E-3</v>
      </c>
      <c r="AA725">
        <f ca="1">'ETF variations'!AA725/'ETF price'!AB726</f>
        <v>-5.7821059038343798E-3</v>
      </c>
      <c r="AB725">
        <f ca="1">'ETF variations'!AB725/'ETF price'!AC726</f>
        <v>1.2302721511122093E-2</v>
      </c>
      <c r="AC725">
        <f ca="1">'ETF variations'!AC725/'ETF price'!AD726</f>
        <v>-3.251277287505819E-3</v>
      </c>
      <c r="AD725">
        <f ca="1">'ETF variations'!AD725/'ETF price'!AE726</f>
        <v>1.1349817592217169E-2</v>
      </c>
      <c r="AE725">
        <f ca="1">'ETF variations'!AE725/'ETF price'!AF726</f>
        <v>-2.4804177545691957E-2</v>
      </c>
      <c r="AF725">
        <f ca="1">'ETF variations'!AF725/'ETF price'!AG726</f>
        <v>3.9918277542039901E-2</v>
      </c>
    </row>
    <row r="726" spans="1:32" x14ac:dyDescent="0.2">
      <c r="A726">
        <f ca="1">'ETF variations'!A726/'ETF price'!B727</f>
        <v>-8.6456577184116647E-4</v>
      </c>
      <c r="B726">
        <f ca="1">'ETF variations'!B726/'ETF price'!C727</f>
        <v>1.061796559779295E-3</v>
      </c>
      <c r="C726">
        <f ca="1">'ETF variations'!C726/'ETF price'!D727</f>
        <v>1.2574662055945808E-4</v>
      </c>
      <c r="D726">
        <f ca="1">'ETF variations'!D726/'ETF price'!E727</f>
        <v>-7.651038021926692E-3</v>
      </c>
      <c r="E726">
        <f ca="1">'ETF variations'!E726/'ETF price'!F727</f>
        <v>4.7813247081986135E-3</v>
      </c>
      <c r="F726">
        <f ca="1">'ETF variations'!F726/'ETF price'!G727</f>
        <v>-3.046922608165796E-3</v>
      </c>
      <c r="G726">
        <f ca="1">'ETF variations'!G726/'ETF price'!H727</f>
        <v>8.4773394196282353E-3</v>
      </c>
      <c r="H726">
        <f ca="1">'ETF variations'!H726/'ETF price'!I727</f>
        <v>1.1826357906663745E-2</v>
      </c>
      <c r="I726">
        <f ca="1">'ETF variations'!I726/'ETF price'!J727</f>
        <v>1.0605187319884692E-2</v>
      </c>
      <c r="J726">
        <f ca="1">'ETF variations'!J726/'ETF price'!K727</f>
        <v>1.0870380088462533E-2</v>
      </c>
      <c r="K726">
        <f ca="1">'ETF variations'!K726/'ETF price'!L727</f>
        <v>9.0157776108189692E-3</v>
      </c>
      <c r="L726">
        <f ca="1">'ETF variations'!L726/'ETF price'!M727</f>
        <v>1.5768133353356317E-2</v>
      </c>
      <c r="M726">
        <f ca="1">'ETF variations'!M726/'ETF price'!N727</f>
        <v>1.2677106636838308E-2</v>
      </c>
      <c r="N726">
        <f ca="1">'ETF variations'!N726/'ETF price'!O727</f>
        <v>6.1475409836066084E-3</v>
      </c>
      <c r="O726">
        <f ca="1">'ETF variations'!O726/'ETF price'!P727</f>
        <v>8.0963255138052845E-3</v>
      </c>
      <c r="P726">
        <f ca="1">'ETF variations'!P726/'ETF price'!Q727</f>
        <v>1.0727681920479957E-2</v>
      </c>
      <c r="Q726">
        <f ca="1">'ETF variations'!Q726/'ETF price'!R727</f>
        <v>8.1797360671828998E-3</v>
      </c>
      <c r="R726">
        <f ca="1">'ETF variations'!R726/'ETF price'!S727</f>
        <v>1.7913121361397904E-3</v>
      </c>
      <c r="S726">
        <f ca="1">'ETF variations'!S726/'ETF price'!T727</f>
        <v>-4.4662795891029758E-4</v>
      </c>
      <c r="T726">
        <f ca="1">'ETF variations'!T726/'ETF price'!U727</f>
        <v>-4.010510302862761E-3</v>
      </c>
      <c r="U726">
        <f ca="1">'ETF variations'!U726/'ETF price'!V727</f>
        <v>1.8817994707439008E-2</v>
      </c>
      <c r="V726">
        <f ca="1">'ETF variations'!V726/'ETF price'!W727</f>
        <v>-3.0187160394445278E-3</v>
      </c>
      <c r="W726">
        <f ca="1">'ETF variations'!W726/'ETF price'!X727</f>
        <v>-3.0300548685611708E-3</v>
      </c>
      <c r="X726">
        <f ca="1">'ETF variations'!X726/'ETF price'!Y727</f>
        <v>-3.6918946131902323E-3</v>
      </c>
      <c r="Y726">
        <f ca="1">'ETF variations'!Y726/'ETF price'!Z727</f>
        <v>1.3584117032392914E-2</v>
      </c>
      <c r="Z726">
        <f ca="1">'ETF variations'!Z726/'ETF price'!AA727</f>
        <v>-1.6077170418006496E-3</v>
      </c>
      <c r="AA726">
        <f ca="1">'ETF variations'!AA726/'ETF price'!AB727</f>
        <v>-2.7548209366392226E-3</v>
      </c>
      <c r="AB726">
        <f ca="1">'ETF variations'!AB726/'ETF price'!AC727</f>
        <v>7.7338571077830804E-3</v>
      </c>
      <c r="AC726">
        <f ca="1">'ETF variations'!AC726/'ETF price'!AD727</f>
        <v>6.0577819198508387E-3</v>
      </c>
      <c r="AD726">
        <f ca="1">'ETF variations'!AD726/'ETF price'!AE727</f>
        <v>1.8837675350701501E-2</v>
      </c>
      <c r="AE726">
        <f ca="1">'ETF variations'!AE726/'ETF price'!AF727</f>
        <v>-5.2208835341365424E-2</v>
      </c>
      <c r="AF726">
        <f ca="1">'ETF variations'!AF726/'ETF price'!AG727</f>
        <v>3.1736436451563206E-3</v>
      </c>
    </row>
    <row r="727" spans="1:32" x14ac:dyDescent="0.2">
      <c r="A727">
        <f ca="1">'ETF variations'!A727/'ETF price'!B728</f>
        <v>1.016743823822089E-2</v>
      </c>
      <c r="B727">
        <f ca="1">'ETF variations'!B727/'ETF price'!C728</f>
        <v>1.0541431415423651E-2</v>
      </c>
      <c r="C727">
        <f ca="1">'ETF variations'!C727/'ETF price'!D728</f>
        <v>4.8406361979003599E-3</v>
      </c>
      <c r="D727">
        <f ca="1">'ETF variations'!D727/'ETF price'!E728</f>
        <v>1.5843166752856023E-2</v>
      </c>
      <c r="E727">
        <f ca="1">'ETF variations'!E727/'ETF price'!F728</f>
        <v>2.5192442267319762E-2</v>
      </c>
      <c r="F727">
        <f ca="1">'ETF variations'!F727/'ETF price'!G728</f>
        <v>1.4364303178484073E-2</v>
      </c>
      <c r="G727">
        <f ca="1">'ETF variations'!G727/'ETF price'!H728</f>
        <v>1.4225670869705829E-2</v>
      </c>
      <c r="H727">
        <f ca="1">'ETF variations'!H727/'ETF price'!I728</f>
        <v>8.048712206047073E-3</v>
      </c>
      <c r="I727">
        <f ca="1">'ETF variations'!I727/'ETF price'!J728</f>
        <v>8.9730428500817989E-3</v>
      </c>
      <c r="J727">
        <f ca="1">'ETF variations'!J727/'ETF price'!K728</f>
        <v>9.3444081874813918E-3</v>
      </c>
      <c r="K727">
        <f ca="1">'ETF variations'!K727/'ETF price'!L728</f>
        <v>3.084778215083417E-3</v>
      </c>
      <c r="L727">
        <f ca="1">'ETF variations'!L727/'ETF price'!M728</f>
        <v>1.3601419278533438E-2</v>
      </c>
      <c r="M727">
        <f ca="1">'ETF variations'!M727/'ETF price'!N728</f>
        <v>8.2474226804121944E-3</v>
      </c>
      <c r="N727">
        <f ca="1">'ETF variations'!N727/'ETF price'!O728</f>
        <v>1.0183299389001819E-3</v>
      </c>
      <c r="O727">
        <f ca="1">'ETF variations'!O727/'ETF price'!P728</f>
        <v>1.5444810543656453E-3</v>
      </c>
      <c r="P727">
        <f ca="1">'ETF variations'!P727/'ETF price'!Q728</f>
        <v>1.0168485118384953E-2</v>
      </c>
      <c r="Q727">
        <f ca="1">'ETF variations'!Q727/'ETF price'!R728</f>
        <v>1.2224145391605316E-2</v>
      </c>
      <c r="R727">
        <f ca="1">'ETF variations'!R727/'ETF price'!S728</f>
        <v>2.0414245268961476E-2</v>
      </c>
      <c r="S727">
        <f ca="1">'ETF variations'!S727/'ETF price'!T728</f>
        <v>7.1492403932082284E-3</v>
      </c>
      <c r="T727">
        <f ca="1">'ETF variations'!T727/'ETF price'!U728</f>
        <v>1.638433768397677E-2</v>
      </c>
      <c r="U727">
        <f ca="1">'ETF variations'!U727/'ETF price'!V728</f>
        <v>-9.2352092352092439E-3</v>
      </c>
      <c r="V727">
        <f ca="1">'ETF variations'!V727/'ETF price'!W728</f>
        <v>1.2716996366572518E-2</v>
      </c>
      <c r="W727">
        <f ca="1">'ETF variations'!W727/'ETF price'!X728</f>
        <v>1.2403482832265526E-2</v>
      </c>
      <c r="X727">
        <f ca="1">'ETF variations'!X727/'ETF price'!Y728</f>
        <v>1.5327606535287246E-2</v>
      </c>
      <c r="Y727">
        <f ca="1">'ETF variations'!Y727/'ETF price'!Z728</f>
        <v>1.1426116838487958E-2</v>
      </c>
      <c r="Z727">
        <f ca="1">'ETF variations'!Z727/'ETF price'!AA728</f>
        <v>6.6712675408327387E-3</v>
      </c>
      <c r="AA727">
        <f ca="1">'ETF variations'!AA727/'ETF price'!AB728</f>
        <v>1.488643339472067E-2</v>
      </c>
      <c r="AB727">
        <f ca="1">'ETF variations'!AB727/'ETF price'!AC728</f>
        <v>-3.6545255207700249E-4</v>
      </c>
      <c r="AC727">
        <f ca="1">'ETF variations'!AC727/'ETF price'!AD728</f>
        <v>6.4381658175081083E-2</v>
      </c>
      <c r="AD727">
        <f ca="1">'ETF variations'!AD727/'ETF price'!AE728</f>
        <v>3.9732494099134458E-2</v>
      </c>
      <c r="AE727">
        <f ca="1">'ETF variations'!AE727/'ETF price'!AF728</f>
        <v>4.2372881355932181E-2</v>
      </c>
      <c r="AF727">
        <f ca="1">'ETF variations'!AF727/'ETF price'!AG728</f>
        <v>-1.65712564025308E-2</v>
      </c>
    </row>
    <row r="728" spans="1:32" x14ac:dyDescent="0.2">
      <c r="A728">
        <f ca="1">'ETF variations'!A728/'ETF price'!B729</f>
        <v>5.1396265204730403E-4</v>
      </c>
      <c r="B728">
        <f ca="1">'ETF variations'!B728/'ETF price'!C729</f>
        <v>3.7139904405116722E-3</v>
      </c>
      <c r="C728">
        <f ca="1">'ETF variations'!C728/'ETF price'!D729</f>
        <v>-1.1886886886886923E-2</v>
      </c>
      <c r="D728">
        <f ca="1">'ETF variations'!D728/'ETF price'!E729</f>
        <v>4.165124028136569E-4</v>
      </c>
      <c r="E728">
        <f ca="1">'ETF variations'!E728/'ETF price'!F729</f>
        <v>4.7781569965869531E-3</v>
      </c>
      <c r="F728">
        <f ca="1">'ETF variations'!F728/'ETF price'!G729</f>
        <v>6.6285025610123196E-3</v>
      </c>
      <c r="G728">
        <f ca="1">'ETF variations'!G728/'ETF price'!H729</f>
        <v>5.4191903092125644E-3</v>
      </c>
      <c r="H728">
        <f ca="1">'ETF variations'!H728/'ETF price'!I729</f>
        <v>9.0258973824894437E-4</v>
      </c>
      <c r="I728">
        <f ca="1">'ETF variations'!I728/'ETF price'!J729</f>
        <v>1.7334287975279026E-3</v>
      </c>
      <c r="J728">
        <f ca="1">'ETF variations'!J728/'ETF price'!K729</f>
        <v>1.3666421748714281E-2</v>
      </c>
      <c r="K728">
        <f ca="1">'ETF variations'!K728/'ETF price'!L729</f>
        <v>2.0572640509013761E-2</v>
      </c>
      <c r="L728">
        <f ca="1">'ETF variations'!L728/'ETF price'!M729</f>
        <v>1.4585764294049008E-2</v>
      </c>
      <c r="M728">
        <f ca="1">'ETF variations'!M728/'ETF price'!N729</f>
        <v>1.1685655857436826E-3</v>
      </c>
      <c r="N728">
        <f ca="1">'ETF variations'!N728/'ETF price'!O729</f>
        <v>2.5432349949135302E-2</v>
      </c>
      <c r="O728">
        <f ca="1">'ETF variations'!O728/'ETF price'!P729</f>
        <v>-1.9738871183304224E-2</v>
      </c>
      <c r="P728">
        <f ca="1">'ETF variations'!P728/'ETF price'!Q729</f>
        <v>4.996326230712762E-3</v>
      </c>
      <c r="Q728">
        <f ca="1">'ETF variations'!Q728/'ETF price'!R729</f>
        <v>5.5573367532329833E-3</v>
      </c>
      <c r="R728">
        <f ca="1">'ETF variations'!R728/'ETF price'!S729</f>
        <v>2.4824766355140433E-3</v>
      </c>
      <c r="S728">
        <f ca="1">'ETF variations'!S728/'ETF price'!T729</f>
        <v>8.8731144631763867E-4</v>
      </c>
      <c r="T728">
        <f ca="1">'ETF variations'!T728/'ETF price'!U729</f>
        <v>1.4344262295081928E-2</v>
      </c>
      <c r="U728">
        <f ca="1">'ETF variations'!U728/'ETF price'!V729</f>
        <v>9.0300029129042319E-3</v>
      </c>
      <c r="V728">
        <f ca="1">'ETF variations'!V728/'ETF price'!W729</f>
        <v>1.1162049033286728E-2</v>
      </c>
      <c r="W728">
        <f ca="1">'ETF variations'!W728/'ETF price'!X729</f>
        <v>1.2494929006085244E-2</v>
      </c>
      <c r="X728">
        <f ca="1">'ETF variations'!X728/'ETF price'!Y729</f>
        <v>2.2395487723954902E-2</v>
      </c>
      <c r="Y728">
        <f ca="1">'ETF variations'!Y728/'ETF price'!Z729</f>
        <v>7.474730315127796E-3</v>
      </c>
      <c r="Z728">
        <f ca="1">'ETF variations'!Z728/'ETF price'!AA729</f>
        <v>7.5411334552103618E-3</v>
      </c>
      <c r="AA728">
        <f ca="1">'ETF variations'!AA728/'ETF price'!AB729</f>
        <v>2.5102071677000015E-2</v>
      </c>
      <c r="AB728">
        <f ca="1">'ETF variations'!AB728/'ETF price'!AC729</f>
        <v>2.4372410431392011E-3</v>
      </c>
      <c r="AC728">
        <f ca="1">'ETF variations'!AC728/'ETF price'!AD729</f>
        <v>-5.6570931244560056E-3</v>
      </c>
      <c r="AD728">
        <f ca="1">'ETF variations'!AD728/'ETF price'!AE729</f>
        <v>9.8373060915626781E-3</v>
      </c>
      <c r="AE728">
        <f ca="1">'ETF variations'!AE728/'ETF price'!AF729</f>
        <v>1.7615176151761502E-2</v>
      </c>
      <c r="AF728">
        <f ca="1">'ETF variations'!AF728/'ETF price'!AG729</f>
        <v>5.9129901960784305E-2</v>
      </c>
    </row>
    <row r="729" spans="1:32" x14ac:dyDescent="0.2">
      <c r="A729">
        <f ca="1">'ETF variations'!A729/'ETF price'!B730</f>
        <v>-4.2808219178043256E-5</v>
      </c>
      <c r="B729">
        <f ca="1">'ETF variations'!B729/'ETF price'!C730</f>
        <v>-4.6655297789516601E-4</v>
      </c>
      <c r="C729">
        <f ca="1">'ETF variations'!C729/'ETF price'!D730</f>
        <v>8.8008104343422489E-3</v>
      </c>
      <c r="D729">
        <f ca="1">'ETF variations'!D729/'ETF price'!E730</f>
        <v>9.7608363787760263E-3</v>
      </c>
      <c r="E729">
        <f ca="1">'ETF variations'!E729/'ETF price'!F730</f>
        <v>4.0760869565218939E-4</v>
      </c>
      <c r="F729">
        <f ca="1">'ETF variations'!F729/'ETF price'!G730</f>
        <v>0</v>
      </c>
      <c r="G729">
        <f ca="1">'ETF variations'!G729/'ETF price'!H730</f>
        <v>1.7755231452124359E-2</v>
      </c>
      <c r="H729">
        <f ca="1">'ETF variations'!H729/'ETF price'!I730</f>
        <v>8.5321864594893847E-3</v>
      </c>
      <c r="I729">
        <f ca="1">'ETF variations'!I729/'ETF price'!J730</f>
        <v>9.893540984839919E-3</v>
      </c>
      <c r="J729">
        <f ca="1">'ETF variations'!J729/'ETF price'!K730</f>
        <v>1.4134531748332766E-2</v>
      </c>
      <c r="K729">
        <f ca="1">'ETF variations'!K729/'ETF price'!L730</f>
        <v>1.4443059019118876E-2</v>
      </c>
      <c r="L729">
        <f ca="1">'ETF variations'!L729/'ETF price'!M730</f>
        <v>1.1069580218516331E-2</v>
      </c>
      <c r="M729">
        <f ca="1">'ETF variations'!M729/'ETF price'!N730</f>
        <v>1.0650714911000725E-2</v>
      </c>
      <c r="N729">
        <f ca="1">'ETF variations'!N729/'ETF price'!O730</f>
        <v>2.7777777777777714E-2</v>
      </c>
      <c r="O729">
        <f ca="1">'ETF variations'!O729/'ETF price'!P730</f>
        <v>-1.3633980073413264E-3</v>
      </c>
      <c r="P729">
        <f ca="1">'ETF variations'!P729/'ETF price'!Q730</f>
        <v>-2.0324608860944591E-2</v>
      </c>
      <c r="Q729">
        <f ca="1">'ETF variations'!Q729/'ETF price'!R730</f>
        <v>1.0309278350515452E-2</v>
      </c>
      <c r="R729">
        <f ca="1">'ETF variations'!R729/'ETF price'!S730</f>
        <v>3.4959941733429694E-3</v>
      </c>
      <c r="S729">
        <f ca="1">'ETF variations'!S729/'ETF price'!T730</f>
        <v>-1.4184397163120581E-2</v>
      </c>
      <c r="T729">
        <f ca="1">'ETF variations'!T729/'ETF price'!U730</f>
        <v>-2.8956228956229034E-2</v>
      </c>
      <c r="U729">
        <f ca="1">'ETF variations'!U729/'ETF price'!V730</f>
        <v>4.0704387990762023E-2</v>
      </c>
      <c r="V729">
        <f ca="1">'ETF variations'!V729/'ETF price'!W730</f>
        <v>6.5050266114726083E-3</v>
      </c>
      <c r="W729">
        <f ca="1">'ETF variations'!W729/'ETF price'!X730</f>
        <v>7.9333279910248806E-3</v>
      </c>
      <c r="X729">
        <f ca="1">'ETF variations'!X729/'ETF price'!Y730</f>
        <v>1.8335226350803105E-2</v>
      </c>
      <c r="Y729">
        <f ca="1">'ETF variations'!Y729/'ETF price'!Z730</f>
        <v>1.4332686957255012E-3</v>
      </c>
      <c r="Z729">
        <f ca="1">'ETF variations'!Z729/'ETF price'!AA730</f>
        <v>1.338171921070529E-2</v>
      </c>
      <c r="AA729">
        <f ca="1">'ETF variations'!AA729/'ETF price'!AB730</f>
        <v>1.6374096474406245E-2</v>
      </c>
      <c r="AB729">
        <f ca="1">'ETF variations'!AB729/'ETF price'!AC730</f>
        <v>9.7252613663990136E-4</v>
      </c>
      <c r="AC729">
        <f ca="1">'ETF variations'!AC729/'ETF price'!AD730</f>
        <v>8.7527352297592682E-3</v>
      </c>
      <c r="AD729">
        <f ca="1">'ETF variations'!AD729/'ETF price'!AE730</f>
        <v>-4.5335331584863275E-2</v>
      </c>
      <c r="AE729">
        <f ca="1">'ETF variations'!AE729/'ETF price'!AF730</f>
        <v>4.2609853528628533E-2</v>
      </c>
      <c r="AF729">
        <f ca="1">'ETF variations'!AF729/'ETF price'!AG730</f>
        <v>-1.5909748336708047E-3</v>
      </c>
    </row>
    <row r="730" spans="1:32" x14ac:dyDescent="0.2">
      <c r="A730">
        <f ca="1">'ETF variations'!A730/'ETF price'!B731</f>
        <v>5.0087760606189798E-3</v>
      </c>
      <c r="B730">
        <f ca="1">'ETF variations'!B730/'ETF price'!C731</f>
        <v>3.0259621110914317E-3</v>
      </c>
      <c r="C730">
        <f ca="1">'ETF variations'!C730/'ETF price'!D731</f>
        <v>1.0606916462687488E-2</v>
      </c>
      <c r="D730">
        <f ca="1">'ETF variations'!D730/'ETF price'!E731</f>
        <v>-1.2964999083745704E-2</v>
      </c>
      <c r="E730">
        <f ca="1">'ETF variations'!E730/'ETF price'!F731</f>
        <v>6.7907103082982482E-3</v>
      </c>
      <c r="F730">
        <f ca="1">'ETF variations'!F730/'ETF price'!G731</f>
        <v>-4.1903621670156682E-3</v>
      </c>
      <c r="G730">
        <f ca="1">'ETF variations'!G730/'ETF price'!H731</f>
        <v>-3.4267912772586598E-3</v>
      </c>
      <c r="H730">
        <f ca="1">'ETF variations'!H730/'ETF price'!I731</f>
        <v>5.364880665795455E-3</v>
      </c>
      <c r="I730">
        <f ca="1">'ETF variations'!I730/'ETF price'!J731</f>
        <v>5.4384265812412892E-3</v>
      </c>
      <c r="J730">
        <f ca="1">'ETF variations'!J730/'ETF price'!K731</f>
        <v>2.2871846186833908E-3</v>
      </c>
      <c r="K730">
        <f ca="1">'ETF variations'!K730/'ETF price'!L731</f>
        <v>1.2496158967530461E-2</v>
      </c>
      <c r="L730">
        <f ca="1">'ETF variations'!L730/'ETF price'!M731</f>
        <v>-8.5312100099534018E-4</v>
      </c>
      <c r="M730">
        <f ca="1">'ETF variations'!M730/'ETF price'!N731</f>
        <v>4.1865165295222502E-3</v>
      </c>
      <c r="N730">
        <f ca="1">'ETF variations'!N730/'ETF price'!O731</f>
        <v>1.9305019305019409E-2</v>
      </c>
      <c r="O730">
        <f ca="1">'ETF variations'!O730/'ETF price'!P731</f>
        <v>-1.0501995379121436E-3</v>
      </c>
      <c r="P730">
        <f ca="1">'ETF variations'!P730/'ETF price'!Q731</f>
        <v>-2.5373134328358464E-3</v>
      </c>
      <c r="Q730">
        <f ca="1">'ETF variations'!Q730/'ETF price'!R731</f>
        <v>-7.4689669682306749E-3</v>
      </c>
      <c r="R730">
        <f ca="1">'ETF variations'!R730/'ETF price'!S731</f>
        <v>-8.8546958920017339E-3</v>
      </c>
      <c r="S730">
        <f ca="1">'ETF variations'!S730/'ETF price'!T731</f>
        <v>0</v>
      </c>
      <c r="T730">
        <f ca="1">'ETF variations'!T730/'ETF price'!U731</f>
        <v>-6.7961165048542986E-3</v>
      </c>
      <c r="U730">
        <f ca="1">'ETF variations'!U730/'ETF price'!V731</f>
        <v>-2.2191400832177058E-3</v>
      </c>
      <c r="V730">
        <f ca="1">'ETF variations'!V730/'ETF price'!W731</f>
        <v>1.9584802193496733E-3</v>
      </c>
      <c r="W730">
        <f ca="1">'ETF variations'!W730/'ETF price'!X731</f>
        <v>0</v>
      </c>
      <c r="X730">
        <f ca="1">'ETF variations'!X730/'ETF price'!Y731</f>
        <v>-9.5602294455067148E-3</v>
      </c>
      <c r="Y730">
        <f ca="1">'ETF variations'!Y730/'ETF price'!Z731</f>
        <v>1.5995958915642173E-3</v>
      </c>
      <c r="Z730">
        <f ca="1">'ETF variations'!Z730/'ETF price'!AA731</f>
        <v>4.9239033124440215E-3</v>
      </c>
      <c r="AA730">
        <f ca="1">'ETF variations'!AA730/'ETF price'!AB731</f>
        <v>-1.0740203193033513E-2</v>
      </c>
      <c r="AB730">
        <f ca="1">'ETF variations'!AB730/'ETF price'!AC731</f>
        <v>-9.4729171726985802E-3</v>
      </c>
      <c r="AC730">
        <f ca="1">'ETF variations'!AC730/'ETF price'!AD731</f>
        <v>-4.8156182212581319E-2</v>
      </c>
      <c r="AD730">
        <f ca="1">'ETF variations'!AD730/'ETF price'!AE731</f>
        <v>-4.238618524332817E-2</v>
      </c>
      <c r="AE730">
        <f ca="1">'ETF variations'!AE730/'ETF price'!AF731</f>
        <v>4.980842911877402E-2</v>
      </c>
      <c r="AF730">
        <f ca="1">'ETF variations'!AF730/'ETF price'!AG731</f>
        <v>-6.7072287411270401E-2</v>
      </c>
    </row>
    <row r="731" spans="1:32" x14ac:dyDescent="0.2">
      <c r="A731">
        <f ca="1">'ETF variations'!A731/'ETF price'!B732</f>
        <v>-1.3545748849889157E-2</v>
      </c>
      <c r="B731">
        <f ca="1">'ETF variations'!B731/'ETF price'!C732</f>
        <v>-1.0286117752780089E-2</v>
      </c>
      <c r="C731">
        <f ca="1">'ETF variations'!C731/'ETF price'!D732</f>
        <v>6.7693454229288495E-3</v>
      </c>
      <c r="D731">
        <f ca="1">'ETF variations'!D731/'ETF price'!E732</f>
        <v>-1.3413785100951434E-2</v>
      </c>
      <c r="E731">
        <f ca="1">'ETF variations'!E731/'ETF price'!F732</f>
        <v>-1.6187778227438131E-2</v>
      </c>
      <c r="F731">
        <f ca="1">'ETF variations'!F731/'ETF price'!G732</f>
        <v>-9.9188458070335241E-3</v>
      </c>
      <c r="G731">
        <f ca="1">'ETF variations'!G731/'ETF price'!H732</f>
        <v>9.3779306033150024E-4</v>
      </c>
      <c r="H731">
        <f ca="1">'ETF variations'!H731/'ETF price'!I732</f>
        <v>5.3362523089553341E-3</v>
      </c>
      <c r="I731">
        <f ca="1">'ETF variations'!I731/'ETF price'!J732</f>
        <v>5.4090100770597931E-3</v>
      </c>
      <c r="J731">
        <f ca="1">'ETF variations'!J731/'ETF price'!K732</f>
        <v>9.6983527062683723E-3</v>
      </c>
      <c r="K731">
        <f ca="1">'ETF variations'!K731/'ETF price'!L732</f>
        <v>1.1633788568538247E-2</v>
      </c>
      <c r="L731">
        <f ca="1">'ETF variations'!L731/'ETF price'!M732</f>
        <v>4.1269389497652804E-3</v>
      </c>
      <c r="M731">
        <f ca="1">'ETF variations'!M731/'ETF price'!N732</f>
        <v>6.7567567567567398E-3</v>
      </c>
      <c r="N731">
        <f ca="1">'ETF variations'!N731/'ETF price'!O732</f>
        <v>2.5568181818181778E-2</v>
      </c>
      <c r="O731">
        <f ca="1">'ETF variations'!O731/'ETF price'!P732</f>
        <v>4.3103448275861704E-3</v>
      </c>
      <c r="P731">
        <f ca="1">'ETF variations'!P731/'ETF price'!Q732</f>
        <v>7.4816699087168224E-5</v>
      </c>
      <c r="Q731">
        <f ca="1">'ETF variations'!Q731/'ETF price'!R732</f>
        <v>-5.2994170641226454E-4</v>
      </c>
      <c r="R731">
        <f ca="1">'ETF variations'!R731/'ETF price'!S732</f>
        <v>2.1968365553603642E-3</v>
      </c>
      <c r="S731">
        <f ca="1">'ETF variations'!S731/'ETF price'!T732</f>
        <v>-5.3956834532372959E-3</v>
      </c>
      <c r="T731">
        <f ca="1">'ETF variations'!T731/'ETF price'!U732</f>
        <v>1.5360983102918507E-3</v>
      </c>
      <c r="U731">
        <f ca="1">'ETF variations'!U731/'ETF price'!V732</f>
        <v>1.5846538782318606E-2</v>
      </c>
      <c r="V731">
        <f ca="1">'ETF variations'!V731/'ETF price'!W732</f>
        <v>1.9546520719312243E-3</v>
      </c>
      <c r="W731">
        <f ca="1">'ETF variations'!W731/'ETF price'!X732</f>
        <v>2.544124662108389E-3</v>
      </c>
      <c r="X731">
        <f ca="1">'ETF variations'!X731/'ETF price'!Y732</f>
        <v>-2.4131274131273905E-3</v>
      </c>
      <c r="Y731">
        <f ca="1">'ETF variations'!Y731/'ETF price'!Z732</f>
        <v>6.7243842985625197E-4</v>
      </c>
      <c r="Z731">
        <f ca="1">'ETF variations'!Z731/'ETF price'!AA732</f>
        <v>6.9042316258352398E-3</v>
      </c>
      <c r="AA731">
        <f ca="1">'ETF variations'!AA731/'ETF price'!AB732</f>
        <v>-3.2276995305164152E-3</v>
      </c>
      <c r="AB731">
        <f ca="1">'ETF variations'!AB731/'ETF price'!AC732</f>
        <v>-6.6208925944091007E-3</v>
      </c>
      <c r="AC731">
        <f ca="1">'ETF variations'!AC731/'ETF price'!AD732</f>
        <v>7.7484047402005429E-2</v>
      </c>
      <c r="AD731">
        <f ca="1">'ETF variations'!AD731/'ETF price'!AE732</f>
        <v>6.5163934426229503E-2</v>
      </c>
      <c r="AE731">
        <f ca="1">'ETF variations'!AE731/'ETF price'!AF732</f>
        <v>-7.1776155717761636E-2</v>
      </c>
      <c r="AF731">
        <f ca="1">'ETF variations'!AF731/'ETF price'!AG732</f>
        <v>8.0124223602484418E-2</v>
      </c>
    </row>
    <row r="732" spans="1:32" x14ac:dyDescent="0.2">
      <c r="A732">
        <f ca="1">'ETF variations'!A732/'ETF price'!B733</f>
        <v>9.2840487088694072E-3</v>
      </c>
      <c r="B732">
        <f ca="1">'ETF variations'!B732/'ETF price'!C733</f>
        <v>8.901355470523396E-3</v>
      </c>
      <c r="C732">
        <f ca="1">'ETF variations'!C732/'ETF price'!D733</f>
        <v>2.109678613287266E-2</v>
      </c>
      <c r="D732">
        <f ca="1">'ETF variations'!D732/'ETF price'!E733</f>
        <v>1.3360933383515258E-2</v>
      </c>
      <c r="E732">
        <f ca="1">'ETF variations'!E732/'ETF price'!F733</f>
        <v>6.9930069930068672E-3</v>
      </c>
      <c r="F732">
        <f ca="1">'ETF variations'!F732/'ETF price'!G733</f>
        <v>1.3054037644201572E-2</v>
      </c>
      <c r="G732">
        <f ca="1">'ETF variations'!G732/'ETF price'!H733</f>
        <v>3.1230480949404841E-3</v>
      </c>
      <c r="H732">
        <f ca="1">'ETF variations'!H732/'ETF price'!I733</f>
        <v>3.1303164341613338E-3</v>
      </c>
      <c r="I732">
        <f ca="1">'ETF variations'!I732/'ETF price'!J733</f>
        <v>3.1689881347188946E-3</v>
      </c>
      <c r="J732">
        <f ca="1">'ETF variations'!J732/'ETF price'!K733</f>
        <v>-2.8250582668261912E-4</v>
      </c>
      <c r="K732">
        <f ca="1">'ETF variations'!K732/'ETF price'!L733</f>
        <v>-3.7999999999999545E-3</v>
      </c>
      <c r="L732">
        <f ca="1">'ETF variations'!L732/'ETF price'!M733</f>
        <v>-8.5034013605445394E-4</v>
      </c>
      <c r="M732">
        <f ca="1">'ETF variations'!M732/'ETF price'!N733</f>
        <v>2.4275310581179737E-3</v>
      </c>
      <c r="N732">
        <f ca="1">'ETF variations'!N732/'ETF price'!O733</f>
        <v>9.2336103416433861E-4</v>
      </c>
      <c r="O732">
        <f ca="1">'ETF variations'!O732/'ETF price'!P733</f>
        <v>-1.0572594996336284E-2</v>
      </c>
      <c r="P732">
        <f ca="1">'ETF variations'!P732/'ETF price'!Q733</f>
        <v>3.815366200344276E-3</v>
      </c>
      <c r="Q732">
        <f ca="1">'ETF variations'!Q732/'ETF price'!R733</f>
        <v>5.0901378579003608E-3</v>
      </c>
      <c r="R732">
        <f ca="1">'ETF variations'!R732/'ETF price'!S733</f>
        <v>4.6763115592575351E-3</v>
      </c>
      <c r="S732">
        <f ca="1">'ETF variations'!S732/'ETF price'!T733</f>
        <v>9.0415913200721394E-4</v>
      </c>
      <c r="T732">
        <f ca="1">'ETF variations'!T732/'ETF price'!U733</f>
        <v>-1.5337423312883356E-3</v>
      </c>
      <c r="U732">
        <f ca="1">'ETF variations'!U732/'ETF price'!V733</f>
        <v>7.9365079365079135E-3</v>
      </c>
      <c r="V732">
        <f ca="1">'ETF variations'!V732/'ETF price'!W733</f>
        <v>1.5606710885681897E-3</v>
      </c>
      <c r="W732">
        <f ca="1">'ETF variations'!W732/'ETF price'!X733</f>
        <v>7.9302141157818026E-4</v>
      </c>
      <c r="X732">
        <f ca="1">'ETF variations'!X732/'ETF price'!Y733</f>
        <v>-2.7414933075309562E-3</v>
      </c>
      <c r="Y732">
        <f ca="1">'ETF variations'!Y732/'ETF price'!Z733</f>
        <v>-1.1675766484670311E-2</v>
      </c>
      <c r="Z732">
        <f ca="1">'ETF variations'!Z732/'ETF price'!AA733</f>
        <v>-4.6449900464499193E-3</v>
      </c>
      <c r="AA732">
        <f ca="1">'ETF variations'!AA732/'ETF price'!AB733</f>
        <v>-3.0909626140711473E-3</v>
      </c>
      <c r="AB732">
        <f ca="1">'ETF variations'!AB732/'ETF price'!AC733</f>
        <v>-3.5793631202171322E-3</v>
      </c>
      <c r="AC732">
        <f ca="1">'ETF variations'!AC732/'ETF price'!AD733</f>
        <v>-3.3840947546532082E-3</v>
      </c>
      <c r="AD732">
        <f ca="1">'ETF variations'!AD732/'ETF price'!AE733</f>
        <v>5.7714505579069698E-3</v>
      </c>
      <c r="AE732">
        <f ca="1">'ETF variations'!AE732/'ETF price'!AF733</f>
        <v>4.0629095674967301E-2</v>
      </c>
      <c r="AF732">
        <f ca="1">'ETF variations'!AF732/'ETF price'!AG733</f>
        <v>2.0701552616446201E-2</v>
      </c>
    </row>
    <row r="733" spans="1:32" x14ac:dyDescent="0.2">
      <c r="A733">
        <f ca="1">'ETF variations'!A733/'ETF price'!B734</f>
        <v>9.4981388781927821E-3</v>
      </c>
      <c r="B733">
        <f ca="1">'ETF variations'!B733/'ETF price'!C734</f>
        <v>9.8352752109280902E-3</v>
      </c>
      <c r="C733">
        <f ca="1">'ETF variations'!C733/'ETF price'!D734</f>
        <v>-5.7995529511267324E-3</v>
      </c>
      <c r="D733">
        <f ca="1">'ETF variations'!D733/'ETF price'!E734</f>
        <v>2.6276694521819854E-2</v>
      </c>
      <c r="E733">
        <f ca="1">'ETF variations'!E733/'ETF price'!F734</f>
        <v>9.123093681917235E-3</v>
      </c>
      <c r="F733">
        <f ca="1">'ETF variations'!F733/'ETF price'!G734</f>
        <v>8.990110878034504E-4</v>
      </c>
      <c r="G733">
        <f ca="1">'ETF variations'!G733/'ETF price'!H734</f>
        <v>4.6699875467000529E-3</v>
      </c>
      <c r="H733">
        <f ca="1">'ETF variations'!H733/'ETF price'!I734</f>
        <v>-1.7637880740790375E-3</v>
      </c>
      <c r="I733">
        <f ca="1">'ETF variations'!I733/'ETF price'!J734</f>
        <v>-2.1672054069939457E-3</v>
      </c>
      <c r="J733">
        <f ca="1">'ETF variations'!J733/'ETF price'!K734</f>
        <v>1.2716354645000239E-3</v>
      </c>
      <c r="K733">
        <f ca="1">'ETF variations'!K733/'ETF price'!L734</f>
        <v>-3.1118249347520804E-3</v>
      </c>
      <c r="L733">
        <f ca="1">'ETF variations'!L733/'ETF price'!M734</f>
        <v>4.6808510638297633E-3</v>
      </c>
      <c r="M733">
        <f ca="1">'ETF variations'!M733/'ETF price'!N734</f>
        <v>-2.5641025641026612E-3</v>
      </c>
      <c r="N733">
        <f ca="1">'ETF variations'!N733/'ETF price'!O734</f>
        <v>1.2915129151291565E-2</v>
      </c>
      <c r="O733">
        <f ca="1">'ETF variations'!O733/'ETF price'!P734</f>
        <v>-1.0579771476926476E-4</v>
      </c>
      <c r="P733">
        <f ca="1">'ETF variations'!P733/'ETF price'!Q734</f>
        <v>-9.5394246534505969E-3</v>
      </c>
      <c r="Q733">
        <f ca="1">'ETF variations'!Q733/'ETF price'!R734</f>
        <v>-6.3304494619120355E-4</v>
      </c>
      <c r="R733">
        <f ca="1">'ETF variations'!R733/'ETF price'!S734</f>
        <v>-7.1272727272726532E-3</v>
      </c>
      <c r="S733">
        <f ca="1">'ETF variations'!S733/'ETF price'!T734</f>
        <v>-7.2267389340560139E-3</v>
      </c>
      <c r="T733">
        <f ca="1">'ETF variations'!T733/'ETF price'!U734</f>
        <v>-7.9597821533304459E-3</v>
      </c>
      <c r="U733">
        <f ca="1">'ETF variations'!U733/'ETF price'!V734</f>
        <v>1.7377138202552284E-2</v>
      </c>
      <c r="V733">
        <f ca="1">'ETF variations'!V733/'ETF price'!W734</f>
        <v>-9.9337748344371854E-3</v>
      </c>
      <c r="W733">
        <f ca="1">'ETF variations'!W733/'ETF price'!X734</f>
        <v>-9.0332805071315411E-3</v>
      </c>
      <c r="X733">
        <f ca="1">'ETF variations'!X733/'ETF price'!Y734</f>
        <v>-8.7322121604140723E-3</v>
      </c>
      <c r="Y733">
        <f ca="1">'ETF variations'!Y733/'ETF price'!Z734</f>
        <v>-6.1193268740438456E-3</v>
      </c>
      <c r="Z733">
        <f ca="1">'ETF variations'!Z733/'ETF price'!AA734</f>
        <v>-1.5111111111111105E-2</v>
      </c>
      <c r="AA733">
        <f ca="1">'ETF variations'!AA733/'ETF price'!AB734</f>
        <v>-9.4492839214528352E-3</v>
      </c>
      <c r="AB733">
        <f ca="1">'ETF variations'!AB733/'ETF price'!AC734</f>
        <v>4.0876997398736313E-3</v>
      </c>
      <c r="AC733">
        <f ca="1">'ETF variations'!AC733/'ETF price'!AD734</f>
        <v>-6.7911714770798022E-3</v>
      </c>
      <c r="AD733">
        <f ca="1">'ETF variations'!AD733/'ETF price'!AE734</f>
        <v>-5.5087987758224988E-2</v>
      </c>
      <c r="AE733">
        <f ca="1">'ETF variations'!AE733/'ETF price'!AF734</f>
        <v>-1.6372795969773396E-2</v>
      </c>
      <c r="AF733">
        <f ca="1">'ETF variations'!AF733/'ETF price'!AG734</f>
        <v>-3.7887323943661941E-2</v>
      </c>
    </row>
    <row r="734" spans="1:32" x14ac:dyDescent="0.2">
      <c r="A734">
        <f ca="1">'ETF variations'!A734/'ETF price'!B735</f>
        <v>3.6024581479127899E-3</v>
      </c>
      <c r="B734">
        <f ca="1">'ETF variations'!B734/'ETF price'!C735</f>
        <v>5.1880261629294695E-3</v>
      </c>
      <c r="C734">
        <f ca="1">'ETF variations'!C734/'ETF price'!D735</f>
        <v>5.2257398067692392E-3</v>
      </c>
      <c r="D734">
        <f ca="1">'ETF variations'!D734/'ETF price'!E735</f>
        <v>-5.654573418981272E-3</v>
      </c>
      <c r="E734">
        <f ca="1">'ETF variations'!E734/'ETF price'!F735</f>
        <v>1.0794764539198258E-3</v>
      </c>
      <c r="F734">
        <f ca="1">'ETF variations'!F734/'ETF price'!G735</f>
        <v>5.389221556886219E-3</v>
      </c>
      <c r="G734">
        <f ca="1">'ETF variations'!G734/'ETF price'!H735</f>
        <v>-1.8593120545398905E-3</v>
      </c>
      <c r="H734">
        <f ca="1">'ETF variations'!H734/'ETF price'!I735</f>
        <v>-2.2426095820592081E-3</v>
      </c>
      <c r="I734">
        <f ca="1">'ETF variations'!I734/'ETF price'!J735</f>
        <v>-3.681207436039021E-3</v>
      </c>
      <c r="J734">
        <f ca="1">'ETF variations'!J734/'ETF price'!K735</f>
        <v>-1.2206307768291751E-2</v>
      </c>
      <c r="K734">
        <f ca="1">'ETF variations'!K734/'ETF price'!L735</f>
        <v>-1.6312556640821714E-2</v>
      </c>
      <c r="L734">
        <f ca="1">'ETF variations'!L734/'ETF price'!M735</f>
        <v>-1.4965410136947653E-2</v>
      </c>
      <c r="M734">
        <f ca="1">'ETF variations'!M734/'ETF price'!N735</f>
        <v>-2.8563267637818175E-3</v>
      </c>
      <c r="N734">
        <f ca="1">'ETF variations'!N734/'ETF price'!O735</f>
        <v>-2.5500910746812488E-2</v>
      </c>
      <c r="O734">
        <f ca="1">'ETF variations'!O734/'ETF price'!P735</f>
        <v>-2.4124431277113542E-2</v>
      </c>
      <c r="P734">
        <f ca="1">'ETF variations'!P734/'ETF price'!Q735</f>
        <v>5.2671181339347759E-4</v>
      </c>
      <c r="Q734">
        <f ca="1">'ETF variations'!Q734/'ETF price'!R735</f>
        <v>-3.1672297297296995E-3</v>
      </c>
      <c r="R734">
        <f ca="1">'ETF variations'!R734/'ETF price'!S735</f>
        <v>2.9299736302371613E-3</v>
      </c>
      <c r="S734">
        <f ca="1">'ETF variations'!S734/'ETF price'!T735</f>
        <v>1.1373976342129208E-2</v>
      </c>
      <c r="T734">
        <f ca="1">'ETF variations'!T734/'ETF price'!U735</f>
        <v>2.815315315315315E-2</v>
      </c>
      <c r="U734">
        <f ca="1">'ETF variations'!U734/'ETF price'!V735</f>
        <v>-1.6012810248198596E-2</v>
      </c>
      <c r="V734">
        <f ca="1">'ETF variations'!V734/'ETF price'!W735</f>
        <v>-7.4759000590201748E-3</v>
      </c>
      <c r="W734">
        <f ca="1">'ETF variations'!W734/'ETF price'!X735</f>
        <v>-6.316967855429444E-3</v>
      </c>
      <c r="X734">
        <f ca="1">'ETF variations'!X734/'ETF price'!Y735</f>
        <v>-8.8091353996737221E-3</v>
      </c>
      <c r="Y734">
        <f ca="1">'ETF variations'!Y734/'ETF price'!Z735</f>
        <v>-2.0523345305284322E-3</v>
      </c>
      <c r="Z734">
        <f ca="1">'ETF variations'!Z734/'ETF price'!AA735</f>
        <v>-5.8664259927797384E-3</v>
      </c>
      <c r="AA734">
        <f ca="1">'ETF variations'!AA734/'ETF price'!AB735</f>
        <v>-8.7941571023998112E-3</v>
      </c>
      <c r="AB734">
        <f ca="1">'ETF variations'!AB734/'ETF price'!AC735</f>
        <v>2.837404391808586E-3</v>
      </c>
      <c r="AC734">
        <f ca="1">'ETF variations'!AC734/'ETF price'!AD735</f>
        <v>-2.9914529914530038E-3</v>
      </c>
      <c r="AD734">
        <f ca="1">'ETF variations'!AD734/'ETF price'!AE735</f>
        <v>-1.2145748987853274E-3</v>
      </c>
      <c r="AE734">
        <f ca="1">'ETF variations'!AE734/'ETF price'!AF735</f>
        <v>-3.7131882202304747E-2</v>
      </c>
      <c r="AF734">
        <f ca="1">'ETF variations'!AF734/'ETF price'!AG735</f>
        <v>1.3175230566535414E-3</v>
      </c>
    </row>
    <row r="735" spans="1:32" x14ac:dyDescent="0.2">
      <c r="A735">
        <f ca="1">'ETF variations'!A735/'ETF price'!B736</f>
        <v>1.8285472972972904E-2</v>
      </c>
      <c r="B735">
        <f ca="1">'ETF variations'!B735/'ETF price'!C736</f>
        <v>2.0265028576856633E-2</v>
      </c>
      <c r="C735">
        <f ca="1">'ETF variations'!C735/'ETF price'!D736</f>
        <v>-7.7374115940276921E-3</v>
      </c>
      <c r="D735">
        <f ca="1">'ETF variations'!D735/'ETF price'!E736</f>
        <v>1.3238706155315938E-2</v>
      </c>
      <c r="E735">
        <f ca="1">'ETF variations'!E735/'ETF price'!F736</f>
        <v>2.0757514489823513E-2</v>
      </c>
      <c r="F735">
        <f ca="1">'ETF variations'!F735/'ETF price'!G736</f>
        <v>1.697438951756999E-2</v>
      </c>
      <c r="G735">
        <f ca="1">'ETF variations'!G735/'ETF price'!H736</f>
        <v>9.3138776777397445E-3</v>
      </c>
      <c r="H735">
        <f ca="1">'ETF variations'!H735/'ETF price'!I736</f>
        <v>-5.4488489306623135E-4</v>
      </c>
      <c r="I735">
        <f ca="1">'ETF variations'!I735/'ETF price'!J736</f>
        <v>1.2192869019029778E-3</v>
      </c>
      <c r="J735">
        <f ca="1">'ETF variations'!J735/'ETF price'!K736</f>
        <v>6.857142857142914E-3</v>
      </c>
      <c r="K735">
        <f ca="1">'ETF variations'!K735/'ETF price'!L736</f>
        <v>1.1260108506500241E-2</v>
      </c>
      <c r="L735">
        <f ca="1">'ETF variations'!L735/'ETF price'!M736</f>
        <v>1.2039558549519901E-2</v>
      </c>
      <c r="M735">
        <f ca="1">'ETF variations'!M735/'ETF price'!N736</f>
        <v>1.2890289315382901E-3</v>
      </c>
      <c r="N735">
        <f ca="1">'ETF variations'!N735/'ETF price'!O736</f>
        <v>-9.3457943925231654E-4</v>
      </c>
      <c r="O735">
        <f ca="1">'ETF variations'!O735/'ETF price'!P736</f>
        <v>3.9032852650981178E-3</v>
      </c>
      <c r="P735">
        <f ca="1">'ETF variations'!P735/'ETF price'!Q736</f>
        <v>-2.3087914567195555E-2</v>
      </c>
      <c r="Q735">
        <f ca="1">'ETF variations'!Q735/'ETF price'!R736</f>
        <v>-9.7436983689896395E-3</v>
      </c>
      <c r="R735">
        <f ca="1">'ETF variations'!R735/'ETF price'!S736</f>
        <v>-1.4460999123575737E-2</v>
      </c>
      <c r="S735">
        <f ca="1">'ETF variations'!S735/'ETF price'!T736</f>
        <v>-5.3981106612686009E-3</v>
      </c>
      <c r="T735">
        <f ca="1">'ETF variations'!T735/'ETF price'!U736</f>
        <v>-1.5881708652793137E-2</v>
      </c>
      <c r="U735">
        <f ca="1">'ETF variations'!U735/'ETF price'!V736</f>
        <v>-2.3053973420124611E-2</v>
      </c>
      <c r="V735">
        <f ca="1">'ETF variations'!V735/'ETF price'!W736</f>
        <v>-3.7661050545095107E-3</v>
      </c>
      <c r="W735">
        <f ca="1">'ETF variations'!W735/'ETF price'!X736</f>
        <v>-2.4945682787479062E-3</v>
      </c>
      <c r="X735">
        <f ca="1">'ETF variations'!X735/'ETF price'!Y736</f>
        <v>2.3041474654377976E-3</v>
      </c>
      <c r="Y735">
        <f ca="1">'ETF variations'!Y735/'ETF price'!Z736</f>
        <v>3.3419023136246834E-3</v>
      </c>
      <c r="Z735">
        <f ca="1">'ETF variations'!Z735/'ETF price'!AA736</f>
        <v>-2.7235587834771799E-3</v>
      </c>
      <c r="AA735">
        <f ca="1">'ETF variations'!AA735/'ETF price'!AB736</f>
        <v>3.1578947368420111E-3</v>
      </c>
      <c r="AB735">
        <f ca="1">'ETF variations'!AB735/'ETF price'!AC736</f>
        <v>-1.3900848812892233E-2</v>
      </c>
      <c r="AC735">
        <f ca="1">'ETF variations'!AC735/'ETF price'!AD736</f>
        <v>5.8722674667809734E-2</v>
      </c>
      <c r="AD735">
        <f ca="1">'ETF variations'!AD735/'ETF price'!AE736</f>
        <v>3.5670855289825658E-2</v>
      </c>
      <c r="AE735">
        <f ca="1">'ETF variations'!AE735/'ETF price'!AF736</f>
        <v>5.0531914893617129E-2</v>
      </c>
      <c r="AF735">
        <f ca="1">'ETF variations'!AF735/'ETF price'!AG736</f>
        <v>6.184210526315774E-2</v>
      </c>
    </row>
    <row r="736" spans="1:32" x14ac:dyDescent="0.2">
      <c r="A736">
        <f ca="1">'ETF variations'!A736/'ETF price'!B737</f>
        <v>-5.0595114668436064E-3</v>
      </c>
      <c r="B736">
        <f ca="1">'ETF variations'!B736/'ETF price'!C737</f>
        <v>-4.9966637183245875E-3</v>
      </c>
      <c r="C736">
        <f ca="1">'ETF variations'!C736/'ETF price'!D737</f>
        <v>-1.0965580261955597E-2</v>
      </c>
      <c r="D736">
        <f ca="1">'ETF variations'!D736/'ETF price'!E737</f>
        <v>-1.8902658045977048E-2</v>
      </c>
      <c r="E736">
        <f ca="1">'ETF variations'!E736/'ETF price'!F737</f>
        <v>-6.0742110128087674E-3</v>
      </c>
      <c r="F736">
        <f ca="1">'ETF variations'!F736/'ETF price'!G737</f>
        <v>-7.320644216691069E-3</v>
      </c>
      <c r="G736">
        <f ca="1">'ETF variations'!G736/'ETF price'!H737</f>
        <v>-4.3063672716087539E-3</v>
      </c>
      <c r="H736">
        <f ca="1">'ETF variations'!H736/'ETF price'!I737</f>
        <v>-1.1176230066784889E-2</v>
      </c>
      <c r="I736">
        <f ca="1">'ETF variations'!I736/'ETF price'!J737</f>
        <v>-1.1513764853494739E-2</v>
      </c>
      <c r="J736">
        <f ca="1">'ETF variations'!J736/'ETF price'!K737</f>
        <v>-7.1651532349604093E-3</v>
      </c>
      <c r="K736">
        <f ca="1">'ETF variations'!K736/'ETF price'!L737</f>
        <v>-1.4778823767587893E-2</v>
      </c>
      <c r="L736">
        <f ca="1">'ETF variations'!L736/'ETF price'!M737</f>
        <v>-6.2314119813057321E-3</v>
      </c>
      <c r="M736">
        <f ca="1">'ETF variations'!M736/'ETF price'!N737</f>
        <v>-1.2015448433700521E-2</v>
      </c>
      <c r="N736">
        <f ca="1">'ETF variations'!N736/'ETF price'!O737</f>
        <v>-2.0579981290925992E-2</v>
      </c>
      <c r="O736">
        <f ca="1">'ETF variations'!O736/'ETF price'!P737</f>
        <v>-1.6956474781293956E-2</v>
      </c>
      <c r="P736">
        <f ca="1">'ETF variations'!P736/'ETF price'!Q737</f>
        <v>3.2332563510391646E-3</v>
      </c>
      <c r="Q736">
        <f ca="1">'ETF variations'!Q736/'ETF price'!R737</f>
        <v>-1.3155080213903787E-2</v>
      </c>
      <c r="R736">
        <f ca="1">'ETF variations'!R736/'ETF price'!S737</f>
        <v>-5.1874907366236001E-3</v>
      </c>
      <c r="S736">
        <f ca="1">'ETF variations'!S736/'ETF price'!T737</f>
        <v>-1.3568521031208113E-3</v>
      </c>
      <c r="T736">
        <f ca="1">'ETF variations'!T736/'ETF price'!U737</f>
        <v>-5.7039510294935531E-3</v>
      </c>
      <c r="U736">
        <f ca="1">'ETF variations'!U736/'ETF price'!V737</f>
        <v>-1.6379789006107811E-2</v>
      </c>
      <c r="V736">
        <f ca="1">'ETF variations'!V736/'ETF price'!W737</f>
        <v>2.9844807003581095E-3</v>
      </c>
      <c r="W736">
        <f ca="1">'ETF variations'!W736/'ETF price'!X737</f>
        <v>5.6469828977095352E-4</v>
      </c>
      <c r="X736">
        <f ca="1">'ETF variations'!X736/'ETF price'!Y737</f>
        <v>-4.7619047619047476E-3</v>
      </c>
      <c r="Y736">
        <f ca="1">'ETF variations'!Y736/'ETF price'!Z737</f>
        <v>-1.1956614569988947E-3</v>
      </c>
      <c r="Z736">
        <f ca="1">'ETF variations'!Z736/'ETF price'!AA737</f>
        <v>-2.5034137460172834E-3</v>
      </c>
      <c r="AA736">
        <f ca="1">'ETF variations'!AA736/'ETF price'!AB737</f>
        <v>-5.0966871533501606E-3</v>
      </c>
      <c r="AB736">
        <f ca="1">'ETF variations'!AB736/'ETF price'!AC737</f>
        <v>1.372255489021949E-3</v>
      </c>
      <c r="AC736">
        <f ca="1">'ETF variations'!AC736/'ETF price'!AD737</f>
        <v>-1.133603238866387E-2</v>
      </c>
      <c r="AD736">
        <f ca="1">'ETF variations'!AD736/'ETF price'!AE737</f>
        <v>-2.3483365949120262E-3</v>
      </c>
      <c r="AE736">
        <f ca="1">'ETF variations'!AE736/'ETF price'!AF737</f>
        <v>1.6455696202531518E-2</v>
      </c>
      <c r="AF736">
        <f ca="1">'ETF variations'!AF736/'ETF price'!AG737</f>
        <v>-2.3957042544403069E-2</v>
      </c>
    </row>
    <row r="737" spans="1:32" x14ac:dyDescent="0.2">
      <c r="A737">
        <f ca="1">'ETF variations'!A737/'ETF price'!B738</f>
        <v>3.8764536701263257E-3</v>
      </c>
      <c r="B737">
        <f ca="1">'ETF variations'!B737/'ETF price'!C738</f>
        <v>5.1933064050777855E-3</v>
      </c>
      <c r="C737">
        <f ca="1">'ETF variations'!C737/'ETF price'!D738</f>
        <v>1.761626116415161E-2</v>
      </c>
      <c r="D737">
        <f ca="1">'ETF variations'!D737/'ETF price'!E738</f>
        <v>6.0409134593383445E-3</v>
      </c>
      <c r="E737">
        <f ca="1">'ETF variations'!E737/'ETF price'!F738</f>
        <v>1.5676896505912141E-2</v>
      </c>
      <c r="F737">
        <f ca="1">'ETF variations'!F737/'ETF price'!G738</f>
        <v>8.2595870206490021E-3</v>
      </c>
      <c r="G737">
        <f ca="1">'ETF variations'!G737/'ETF price'!H738</f>
        <v>5.5607043558850702E-3</v>
      </c>
      <c r="H737">
        <f ca="1">'ETF variations'!H737/'ETF price'!I738</f>
        <v>-5.6512749827704566E-3</v>
      </c>
      <c r="I737">
        <f ca="1">'ETF variations'!I737/'ETF price'!J738</f>
        <v>-3.3972970954977413E-3</v>
      </c>
      <c r="J737">
        <f ca="1">'ETF variations'!J737/'ETF price'!K738</f>
        <v>9.6463022508040223E-3</v>
      </c>
      <c r="K737">
        <f ca="1">'ETF variations'!K737/'ETF price'!L738</f>
        <v>1.8596527278331474E-2</v>
      </c>
      <c r="L737">
        <f ca="1">'ETF variations'!L737/'ETF price'!M738</f>
        <v>1.9951546244834054E-3</v>
      </c>
      <c r="M737">
        <f ca="1">'ETF variations'!M737/'ETF price'!N738</f>
        <v>-2.895613146083519E-3</v>
      </c>
      <c r="N737">
        <f ca="1">'ETF variations'!N737/'ETF price'!O738</f>
        <v>2.387774594078319E-2</v>
      </c>
      <c r="O737">
        <f ca="1">'ETF variations'!O737/'ETF price'!P738</f>
        <v>-1.6479894528674079E-3</v>
      </c>
      <c r="P737">
        <f ca="1">'ETF variations'!P737/'ETF price'!Q738</f>
        <v>-1.7955801104972295E-2</v>
      </c>
      <c r="Q737">
        <f ca="1">'ETF variations'!Q737/'ETF price'!R738</f>
        <v>-3.9015931505364631E-3</v>
      </c>
      <c r="R737">
        <f ca="1">'ETF variations'!R737/'ETF price'!S738</f>
        <v>-2.5029797377830849E-2</v>
      </c>
      <c r="S737">
        <f ca="1">'ETF variations'!S737/'ETF price'!T738</f>
        <v>-7.6992753623187577E-3</v>
      </c>
      <c r="T737">
        <f ca="1">'ETF variations'!T737/'ETF price'!U738</f>
        <v>-1.7210018189450175E-2</v>
      </c>
      <c r="U737">
        <f ca="1">'ETF variations'!U737/'ETF price'!V738</f>
        <v>-3.1047135196161286E-3</v>
      </c>
      <c r="V737">
        <f ca="1">'ETF variations'!V737/'ETF price'!W738</f>
        <v>-1.9837333862324956E-4</v>
      </c>
      <c r="W737">
        <f ca="1">'ETF variations'!W737/'ETF price'!X738</f>
        <v>1.9350157220027E-3</v>
      </c>
      <c r="X737">
        <f ca="1">'ETF variations'!X737/'ETF price'!Y738</f>
        <v>2.8048176868503828E-3</v>
      </c>
      <c r="Y737">
        <f ca="1">'ETF variations'!Y737/'ETF price'!Z738</f>
        <v>-1.6331765711842638E-2</v>
      </c>
      <c r="Z737">
        <f ca="1">'ETF variations'!Z737/'ETF price'!AA738</f>
        <v>-1.3689253935659405E-3</v>
      </c>
      <c r="AA737">
        <f ca="1">'ETF variations'!AA737/'ETF price'!AB738</f>
        <v>2.8627391893927636E-3</v>
      </c>
      <c r="AB737">
        <f ca="1">'ETF variations'!AB737/'ETF price'!AC738</f>
        <v>4.2357044973215822E-3</v>
      </c>
      <c r="AC737">
        <f ca="1">'ETF variations'!AC737/'ETF price'!AD738</f>
        <v>4.5045045045044953E-2</v>
      </c>
      <c r="AD737">
        <f ca="1">'ETF variations'!AD737/'ETF price'!AE738</f>
        <v>2.4715574735190371E-2</v>
      </c>
      <c r="AE737">
        <f ca="1">'ETF variations'!AE737/'ETF price'!AF738</f>
        <v>-2.4906600249065473E-3</v>
      </c>
      <c r="AF737">
        <f ca="1">'ETF variations'!AF737/'ETF price'!AG738</f>
        <v>6.2209056284384209E-2</v>
      </c>
    </row>
    <row r="738" spans="1:32" x14ac:dyDescent="0.2">
      <c r="A738">
        <f ca="1">'ETF variations'!A738/'ETF price'!B739</f>
        <v>-6.5188506892542479E-3</v>
      </c>
      <c r="B738">
        <f ca="1">'ETF variations'!B738/'ETF price'!C739</f>
        <v>-7.4626865671640948E-3</v>
      </c>
      <c r="C738">
        <f ca="1">'ETF variations'!C738/'ETF price'!D739</f>
        <v>-5.5081411536831706E-3</v>
      </c>
      <c r="D738">
        <f ca="1">'ETF variations'!D738/'ETF price'!E739</f>
        <v>-4.8219078378747317E-3</v>
      </c>
      <c r="E738">
        <f ca="1">'ETF variations'!E738/'ETF price'!F739</f>
        <v>-9.8103335513407448E-3</v>
      </c>
      <c r="F738">
        <f ca="1">'ETF variations'!F738/'ETF price'!G739</f>
        <v>-1.0825043885312973E-2</v>
      </c>
      <c r="G738">
        <f ca="1">'ETF variations'!G738/'ETF price'!H739</f>
        <v>2.7649769585254506E-3</v>
      </c>
      <c r="H738">
        <f ca="1">'ETF variations'!H738/'ETF price'!I739</f>
        <v>2.9110063764900712E-3</v>
      </c>
      <c r="I738">
        <f ca="1">'ETF variations'!I738/'ETF price'!J739</f>
        <v>1.7980895298745766E-3</v>
      </c>
      <c r="J738">
        <f ca="1">'ETF variations'!J738/'ETF price'!K739</f>
        <v>3.113941967445136E-3</v>
      </c>
      <c r="K738">
        <f ca="1">'ETF variations'!K738/'ETF price'!L739</f>
        <v>-9.078071414161849E-3</v>
      </c>
      <c r="L738">
        <f ca="1">'ETF variations'!L738/'ETF price'!M739</f>
        <v>-8.5336367515292662E-4</v>
      </c>
      <c r="M738">
        <f ca="1">'ETF variations'!M738/'ETF price'!N739</f>
        <v>1.1616088282270698E-3</v>
      </c>
      <c r="N738">
        <f ca="1">'ETF variations'!N738/'ETF price'!O739</f>
        <v>6.5298507462685168E-3</v>
      </c>
      <c r="O738">
        <f ca="1">'ETF variations'!O738/'ETF price'!P739</f>
        <v>-6.8229338615605206E-3</v>
      </c>
      <c r="P738">
        <f ca="1">'ETF variations'!P738/'ETF price'!Q739</f>
        <v>-2.4222534771058154E-3</v>
      </c>
      <c r="Q738">
        <f ca="1">'ETF variations'!Q738/'ETF price'!R739</f>
        <v>-2.1760417800017432E-4</v>
      </c>
      <c r="R738">
        <f ca="1">'ETF variations'!R738/'ETF price'!S739</f>
        <v>7.9462102689485947E-3</v>
      </c>
      <c r="S738">
        <f ca="1">'ETF variations'!S738/'ETF price'!T739</f>
        <v>9.5846645367412536E-3</v>
      </c>
      <c r="T738">
        <f ca="1">'ETF variations'!T738/'ETF price'!U739</f>
        <v>1.324031890660602E-2</v>
      </c>
      <c r="U738">
        <f ca="1">'ETF variations'!U738/'ETF price'!V739</f>
        <v>4.1619479048697589E-2</v>
      </c>
      <c r="V738">
        <f ca="1">'ETF variations'!V738/'ETF price'!W739</f>
        <v>-1.3690476190476145E-2</v>
      </c>
      <c r="W738">
        <f ca="1">'ETF variations'!W738/'ETF price'!X739</f>
        <v>-1.4484590005632873E-2</v>
      </c>
      <c r="X738">
        <f ca="1">'ETF variations'!X738/'ETF price'!Y739</f>
        <v>-1.5136558078315264E-2</v>
      </c>
      <c r="Y738">
        <f ca="1">'ETF variations'!Y738/'ETF price'!Z739</f>
        <v>-3.0424200278164858E-3</v>
      </c>
      <c r="Z738">
        <f ca="1">'ETF variations'!Z738/'ETF price'!AA739</f>
        <v>2.0562028786839455E-3</v>
      </c>
      <c r="AA738">
        <f ca="1">'ETF variations'!AA738/'ETF price'!AB739</f>
        <v>-1.6225961538461512E-2</v>
      </c>
      <c r="AB738">
        <f ca="1">'ETF variations'!AB738/'ETF price'!AC739</f>
        <v>-4.962163503287504E-3</v>
      </c>
      <c r="AC738">
        <f ca="1">'ETF variations'!AC738/'ETF price'!AD739</f>
        <v>-6.7398119122257016E-2</v>
      </c>
      <c r="AD738">
        <f ca="1">'ETF variations'!AD738/'ETF price'!AE739</f>
        <v>-5.3981623277182242E-2</v>
      </c>
      <c r="AE738">
        <f ca="1">'ETF variations'!AE738/'ETF price'!AF739</f>
        <v>-1.872659176029956E-2</v>
      </c>
      <c r="AF738">
        <f ca="1">'ETF variations'!AF738/'ETF price'!AG739</f>
        <v>-7.901726427622846E-2</v>
      </c>
    </row>
    <row r="739" spans="1:32" x14ac:dyDescent="0.2">
      <c r="A739">
        <f ca="1">'ETF variations'!A739/'ETF price'!B740</f>
        <v>-1.3875538095039167E-2</v>
      </c>
      <c r="B739">
        <f ca="1">'ETF variations'!B739/'ETF price'!C740</f>
        <v>-1.4349803823488133E-2</v>
      </c>
      <c r="C739">
        <f ca="1">'ETF variations'!C739/'ETF price'!D740</f>
        <v>-6.0864272672059199E-5</v>
      </c>
      <c r="D739">
        <f ca="1">'ETF variations'!D739/'ETF price'!E740</f>
        <v>-2.3769255382365118E-2</v>
      </c>
      <c r="E739">
        <f ca="1">'ETF variations'!E739/'ETF price'!F740</f>
        <v>-1.5852047556142706E-2</v>
      </c>
      <c r="F739">
        <f ca="1">'ETF variations'!F739/'ETF price'!G740</f>
        <v>-1.2422360248447254E-2</v>
      </c>
      <c r="G739">
        <f ca="1">'ETF variations'!G739/'ETF price'!H740</f>
        <v>-9.8039215686274595E-3</v>
      </c>
      <c r="H739">
        <f ca="1">'ETF variations'!H739/'ETF price'!I740</f>
        <v>-4.1465100207325111E-3</v>
      </c>
      <c r="I739">
        <f ca="1">'ETF variations'!I739/'ETF price'!J740</f>
        <v>-4.0010470029540187E-3</v>
      </c>
      <c r="J739">
        <f ca="1">'ETF variations'!J739/'ETF price'!K740</f>
        <v>-8.325102299985938E-3</v>
      </c>
      <c r="K739">
        <f ca="1">'ETF variations'!K739/'ETF price'!L740</f>
        <v>-8.3469055374592142E-3</v>
      </c>
      <c r="L739">
        <f ca="1">'ETF variations'!L739/'ETF price'!M740</f>
        <v>-1.7081850533808476E-3</v>
      </c>
      <c r="M739">
        <f ca="1">'ETF variations'!M739/'ETF price'!N740</f>
        <v>-4.2059463379261241E-3</v>
      </c>
      <c r="N739">
        <f ca="1">'ETF variations'!N739/'ETF price'!O740</f>
        <v>-1.158480074142659E-3</v>
      </c>
      <c r="O739">
        <f ca="1">'ETF variations'!O739/'ETF price'!P740</f>
        <v>1.6620498614959079E-3</v>
      </c>
      <c r="P739">
        <f ca="1">'ETF variations'!P739/'ETF price'!Q740</f>
        <v>-5.2479047544450666E-3</v>
      </c>
      <c r="Q739">
        <f ca="1">'ETF variations'!Q739/'ETF price'!R740</f>
        <v>-1.0229622374578275E-2</v>
      </c>
      <c r="R739">
        <f ca="1">'ETF variations'!R739/'ETF price'!S740</f>
        <v>-1.3644633110976221E-2</v>
      </c>
      <c r="S739">
        <f ca="1">'ETF variations'!S739/'ETF price'!T740</f>
        <v>2.2603978300181154E-3</v>
      </c>
      <c r="T739">
        <f ca="1">'ETF variations'!T739/'ETF price'!U740</f>
        <v>3.2316987494731483E-3</v>
      </c>
      <c r="U739">
        <f ca="1">'ETF variations'!U739/'ETF price'!V740</f>
        <v>-2.7181299266104922E-2</v>
      </c>
      <c r="V739">
        <f ca="1">'ETF variations'!V739/'ETF price'!W740</f>
        <v>-2.0116676725001026E-4</v>
      </c>
      <c r="W739">
        <f ca="1">'ETF variations'!W739/'ETF price'!X740</f>
        <v>-2.2046215399689397E-3</v>
      </c>
      <c r="X739">
        <f ca="1">'ETF variations'!X739/'ETF price'!Y740</f>
        <v>-3.6752422318743548E-3</v>
      </c>
      <c r="Y739">
        <f ca="1">'ETF variations'!Y739/'ETF price'!Z740</f>
        <v>2.005405876711169E-3</v>
      </c>
      <c r="Z739">
        <f ca="1">'ETF variations'!Z739/'ETF price'!AA740</f>
        <v>-1.6187870497036044E-2</v>
      </c>
      <c r="AA739">
        <f ca="1">'ETF variations'!AA739/'ETF price'!AB740</f>
        <v>-1.527183872939083E-4</v>
      </c>
      <c r="AB739">
        <f ca="1">'ETF variations'!AB739/'ETF price'!AC740</f>
        <v>-4.862236628849278E-3</v>
      </c>
      <c r="AC739">
        <f ca="1">'ETF variations'!AC739/'ETF price'!AD740</f>
        <v>-1.2184873949579796E-2</v>
      </c>
      <c r="AD739">
        <f ca="1">'ETF variations'!AD739/'ETF price'!AE740</f>
        <v>4.046944556859485E-3</v>
      </c>
      <c r="AE739">
        <f ca="1">'ETF variations'!AE739/'ETF price'!AF740</f>
        <v>8.9058524173027225E-3</v>
      </c>
      <c r="AF739">
        <f ca="1">'ETF variations'!AF739/'ETF price'!AG740</f>
        <v>-4.5565969718817545E-2</v>
      </c>
    </row>
    <row r="740" spans="1:32" x14ac:dyDescent="0.2">
      <c r="A740">
        <f ca="1">'ETF variations'!A740/'ETF price'!B741</f>
        <v>1.4494596312778199E-2</v>
      </c>
      <c r="B740">
        <f ca="1">'ETF variations'!B740/'ETF price'!C741</f>
        <v>1.5304099595591297E-2</v>
      </c>
      <c r="C740">
        <f ca="1">'ETF variations'!C740/'ETF price'!D741</f>
        <v>1.1808387607279798E-2</v>
      </c>
      <c r="D740">
        <f ca="1">'ETF variations'!D740/'ETF price'!E741</f>
        <v>2.5143980896193307E-2</v>
      </c>
      <c r="E740">
        <f ca="1">'ETF variations'!E740/'ETF price'!F741</f>
        <v>1.4899328859060396E-2</v>
      </c>
      <c r="F740">
        <f ca="1">'ETF variations'!F740/'ETF price'!G741</f>
        <v>1.0182689427972336E-2</v>
      </c>
      <c r="G740">
        <f ca="1">'ETF variations'!G740/'ETF price'!H741</f>
        <v>4.6410891089108475E-3</v>
      </c>
      <c r="H740">
        <f ca="1">'ETF variations'!H740/'ETF price'!I741</f>
        <v>-1.3601665510062512E-2</v>
      </c>
      <c r="I740">
        <f ca="1">'ETF variations'!I740/'ETF price'!J741</f>
        <v>-1.1488211443159641E-2</v>
      </c>
      <c r="J740">
        <f ca="1">'ETF variations'!J740/'ETF price'!K741</f>
        <v>-3.2726237905521339E-3</v>
      </c>
      <c r="K740">
        <f ca="1">'ETF variations'!K740/'ETF price'!L741</f>
        <v>-4.6191747074522975E-3</v>
      </c>
      <c r="L740">
        <f ca="1">'ETF variations'!L740/'ETF price'!M741</f>
        <v>-3.2796235562525277E-3</v>
      </c>
      <c r="M740">
        <f ca="1">'ETF variations'!M740/'ETF price'!N741</f>
        <v>-1.1942907078357023E-2</v>
      </c>
      <c r="N740">
        <f ca="1">'ETF variations'!N740/'ETF price'!O741</f>
        <v>-1.1598237067965669E-2</v>
      </c>
      <c r="O740">
        <f ca="1">'ETF variations'!O740/'ETF price'!P741</f>
        <v>-8.0752212389380972E-3</v>
      </c>
      <c r="P740">
        <f ca="1">'ETF variations'!P740/'ETF price'!Q741</f>
        <v>4.094488188976347E-3</v>
      </c>
      <c r="Q740">
        <f ca="1">'ETF variations'!Q740/'ETF price'!R741</f>
        <v>-3.5184167124794655E-3</v>
      </c>
      <c r="R740">
        <f ca="1">'ETF variations'!R740/'ETF price'!S741</f>
        <v>3.0740854595751645E-4</v>
      </c>
      <c r="S740">
        <f ca="1">'ETF variations'!S740/'ETF price'!T741</f>
        <v>1.2629679747406294E-2</v>
      </c>
      <c r="T740">
        <f ca="1">'ETF variations'!T740/'ETF price'!U741</f>
        <v>2.7030812324929866E-2</v>
      </c>
      <c r="U740">
        <f ca="1">'ETF variations'!U740/'ETF price'!V741</f>
        <v>-6.7057837384744898E-3</v>
      </c>
      <c r="V740">
        <f ca="1">'ETF variations'!V740/'ETF price'!W741</f>
        <v>2.0120724346075316E-3</v>
      </c>
      <c r="W740">
        <f ca="1">'ETF variations'!W740/'ETF price'!X741</f>
        <v>4.5008183306055414E-3</v>
      </c>
      <c r="X740">
        <f ca="1">'ETF variations'!X740/'ETF price'!Y741</f>
        <v>5.1978537894031233E-3</v>
      </c>
      <c r="Y740">
        <f ca="1">'ETF variations'!Y740/'ETF price'!Z741</f>
        <v>-4.3508527671423597E-3</v>
      </c>
      <c r="Z740">
        <f ca="1">'ETF variations'!Z740/'ETF price'!AA741</f>
        <v>-2.5492468134414702E-3</v>
      </c>
      <c r="AA740">
        <f ca="1">'ETF variations'!AA740/'ETF price'!AB741</f>
        <v>5.1932182679090182E-3</v>
      </c>
      <c r="AB740">
        <f ca="1">'ETF variations'!AB740/'ETF price'!AC741</f>
        <v>2.0045101478327588E-3</v>
      </c>
      <c r="AC740">
        <f ca="1">'ETF variations'!AC740/'ETF price'!AD741</f>
        <v>5.1042109740535906E-2</v>
      </c>
      <c r="AD740">
        <f ca="1">'ETF variations'!AD740/'ETF price'!AE741</f>
        <v>5.1592099959693723E-2</v>
      </c>
      <c r="AE740">
        <f ca="1">'ETF variations'!AE740/'ETF price'!AF741</f>
        <v>0.1046658259773014</v>
      </c>
      <c r="AF740">
        <f ca="1">'ETF variations'!AF740/'ETF price'!AG741</f>
        <v>3.1726846955733627E-2</v>
      </c>
    </row>
    <row r="741" spans="1:32" x14ac:dyDescent="0.2">
      <c r="A741">
        <f ca="1">'ETF variations'!A741/'ETF price'!B742</f>
        <v>-5.5980281572461186E-3</v>
      </c>
      <c r="B741">
        <f ca="1">'ETF variations'!B741/'ETF price'!C742</f>
        <v>-4.3423930021869511E-3</v>
      </c>
      <c r="C741">
        <f ca="1">'ETF variations'!C741/'ETF price'!D742</f>
        <v>-6.3767069722673545E-3</v>
      </c>
      <c r="D741">
        <f ca="1">'ETF variations'!D741/'ETF price'!E742</f>
        <v>-7.7646843884168664E-3</v>
      </c>
      <c r="E741">
        <f ca="1">'ETF variations'!E741/'ETF price'!F742</f>
        <v>3.5709562227218094E-3</v>
      </c>
      <c r="F741">
        <f ca="1">'ETF variations'!F741/'ETF price'!G742</f>
        <v>-1.0969463385709975E-2</v>
      </c>
      <c r="G741">
        <f ca="1">'ETF variations'!G741/'ETF price'!H742</f>
        <v>-4.92762550046186E-3</v>
      </c>
      <c r="H741">
        <f ca="1">'ETF variations'!H741/'ETF price'!I742</f>
        <v>-7.9499085408751627E-3</v>
      </c>
      <c r="I741">
        <f ca="1">'ETF variations'!I741/'ETF price'!J742</f>
        <v>-9.8366881883783959E-3</v>
      </c>
      <c r="J741">
        <f ca="1">'ETF variations'!J741/'ETF price'!K742</f>
        <v>-1.7344753747323388E-2</v>
      </c>
      <c r="K741">
        <f ca="1">'ETF variations'!K741/'ETF price'!L742</f>
        <v>-2.8565535732700795E-2</v>
      </c>
      <c r="L741">
        <f ca="1">'ETF variations'!L741/'ETF price'!M742</f>
        <v>-1.2589413447782683E-2</v>
      </c>
      <c r="M741">
        <f ca="1">'ETF variations'!M741/'ETF price'!N742</f>
        <v>-8.5495283018867663E-3</v>
      </c>
      <c r="N741">
        <f ca="1">'ETF variations'!N741/'ETF price'!O742</f>
        <v>-1.9948368927481846E-2</v>
      </c>
      <c r="O741">
        <f ca="1">'ETF variations'!O741/'ETF price'!P742</f>
        <v>-5.0184008029441601E-3</v>
      </c>
      <c r="P741">
        <f ca="1">'ETF variations'!P741/'ETF price'!Q742</f>
        <v>-7.2145545796737905E-3</v>
      </c>
      <c r="Q741">
        <f ca="1">'ETF variations'!Q741/'ETF price'!R742</f>
        <v>-6.951340615690119E-3</v>
      </c>
      <c r="R741">
        <f ca="1">'ETF variations'!R741/'ETF price'!S742</f>
        <v>-2.3202212661339858E-2</v>
      </c>
      <c r="S741">
        <f ca="1">'ETF variations'!S741/'ETF price'!T742</f>
        <v>-4.0089086859688133E-3</v>
      </c>
      <c r="T741">
        <f ca="1">'ETF variations'!T741/'ETF price'!U742</f>
        <v>-1.636438019910058E-3</v>
      </c>
      <c r="U741">
        <f ca="1">'ETF variations'!U741/'ETF price'!V742</f>
        <v>-1.8846694796061735E-2</v>
      </c>
      <c r="V741">
        <f ca="1">'ETF variations'!V741/'ETF price'!W742</f>
        <v>-4.4176706827309007E-3</v>
      </c>
      <c r="W741">
        <f ca="1">'ETF variations'!W741/'ETF price'!X742</f>
        <v>-4.3991853360489308E-3</v>
      </c>
      <c r="X741">
        <f ca="1">'ETF variations'!X741/'ETF price'!Y742</f>
        <v>-1.0842368640533872E-2</v>
      </c>
      <c r="Y741">
        <f ca="1">'ETF variations'!Y741/'ETF price'!Z742</f>
        <v>-2.9715084775389215E-3</v>
      </c>
      <c r="Z741">
        <f ca="1">'ETF variations'!Z741/'ETF price'!AA742</f>
        <v>-6.9702602230485914E-4</v>
      </c>
      <c r="AA741">
        <f ca="1">'ETF variations'!AA741/'ETF price'!AB742</f>
        <v>-1.2156207263333796E-2</v>
      </c>
      <c r="AB741">
        <f ca="1">'ETF variations'!AB741/'ETF price'!AC742</f>
        <v>-1.1627906976744271E-2</v>
      </c>
      <c r="AC741">
        <f ca="1">'ETF variations'!AC741/'ETF price'!AD742</f>
        <v>-2.023472278429814E-3</v>
      </c>
      <c r="AD741">
        <f ca="1">'ETF variations'!AD741/'ETF price'!AE742</f>
        <v>-1.5714833269451903E-2</v>
      </c>
      <c r="AE741">
        <f ca="1">'ETF variations'!AE741/'ETF price'!AF742</f>
        <v>-6.8493150684931461E-2</v>
      </c>
      <c r="AF741">
        <f ca="1">'ETF variations'!AF741/'ETF price'!AG742</f>
        <v>-7.3217162102813538E-4</v>
      </c>
    </row>
    <row r="742" spans="1:32" x14ac:dyDescent="0.2">
      <c r="A742">
        <f ca="1">'ETF variations'!A742/'ETF price'!B743</f>
        <v>4.2851741377137762E-3</v>
      </c>
      <c r="B742">
        <f ca="1">'ETF variations'!B742/'ETF price'!C743</f>
        <v>4.7221612123874226E-3</v>
      </c>
      <c r="C742">
        <f ca="1">'ETF variations'!C742/'ETF price'!D743</f>
        <v>-3.3783374704849455E-2</v>
      </c>
      <c r="D742">
        <f ca="1">'ETF variations'!D742/'ETF price'!E743</f>
        <v>2.7895415208985464E-2</v>
      </c>
      <c r="E742">
        <f ca="1">'ETF variations'!E742/'ETF price'!F743</f>
        <v>1.2519768054823443E-2</v>
      </c>
      <c r="F742">
        <f ca="1">'ETF variations'!F742/'ETF price'!G743</f>
        <v>-1.0191846522781664E-2</v>
      </c>
      <c r="G742">
        <f ca="1">'ETF variations'!G742/'ETF price'!H743</f>
        <v>-6.4995357474466366E-3</v>
      </c>
      <c r="H742">
        <f ca="1">'ETF variations'!H742/'ETF price'!I743</f>
        <v>-1.4183391248834702E-4</v>
      </c>
      <c r="I742">
        <f ca="1">'ETF variations'!I742/'ETF price'!J743</f>
        <v>-1.0739902573739892E-3</v>
      </c>
      <c r="J742">
        <f ca="1">'ETF variations'!J742/'ETF price'!K743</f>
        <v>-7.69957143894802E-3</v>
      </c>
      <c r="K742">
        <f ca="1">'ETF variations'!K742/'ETF price'!L743</f>
        <v>-8.4925690021231126E-3</v>
      </c>
      <c r="L742">
        <f ca="1">'ETF variations'!L742/'ETF price'!M743</f>
        <v>-1.043175891046072E-2</v>
      </c>
      <c r="M742">
        <f ca="1">'ETF variations'!M742/'ETF price'!N743</f>
        <v>-1.932798096937402E-3</v>
      </c>
      <c r="N742">
        <f ca="1">'ETF variations'!N742/'ETF price'!O743</f>
        <v>-1.6283524904214555E-2</v>
      </c>
      <c r="O742">
        <f ca="1">'ETF variations'!O742/'ETF price'!P743</f>
        <v>-2.1968168572068972E-2</v>
      </c>
      <c r="P742">
        <f ca="1">'ETF variations'!P742/'ETF price'!Q743</f>
        <v>-7.1879936808846492E-3</v>
      </c>
      <c r="Q742">
        <f ca="1">'ETF variations'!Q742/'ETF price'!R743</f>
        <v>-8.5555555555555107E-3</v>
      </c>
      <c r="R742">
        <f ca="1">'ETF variations'!R742/'ETF price'!S743</f>
        <v>-2.4225263489067155E-2</v>
      </c>
      <c r="S742">
        <f ca="1">'ETF variations'!S742/'ETF price'!T743</f>
        <v>-4.4722719141314897E-4</v>
      </c>
      <c r="T742">
        <f ca="1">'ETF variations'!T742/'ETF price'!U743</f>
        <v>1.3659336156262808E-2</v>
      </c>
      <c r="U742">
        <f ca="1">'ETF variations'!U742/'ETF price'!V743</f>
        <v>5.4472477064219527E-3</v>
      </c>
      <c r="V742">
        <f ca="1">'ETF variations'!V742/'ETF price'!W743</f>
        <v>-8.0677692617989411E-4</v>
      </c>
      <c r="W742">
        <f ca="1">'ETF variations'!W742/'ETF price'!X743</f>
        <v>-3.4367073070942435E-3</v>
      </c>
      <c r="X742">
        <f ca="1">'ETF variations'!X742/'ETF price'!Y743</f>
        <v>-3.7099494097807568E-3</v>
      </c>
      <c r="Y742">
        <f ca="1">'ETF variations'!Y742/'ETF price'!Z743</f>
        <v>1.2272089761570877E-3</v>
      </c>
      <c r="Z742">
        <f ca="1">'ETF variations'!Z742/'ETF price'!AA743</f>
        <v>-4.1850732387816725E-3</v>
      </c>
      <c r="AA742">
        <f ca="1">'ETF variations'!AA742/'ETF price'!AB743</f>
        <v>-3.691739732349009E-3</v>
      </c>
      <c r="AB742">
        <f ca="1">'ETF variations'!AB742/'ETF price'!AC743</f>
        <v>-3.4029095509171381E-2</v>
      </c>
      <c r="AC742">
        <f ca="1">'ETF variations'!AC742/'ETF price'!AD743</f>
        <v>1.4193025141930309E-2</v>
      </c>
      <c r="AD742">
        <f ca="1">'ETF variations'!AD742/'ETF price'!AE743</f>
        <v>1.596573208722742E-2</v>
      </c>
      <c r="AE742">
        <f ca="1">'ETF variations'!AE742/'ETF price'!AF743</f>
        <v>5.0245098039215702E-2</v>
      </c>
      <c r="AF742">
        <f ca="1">'ETF variations'!AF742/'ETF price'!AG743</f>
        <v>-8.7924970691658953E-4</v>
      </c>
    </row>
    <row r="743" spans="1:32" x14ac:dyDescent="0.2">
      <c r="A743">
        <f ca="1">'ETF variations'!A743/'ETF price'!B744</f>
        <v>9.9979083873666021E-3</v>
      </c>
      <c r="B743">
        <f ca="1">'ETF variations'!B743/'ETF price'!C744</f>
        <v>1.1773339787330509E-2</v>
      </c>
      <c r="C743">
        <f ca="1">'ETF variations'!C743/'ETF price'!D744</f>
        <v>-3.1330283852378828E-4</v>
      </c>
      <c r="D743">
        <f ca="1">'ETF variations'!D743/'ETF price'!E744</f>
        <v>1.8540080609046064E-2</v>
      </c>
      <c r="E743">
        <f ca="1">'ETF variations'!E743/'ETF price'!F744</f>
        <v>2.7463230508915783E-2</v>
      </c>
      <c r="F743">
        <f ca="1">'ETF variations'!F743/'ETF price'!G744</f>
        <v>6.9654754694123818E-3</v>
      </c>
      <c r="G743">
        <f ca="1">'ETF variations'!G743/'ETF price'!H744</f>
        <v>0</v>
      </c>
      <c r="H743">
        <f ca="1">'ETF variations'!H743/'ETF price'!I744</f>
        <v>-1.1915738704872733E-2</v>
      </c>
      <c r="I743">
        <f ca="1">'ETF variations'!I743/'ETF price'!J744</f>
        <v>-8.601159620627458E-3</v>
      </c>
      <c r="J743">
        <f ca="1">'ETF variations'!J743/'ETF price'!K744</f>
        <v>4.6848693360660738E-3</v>
      </c>
      <c r="K743">
        <f ca="1">'ETF variations'!K743/'ETF price'!L744</f>
        <v>1.4561027837259094E-2</v>
      </c>
      <c r="L743">
        <f ca="1">'ETF variations'!L743/'ETF price'!M744</f>
        <v>7.4670571010249653E-3</v>
      </c>
      <c r="M743">
        <f ca="1">'ETF variations'!M743/'ETF price'!N744</f>
        <v>-9.3847758081334054E-3</v>
      </c>
      <c r="N743">
        <f ca="1">'ETF variations'!N743/'ETF price'!O744</f>
        <v>6.0856864654333011E-3</v>
      </c>
      <c r="O743">
        <f ca="1">'ETF variations'!O743/'ETF price'!P744</f>
        <v>-7.4490029796012566E-3</v>
      </c>
      <c r="P743">
        <f ca="1">'ETF variations'!P743/'ETF price'!Q744</f>
        <v>-2.0606253480786089E-2</v>
      </c>
      <c r="Q743">
        <f ca="1">'ETF variations'!Q743/'ETF price'!R744</f>
        <v>-8.8535245993500641E-3</v>
      </c>
      <c r="R743">
        <f ca="1">'ETF variations'!R743/'ETF price'!S744</f>
        <v>-1.4186683862647147E-2</v>
      </c>
      <c r="S743">
        <f ca="1">'ETF variations'!S743/'ETF price'!T744</f>
        <v>-5.3691275167785674E-3</v>
      </c>
      <c r="T743">
        <f ca="1">'ETF variations'!T743/'ETF price'!U744</f>
        <v>-6.8723891658804869E-3</v>
      </c>
      <c r="U743">
        <f ca="1">'ETF variations'!U743/'ETF price'!V744</f>
        <v>-2.5948103792415276E-2</v>
      </c>
      <c r="V743">
        <f ca="1">'ETF variations'!V743/'ETF price'!W744</f>
        <v>-1.816713766653135E-3</v>
      </c>
      <c r="W743">
        <f ca="1">'ETF variations'!W743/'ETF price'!X744</f>
        <v>1.6421709499958011E-3</v>
      </c>
      <c r="X743">
        <f ca="1">'ETF variations'!X743/'ETF price'!Y744</f>
        <v>5.4163845633039996E-3</v>
      </c>
      <c r="Y743">
        <f ca="1">'ETF variations'!Y743/'ETF price'!Z744</f>
        <v>-1.5146209070215409E-2</v>
      </c>
      <c r="Z743">
        <f ca="1">'ETF variations'!Z743/'ETF price'!AA744</f>
        <v>-5.136586504786338E-3</v>
      </c>
      <c r="AA743">
        <f ca="1">'ETF variations'!AA743/'ETF price'!AB744</f>
        <v>4.940558900725759E-3</v>
      </c>
      <c r="AB743">
        <f ca="1">'ETF variations'!AB743/'ETF price'!AC744</f>
        <v>3.7977998952331881E-3</v>
      </c>
      <c r="AC743">
        <f ca="1">'ETF variations'!AC743/'ETF price'!AD744</f>
        <v>3.6385445821671338E-2</v>
      </c>
      <c r="AD743">
        <f ca="1">'ETF variations'!AD743/'ETF price'!AE744</f>
        <v>4.2161747796090512E-2</v>
      </c>
      <c r="AE743">
        <f ca="1">'ETF variations'!AE743/'ETF price'!AF744</f>
        <v>-6.3010501750291825E-2</v>
      </c>
      <c r="AF743">
        <f ca="1">'ETF variations'!AF743/'ETF price'!AG744</f>
        <v>6.4975066001759937E-2</v>
      </c>
    </row>
    <row r="744" spans="1:32" x14ac:dyDescent="0.2">
      <c r="A744">
        <f ca="1">'ETF variations'!A744/'ETF price'!B745</f>
        <v>-6.0470510271703444E-3</v>
      </c>
      <c r="B744">
        <f ca="1">'ETF variations'!B744/'ETF price'!C745</f>
        <v>-6.1576924857632432E-3</v>
      </c>
      <c r="C744">
        <f ca="1">'ETF variations'!C744/'ETF price'!D745</f>
        <v>1.554469098658655E-2</v>
      </c>
      <c r="D744">
        <f ca="1">'ETF variations'!D744/'ETF price'!E745</f>
        <v>-1.569644741470275E-2</v>
      </c>
      <c r="E744">
        <f ca="1">'ETF variations'!E744/'ETF price'!F745</f>
        <v>-1.1147707119331079E-2</v>
      </c>
      <c r="F744">
        <f ca="1">'ETF variations'!F744/'ETF price'!G745</f>
        <v>-3.9097744360903023E-3</v>
      </c>
      <c r="G744">
        <f ca="1">'ETF variations'!G744/'ETF price'!H745</f>
        <v>-1.5576323987540267E-3</v>
      </c>
      <c r="H744">
        <f ca="1">'ETF variations'!H744/'ETF price'!I745</f>
        <v>-7.178235589691646E-4</v>
      </c>
      <c r="I744">
        <f ca="1">'ETF variations'!I744/'ETF price'!J745</f>
        <v>-1.0457415081915713E-3</v>
      </c>
      <c r="J744">
        <f ca="1">'ETF variations'!J744/'ETF price'!K745</f>
        <v>2.9872495446265691E-3</v>
      </c>
      <c r="K744">
        <f ca="1">'ETF variations'!K744/'ETF price'!L745</f>
        <v>-1.7940059096665439E-3</v>
      </c>
      <c r="L744">
        <f ca="1">'ETF variations'!L744/'ETF price'!M745</f>
        <v>-1.453277139951332E-4</v>
      </c>
      <c r="M744">
        <f ca="1">'ETF variations'!M744/'ETF price'!N745</f>
        <v>-1.3533834586466678E-3</v>
      </c>
      <c r="N744">
        <f ca="1">'ETF variations'!N744/'ETF price'!O745</f>
        <v>-3.8712799419307184E-3</v>
      </c>
      <c r="O744">
        <f ca="1">'ETF variations'!O744/'ETF price'!P745</f>
        <v>-2.9557787784320545E-2</v>
      </c>
      <c r="P744">
        <f ca="1">'ETF variations'!P744/'ETF price'!Q745</f>
        <v>-8.1234768480909839E-3</v>
      </c>
      <c r="Q744">
        <f ca="1">'ETF variations'!Q744/'ETF price'!R745</f>
        <v>-5.5404794210763787E-3</v>
      </c>
      <c r="R744">
        <f ca="1">'ETF variations'!R744/'ETF price'!S745</f>
        <v>-1.8315617334423506E-2</v>
      </c>
      <c r="S744">
        <f ca="1">'ETF variations'!S744/'ETF price'!T745</f>
        <v>-6.7476383265857908E-3</v>
      </c>
      <c r="T744">
        <f ca="1">'ETF variations'!T744/'ETF price'!U745</f>
        <v>-5.4274084124831161E-3</v>
      </c>
      <c r="U744">
        <f ca="1">'ETF variations'!U744/'ETF price'!V745</f>
        <v>1.3758782201405329E-2</v>
      </c>
      <c r="V744">
        <f ca="1">'ETF variations'!V744/'ETF price'!W745</f>
        <v>-7.0778564206269243E-3</v>
      </c>
      <c r="W744">
        <f ca="1">'ETF variations'!W744/'ETF price'!X745</f>
        <v>-9.4270022132961016E-3</v>
      </c>
      <c r="X744">
        <f ca="1">'ETF variations'!X744/'ETF price'!Y745</f>
        <v>-2.0707070707070657E-2</v>
      </c>
      <c r="Y744">
        <f ca="1">'ETF variations'!Y744/'ETF price'!Z745</f>
        <v>-3.4491954840430224E-2</v>
      </c>
      <c r="Z744">
        <f ca="1">'ETF variations'!Z744/'ETF price'!AA745</f>
        <v>-4.4590471720252932E-3</v>
      </c>
      <c r="AA744">
        <f ca="1">'ETF variations'!AA744/'ETF price'!AB745</f>
        <v>-2.3505914887079444E-2</v>
      </c>
      <c r="AB744">
        <f ca="1">'ETF variations'!AB744/'ETF price'!AC745</f>
        <v>1.4742335290280436E-2</v>
      </c>
      <c r="AC744">
        <f ca="1">'ETF variations'!AC744/'ETF price'!AD745</f>
        <v>-9.6450617283950612E-3</v>
      </c>
      <c r="AD744">
        <f ca="1">'ETF variations'!AD744/'ETF price'!AE745</f>
        <v>8.4589922765722844E-3</v>
      </c>
      <c r="AE744">
        <f ca="1">'ETF variations'!AE744/'ETF price'!AF745</f>
        <v>-1.8679950186799438E-2</v>
      </c>
      <c r="AF744">
        <f ca="1">'ETF variations'!AF744/'ETF price'!AG745</f>
        <v>-1.4736262222834227E-2</v>
      </c>
    </row>
    <row r="745" spans="1:32" x14ac:dyDescent="0.2">
      <c r="A745">
        <f ca="1">'ETF variations'!A745/'ETF price'!B746</f>
        <v>-3.2252687723976922E-2</v>
      </c>
      <c r="B745">
        <f ca="1">'ETF variations'!B745/'ETF price'!C746</f>
        <v>-3.5280598776359556E-2</v>
      </c>
      <c r="C745">
        <f ca="1">'ETF variations'!C745/'ETF price'!D746</f>
        <v>1.0430811010986283E-2</v>
      </c>
      <c r="D745">
        <f ca="1">'ETF variations'!D745/'ETF price'!E746</f>
        <v>-3.6985750658864523E-2</v>
      </c>
      <c r="E745">
        <f ca="1">'ETF variations'!E745/'ETF price'!F746</f>
        <v>-4.6887009992313558E-2</v>
      </c>
      <c r="F745">
        <f ca="1">'ETF variations'!F745/'ETF price'!G746</f>
        <v>-3.2004830917874254E-2</v>
      </c>
      <c r="G745">
        <f ca="1">'ETF variations'!G745/'ETF price'!H746</f>
        <v>-3.2449297971918742E-2</v>
      </c>
      <c r="H745">
        <f ca="1">'ETF variations'!H745/'ETF price'!I746</f>
        <v>-1.3576610875655589E-2</v>
      </c>
      <c r="I745">
        <f ca="1">'ETF variations'!I745/'ETF price'!J746</f>
        <v>-2.0781637717121638E-2</v>
      </c>
      <c r="J745">
        <f ca="1">'ETF variations'!J745/'ETF price'!K746</f>
        <v>-3.8791224756646835E-2</v>
      </c>
      <c r="K745">
        <f ca="1">'ETF variations'!K745/'ETF price'!L746</f>
        <v>-4.926525002642982E-2</v>
      </c>
      <c r="L745">
        <f ca="1">'ETF variations'!L745/'ETF price'!M746</f>
        <v>-4.0697674418604612E-2</v>
      </c>
      <c r="M745">
        <f ca="1">'ETF variations'!M745/'ETF price'!N746</f>
        <v>-1.7467248908296894E-2</v>
      </c>
      <c r="N745">
        <f ca="1">'ETF variations'!N745/'ETF price'!O746</f>
        <v>-5.6594607724070885E-2</v>
      </c>
      <c r="O745">
        <f ca="1">'ETF variations'!O745/'ETF price'!P746</f>
        <v>-8.6853063652588217E-3</v>
      </c>
      <c r="P745">
        <f ca="1">'ETF variations'!P745/'ETF price'!Q746</f>
        <v>-3.5708435708435703E-2</v>
      </c>
      <c r="Q745">
        <f ca="1">'ETF variations'!Q745/'ETF price'!R746</f>
        <v>-2.8425241614553724E-2</v>
      </c>
      <c r="R745">
        <f ca="1">'ETF variations'!R745/'ETF price'!S746</f>
        <v>-3.7981009495252391E-2</v>
      </c>
      <c r="S745">
        <f ca="1">'ETF variations'!S745/'ETF price'!T746</f>
        <v>-9.0579710144927227E-3</v>
      </c>
      <c r="T745">
        <f ca="1">'ETF variations'!T745/'ETF price'!U746</f>
        <v>-4.9113233287858046E-3</v>
      </c>
      <c r="U745">
        <f ca="1">'ETF variations'!U745/'ETF price'!V746</f>
        <v>-3.1764366156511736E-2</v>
      </c>
      <c r="V745">
        <f ca="1">'ETF variations'!V745/'ETF price'!W746</f>
        <v>-2.9938900203665963E-2</v>
      </c>
      <c r="W745">
        <f ca="1">'ETF variations'!W745/'ETF price'!X746</f>
        <v>-3.9059913935782842E-2</v>
      </c>
      <c r="X745">
        <f ca="1">'ETF variations'!X745/'ETF price'!Y746</f>
        <v>-5.0197696407082715E-2</v>
      </c>
      <c r="Y745">
        <f ca="1">'ETF variations'!Y745/'ETF price'!Z746</f>
        <v>1.7493785102660688E-3</v>
      </c>
      <c r="Z745">
        <f ca="1">'ETF variations'!Z745/'ETF price'!AA746</f>
        <v>-3.9132484677039218E-2</v>
      </c>
      <c r="AA745">
        <f ca="1">'ETF variations'!AA745/'ETF price'!AB746</f>
        <v>-5.1919446192574013E-2</v>
      </c>
      <c r="AB745">
        <f ca="1">'ETF variations'!AB745/'ETF price'!AC746</f>
        <v>2.1856518385189212E-3</v>
      </c>
      <c r="AC745">
        <f ca="1">'ETF variations'!AC745/'ETF price'!AD746</f>
        <v>-6.3108687183482698E-2</v>
      </c>
      <c r="AD745">
        <f ca="1">'ETF variations'!AD745/'ETF price'!AE746</f>
        <v>-5.9080962800875304E-2</v>
      </c>
      <c r="AE745">
        <f ca="1">'ETF variations'!AE745/'ETF price'!AF746</f>
        <v>3.2994923857868105E-2</v>
      </c>
      <c r="AF745">
        <f ca="1">'ETF variations'!AF745/'ETF price'!AG746</f>
        <v>-0.11364271736091709</v>
      </c>
    </row>
    <row r="746" spans="1:32" x14ac:dyDescent="0.2">
      <c r="A746">
        <f ca="1">'ETF variations'!A746/'ETF price'!B747</f>
        <v>1.0764726145366861E-3</v>
      </c>
      <c r="B746">
        <f ca="1">'ETF variations'!B746/'ETF price'!C747</f>
        <v>8.5310498020148198E-4</v>
      </c>
      <c r="C746">
        <f ca="1">'ETF variations'!C746/'ETF price'!D747</f>
        <v>1.0078797874289938E-2</v>
      </c>
      <c r="D746">
        <f ca="1">'ETF variations'!D746/'ETF price'!E747</f>
        <v>-1.679113131406839E-2</v>
      </c>
      <c r="E746">
        <f ca="1">'ETF variations'!E746/'ETF price'!F747</f>
        <v>-3.0913978494624189E-3</v>
      </c>
      <c r="F746">
        <f ca="1">'ETF variations'!F746/'ETF price'!G747</f>
        <v>-8.1097941359950573E-3</v>
      </c>
      <c r="G746">
        <f ca="1">'ETF variations'!G746/'ETF price'!H747</f>
        <v>-2.5798129635602012E-3</v>
      </c>
      <c r="H746">
        <f ca="1">'ETF variations'!H746/'ETF price'!I747</f>
        <v>-7.5735508301776298E-3</v>
      </c>
      <c r="I746">
        <f ca="1">'ETF variations'!I746/'ETF price'!J747</f>
        <v>-6.929046563192905E-3</v>
      </c>
      <c r="J746">
        <f ca="1">'ETF variations'!J746/'ETF price'!K747</f>
        <v>-8.3887545344617995E-3</v>
      </c>
      <c r="K746">
        <f ca="1">'ETF variations'!K746/'ETF price'!L747</f>
        <v>-1.3343711775826146E-3</v>
      </c>
      <c r="L746">
        <f ca="1">'ETF variations'!L746/'ETF price'!M747</f>
        <v>3.787878787878788E-3</v>
      </c>
      <c r="M746">
        <f ca="1">'ETF variations'!M746/'ETF price'!N747</f>
        <v>-6.1302681992338034E-3</v>
      </c>
      <c r="N746">
        <f ca="1">'ETF variations'!N746/'ETF price'!O747</f>
        <v>-1.0298661174048982E-3</v>
      </c>
      <c r="O746">
        <f ca="1">'ETF variations'!O746/'ETF price'!P747</f>
        <v>9.8415746519444E-3</v>
      </c>
      <c r="P746">
        <f ca="1">'ETF variations'!P746/'ETF price'!Q747</f>
        <v>-9.087820621708792E-3</v>
      </c>
      <c r="Q746">
        <f ca="1">'ETF variations'!Q746/'ETF price'!R747</f>
        <v>-1.0766530134581646E-2</v>
      </c>
      <c r="R746">
        <f ca="1">'ETF variations'!R746/'ETF price'!S747</f>
        <v>-1.1601731601731632E-2</v>
      </c>
      <c r="S746">
        <f ca="1">'ETF variations'!S746/'ETF price'!T747</f>
        <v>0</v>
      </c>
      <c r="T746">
        <f ca="1">'ETF variations'!T746/'ETF price'!U747</f>
        <v>-4.524266520427726E-3</v>
      </c>
      <c r="U746">
        <f ca="1">'ETF variations'!U746/'ETF price'!V747</f>
        <v>-2.8929317029525763E-2</v>
      </c>
      <c r="V746">
        <f ca="1">'ETF variations'!V746/'ETF price'!W747</f>
        <v>3.5691790888094602E-3</v>
      </c>
      <c r="W746">
        <f ca="1">'ETF variations'!W746/'ETF price'!X747</f>
        <v>3.1002411298656513E-3</v>
      </c>
      <c r="X746">
        <f ca="1">'ETF variations'!X746/'ETF price'!Y747</f>
        <v>-5.4298642533936138E-3</v>
      </c>
      <c r="Y746">
        <f ca="1">'ETF variations'!Y746/'ETF price'!Z747</f>
        <v>1.516544117647064E-2</v>
      </c>
      <c r="Z746">
        <f ca="1">'ETF variations'!Z746/'ETF price'!AA747</f>
        <v>-1.7173699705593615E-2</v>
      </c>
      <c r="AA746">
        <f ca="1">'ETF variations'!AA746/'ETF price'!AB747</f>
        <v>-8.7952207102555777E-3</v>
      </c>
      <c r="AB746">
        <f ca="1">'ETF variations'!AB746/'ETF price'!AC747</f>
        <v>1.3341885824246209E-2</v>
      </c>
      <c r="AC746">
        <f ca="1">'ETF variations'!AC746/'ETF price'!AD747</f>
        <v>-6.2370062370062367E-2</v>
      </c>
      <c r="AD746">
        <f ca="1">'ETF variations'!AD746/'ETF price'!AE747</f>
        <v>-4.1860465116279139E-2</v>
      </c>
      <c r="AE746">
        <f ca="1">'ETF variations'!AE746/'ETF price'!AF747</f>
        <v>-9.8280098280098364E-3</v>
      </c>
      <c r="AF746">
        <f ca="1">'ETF variations'!AF746/'ETF price'!AG747</f>
        <v>-4.731114966093676E-2</v>
      </c>
    </row>
    <row r="747" spans="1:32" x14ac:dyDescent="0.2">
      <c r="A747">
        <f ca="1">'ETF variations'!A747/'ETF price'!B748</f>
        <v>1.4925373134328353E-2</v>
      </c>
      <c r="B747">
        <f ca="1">'ETF variations'!B747/'ETF price'!C748</f>
        <v>1.5793113430579538E-2</v>
      </c>
      <c r="C747">
        <f ca="1">'ETF variations'!C747/'ETF price'!D748</f>
        <v>3.6284470246718584E-4</v>
      </c>
      <c r="D747">
        <f ca="1">'ETF variations'!D747/'ETF price'!E748</f>
        <v>1.344529886304663E-2</v>
      </c>
      <c r="E747">
        <f ca="1">'ETF variations'!E747/'ETF price'!F748</f>
        <v>1.0651206687339787E-2</v>
      </c>
      <c r="F747">
        <f ca="1">'ETF variations'!F747/'ETF price'!G748</f>
        <v>1.5408805031446491E-2</v>
      </c>
      <c r="G747">
        <f ca="1">'ETF variations'!G747/'ETF price'!H748</f>
        <v>1.3902360168121556E-2</v>
      </c>
      <c r="H747">
        <f ca="1">'ETF variations'!H747/'ETF price'!I748</f>
        <v>1.262107425887877E-2</v>
      </c>
      <c r="I747">
        <f ca="1">'ETF variations'!I747/'ETF price'!J748</f>
        <v>1.2280212112754612E-2</v>
      </c>
      <c r="J747">
        <f ca="1">'ETF variations'!J747/'ETF price'!K748</f>
        <v>1.1584482890023487E-2</v>
      </c>
      <c r="K747">
        <f ca="1">'ETF variations'!K747/'ETF price'!L748</f>
        <v>1.6367887763055325E-2</v>
      </c>
      <c r="L747">
        <f ca="1">'ETF variations'!L747/'ETF price'!M748</f>
        <v>1.4641509433962247E-2</v>
      </c>
      <c r="M747">
        <f ca="1">'ETF variations'!M747/'ETF price'!N748</f>
        <v>8.6353122590594033E-3</v>
      </c>
      <c r="N747">
        <f ca="1">'ETF variations'!N747/'ETF price'!O748</f>
        <v>1.9587628865979513E-2</v>
      </c>
      <c r="O747">
        <f ca="1">'ETF variations'!O747/'ETF price'!P748</f>
        <v>-2.4958402662228875E-3</v>
      </c>
      <c r="P747">
        <f ca="1">'ETF variations'!P747/'ETF price'!Q748</f>
        <v>9.1711665380988534E-3</v>
      </c>
      <c r="Q747">
        <f ca="1">'ETF variations'!Q747/'ETF price'!R748</f>
        <v>1.2421625458417096E-2</v>
      </c>
      <c r="R747">
        <f ca="1">'ETF variations'!R747/'ETF price'!S748</f>
        <v>-4.5550105115626845E-3</v>
      </c>
      <c r="S747">
        <f ca="1">'ETF variations'!S747/'ETF price'!T748</f>
        <v>6.3985374771481068E-3</v>
      </c>
      <c r="T747">
        <f ca="1">'ETF variations'!T747/'ETF price'!U748</f>
        <v>6.7483817655969551E-3</v>
      </c>
      <c r="U747">
        <f ca="1">'ETF variations'!U747/'ETF price'!V748</f>
        <v>3.009828009828E-2</v>
      </c>
      <c r="V747">
        <f ca="1">'ETF variations'!V747/'ETF price'!W748</f>
        <v>1.4853556485355668E-2</v>
      </c>
      <c r="W747">
        <f ca="1">'ETF variations'!W747/'ETF price'!X748</f>
        <v>1.3907967032966949E-2</v>
      </c>
      <c r="X747">
        <f ca="1">'ETF variations'!X747/'ETF price'!Y748</f>
        <v>1.6196542311192001E-2</v>
      </c>
      <c r="Y747">
        <f ca="1">'ETF variations'!Y747/'ETF price'!Z748</f>
        <v>3.1688546853779476E-3</v>
      </c>
      <c r="Z747">
        <f ca="1">'ETF variations'!Z747/'ETF price'!AA748</f>
        <v>1.8222666000998422E-2</v>
      </c>
      <c r="AA747">
        <f ca="1">'ETF variations'!AA747/'ETF price'!AB748</f>
        <v>1.808136614766458E-2</v>
      </c>
      <c r="AB747">
        <f ca="1">'ETF variations'!AB747/'ETF price'!AC748</f>
        <v>2.2787694644892625E-3</v>
      </c>
      <c r="AC747">
        <f ca="1">'ETF variations'!AC747/'ETF price'!AD748</f>
        <v>9.7560975609755594E-3</v>
      </c>
      <c r="AD747">
        <f ca="1">'ETF variations'!AD747/'ETF price'!AE748</f>
        <v>0</v>
      </c>
      <c r="AE747">
        <f ca="1">'ETF variations'!AE747/'ETF price'!AF748</f>
        <v>3.7220843672456441E-2</v>
      </c>
      <c r="AF747">
        <f ca="1">'ETF variations'!AF747/'ETF price'!AG748</f>
        <v>1.1421950008276857E-2</v>
      </c>
    </row>
    <row r="748" spans="1:32" x14ac:dyDescent="0.2">
      <c r="A748">
        <f ca="1">'ETF variations'!A748/'ETF price'!B749</f>
        <v>8.9421935921341969E-3</v>
      </c>
      <c r="B748">
        <f ca="1">'ETF variations'!B748/'ETF price'!C749</f>
        <v>9.2462120612403723E-3</v>
      </c>
      <c r="C748">
        <f ca="1">'ETF variations'!C748/'ETF price'!D749</f>
        <v>-1.4871236851650222E-2</v>
      </c>
      <c r="D748">
        <f ca="1">'ETF variations'!D748/'ETF price'!E749</f>
        <v>3.0257890326785216E-2</v>
      </c>
      <c r="E748">
        <f ca="1">'ETF variations'!E748/'ETF price'!F749</f>
        <v>8.271077908217777E-3</v>
      </c>
      <c r="F748">
        <f ca="1">'ETF variations'!F748/'ETF price'!G749</f>
        <v>2.7872406317746489E-3</v>
      </c>
      <c r="G748">
        <f ca="1">'ETF variations'!G748/'ETF price'!H749</f>
        <v>9.5663265306126079E-4</v>
      </c>
      <c r="H748">
        <f ca="1">'ETF variations'!H748/'ETF price'!I749</f>
        <v>5.434782608695652E-3</v>
      </c>
      <c r="I748">
        <f ca="1">'ETF variations'!I748/'ETF price'!J749</f>
        <v>9.0590413171058783E-3</v>
      </c>
      <c r="J748">
        <f ca="1">'ETF variations'!J748/'ETF price'!K749</f>
        <v>6.6300007534093571E-3</v>
      </c>
      <c r="K748">
        <f ca="1">'ETF variations'!K748/'ETF price'!L749</f>
        <v>6.6827344434706335E-3</v>
      </c>
      <c r="L748">
        <f ca="1">'ETF variations'!L748/'ETF price'!M749</f>
        <v>4.6117227015769454E-3</v>
      </c>
      <c r="M748">
        <f ca="1">'ETF variations'!M748/'ETF price'!N749</f>
        <v>9.9373184528360452E-3</v>
      </c>
      <c r="N748">
        <f ca="1">'ETF variations'!N748/'ETF price'!O749</f>
        <v>3.0333670374114619E-3</v>
      </c>
      <c r="O748">
        <f ca="1">'ETF variations'!O748/'ETF price'!P749</f>
        <v>8.4594304777790268E-3</v>
      </c>
      <c r="P748">
        <f ca="1">'ETF variations'!P748/'ETF price'!Q749</f>
        <v>6.1151690164769736E-3</v>
      </c>
      <c r="Q748">
        <f ca="1">'ETF variations'!Q748/'ETF price'!R749</f>
        <v>-5.959336293526585E-3</v>
      </c>
      <c r="R748">
        <f ca="1">'ETF variations'!R748/'ETF price'!S749</f>
        <v>4.9278423090461307E-3</v>
      </c>
      <c r="S748">
        <f ca="1">'ETF variations'!S748/'ETF price'!T749</f>
        <v>-4.9954586739327789E-2</v>
      </c>
      <c r="T748">
        <f ca="1">'ETF variations'!T748/'ETF price'!U749</f>
        <v>-5.4719562243491166E-4</v>
      </c>
      <c r="U748">
        <f ca="1">'ETF variations'!U748/'ETF price'!V749</f>
        <v>1.5503875968992342E-2</v>
      </c>
      <c r="V748">
        <f ca="1">'ETF variations'!V748/'ETF price'!W749</f>
        <v>-1.8552875695732078E-3</v>
      </c>
      <c r="W748">
        <f ca="1">'ETF variations'!W748/'ETF price'!X749</f>
        <v>2.2015241320914912E-3</v>
      </c>
      <c r="X748">
        <f ca="1">'ETF variations'!X748/'ETF price'!Y749</f>
        <v>-4.118911174785171E-3</v>
      </c>
      <c r="Y748">
        <f ca="1">'ETF variations'!Y748/'ETF price'!Z749</f>
        <v>1.146209386281585E-2</v>
      </c>
      <c r="Z748">
        <f ca="1">'ETF variations'!Z748/'ETF price'!AA749</f>
        <v>-6.1289531747977443E-3</v>
      </c>
      <c r="AA748">
        <f ca="1">'ETF variations'!AA748/'ETF price'!AB749</f>
        <v>-3.4533793783917258E-3</v>
      </c>
      <c r="AB748">
        <f ca="1">'ETF variations'!AB748/'ETF price'!AC749</f>
        <v>-8.0838701528356764E-3</v>
      </c>
      <c r="AC748">
        <f ca="1">'ETF variations'!AC748/'ETF price'!AD749</f>
        <v>-2.4154589371980707E-2</v>
      </c>
      <c r="AD748">
        <f ca="1">'ETF variations'!AD748/'ETF price'!AE749</f>
        <v>-8.0097087378640797E-2</v>
      </c>
      <c r="AE748">
        <f ca="1">'ETF variations'!AE748/'ETF price'!AF749</f>
        <v>2.0334928229665063E-2</v>
      </c>
      <c r="AF748">
        <f ca="1">'ETF variations'!AF748/'ETF price'!AG749</f>
        <v>-5.0900163666121101E-2</v>
      </c>
    </row>
    <row r="749" spans="1:32" x14ac:dyDescent="0.2">
      <c r="A749">
        <f ca="1">'ETF variations'!A749/'ETF price'!B750</f>
        <v>1.0333095308102693E-2</v>
      </c>
      <c r="B749">
        <f ca="1">'ETF variations'!B749/'ETF price'!C750</f>
        <v>1.0981253431641696E-2</v>
      </c>
      <c r="C749">
        <f ca="1">'ETF variations'!C749/'ETF price'!D750</f>
        <v>-1.2027491408934755E-2</v>
      </c>
      <c r="D749">
        <f ca="1">'ETF variations'!D749/'ETF price'!E750</f>
        <v>1.0301825411169353E-2</v>
      </c>
      <c r="E749">
        <f ca="1">'ETF variations'!E749/'ETF price'!F750</f>
        <v>7.6739878274675617E-3</v>
      </c>
      <c r="F749">
        <f ca="1">'ETF variations'!F749/'ETF price'!G750</f>
        <v>8.029647930821433E-3</v>
      </c>
      <c r="G749">
        <f ca="1">'ETF variations'!G749/'ETF price'!H750</f>
        <v>7.9643198470850593E-3</v>
      </c>
      <c r="H749">
        <f ca="1">'ETF variations'!H749/'ETF price'!I750</f>
        <v>4.108108108108059E-3</v>
      </c>
      <c r="I749">
        <f ca="1">'ETF variations'!I749/'ETF price'!J750</f>
        <v>3.2788165033763028E-3</v>
      </c>
      <c r="J749">
        <f ca="1">'ETF variations'!J749/'ETF price'!K750</f>
        <v>2.5447197066085993E-3</v>
      </c>
      <c r="K749">
        <f ca="1">'ETF variations'!K749/'ETF price'!L750</f>
        <v>9.7943192948093819E-4</v>
      </c>
      <c r="L749">
        <f ca="1">'ETF variations'!L749/'ETF price'!M750</f>
        <v>-1.0365763364431717E-3</v>
      </c>
      <c r="M749">
        <f ca="1">'ETF variations'!M749/'ETF price'!N750</f>
        <v>2.2706630336056838E-3</v>
      </c>
      <c r="N749">
        <f ca="1">'ETF variations'!N749/'ETF price'!O750</f>
        <v>5.0403225806452331E-3</v>
      </c>
      <c r="O749">
        <f ca="1">'ETF variations'!O749/'ETF price'!P750</f>
        <v>-8.2703213610594737E-4</v>
      </c>
      <c r="P749">
        <f ca="1">'ETF variations'!P749/'ETF price'!Q750</f>
        <v>7.6819179469864163E-3</v>
      </c>
      <c r="Q749">
        <f ca="1">'ETF variations'!Q749/'ETF price'!R750</f>
        <v>5.4073116257200892E-3</v>
      </c>
      <c r="R749">
        <f ca="1">'ETF variations'!R749/'ETF price'!S750</f>
        <v>2.9772329246935498E-3</v>
      </c>
      <c r="S749">
        <f ca="1">'ETF variations'!S749/'ETF price'!T750</f>
        <v>5.7361376673038924E-3</v>
      </c>
      <c r="T749">
        <f ca="1">'ETF variations'!T749/'ETF price'!U750</f>
        <v>8.0755543388995807E-3</v>
      </c>
      <c r="U749">
        <f ca="1">'ETF variations'!U749/'ETF price'!V750</f>
        <v>1.0863182618907733E-2</v>
      </c>
      <c r="V749">
        <f ca="1">'ETF variations'!V749/'ETF price'!W750</f>
        <v>1.1771995043370514E-2</v>
      </c>
      <c r="W749">
        <f ca="1">'ETF variations'!W749/'ETF price'!X750</f>
        <v>1.2673200405542413E-2</v>
      </c>
      <c r="X749">
        <f ca="1">'ETF variations'!X749/'ETF price'!Y750</f>
        <v>8.4517173170292909E-3</v>
      </c>
      <c r="Y749">
        <f ca="1">'ETF variations'!Y749/'ETF price'!Z750</f>
        <v>2.8553582582315287E-3</v>
      </c>
      <c r="Z749">
        <f ca="1">'ETF variations'!Z749/'ETF price'!AA750</f>
        <v>6.6600888011840928E-3</v>
      </c>
      <c r="AA749">
        <f ca="1">'ETF variations'!AA749/'ETF price'!AB750</f>
        <v>7.2607260726072227E-3</v>
      </c>
      <c r="AB749">
        <f ca="1">'ETF variations'!AB749/'ETF price'!AC750</f>
        <v>-1.0059849738953346E-2</v>
      </c>
      <c r="AC749">
        <f ca="1">'ETF variations'!AC749/'ETF price'!AD750</f>
        <v>-0.30378037803780372</v>
      </c>
      <c r="AD749">
        <f ca="1">'ETF variations'!AD749/'ETF price'!AE750</f>
        <v>6.6402814423922679E-2</v>
      </c>
      <c r="AE749">
        <f ca="1">'ETF variations'!AE749/'ETF price'!AF750</f>
        <v>-3.6342321219226113E-2</v>
      </c>
      <c r="AF749">
        <f ca="1">'ETF variations'!AF749/'ETF price'!AG750</f>
        <v>5.6216589067080498E-2</v>
      </c>
    </row>
    <row r="750" spans="1:32" x14ac:dyDescent="0.2">
      <c r="A750">
        <f ca="1">'ETF variations'!A750/'ETF price'!B751</f>
        <v>6.6519768843801847E-4</v>
      </c>
      <c r="B750">
        <f ca="1">'ETF variations'!B750/'ETF price'!C751</f>
        <v>1.7379160524478307E-3</v>
      </c>
      <c r="C750">
        <f ca="1">'ETF variations'!C750/'ETF price'!D751</f>
        <v>-9.192546583850868E-3</v>
      </c>
      <c r="D750">
        <f ca="1">'ETF variations'!D750/'ETF price'!E751</f>
        <v>-3.1305903398923604E-4</v>
      </c>
      <c r="E750">
        <f ca="1">'ETF variations'!E750/'ETF price'!F751</f>
        <v>6.3025210084034135E-3</v>
      </c>
      <c r="F750">
        <f ca="1">'ETF variations'!F750/'ETF price'!G751</f>
        <v>8.5784313725490551E-3</v>
      </c>
      <c r="G750">
        <f ca="1">'ETF variations'!G750/'ETF price'!H751</f>
        <v>1.896333754740794E-3</v>
      </c>
      <c r="H750">
        <f ca="1">'ETF variations'!H750/'ETF price'!I751</f>
        <v>2.0097616996841887E-3</v>
      </c>
      <c r="I750">
        <f ca="1">'ETF variations'!I750/'ETF price'!J751</f>
        <v>3.2681009998834065E-3</v>
      </c>
      <c r="J750">
        <f ca="1">'ETF variations'!J750/'ETF price'!K751</f>
        <v>5.3751399776035755E-3</v>
      </c>
      <c r="K750">
        <f ca="1">'ETF variations'!K750/'ETF price'!L751</f>
        <v>7.2841922156990828E-3</v>
      </c>
      <c r="L750">
        <f ca="1">'ETF variations'!L750/'ETF price'!M751</f>
        <v>5.7812036762526029E-3</v>
      </c>
      <c r="M750">
        <f ca="1">'ETF variations'!M750/'ETF price'!N751</f>
        <v>2.8696571514878711E-3</v>
      </c>
      <c r="N750">
        <f ca="1">'ETF variations'!N750/'ETF price'!O751</f>
        <v>7.5225677031078313E-4</v>
      </c>
      <c r="O750">
        <f ca="1">'ETF variations'!O750/'ETF price'!P751</f>
        <v>-1.1824524062895715E-4</v>
      </c>
      <c r="P750">
        <f ca="1">'ETF variations'!P750/'ETF price'!Q751</f>
        <v>-1.0052777079668639E-3</v>
      </c>
      <c r="Q750">
        <f ca="1">'ETF variations'!Q750/'ETF price'!R751</f>
        <v>-1.5199345258972929E-3</v>
      </c>
      <c r="R750">
        <f ca="1">'ETF variations'!R750/'ETF price'!S751</f>
        <v>2.0953378732320137E-3</v>
      </c>
      <c r="S750">
        <f ca="1">'ETF variations'!S750/'ETF price'!T751</f>
        <v>-2.851711026615909E-3</v>
      </c>
      <c r="T750">
        <f ca="1">'ETF variations'!T750/'ETF price'!U751</f>
        <v>-7.0604209097082172E-3</v>
      </c>
      <c r="U750">
        <f ca="1">'ETF variations'!U750/'ETF price'!V751</f>
        <v>-1.1617775196049709E-3</v>
      </c>
      <c r="V750">
        <f ca="1">'ETF variations'!V750/'ETF price'!W751</f>
        <v>2.4494794856092556E-3</v>
      </c>
      <c r="W750">
        <f ca="1">'ETF variations'!W750/'ETF price'!X751</f>
        <v>2.0857667278491574E-3</v>
      </c>
      <c r="X750">
        <f ca="1">'ETF variations'!X750/'ETF price'!Y751</f>
        <v>5.527817403709028E-3</v>
      </c>
      <c r="Y750">
        <f ca="1">'ETF variations'!Y750/'ETF price'!Z751</f>
        <v>-7.4739745528961954E-3</v>
      </c>
      <c r="Z750">
        <f ca="1">'ETF variations'!Z750/'ETF price'!AA751</f>
        <v>1.4702278853221064E-3</v>
      </c>
      <c r="AA750">
        <f ca="1">'ETF variations'!AA750/'ETF price'!AB751</f>
        <v>4.7509829619921222E-3</v>
      </c>
      <c r="AB750">
        <f ca="1">'ETF variations'!AB750/'ETF price'!AC751</f>
        <v>9.0043735528694876E-4</v>
      </c>
      <c r="AC750">
        <f ca="1">'ETF variations'!AC750/'ETF price'!AD751</f>
        <v>-4.2663219133807377E-2</v>
      </c>
      <c r="AD750">
        <f ca="1">'ETF variations'!AD750/'ETF price'!AE751</f>
        <v>-3.7938144329896978E-2</v>
      </c>
      <c r="AE750">
        <f ca="1">'ETF variations'!AE750/'ETF price'!AF751</f>
        <v>-5.7177615571776232E-2</v>
      </c>
      <c r="AF750">
        <f ca="1">'ETF variations'!AF750/'ETF price'!AG751</f>
        <v>-7.0204081632653011E-3</v>
      </c>
    </row>
    <row r="751" spans="1:32" x14ac:dyDescent="0.2">
      <c r="A751">
        <f ca="1">'ETF variations'!A751/'ETF price'!B752</f>
        <v>-1.3295109892392657E-2</v>
      </c>
      <c r="B751">
        <f ca="1">'ETF variations'!B751/'ETF price'!C752</f>
        <v>-1.5598618275322659E-2</v>
      </c>
      <c r="C751">
        <f ca="1">'ETF variations'!C751/'ETF price'!D752</f>
        <v>-1</v>
      </c>
      <c r="D751">
        <f ca="1">'ETF variations'!D751/'ETF price'!E752</f>
        <v>-8.4552409072608369E-3</v>
      </c>
      <c r="E751">
        <f ca="1">'ETF variations'!E751/'ETF price'!F752</f>
        <v>-1.0307933194154569E-2</v>
      </c>
      <c r="F751">
        <f ca="1">'ETF variations'!F751/'ETF price'!G752</f>
        <v>-1.2150668286755728E-2</v>
      </c>
      <c r="G751">
        <f ca="1">'ETF variations'!G751/'ETF price'!H752</f>
        <v>-1.1987381703470001E-2</v>
      </c>
      <c r="H751">
        <f ca="1">'ETF variations'!H751/'ETF price'!I752</f>
        <v>-4.6561604584527631E-3</v>
      </c>
      <c r="I751">
        <f ca="1">'ETF variations'!I751/'ETF price'!J752</f>
        <v>-5.778105246829833E-3</v>
      </c>
      <c r="J751">
        <f ca="1">'ETF variations'!J751/'ETF price'!K752</f>
        <v>-8.5393925892921756E-3</v>
      </c>
      <c r="K751">
        <f ca="1">'ETF variations'!K751/'ETF price'!L752</f>
        <v>-1.4031300593632071E-2</v>
      </c>
      <c r="L751">
        <f ca="1">'ETF variations'!L751/'ETF price'!M752</f>
        <v>-7.663964627855506E-3</v>
      </c>
      <c r="M751">
        <f ca="1">'ETF variations'!M751/'ETF price'!N752</f>
        <v>-4.6686746987952147E-3</v>
      </c>
      <c r="N751">
        <f ca="1">'ETF variations'!N751/'ETF price'!O752</f>
        <v>-1.4282134803307272E-2</v>
      </c>
      <c r="O751">
        <f ca="1">'ETF variations'!O751/'ETF price'!P752</f>
        <v>-1.1825922421954962E-4</v>
      </c>
      <c r="P751">
        <f ca="1">'ETF variations'!P751/'ETF price'!Q752</f>
        <v>1.677148846959834E-4</v>
      </c>
      <c r="Q751">
        <f ca="1">'ETF variations'!Q751/'ETF price'!R752</f>
        <v>-5.3864168618267911E-3</v>
      </c>
      <c r="R751">
        <f ca="1">'ETF variations'!R751/'ETF price'!S752</f>
        <v>-1.2197246907126726E-2</v>
      </c>
      <c r="S751">
        <f ca="1">'ETF variations'!S751/'ETF price'!T752</f>
        <v>4.7664442326023765E-3</v>
      </c>
      <c r="T751">
        <f ca="1">'ETF variations'!T751/'ETF price'!U752</f>
        <v>9.8454806508956501E-3</v>
      </c>
      <c r="U751">
        <f ca="1">'ETF variations'!U751/'ETF price'!V752</f>
        <v>-1.2794416981680655E-2</v>
      </c>
      <c r="V751">
        <f ca="1">'ETF variations'!V751/'ETF price'!W752</f>
        <v>-7.3304825901038366E-3</v>
      </c>
      <c r="W751">
        <f ca="1">'ETF variations'!W751/'ETF price'!X752</f>
        <v>-6.993589209890962E-3</v>
      </c>
      <c r="X751">
        <f ca="1">'ETF variations'!X751/'ETF price'!Y752</f>
        <v>-1.1881539280014217E-2</v>
      </c>
      <c r="Y751">
        <f ca="1">'ETF variations'!Y751/'ETF price'!Z752</f>
        <v>-8.7852980726132145E-3</v>
      </c>
      <c r="Z751">
        <f ca="1">'ETF variations'!Z751/'ETF price'!AA752</f>
        <v>-8.0743821874234966E-3</v>
      </c>
      <c r="AA751">
        <f ca="1">'ETF variations'!AA751/'ETF price'!AB752</f>
        <v>-1.2391977824881755E-2</v>
      </c>
      <c r="AB751">
        <f ca="1">'ETF variations'!AB751/'ETF price'!AC752</f>
        <v>-1</v>
      </c>
      <c r="AC751">
        <f ca="1">'ETF variations'!AC751/'ETF price'!AD752</f>
        <v>-5.4017555705604368E-3</v>
      </c>
      <c r="AD751">
        <f ca="1">'ETF variations'!AD751/'ETF price'!AE752</f>
        <v>-1.1573081868838387E-2</v>
      </c>
      <c r="AE751">
        <f ca="1">'ETF variations'!AE751/'ETF price'!AF752</f>
        <v>-5.8064516129032281E-2</v>
      </c>
      <c r="AF751">
        <f ca="1">'ETF variations'!AF751/'ETF price'!AG752</f>
        <v>-4.7846103255508116E-2</v>
      </c>
    </row>
    <row r="752" spans="1:32" x14ac:dyDescent="0.2">
      <c r="A752">
        <f ca="1">'ETF variations'!A752/'ETF price'!B753</f>
        <v>-1.271632489789048E-2</v>
      </c>
      <c r="B752">
        <f ca="1">'ETF variations'!B752/'ETF price'!C753</f>
        <v>-1.2478363493312274E-2</v>
      </c>
      <c r="C752" t="e">
        <f>'ETF variations'!C752/'ETF price'!D753</f>
        <v>#DIV/0!</v>
      </c>
      <c r="D752">
        <f ca="1">'ETF variations'!D752/'ETF price'!E753</f>
        <v>-1.9671539433315222E-2</v>
      </c>
      <c r="E752">
        <f ca="1">'ETF variations'!E752/'ETF price'!F753</f>
        <v>-1.3447593935398763E-2</v>
      </c>
      <c r="F752">
        <f ca="1">'ETF variations'!F752/'ETF price'!G753</f>
        <v>-9.2250922509226393E-3</v>
      </c>
      <c r="G752">
        <f ca="1">'ETF variations'!G752/'ETF price'!H753</f>
        <v>-1.3090676883780336E-2</v>
      </c>
      <c r="H752">
        <f ca="1">'ETF variations'!H752/'ETF price'!I753</f>
        <v>-1.230658510255473E-2</v>
      </c>
      <c r="I752">
        <f ca="1">'ETF variations'!I752/'ETF price'!J753</f>
        <v>-1.2481472813791984E-2</v>
      </c>
      <c r="J752">
        <f ca="1">'ETF variations'!J752/'ETF price'!K753</f>
        <v>-1.3855602156980397E-2</v>
      </c>
      <c r="K752">
        <f ca="1">'ETF variations'!K752/'ETF price'!L753</f>
        <v>-1.5982484948002123E-2</v>
      </c>
      <c r="L752">
        <f ca="1">'ETF variations'!L752/'ETF price'!M753</f>
        <v>-1.2475865141838755E-2</v>
      </c>
      <c r="M752">
        <f ca="1">'ETF variations'!M752/'ETF price'!N753</f>
        <v>-1.2256014525646879E-2</v>
      </c>
      <c r="N752">
        <f ca="1">'ETF variations'!N752/'ETF price'!O753</f>
        <v>-1.6776817488561354E-2</v>
      </c>
      <c r="O752">
        <f ca="1">'ETF variations'!O752/'ETF price'!P753</f>
        <v>1.3128326434062679E-2</v>
      </c>
      <c r="P752">
        <f ca="1">'ETF variations'!P752/'ETF price'!Q753</f>
        <v>3.1860484614740477E-3</v>
      </c>
      <c r="Q752">
        <f ca="1">'ETF variations'!Q752/'ETF price'!R753</f>
        <v>-1.3421238521309166E-2</v>
      </c>
      <c r="R752">
        <f ca="1">'ETF variations'!R752/'ETF price'!S753</f>
        <v>-7.4087140589168213E-3</v>
      </c>
      <c r="S752">
        <f ca="1">'ETF variations'!S752/'ETF price'!T753</f>
        <v>9.0132827324478793E-3</v>
      </c>
      <c r="T752">
        <f ca="1">'ETF variations'!T752/'ETF price'!U753</f>
        <v>1.3134732566012173E-2</v>
      </c>
      <c r="U752">
        <f ca="1">'ETF variations'!U752/'ETF price'!V753</f>
        <v>-9.7201767304861669E-3</v>
      </c>
      <c r="V752">
        <f ca="1">'ETF variations'!V752/'ETF price'!W753</f>
        <v>-9.6410256410256173E-3</v>
      </c>
      <c r="W752">
        <f ca="1">'ETF variations'!W752/'ETF price'!X753</f>
        <v>-1.0228892428942725E-2</v>
      </c>
      <c r="X752">
        <f ca="1">'ETF variations'!X752/'ETF price'!Y753</f>
        <v>-4.1277817659726651E-3</v>
      </c>
      <c r="Y752">
        <f ca="1">'ETF variations'!Y752/'ETF price'!Z753</f>
        <v>9.0440444967035516E-5</v>
      </c>
      <c r="Z752">
        <f ca="1">'ETF variations'!Z752/'ETF price'!AA753</f>
        <v>-4.686729156388696E-3</v>
      </c>
      <c r="AA752">
        <f ca="1">'ETF variations'!AA752/'ETF price'!AB753</f>
        <v>-2.4764735017335079E-3</v>
      </c>
      <c r="AB752" t="e">
        <f>'ETF variations'!AB752/'ETF price'!AC753</f>
        <v>#DIV/0!</v>
      </c>
      <c r="AC752">
        <f ca="1">'ETF variations'!AC752/'ETF price'!AD753</f>
        <v>7.4677528852681212E-3</v>
      </c>
      <c r="AD752">
        <f ca="1">'ETF variations'!AD752/'ETF price'!AE753</f>
        <v>-3.035559410234184E-3</v>
      </c>
      <c r="AE752">
        <f ca="1">'ETF variations'!AE752/'ETF price'!AF753</f>
        <v>3.1506849315068551E-2</v>
      </c>
      <c r="AF752">
        <f ca="1">'ETF variations'!AF752/'ETF price'!AG753</f>
        <v>-9.7047142117078183E-2</v>
      </c>
    </row>
    <row r="753" spans="1:32" x14ac:dyDescent="0.2">
      <c r="A753">
        <f ca="1">'ETF variations'!A753/'ETF price'!B754</f>
        <v>-8.3166289930481033E-3</v>
      </c>
      <c r="B753">
        <f ca="1">'ETF variations'!B753/'ETF price'!C754</f>
        <v>-9.1941934764250919E-3</v>
      </c>
      <c r="C753" t="e">
        <f>'ETF variations'!C753/'ETF price'!D754</f>
        <v>#DIV/0!</v>
      </c>
      <c r="D753">
        <f ca="1">'ETF variations'!D753/'ETF price'!E754</f>
        <v>-8.2382179675993747E-3</v>
      </c>
      <c r="E753">
        <f ca="1">'ETF variations'!E753/'ETF price'!F754</f>
        <v>-4.5436322330616521E-3</v>
      </c>
      <c r="F753">
        <f ca="1">'ETF variations'!F753/'ETF price'!G754</f>
        <v>-8.3798882681564123E-3</v>
      </c>
      <c r="G753">
        <f ca="1">'ETF variations'!G753/'ETF price'!H754</f>
        <v>-9.7055968942093621E-4</v>
      </c>
      <c r="H753">
        <f ca="1">'ETF variations'!H753/'ETF price'!I754</f>
        <v>2.4045467793645005E-3</v>
      </c>
      <c r="I753">
        <f ca="1">'ETF variations'!I753/'ETF price'!J754</f>
        <v>2.0143771229954614E-3</v>
      </c>
      <c r="J753">
        <f ca="1">'ETF variations'!J753/'ETF price'!K754</f>
        <v>4.1011619958989942E-3</v>
      </c>
      <c r="K753">
        <f ca="1">'ETF variations'!K753/'ETF price'!L754</f>
        <v>1.8912003559906742E-3</v>
      </c>
      <c r="L753">
        <f ca="1">'ETF variations'!L753/'ETF price'!M754</f>
        <v>6.0159422469553703E-4</v>
      </c>
      <c r="M753">
        <f ca="1">'ETF variations'!M753/'ETF price'!N754</f>
        <v>1.072303921568523E-3</v>
      </c>
      <c r="N753">
        <f ca="1">'ETF variations'!N753/'ETF price'!O754</f>
        <v>4.136504653567831E-3</v>
      </c>
      <c r="O753">
        <f ca="1">'ETF variations'!O753/'ETF price'!P754</f>
        <v>-1</v>
      </c>
      <c r="P753">
        <f ca="1">'ETF variations'!P753/'ETF price'!Q754</f>
        <v>1.3873798579189273E-2</v>
      </c>
      <c r="Q753">
        <f ca="1">'ETF variations'!Q753/'ETF price'!R754</f>
        <v>4.0572792362768909E-3</v>
      </c>
      <c r="R753">
        <f ca="1">'ETF variations'!R753/'ETF price'!S754</f>
        <v>8.5303003376576651E-3</v>
      </c>
      <c r="S753">
        <f ca="1">'ETF variations'!S753/'ETF price'!T754</f>
        <v>5.171603196991041E-3</v>
      </c>
      <c r="T753">
        <f ca="1">'ETF variations'!T753/'ETF price'!U754</f>
        <v>9.7567495322106925E-3</v>
      </c>
      <c r="U753">
        <f ca="1">'ETF variations'!U753/'ETF price'!V754</f>
        <v>-1.4872099940511601E-2</v>
      </c>
      <c r="V753">
        <f ca="1">'ETF variations'!V753/'ETF price'!W754</f>
        <v>1.0356255178126999E-3</v>
      </c>
      <c r="W753">
        <f ca="1">'ETF variations'!W753/'ETF price'!X754</f>
        <v>1.6941973739937333E-4</v>
      </c>
      <c r="X753">
        <f ca="1">'ETF variations'!X753/'ETF price'!Y754</f>
        <v>-3.6042530185624664E-4</v>
      </c>
      <c r="Y753">
        <f ca="1">'ETF variations'!Y753/'ETF price'!Z754</f>
        <v>-1</v>
      </c>
      <c r="Z753">
        <f ca="1">'ETF variations'!Z753/'ETF price'!AA754</f>
        <v>7.9306071871127707E-3</v>
      </c>
      <c r="AA753">
        <f ca="1">'ETF variations'!AA753/'ETF price'!AB754</f>
        <v>-1.1585567692816996E-3</v>
      </c>
      <c r="AB753" t="e">
        <f>'ETF variations'!AB753/'ETF price'!AC754</f>
        <v>#DIV/0!</v>
      </c>
      <c r="AC753">
        <f ca="1">'ETF variations'!AC753/'ETF price'!AD754</f>
        <v>-1.2803234501347675E-2</v>
      </c>
      <c r="AD753">
        <f ca="1">'ETF variations'!AD753/'ETF price'!AE754</f>
        <v>-9.1344062635927495E-3</v>
      </c>
      <c r="AE753">
        <f ca="1">'ETF variations'!AE753/'ETF price'!AF754</f>
        <v>-2.9216467463479501E-2</v>
      </c>
      <c r="AF753">
        <f ca="1">'ETF variations'!AF753/'ETF price'!AG754</f>
        <v>-2.0271562440237183E-2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ETFs</vt:lpstr>
      <vt:lpstr>ETF price</vt:lpstr>
      <vt:lpstr>ETF variations</vt:lpstr>
      <vt:lpstr>ETF 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Schiavon</cp:lastModifiedBy>
  <dcterms:modified xsi:type="dcterms:W3CDTF">2025-11-16T17:40:22Z</dcterms:modified>
</cp:coreProperties>
</file>